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F:\Kamis\Open Data\5.Komposisi Jenis Sampah\"/>
    </mc:Choice>
  </mc:AlternateContent>
  <xr:revisionPtr revIDLastSave="0" documentId="13_ncr:1_{5681085A-0706-4221-8975-924798B81746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pengelolaan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pengelolaan!$A$1:$U$18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2" i="1" l="1"/>
  <c r="B12" i="1"/>
  <c r="T12" i="1" s="1"/>
  <c r="F12" i="1" l="1"/>
  <c r="J12" i="1"/>
  <c r="C12" i="1"/>
  <c r="G12" i="1"/>
  <c r="E12" i="1"/>
  <c r="I12" i="1"/>
  <c r="R12" i="1"/>
  <c r="D12" i="1"/>
  <c r="H12" i="1"/>
  <c r="Q11" i="1" l="1"/>
  <c r="B11" i="1" l="1"/>
  <c r="T11" i="1" s="1"/>
  <c r="G11" i="1" l="1"/>
  <c r="C11" i="1"/>
  <c r="H11" i="1"/>
  <c r="D11" i="1"/>
  <c r="I11" i="1"/>
  <c r="E11" i="1"/>
  <c r="R11" i="1"/>
  <c r="F11" i="1"/>
  <c r="J11" i="1"/>
  <c r="Q10" i="1" l="1"/>
  <c r="S10" i="1" l="1"/>
  <c r="B10" i="1" l="1"/>
  <c r="H10" i="1" l="1"/>
  <c r="C10" i="1"/>
  <c r="F10" i="1"/>
  <c r="J10" i="1"/>
  <c r="D10" i="1"/>
  <c r="R10" i="1"/>
  <c r="T10" i="1"/>
  <c r="E10" i="1"/>
  <c r="G10" i="1"/>
  <c r="I10" i="1"/>
  <c r="S9" i="1"/>
  <c r="P9" i="1" l="1"/>
  <c r="B9" i="1"/>
  <c r="C9" i="1" s="1"/>
  <c r="D9" i="1" l="1"/>
  <c r="V9" i="1"/>
  <c r="E9" i="1"/>
  <c r="I9" i="1"/>
  <c r="G9" i="1"/>
  <c r="H9" i="1"/>
  <c r="F9" i="1"/>
  <c r="J9" i="1"/>
  <c r="Q9" i="1"/>
  <c r="R9" i="1" s="1"/>
  <c r="T9" i="1"/>
  <c r="S8" i="1"/>
  <c r="B8" i="1" l="1"/>
  <c r="C8" i="1" s="1"/>
  <c r="T8" i="1" l="1"/>
  <c r="J8" i="1"/>
  <c r="I8" i="1"/>
  <c r="F8" i="1"/>
  <c r="E8" i="1"/>
  <c r="H8" i="1"/>
  <c r="G8" i="1"/>
  <c r="D8" i="1"/>
  <c r="Q8" i="1"/>
  <c r="R8" i="1" s="1"/>
  <c r="S7" i="1" l="1"/>
  <c r="Q7" i="1" l="1"/>
  <c r="B7" i="1"/>
  <c r="D7" i="1" l="1"/>
  <c r="C7" i="1"/>
  <c r="E7" i="1"/>
  <c r="I7" i="1"/>
  <c r="F7" i="1"/>
  <c r="T7" i="1"/>
  <c r="J7" i="1"/>
  <c r="H7" i="1"/>
  <c r="G7" i="1"/>
  <c r="R7" i="1"/>
  <c r="U18" i="1" l="1"/>
  <c r="P18" i="1"/>
  <c r="O18" i="1"/>
  <c r="N18" i="1"/>
  <c r="M18" i="1"/>
  <c r="L18" i="1"/>
  <c r="K18" i="1"/>
  <c r="G6" i="1"/>
  <c r="B6" i="1"/>
  <c r="S6" i="1"/>
  <c r="B18" i="1" l="1"/>
  <c r="C6" i="1"/>
  <c r="C18" i="1" s="1"/>
  <c r="S18" i="1"/>
  <c r="T6" i="1"/>
  <c r="T18" i="1" s="1"/>
  <c r="F6" i="1"/>
  <c r="F18" i="1" s="1"/>
  <c r="E6" i="1"/>
  <c r="E18" i="1" s="1"/>
  <c r="J6" i="1"/>
  <c r="J18" i="1" s="1"/>
  <c r="I6" i="1"/>
  <c r="I18" i="1" s="1"/>
  <c r="H6" i="1"/>
  <c r="H18" i="1" s="1"/>
  <c r="G18" i="1"/>
  <c r="D6" i="1"/>
  <c r="Q6" i="1"/>
  <c r="D18" i="1" l="1"/>
  <c r="R6" i="1"/>
  <c r="R18" i="1" s="1"/>
  <c r="Q18" i="1"/>
</calcChain>
</file>

<file path=xl/sharedStrings.xml><?xml version="1.0" encoding="utf-8"?>
<sst xmlns="http://schemas.openxmlformats.org/spreadsheetml/2006/main" count="46" uniqueCount="41">
  <si>
    <t>TAHUN 2019</t>
  </si>
  <si>
    <t>BULAN</t>
  </si>
  <si>
    <t>KOMPOSISI SAMPAH BERDASARKAN MATERI (KG)</t>
  </si>
  <si>
    <t>PLASTIK</t>
  </si>
  <si>
    <t>JUMLAH</t>
  </si>
  <si>
    <t xml:space="preserve">Januari 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</si>
  <si>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</si>
  <si>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</si>
  <si>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</si>
  <si>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</si>
  <si>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</si>
  <si>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</si>
  <si>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</si>
  <si>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</si>
  <si>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</si>
  <si>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</si>
  <si>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</si>
  <si>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</si>
  <si>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DIOLAH PEMULUNG (KG)</t>
  </si>
  <si>
    <t>KERTAS</t>
  </si>
  <si>
    <t>PLASTIK (KG)</t>
  </si>
  <si>
    <t>ORGANIK (KG)</t>
  </si>
  <si>
    <t>KERTAS (KG)</t>
  </si>
  <si>
    <t>MARGA</t>
  </si>
  <si>
    <t>SAK</t>
  </si>
  <si>
    <t>KARDUS</t>
  </si>
  <si>
    <t>KOSENTRAT</t>
  </si>
  <si>
    <t>SAMPAH YANG DIOLAH</t>
  </si>
  <si>
    <t>KOMPOS</t>
  </si>
  <si>
    <t>SOLAR</t>
  </si>
  <si>
    <t>SAMPAH MASUK TPA (Kg)</t>
  </si>
  <si>
    <t>-</t>
  </si>
  <si>
    <t xml:space="preserve">             </t>
  </si>
  <si>
    <t xml:space="preserve">  </t>
  </si>
  <si>
    <t>RATA-RATA /HARI (KG)</t>
  </si>
  <si>
    <t>KACA (KG)</t>
  </si>
  <si>
    <t>KARET (KG)</t>
  </si>
  <si>
    <t>KAYU (KG)</t>
  </si>
  <si>
    <t>LAINNYA (KG)</t>
  </si>
  <si>
    <t xml:space="preserve"> </t>
  </si>
  <si>
    <t>DATA PENGELOLAAN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</si>
</sst>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"/>
    <numFmt numFmtId="168" formatCode="_(* #,###_);_(* \(#,###\);_(* &quot;-&quot;??_);_(@_)"/>
    <numFmt numFmtId="169" formatCode="0.000000"/>
  </numFmts>
  <fonts count="6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165" fontId="0" fillId="0" borderId="1" xfId="1" applyNumberFormat="1" applyFont="1" applyBorder="1">
      <alignment vertical="center"/>
    </xf>
    <xf numFmtId="166" fontId="0" fillId="0" borderId="1" xfId="0" applyNumberFormat="1" applyBorder="1">
      <alignment vertical="center"/>
    </xf>
    <xf numFmtId="167" fontId="0" fillId="0" borderId="1" xfId="0" applyNumberFormat="1" applyBorder="1">
      <alignment vertical="center"/>
    </xf>
    <xf numFmtId="168" fontId="0" fillId="0" borderId="1" xfId="0" applyNumberFormat="1" applyBorder="1">
      <alignment vertical="center"/>
    </xf>
    <xf numFmtId="169" fontId="0" fillId="0" borderId="1" xfId="0" applyNumberFormat="1" applyBorder="1">
      <alignment vertical="center"/>
    </xf>
    <xf numFmtId="0" fontId="2" fillId="0" borderId="1" xfId="0" quotePrefix="1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68" fontId="5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64" fontId="0" fillId="0" borderId="0" xfId="0" applyNumberFormat="1">
      <alignment vertical="center"/>
    </xf>
    <xf numFmtId="0" fontId="1" fillId="0" borderId="1" xfId="0" applyFont="1" applyBorder="1">
      <alignment vertical="center"/>
    </xf>
    <xf numFmtId="0" fontId="1" fillId="0" borderId="1" xfId="0" quotePrefix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MPAH%20TPA%20NILAM\REKAPITULASI%20SAMPAH%203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MPAH%20TPA%20NILAM\Rekap%20KOMPOS%20(%20May%2019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MPAH%20TPA%20NILAM\SAMPAH%20TPA%20NILAM%20juni\REKAPITULASI%20SAMPAH%203R%20new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MPAH%20TPA%20NILAM\SAMPAH%20TPA%20NILAM%20Juli\REKAPITULASI%20SAMPAH%203R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MPAH%20TPA%20NILAM\PENGOLAHAN%20SAMPAH%20KOMP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MPAH%20TPA%20NILAM/REKAPITULASI%20SAMPAH%203R%20ne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MPAH%20TPA%20NILAM\SAMPAH%20PEMULUNG%2020%20MAR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MPAH%20TPA%20NILAM/PENGOLAHAN%20SAMPAH%20KOMPOS%20mar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MPAH%20TPA%20NILAM\REKAPITULASI%20SAMPAH%203R%20new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MPAH%20TPA\REKAP%20SAMPAH%20DR%20PEMULUNG%20NEW%20Apr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MPAH%20TPA\PENGOLAHAN%20SAMPAH%20KOMPOS%20apri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MPAH%20TPA%20NILAM\REKAPITULASI%20SAMPAH%203R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Feb"/>
      <sheetName val="Sheet3"/>
    </sheetNames>
    <sheetDataSet>
      <sheetData sheetId="0">
        <row r="45">
          <cell r="C45">
            <v>412985.10000000003</v>
          </cell>
          <cell r="I45">
            <v>56316.15</v>
          </cell>
          <cell r="Q45">
            <v>1877205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JANUARI 2019"/>
      <sheetName val="Oktober"/>
      <sheetName val="Desember"/>
      <sheetName val="November"/>
      <sheetName val="MARET"/>
      <sheetName val="MAY"/>
      <sheetName val="Sheet1"/>
    </sheetNames>
    <sheetDataSet>
      <sheetData sheetId="0"/>
      <sheetData sheetId="1"/>
      <sheetData sheetId="2"/>
      <sheetData sheetId="3"/>
      <sheetData sheetId="4"/>
      <sheetData sheetId="5">
        <row r="39">
          <cell r="F39">
            <v>4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FEBRUARI"/>
      <sheetName val="MARET"/>
      <sheetName val="APRIL"/>
      <sheetName val="JUNI"/>
      <sheetName val="JU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Q36">
            <v>1637790</v>
          </cell>
        </row>
      </sheetData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FEBRUARI"/>
      <sheetName val="MARET"/>
      <sheetName val="APRIL"/>
      <sheetName val="JUNI"/>
      <sheetName val="Jul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7">
          <cell r="Q37">
            <v>1757250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et"/>
    </sheetNames>
    <sheetDataSet>
      <sheetData sheetId="0">
        <row r="37">
          <cell r="F37">
            <v>71.5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Feb"/>
      <sheetName val="maret"/>
      <sheetName val="Sheet3"/>
    </sheetNames>
    <sheetDataSet>
      <sheetData sheetId="0"/>
      <sheetData sheetId="1">
        <row r="34">
          <cell r="Q34">
            <v>2077845</v>
          </cell>
        </row>
      </sheetData>
      <sheetData sheetId="2">
        <row r="37">
          <cell r="C37">
            <v>448486.5</v>
          </cell>
          <cell r="Q37">
            <v>2038575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"/>
      <sheetName val="feb"/>
      <sheetName val="maret"/>
    </sheetNames>
    <sheetDataSet>
      <sheetData sheetId="0"/>
      <sheetData sheetId="1">
        <row r="36">
          <cell r="F36">
            <v>84</v>
          </cell>
        </row>
      </sheetData>
      <sheetData sheetId="2">
        <row r="47">
          <cell r="H47">
            <v>2050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JANUARI 2019"/>
      <sheetName val="Oktober"/>
      <sheetName val="Desember"/>
      <sheetName val="November"/>
      <sheetName val="MARET"/>
    </sheetNames>
    <sheetDataSet>
      <sheetData sheetId="0"/>
      <sheetData sheetId="1"/>
      <sheetData sheetId="2"/>
      <sheetData sheetId="3"/>
      <sheetData sheetId="4">
        <row r="39">
          <cell r="F39">
            <v>20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Feb"/>
      <sheetName val="maret"/>
      <sheetName val="APRIL"/>
    </sheetNames>
    <sheetDataSet>
      <sheetData sheetId="0" refreshError="1"/>
      <sheetData sheetId="1" refreshError="1"/>
      <sheetData sheetId="2" refreshError="1"/>
      <sheetData sheetId="3">
        <row r="36">
          <cell r="Q36">
            <v>2019600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uarii"/>
      <sheetName val="APRIL"/>
      <sheetName val="Sheet3"/>
    </sheetNames>
    <sheetDataSet>
      <sheetData sheetId="0"/>
      <sheetData sheetId="1">
        <row r="44">
          <cell r="D44">
            <v>7709</v>
          </cell>
          <cell r="N44">
            <v>0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JANUARI 2019"/>
      <sheetName val="Oktober"/>
      <sheetName val="Desember"/>
      <sheetName val="November"/>
      <sheetName val="APRIL"/>
    </sheetNames>
    <sheetDataSet>
      <sheetData sheetId="0"/>
      <sheetData sheetId="1"/>
      <sheetData sheetId="2"/>
      <sheetData sheetId="3"/>
      <sheetData sheetId="4">
        <row r="38">
          <cell r="F38">
            <v>24.5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Feb"/>
      <sheetName val="maret"/>
      <sheetName val="APRIL"/>
      <sheetName val="mei"/>
    </sheetNames>
    <sheetDataSet>
      <sheetData sheetId="0"/>
      <sheetData sheetId="1"/>
      <sheetData sheetId="2"/>
      <sheetData sheetId="3"/>
      <sheetData sheetId="4">
        <row r="37">
          <cell r="Q37">
            <v>1954425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tabSelected="1" view="pageBreakPreview" zoomScale="90" zoomScaleNormal="100" zoomScaleSheetLayoutView="90" workbookViewId="0">
      <pane xSplit="1" ySplit="5" topLeftCell="B6" activePane="bottomRight" state="frozen"/>
      <selection pane="topRight"/>
      <selection pane="bottomLeft"/>
      <selection pane="bottomRight" activeCell="C12" sqref="C12"/>
    </sheetView>
  </sheetViews>
  <sheetFormatPr defaultColWidth="9" defaultRowHeight="15.5"/>
  <cols>
    <col min="1" max="1" width="9.33203125" customWidth="1"/>
    <col min="2" max="2" width="11" customWidth="1"/>
    <col min="3" max="3" width="9.5" customWidth="1"/>
    <col min="4" max="4" width="10.08203125" customWidth="1"/>
    <col min="5" max="5" width="10.58203125" customWidth="1"/>
    <col min="6" max="6" width="10.25" customWidth="1"/>
    <col min="7" max="8" width="8.75" customWidth="1"/>
    <col min="9" max="9" width="8.58203125" customWidth="1"/>
    <col min="10" max="10" width="9.75" customWidth="1"/>
    <col min="11" max="12" width="7.83203125" customWidth="1"/>
    <col min="13" max="13" width="7.08203125" customWidth="1"/>
    <col min="14" max="14" width="7.75" customWidth="1"/>
    <col min="15" max="15" width="10.58203125" customWidth="1"/>
    <col min="16" max="16" width="7.33203125" customWidth="1"/>
    <col min="17" max="17" width="8.5" customWidth="1"/>
    <col min="18" max="18" width="5.5" customWidth="1"/>
    <col min="19" max="19" width="10.4140625" customWidth="1"/>
    <col min="20" max="20" width="8.58203125" customWidth="1"/>
    <col min="21" max="21" width="6.75" customWidth="1"/>
    <col min="22" max="22" width="10.08203125" bestFit="1" customWidth="1"/>
  </cols>
  <sheetData>
    <row r="1" spans="1:24" ht="18.5">
      <c r="A1" s="11" t="s">
        <v>40</v>
      </c>
    </row>
    <row r="2" spans="1:24" ht="18.5">
      <c r="A2" s="11" t="s">
        <v>0</v>
      </c>
    </row>
    <row r="4" spans="1:24" s="10" customFormat="1" ht="27" customHeight="1">
      <c r="A4" s="25" t="s">
        <v>1</v>
      </c>
      <c r="B4" s="26" t="s">
        <v>30</v>
      </c>
      <c r="C4" s="26" t="s">
        <v>34</v>
      </c>
      <c r="D4" s="22" t="s">
        <v>2</v>
      </c>
      <c r="E4" s="23"/>
      <c r="F4" s="23"/>
      <c r="G4" s="23"/>
      <c r="H4" s="23"/>
      <c r="I4" s="23"/>
      <c r="J4" s="24"/>
      <c r="K4" s="22" t="s">
        <v>18</v>
      </c>
      <c r="L4" s="23"/>
      <c r="M4" s="23"/>
      <c r="N4" s="23"/>
      <c r="O4" s="23"/>
      <c r="P4" s="23"/>
      <c r="Q4" s="23"/>
      <c r="R4" s="24"/>
      <c r="S4" s="22" t="s">
        <v>27</v>
      </c>
      <c r="T4" s="23"/>
      <c r="U4" s="24"/>
    </row>
    <row r="5" spans="1:24" s="10" customFormat="1" ht="32.25" customHeight="1">
      <c r="A5" s="25"/>
      <c r="B5" s="27"/>
      <c r="C5" s="27"/>
      <c r="D5" s="12" t="s">
        <v>20</v>
      </c>
      <c r="E5" s="12" t="s">
        <v>21</v>
      </c>
      <c r="F5" s="18" t="s">
        <v>22</v>
      </c>
      <c r="G5" s="18" t="s">
        <v>35</v>
      </c>
      <c r="H5" s="18" t="s">
        <v>36</v>
      </c>
      <c r="I5" s="18" t="s">
        <v>37</v>
      </c>
      <c r="J5" s="18" t="s">
        <v>38</v>
      </c>
      <c r="K5" s="13" t="s">
        <v>3</v>
      </c>
      <c r="L5" s="13" t="s">
        <v>23</v>
      </c>
      <c r="M5" s="13" t="s">
        <v>24</v>
      </c>
      <c r="N5" s="14" t="s">
        <v>25</v>
      </c>
      <c r="O5" s="13" t="s">
        <v>26</v>
      </c>
      <c r="P5" s="13" t="s">
        <v>19</v>
      </c>
      <c r="Q5" s="28" t="s">
        <v>4</v>
      </c>
      <c r="R5" s="29"/>
      <c r="S5" s="14" t="s">
        <v>28</v>
      </c>
      <c r="T5" s="15"/>
      <c r="U5" s="14" t="s">
        <v>29</v>
      </c>
      <c r="V5" s="16"/>
      <c r="W5" s="16"/>
      <c r="X5" s="16"/>
    </row>
    <row r="6" spans="1:24" ht="31.5" customHeight="1">
      <c r="A6" s="2" t="s">
        <v>5</v>
      </c>
      <c r="B6" s="5">
        <f>[1]januari!$Q$45</f>
        <v>1877205</v>
      </c>
      <c r="C6" s="5">
        <f>B6/30</f>
        <v>62573.5</v>
      </c>
      <c r="D6" s="5">
        <f t="shared" ref="D6:D12" si="0">B6*22/100</f>
        <v>412985.1</v>
      </c>
      <c r="E6" s="5">
        <f>B6*47/100</f>
        <v>882286.35</v>
      </c>
      <c r="F6" s="5">
        <f>B6*15/100</f>
        <v>281580.75</v>
      </c>
      <c r="G6" s="5">
        <f>[1]januari!$I$45</f>
        <v>56316.15</v>
      </c>
      <c r="H6" s="5">
        <f>B6*5/100</f>
        <v>93860.25</v>
      </c>
      <c r="I6" s="5">
        <f>B6*4/100</f>
        <v>75088.2</v>
      </c>
      <c r="J6" s="5">
        <f>B6*4/100</f>
        <v>75088.2</v>
      </c>
      <c r="K6" s="5">
        <v>9379</v>
      </c>
      <c r="L6" s="5">
        <v>11588</v>
      </c>
      <c r="M6" s="5">
        <v>1705</v>
      </c>
      <c r="N6" s="5">
        <v>805</v>
      </c>
      <c r="O6" s="5">
        <v>1385</v>
      </c>
      <c r="P6" s="5">
        <v>291</v>
      </c>
      <c r="Q6" s="5">
        <f t="shared" ref="Q6:Q12" si="1">K6+L6+M6+N6+O6+P6</f>
        <v>25153</v>
      </c>
      <c r="R6" s="4">
        <f t="shared" ref="R6:R12" si="2">Q6/B6</f>
        <v>1.3399175902472027E-2</v>
      </c>
      <c r="S6" s="6">
        <f>[2]jan!$F$37</f>
        <v>71.5</v>
      </c>
      <c r="T6" s="8">
        <f t="shared" ref="T6:T12" si="3">S6/B6</f>
        <v>3.8088541208871703E-5</v>
      </c>
      <c r="U6" s="9" t="s">
        <v>31</v>
      </c>
    </row>
    <row r="7" spans="1:24" ht="31.5" customHeight="1">
      <c r="A7" s="2" t="s">
        <v>6</v>
      </c>
      <c r="B7" s="5">
        <f>[3]Feb!$Q$34</f>
        <v>2077845</v>
      </c>
      <c r="C7" s="5">
        <f t="shared" ref="C7:C12" si="4">B7/30</f>
        <v>69261.5</v>
      </c>
      <c r="D7" s="5">
        <f t="shared" si="0"/>
        <v>457125.9</v>
      </c>
      <c r="E7" s="5">
        <f>B7*47/100</f>
        <v>976587.15</v>
      </c>
      <c r="F7" s="5">
        <f>B7*15/100</f>
        <v>311676.75</v>
      </c>
      <c r="G7" s="5">
        <f t="shared" ref="G7:G12" si="5">B7*3/100</f>
        <v>62335.35</v>
      </c>
      <c r="H7" s="5">
        <f>B7*5/100</f>
        <v>103892.25</v>
      </c>
      <c r="I7" s="5">
        <f>B7*4/100</f>
        <v>83113.8</v>
      </c>
      <c r="J7" s="5">
        <f>B7*4/100</f>
        <v>83113.8</v>
      </c>
      <c r="K7" s="5">
        <v>8506</v>
      </c>
      <c r="L7" s="5">
        <v>10100</v>
      </c>
      <c r="M7" s="5">
        <v>2292</v>
      </c>
      <c r="N7" s="5">
        <v>1228</v>
      </c>
      <c r="O7" s="5">
        <v>2105</v>
      </c>
      <c r="P7" s="9">
        <v>0</v>
      </c>
      <c r="Q7" s="5">
        <f t="shared" si="1"/>
        <v>24231</v>
      </c>
      <c r="R7" s="4">
        <f t="shared" si="2"/>
        <v>1.1661601322524057E-2</v>
      </c>
      <c r="S7" s="3">
        <f>[4]feb!$F$36</f>
        <v>84</v>
      </c>
      <c r="T7" s="8">
        <f t="shared" si="3"/>
        <v>4.0426499570468444E-5</v>
      </c>
      <c r="U7" s="9" t="s">
        <v>31</v>
      </c>
    </row>
    <row r="8" spans="1:24" ht="31.5" customHeight="1">
      <c r="A8" s="2" t="s">
        <v>7</v>
      </c>
      <c r="B8" s="5">
        <f>[3]maret!$Q$37</f>
        <v>2038575</v>
      </c>
      <c r="C8" s="5">
        <f t="shared" si="4"/>
        <v>67952.5</v>
      </c>
      <c r="D8" s="5">
        <f t="shared" si="0"/>
        <v>448486.5</v>
      </c>
      <c r="E8" s="5">
        <f t="shared" ref="E8:E12" si="6">B8*47/100</f>
        <v>958130.25</v>
      </c>
      <c r="F8" s="5">
        <f t="shared" ref="F8:F12" si="7">B8*15/100</f>
        <v>305786.25</v>
      </c>
      <c r="G8" s="5">
        <f t="shared" si="5"/>
        <v>61157.25</v>
      </c>
      <c r="H8" s="5">
        <f t="shared" ref="H8:H12" si="8">B8*5/100</f>
        <v>101928.75</v>
      </c>
      <c r="I8" s="5">
        <f t="shared" ref="I8:I12" si="9">B8*4/100</f>
        <v>81543</v>
      </c>
      <c r="J8" s="5">
        <f t="shared" ref="J8:J12" si="10">B8*4/100</f>
        <v>81543</v>
      </c>
      <c r="K8" s="5">
        <v>8846</v>
      </c>
      <c r="L8" s="5">
        <v>8006</v>
      </c>
      <c r="M8" s="5">
        <v>2050</v>
      </c>
      <c r="N8" s="5">
        <v>760</v>
      </c>
      <c r="O8" s="5">
        <v>2080</v>
      </c>
      <c r="P8" s="3">
        <v>0</v>
      </c>
      <c r="Q8" s="5">
        <f t="shared" si="1"/>
        <v>21742</v>
      </c>
      <c r="R8" s="4">
        <f t="shared" si="2"/>
        <v>1.0665293158211006E-2</v>
      </c>
      <c r="S8" s="3">
        <f>[5]MARET!$F$39</f>
        <v>20</v>
      </c>
      <c r="T8" s="8">
        <f t="shared" si="3"/>
        <v>9.8107746832959303E-6</v>
      </c>
      <c r="U8" s="9" t="s">
        <v>31</v>
      </c>
    </row>
    <row r="9" spans="1:24" ht="31.5" customHeight="1">
      <c r="A9" s="2" t="s">
        <v>8</v>
      </c>
      <c r="B9" s="5">
        <f>[6]APRIL!$Q$36</f>
        <v>2019600</v>
      </c>
      <c r="C9" s="5">
        <f t="shared" si="4"/>
        <v>67320</v>
      </c>
      <c r="D9" s="5">
        <f t="shared" si="0"/>
        <v>444312</v>
      </c>
      <c r="E9" s="5">
        <f t="shared" si="6"/>
        <v>949212</v>
      </c>
      <c r="F9" s="5">
        <f t="shared" si="7"/>
        <v>302940</v>
      </c>
      <c r="G9" s="5">
        <f t="shared" si="5"/>
        <v>60588</v>
      </c>
      <c r="H9" s="5">
        <f t="shared" si="8"/>
        <v>100980</v>
      </c>
      <c r="I9" s="5">
        <f t="shared" si="9"/>
        <v>80784</v>
      </c>
      <c r="J9" s="5">
        <f t="shared" si="10"/>
        <v>80784</v>
      </c>
      <c r="K9" s="5">
        <v>7709</v>
      </c>
      <c r="L9" s="5">
        <v>7010</v>
      </c>
      <c r="M9" s="5">
        <v>2062</v>
      </c>
      <c r="N9" s="3">
        <v>745</v>
      </c>
      <c r="O9" s="5">
        <v>1939</v>
      </c>
      <c r="P9" s="3">
        <f>[7]APRIL!$N$44</f>
        <v>0</v>
      </c>
      <c r="Q9" s="5">
        <f t="shared" si="1"/>
        <v>19465</v>
      </c>
      <c r="R9" s="4">
        <f t="shared" si="2"/>
        <v>9.6380471380471382E-3</v>
      </c>
      <c r="S9" s="3">
        <f>[8]APRIL!$F$38</f>
        <v>24.5</v>
      </c>
      <c r="T9" s="8">
        <f t="shared" si="3"/>
        <v>1.2131115072291542E-5</v>
      </c>
      <c r="U9" s="9" t="s">
        <v>31</v>
      </c>
      <c r="V9" s="19">
        <f>B9/30</f>
        <v>67320</v>
      </c>
    </row>
    <row r="10" spans="1:24" ht="31.5" customHeight="1">
      <c r="A10" s="2" t="s">
        <v>9</v>
      </c>
      <c r="B10" s="5">
        <f>[9]mei!$Q$37</f>
        <v>1954425</v>
      </c>
      <c r="C10" s="5">
        <f t="shared" si="4"/>
        <v>65147.5</v>
      </c>
      <c r="D10" s="5">
        <f t="shared" si="0"/>
        <v>429973.5</v>
      </c>
      <c r="E10" s="5">
        <f t="shared" si="6"/>
        <v>918579.75</v>
      </c>
      <c r="F10" s="5">
        <f t="shared" si="7"/>
        <v>293163.75</v>
      </c>
      <c r="G10" s="5">
        <f t="shared" si="5"/>
        <v>58632.75</v>
      </c>
      <c r="H10" s="5">
        <f t="shared" si="8"/>
        <v>97721.25</v>
      </c>
      <c r="I10" s="5">
        <f t="shared" si="9"/>
        <v>78177</v>
      </c>
      <c r="J10" s="5">
        <f t="shared" si="10"/>
        <v>78177</v>
      </c>
      <c r="K10" s="5">
        <v>8823</v>
      </c>
      <c r="L10" s="3">
        <v>8418</v>
      </c>
      <c r="M10" s="5">
        <v>1720</v>
      </c>
      <c r="N10" s="5">
        <v>895</v>
      </c>
      <c r="O10" s="5">
        <v>1402</v>
      </c>
      <c r="P10" s="3">
        <v>0</v>
      </c>
      <c r="Q10" s="5">
        <f t="shared" si="1"/>
        <v>21258</v>
      </c>
      <c r="R10" s="4">
        <f t="shared" si="2"/>
        <v>1.0876856364403853E-2</v>
      </c>
      <c r="S10" s="3">
        <f>[10]MAY!$F$39</f>
        <v>4</v>
      </c>
      <c r="T10" s="8">
        <f t="shared" si="3"/>
        <v>2.0466377579083362E-6</v>
      </c>
      <c r="U10" s="9" t="s">
        <v>31</v>
      </c>
    </row>
    <row r="11" spans="1:24" ht="31.5" customHeight="1">
      <c r="A11" s="2" t="s">
        <v>10</v>
      </c>
      <c r="B11" s="5">
        <f>[11]JUNI!$Q$36</f>
        <v>1637790</v>
      </c>
      <c r="C11" s="5">
        <f t="shared" si="4"/>
        <v>54593</v>
      </c>
      <c r="D11" s="5">
        <f t="shared" si="0"/>
        <v>360313.8</v>
      </c>
      <c r="E11" s="5">
        <f t="shared" si="6"/>
        <v>769761.3</v>
      </c>
      <c r="F11" s="5">
        <f t="shared" si="7"/>
        <v>245668.5</v>
      </c>
      <c r="G11" s="5">
        <f t="shared" si="5"/>
        <v>49133.7</v>
      </c>
      <c r="H11" s="5">
        <f t="shared" si="8"/>
        <v>81889.5</v>
      </c>
      <c r="I11" s="5">
        <f t="shared" si="9"/>
        <v>65511.6</v>
      </c>
      <c r="J11" s="5">
        <f t="shared" si="10"/>
        <v>65511.6</v>
      </c>
      <c r="K11" s="5">
        <v>4192</v>
      </c>
      <c r="L11" s="5">
        <v>2668</v>
      </c>
      <c r="M11" s="5">
        <v>50</v>
      </c>
      <c r="N11" s="5">
        <v>109</v>
      </c>
      <c r="O11" s="5">
        <v>226</v>
      </c>
      <c r="P11" s="3">
        <v>0</v>
      </c>
      <c r="Q11" s="5">
        <f t="shared" si="1"/>
        <v>7245</v>
      </c>
      <c r="R11" s="3">
        <f t="shared" si="2"/>
        <v>4.4236440569303754E-3</v>
      </c>
      <c r="S11" s="20">
        <v>38.5</v>
      </c>
      <c r="T11" s="8">
        <f t="shared" si="3"/>
        <v>2.3507287259050304E-5</v>
      </c>
      <c r="U11" s="21" t="s">
        <v>39</v>
      </c>
    </row>
    <row r="12" spans="1:24" ht="31.5" customHeight="1">
      <c r="A12" s="2" t="s">
        <v>11</v>
      </c>
      <c r="B12" s="5">
        <f>[12]Juli!$Q$37</f>
        <v>1757250</v>
      </c>
      <c r="C12" s="5">
        <f t="shared" si="4"/>
        <v>58575</v>
      </c>
      <c r="D12" s="5">
        <f t="shared" si="0"/>
        <v>386595</v>
      </c>
      <c r="E12" s="5">
        <f t="shared" si="6"/>
        <v>825907.5</v>
      </c>
      <c r="F12" s="5">
        <f t="shared" si="7"/>
        <v>263587.5</v>
      </c>
      <c r="G12" s="5">
        <f t="shared" si="5"/>
        <v>52717.5</v>
      </c>
      <c r="H12" s="5">
        <f t="shared" si="8"/>
        <v>87862.5</v>
      </c>
      <c r="I12" s="5">
        <f t="shared" si="9"/>
        <v>70290</v>
      </c>
      <c r="J12" s="5">
        <f t="shared" si="10"/>
        <v>70290</v>
      </c>
      <c r="K12" s="5">
        <v>6206</v>
      </c>
      <c r="L12" s="5">
        <v>6088</v>
      </c>
      <c r="M12" s="5">
        <v>1418</v>
      </c>
      <c r="N12" s="5">
        <v>524</v>
      </c>
      <c r="O12" s="5">
        <v>978</v>
      </c>
      <c r="P12" s="3">
        <v>0</v>
      </c>
      <c r="Q12" s="5">
        <f t="shared" si="1"/>
        <v>15214</v>
      </c>
      <c r="R12" s="3">
        <f t="shared" si="2"/>
        <v>8.6578460662967704E-3</v>
      </c>
      <c r="S12" s="3">
        <v>49.5</v>
      </c>
      <c r="T12" s="8">
        <f t="shared" si="3"/>
        <v>2.8169014084507043E-5</v>
      </c>
      <c r="U12" s="9" t="s">
        <v>31</v>
      </c>
    </row>
    <row r="13" spans="1:24" ht="31.5" customHeight="1">
      <c r="A13" s="2" t="s">
        <v>12</v>
      </c>
      <c r="B13" s="2"/>
      <c r="C13" s="3"/>
      <c r="D13" s="2"/>
      <c r="E13" s="2"/>
      <c r="F13" s="2"/>
      <c r="G13" s="2"/>
      <c r="H13" s="2"/>
      <c r="I13" s="2"/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4" ht="31.5" customHeight="1">
      <c r="A14" s="2" t="s">
        <v>13</v>
      </c>
      <c r="B14" s="2"/>
      <c r="C14" s="3"/>
      <c r="D14" s="2"/>
      <c r="E14" s="2"/>
      <c r="F14" s="2"/>
      <c r="G14" s="2"/>
      <c r="H14" s="2"/>
      <c r="I14" s="2"/>
      <c r="J14" s="2"/>
      <c r="K14" s="3"/>
      <c r="L14" s="3"/>
      <c r="M14" s="3"/>
      <c r="N14" s="3"/>
      <c r="O14" s="3" t="s">
        <v>33</v>
      </c>
      <c r="P14" s="3"/>
      <c r="Q14" s="3"/>
      <c r="R14" s="3"/>
      <c r="S14" s="3"/>
      <c r="T14" s="3"/>
      <c r="U14" s="3"/>
    </row>
    <row r="15" spans="1:24" ht="31.5" customHeight="1">
      <c r="A15" s="2" t="s">
        <v>14</v>
      </c>
      <c r="B15" s="2"/>
      <c r="C15" s="3"/>
      <c r="D15" s="2"/>
      <c r="E15" s="2"/>
      <c r="F15" s="2"/>
      <c r="G15" s="2"/>
      <c r="H15" s="2"/>
      <c r="I15" s="2"/>
      <c r="J15" s="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4" ht="31.5" customHeight="1">
      <c r="A16" s="2" t="s">
        <v>15</v>
      </c>
      <c r="B16" s="2"/>
      <c r="C16" s="3"/>
      <c r="D16" s="2"/>
      <c r="E16" s="2"/>
      <c r="F16" s="2"/>
      <c r="G16" s="2"/>
      <c r="H16" s="2"/>
      <c r="I16" s="2"/>
      <c r="J16" s="2" t="s">
        <v>32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1.5" customHeight="1">
      <c r="A17" s="2" t="s">
        <v>16</v>
      </c>
      <c r="B17" s="2"/>
      <c r="C17" s="3"/>
      <c r="D17" s="2"/>
      <c r="E17" s="2"/>
      <c r="F17" s="2"/>
      <c r="G17" s="2"/>
      <c r="H17" s="2"/>
      <c r="I17" s="2"/>
      <c r="J17" s="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1.5" customHeight="1">
      <c r="A18" s="1" t="s">
        <v>17</v>
      </c>
      <c r="B18" s="5">
        <f>SUM(B6:B17)</f>
        <v>13362690</v>
      </c>
      <c r="C18" s="5">
        <f>SUM(C6:C17)</f>
        <v>445423</v>
      </c>
      <c r="D18" s="5">
        <f t="shared" ref="D18:S18" si="11">SUM(D6:D17)</f>
        <v>2939791.8</v>
      </c>
      <c r="E18" s="5">
        <f t="shared" si="11"/>
        <v>6280464.2999999998</v>
      </c>
      <c r="F18" s="5">
        <f t="shared" si="11"/>
        <v>2004403.5</v>
      </c>
      <c r="G18" s="5">
        <f t="shared" si="11"/>
        <v>400880.7</v>
      </c>
      <c r="H18" s="5">
        <f t="shared" si="11"/>
        <v>668134.5</v>
      </c>
      <c r="I18" s="5">
        <f t="shared" si="11"/>
        <v>534507.6</v>
      </c>
      <c r="J18" s="5">
        <f t="shared" si="11"/>
        <v>534507.6</v>
      </c>
      <c r="K18" s="5">
        <f t="shared" si="11"/>
        <v>53661</v>
      </c>
      <c r="L18" s="5">
        <f t="shared" si="11"/>
        <v>53878</v>
      </c>
      <c r="M18" s="5">
        <f t="shared" si="11"/>
        <v>11297</v>
      </c>
      <c r="N18" s="5">
        <f t="shared" si="11"/>
        <v>5066</v>
      </c>
      <c r="O18" s="5">
        <f t="shared" si="11"/>
        <v>10115</v>
      </c>
      <c r="P18" s="5">
        <f t="shared" si="11"/>
        <v>291</v>
      </c>
      <c r="Q18" s="5">
        <f t="shared" si="11"/>
        <v>134308</v>
      </c>
      <c r="R18" s="7">
        <f t="shared" si="11"/>
        <v>6.9322464008885226E-2</v>
      </c>
      <c r="S18" s="7">
        <f t="shared" si="11"/>
        <v>292</v>
      </c>
      <c r="T18" s="17">
        <f>SUM(T6:T17)</f>
        <v>1.5417986963639328E-4</v>
      </c>
      <c r="U18" s="7">
        <f>SUM(U6:U17)</f>
        <v>0</v>
      </c>
    </row>
  </sheetData>
  <mergeCells count="7">
    <mergeCell ref="S4:U4"/>
    <mergeCell ref="A4:A5"/>
    <mergeCell ref="D4:J4"/>
    <mergeCell ref="B4:B5"/>
    <mergeCell ref="K4:R4"/>
    <mergeCell ref="Q5:R5"/>
    <mergeCell ref="C4:C5"/>
  </mergeCells>
  <pageMargins left="0.23622047244094491" right="0.62992125984251968" top="0.98425196850393704" bottom="0.98425196850393704" header="0.51181102362204722" footer="0.51181102362204722"/>
  <pageSetup paperSize="5"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5"/>
  <sheetData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pengelolaan</vt:lpstr>
      <vt:lpstr>Sheet2</vt:lpstr>
      <vt:lpstr>Sheet3</vt:lpstr>
      <vt:lpstr>pengelolaan!Print_Area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cp:lastPrinted>2019-09-04T08:10:18Z</cp:lastPrinted>
  <dcterms:created xsi:type="dcterms:W3CDTF">2018-05-18T01:34:00Z</dcterms:created>
  <dcterms:modified xsi:type="dcterms:W3CDTF">2019-09-05T02:32:38Z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