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075" windowHeight="105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P217" i="1"/>
  <c r="Q217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P203" i="1" s="1"/>
  <c r="Q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P175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Q83" i="1" s="1"/>
  <c r="D96" i="1"/>
  <c r="P96" i="1" s="1"/>
  <c r="P95" i="1"/>
  <c r="D95" i="1"/>
  <c r="P94" i="1"/>
  <c r="D94" i="1"/>
  <c r="P93" i="1"/>
  <c r="D93" i="1"/>
  <c r="P92" i="1"/>
  <c r="D92" i="1"/>
  <c r="P91" i="1"/>
  <c r="D91" i="1"/>
  <c r="P90" i="1"/>
  <c r="D90" i="1"/>
  <c r="P89" i="1"/>
  <c r="D89" i="1"/>
  <c r="P88" i="1"/>
  <c r="D88" i="1"/>
  <c r="P87" i="1"/>
  <c r="D87" i="1"/>
  <c r="P86" i="1"/>
  <c r="D86" i="1"/>
  <c r="P85" i="1"/>
  <c r="D85" i="1"/>
  <c r="P84" i="1"/>
  <c r="D84" i="1"/>
  <c r="P83" i="1"/>
  <c r="M83" i="1"/>
  <c r="K83" i="1"/>
  <c r="J83" i="1"/>
  <c r="I83" i="1"/>
  <c r="H83" i="1"/>
  <c r="G83" i="1"/>
  <c r="F83" i="1"/>
  <c r="E83" i="1"/>
  <c r="D83" i="1"/>
  <c r="L83" i="1" s="1"/>
  <c r="P82" i="1"/>
  <c r="D82" i="1"/>
  <c r="P81" i="1"/>
  <c r="D81" i="1"/>
  <c r="P80" i="1"/>
  <c r="D80" i="1"/>
  <c r="P79" i="1"/>
  <c r="D79" i="1"/>
  <c r="P78" i="1"/>
  <c r="D78" i="1"/>
  <c r="P77" i="1"/>
  <c r="D77" i="1"/>
  <c r="P76" i="1"/>
  <c r="D76" i="1"/>
  <c r="P75" i="1"/>
  <c r="D75" i="1"/>
  <c r="P74" i="1"/>
  <c r="D74" i="1"/>
  <c r="D73" i="1"/>
  <c r="P73" i="1" s="1"/>
  <c r="P72" i="1"/>
  <c r="D72" i="1"/>
  <c r="D71" i="1"/>
  <c r="P71" i="1" s="1"/>
  <c r="P70" i="1"/>
  <c r="D70" i="1"/>
  <c r="D69" i="1"/>
  <c r="P69" i="1" s="1"/>
  <c r="P68" i="1"/>
  <c r="D68" i="1"/>
  <c r="D67" i="1"/>
  <c r="P67" i="1" s="1"/>
  <c r="P66" i="1"/>
  <c r="D66" i="1"/>
  <c r="M65" i="1"/>
  <c r="K65" i="1"/>
  <c r="J65" i="1"/>
  <c r="I65" i="1"/>
  <c r="H65" i="1"/>
  <c r="G65" i="1"/>
  <c r="F65" i="1"/>
  <c r="E65" i="1"/>
  <c r="D65" i="1"/>
  <c r="L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P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P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P8" i="1" s="1"/>
  <c r="Q27" i="1" l="1"/>
  <c r="Q8" i="1"/>
  <c r="Q44" i="1"/>
  <c r="L27" i="1"/>
  <c r="L44" i="1"/>
  <c r="L134" i="1"/>
  <c r="P115" i="1"/>
  <c r="Q115" i="1" s="1"/>
  <c r="P155" i="1"/>
  <c r="Q155" i="1" s="1"/>
  <c r="L203" i="1"/>
  <c r="P237" i="1"/>
  <c r="Q237" i="1" s="1"/>
  <c r="Q100" i="1"/>
  <c r="P65" i="1"/>
  <c r="Q65" i="1" s="1"/>
  <c r="D258" i="1"/>
  <c r="L8" i="1"/>
  <c r="L258" i="1" s="1"/>
  <c r="Q175" i="1"/>
  <c r="Q258" i="1" l="1"/>
  <c r="P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<sst xmlns="http://schemas.openxmlformats.org/spreadsheetml/2006/main" count="627" uniqueCount="306">
  <si>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</si>
  <si>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</si>
  <si>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10 JULI 2021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</si>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</sst>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145923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145923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RAT\Downloads\KOMULATIF%20SUSPEK%20TOTAL%2010%20JULI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DEMAK</v>
          </cell>
          <cell r="F2" t="str">
            <v>BINTORO</v>
          </cell>
        </row>
        <row r="3">
          <cell r="E3" t="str">
            <v>KEBONAGUNG</v>
          </cell>
          <cell r="F3" t="str">
            <v>MIJEN</v>
          </cell>
        </row>
        <row r="4">
          <cell r="E4" t="str">
            <v>MRANGGEN</v>
          </cell>
          <cell r="F4" t="str">
            <v>KEMBANGARUM</v>
          </cell>
        </row>
        <row r="5">
          <cell r="E5" t="str">
            <v>GAJAH</v>
          </cell>
          <cell r="F5" t="str">
            <v>TAMBIREJO</v>
          </cell>
        </row>
        <row r="6">
          <cell r="E6" t="str">
            <v>SAYUNG</v>
          </cell>
          <cell r="F6" t="str">
            <v>SIDOGEMAH</v>
          </cell>
        </row>
        <row r="7">
          <cell r="E7" t="str">
            <v>KARANGAWEN</v>
          </cell>
          <cell r="F7" t="str">
            <v>REJOSARI</v>
          </cell>
        </row>
        <row r="8">
          <cell r="E8" t="str">
            <v>KARANGANYAR</v>
          </cell>
          <cell r="F8" t="str">
            <v>WONOREJO</v>
          </cell>
        </row>
        <row r="9">
          <cell r="E9" t="str">
            <v>WEDUNG</v>
          </cell>
          <cell r="F9" t="str">
            <v>MUTIH WETAN</v>
          </cell>
        </row>
        <row r="10">
          <cell r="E10" t="str">
            <v>BONANG</v>
          </cell>
          <cell r="F10" t="str">
            <v>GEBANGARUM</v>
          </cell>
        </row>
        <row r="11">
          <cell r="E11" t="str">
            <v>DEMPET</v>
          </cell>
          <cell r="F11" t="str">
            <v>SIDOMULYO</v>
          </cell>
        </row>
        <row r="12">
          <cell r="E12" t="str">
            <v>KARANGAWEN</v>
          </cell>
          <cell r="F12" t="str">
            <v>WONOSEKAR</v>
          </cell>
        </row>
        <row r="13">
          <cell r="E13" t="str">
            <v>KARANGTENGAH</v>
          </cell>
          <cell r="F13" t="str">
            <v>WONOWOSO</v>
          </cell>
        </row>
        <row r="14">
          <cell r="E14" t="str">
            <v>BONANG</v>
          </cell>
          <cell r="F14" t="str">
            <v>JATIROGO</v>
          </cell>
        </row>
        <row r="15">
          <cell r="E15" t="str">
            <v>KEBONAGUNG</v>
          </cell>
          <cell r="F15" t="str">
            <v>TLOGOSIH</v>
          </cell>
        </row>
        <row r="16">
          <cell r="E16" t="str">
            <v>MRANGGEN</v>
          </cell>
          <cell r="F16" t="str">
            <v>BATURSARI</v>
          </cell>
        </row>
        <row r="17">
          <cell r="E17" t="str">
            <v>GUNTUR</v>
          </cell>
          <cell r="F17" t="str">
            <v>BLERONG</v>
          </cell>
        </row>
        <row r="18">
          <cell r="E18" t="str">
            <v>DEMAK</v>
          </cell>
          <cell r="F18" t="str">
            <v>KATONSARI</v>
          </cell>
        </row>
        <row r="19">
          <cell r="E19" t="str">
            <v>MRANGGEN</v>
          </cell>
          <cell r="F19" t="str">
            <v>KEBONBATUR</v>
          </cell>
        </row>
        <row r="20">
          <cell r="E20" t="str">
            <v>MRANGGEN</v>
          </cell>
          <cell r="F20" t="str">
            <v>BANYUMENENG</v>
          </cell>
        </row>
        <row r="21">
          <cell r="E21" t="str">
            <v>KARANGAWEN</v>
          </cell>
          <cell r="F21" t="str">
            <v>PUNDENARUM</v>
          </cell>
        </row>
        <row r="22">
          <cell r="E22" t="str">
            <v>MRANGGEN</v>
          </cell>
          <cell r="F22" t="str">
            <v>BATURSARI</v>
          </cell>
        </row>
        <row r="23">
          <cell r="E23" t="str">
            <v>MRANGGEN</v>
          </cell>
          <cell r="F23" t="str">
            <v>BATURSARI</v>
          </cell>
        </row>
        <row r="24">
          <cell r="E24" t="str">
            <v>MRANGGEN</v>
          </cell>
          <cell r="F24" t="str">
            <v>BATURSARI</v>
          </cell>
        </row>
        <row r="25">
          <cell r="E25" t="str">
            <v>KARANGAWEN</v>
          </cell>
          <cell r="F25" t="str">
            <v>REJOSARI</v>
          </cell>
        </row>
        <row r="26">
          <cell r="E26" t="str">
            <v>MRANGGEN</v>
          </cell>
          <cell r="F26" t="str">
            <v>BATURSARI</v>
          </cell>
        </row>
        <row r="27">
          <cell r="E27" t="str">
            <v>KEBONAGUNG</v>
          </cell>
          <cell r="F27" t="str">
            <v>MEGONTEN</v>
          </cell>
        </row>
        <row r="28">
          <cell r="E28" t="str">
            <v>KEBONAGUNG</v>
          </cell>
          <cell r="F28" t="str">
            <v>MIJEN</v>
          </cell>
        </row>
        <row r="29">
          <cell r="E29" t="str">
            <v>MIJEN</v>
          </cell>
          <cell r="F29" t="str">
            <v>PECUK</v>
          </cell>
        </row>
        <row r="30">
          <cell r="E30" t="str">
            <v>MRANGGEN</v>
          </cell>
          <cell r="F30" t="str">
            <v>KEBONBATUR</v>
          </cell>
        </row>
        <row r="31">
          <cell r="E31" t="str">
            <v>KEBONAGUNG</v>
          </cell>
          <cell r="F31" t="str">
            <v>MANGUNAN LOR</v>
          </cell>
        </row>
        <row r="32">
          <cell r="E32" t="str">
            <v>MRANGGEN</v>
          </cell>
          <cell r="F32" t="str">
            <v>MRANGGEN</v>
          </cell>
        </row>
        <row r="33">
          <cell r="E33" t="str">
            <v>MRANGGEN</v>
          </cell>
          <cell r="F33" t="str">
            <v>SUMBEREJO</v>
          </cell>
        </row>
        <row r="34">
          <cell r="E34" t="str">
            <v>WONOSALAM</v>
          </cell>
          <cell r="F34" t="str">
            <v>JOGOLOYO</v>
          </cell>
        </row>
        <row r="35">
          <cell r="E35" t="str">
            <v>SAYUNG</v>
          </cell>
          <cell r="F35" t="str">
            <v>SRIWULAN</v>
          </cell>
        </row>
        <row r="36">
          <cell r="E36" t="str">
            <v>GUNTUR</v>
          </cell>
          <cell r="F36" t="str">
            <v>BAKALREJO</v>
          </cell>
        </row>
        <row r="37">
          <cell r="E37" t="str">
            <v>KEBONAGUNG</v>
          </cell>
          <cell r="F37" t="str">
            <v>MANGUNAN LOR</v>
          </cell>
        </row>
        <row r="38">
          <cell r="E38" t="str">
            <v>DEMPET</v>
          </cell>
          <cell r="F38" t="str">
            <v>BALEREJO</v>
          </cell>
        </row>
        <row r="39">
          <cell r="E39" t="str">
            <v>MRANGGEN</v>
          </cell>
          <cell r="F39" t="str">
            <v>MRANGGEN</v>
          </cell>
        </row>
        <row r="40">
          <cell r="E40" t="str">
            <v>KEBONAGUNG</v>
          </cell>
          <cell r="F40" t="str">
            <v>KEBONAGUNG</v>
          </cell>
        </row>
        <row r="41">
          <cell r="E41" t="str">
            <v>KARANGAWEN</v>
          </cell>
          <cell r="F41" t="str">
            <v>BRAMBANG</v>
          </cell>
        </row>
        <row r="42">
          <cell r="E42" t="str">
            <v>MRANGGEN</v>
          </cell>
          <cell r="F42" t="str">
            <v>KEBONBATUR</v>
          </cell>
        </row>
        <row r="43">
          <cell r="E43" t="str">
            <v>MRANGGEN</v>
          </cell>
          <cell r="F43" t="str">
            <v>BRUMBUNG</v>
          </cell>
        </row>
        <row r="44">
          <cell r="E44" t="str">
            <v>MRANGGEN</v>
          </cell>
          <cell r="F44" t="str">
            <v>BATURSARI</v>
          </cell>
        </row>
        <row r="45">
          <cell r="E45" t="str">
            <v>KARANGAWEN</v>
          </cell>
          <cell r="F45" t="str">
            <v>BRAMBANG</v>
          </cell>
        </row>
        <row r="46">
          <cell r="E46" t="str">
            <v>SAYUNG</v>
          </cell>
          <cell r="F46" t="str">
            <v>SRIWULAN</v>
          </cell>
        </row>
        <row r="47">
          <cell r="E47" t="str">
            <v>GUNTUR</v>
          </cell>
          <cell r="F47" t="str">
            <v>SUKOREJO</v>
          </cell>
        </row>
        <row r="48">
          <cell r="E48" t="str">
            <v>MRANGGEN</v>
          </cell>
          <cell r="F48" t="str">
            <v>BANDUNGREJO</v>
          </cell>
        </row>
        <row r="49">
          <cell r="E49" t="str">
            <v>GUNTUR</v>
          </cell>
          <cell r="F49" t="str">
            <v>SUKOREJO</v>
          </cell>
        </row>
        <row r="50">
          <cell r="E50" t="str">
            <v>KARANGAWEN</v>
          </cell>
          <cell r="F50" t="str">
            <v>REJOSARI</v>
          </cell>
        </row>
        <row r="51">
          <cell r="E51" t="str">
            <v>MRANGGEN</v>
          </cell>
          <cell r="F51" t="str">
            <v>KEMBANGARUM</v>
          </cell>
        </row>
        <row r="52">
          <cell r="E52" t="str">
            <v>MRANGGEN</v>
          </cell>
          <cell r="F52" t="str">
            <v>KEMBANGARUM</v>
          </cell>
        </row>
        <row r="53">
          <cell r="E53" t="str">
            <v>KARANGAWEN</v>
          </cell>
          <cell r="F53" t="str">
            <v>JRAGUNG</v>
          </cell>
        </row>
        <row r="54">
          <cell r="E54" t="str">
            <v>MRANGGEN</v>
          </cell>
          <cell r="F54" t="str">
            <v>SUMBEREJO</v>
          </cell>
        </row>
        <row r="55">
          <cell r="E55" t="str">
            <v>MRANGGEN</v>
          </cell>
          <cell r="F55" t="str">
            <v>BATURSARI</v>
          </cell>
        </row>
        <row r="56">
          <cell r="E56" t="str">
            <v>DEMAK</v>
          </cell>
          <cell r="F56" t="str">
            <v>KATONSARI</v>
          </cell>
        </row>
        <row r="57">
          <cell r="E57" t="str">
            <v>DEMAK</v>
          </cell>
          <cell r="F57" t="str">
            <v>MANGUNJIWAN</v>
          </cell>
        </row>
        <row r="58">
          <cell r="E58" t="str">
            <v>DEMPET</v>
          </cell>
          <cell r="F58" t="str">
            <v>KARANGREJO</v>
          </cell>
        </row>
        <row r="59">
          <cell r="E59" t="str">
            <v>MRANGGEN</v>
          </cell>
          <cell r="F59" t="str">
            <v>MRANGGEN</v>
          </cell>
        </row>
        <row r="60">
          <cell r="E60" t="str">
            <v>SAYUNG</v>
          </cell>
          <cell r="F60" t="str">
            <v>KALISARI</v>
          </cell>
        </row>
        <row r="61">
          <cell r="E61" t="str">
            <v>WEDUNG</v>
          </cell>
          <cell r="F61" t="str">
            <v>JETAK</v>
          </cell>
        </row>
        <row r="62">
          <cell r="E62" t="str">
            <v>MRANGGEN</v>
          </cell>
          <cell r="F62" t="str">
            <v>BATURSARI</v>
          </cell>
        </row>
        <row r="63">
          <cell r="E63" t="str">
            <v>MRANGGEN</v>
          </cell>
          <cell r="F63" t="str">
            <v>BATURSARI</v>
          </cell>
        </row>
        <row r="64">
          <cell r="E64" t="str">
            <v>KEBONAGUNG</v>
          </cell>
          <cell r="F64" t="str">
            <v>SOKO KIDUL</v>
          </cell>
        </row>
        <row r="65">
          <cell r="E65" t="str">
            <v>KARANGAWEN</v>
          </cell>
          <cell r="F65" t="str">
            <v>KURIPAN</v>
          </cell>
        </row>
        <row r="66">
          <cell r="E66" t="str">
            <v>MRANGGEN</v>
          </cell>
          <cell r="F66" t="str">
            <v>KEBONBATUR</v>
          </cell>
        </row>
        <row r="67">
          <cell r="E67" t="str">
            <v>SAYUNG</v>
          </cell>
          <cell r="F67" t="str">
            <v>KALISARI</v>
          </cell>
        </row>
        <row r="68">
          <cell r="E68" t="str">
            <v>SAYUNG</v>
          </cell>
          <cell r="F68" t="str">
            <v>KARANGASEM</v>
          </cell>
        </row>
        <row r="69">
          <cell r="E69" t="str">
            <v>SAYUNG</v>
          </cell>
          <cell r="F69" t="str">
            <v>DOMBO</v>
          </cell>
        </row>
        <row r="70">
          <cell r="E70" t="str">
            <v>MRANGGEN</v>
          </cell>
          <cell r="F70" t="str">
            <v>BATURSARI</v>
          </cell>
        </row>
        <row r="71">
          <cell r="E71" t="str">
            <v>KARANGAWEN</v>
          </cell>
          <cell r="F71" t="str">
            <v>BRAMBANG</v>
          </cell>
        </row>
        <row r="72">
          <cell r="E72" t="str">
            <v>DEMAK</v>
          </cell>
          <cell r="F72" t="str">
            <v>MULYOREJO</v>
          </cell>
        </row>
        <row r="73">
          <cell r="E73" t="str">
            <v>KARANGAWEN</v>
          </cell>
          <cell r="F73" t="str">
            <v>BRAMBANG</v>
          </cell>
        </row>
        <row r="74">
          <cell r="E74" t="str">
            <v>MRANGGEN</v>
          </cell>
          <cell r="F74" t="str">
            <v>BATURSARI</v>
          </cell>
        </row>
        <row r="75">
          <cell r="E75" t="str">
            <v>SAYUNG</v>
          </cell>
          <cell r="F75" t="str">
            <v>SRIWULAN</v>
          </cell>
        </row>
        <row r="76">
          <cell r="E76" t="str">
            <v>DEMAK</v>
          </cell>
          <cell r="F76" t="str">
            <v>KATONSARI</v>
          </cell>
        </row>
        <row r="77">
          <cell r="E77" t="str">
            <v>MRANGGEN</v>
          </cell>
          <cell r="F77" t="str">
            <v>BANDUNGREJO</v>
          </cell>
        </row>
        <row r="78">
          <cell r="E78" t="str">
            <v>KARANGAWEN</v>
          </cell>
          <cell r="F78" t="str">
            <v>KARANGAWEN</v>
          </cell>
        </row>
        <row r="79">
          <cell r="E79" t="str">
            <v>KARANGAWEN</v>
          </cell>
          <cell r="F79" t="str">
            <v>REJOSARI</v>
          </cell>
        </row>
        <row r="80">
          <cell r="E80" t="str">
            <v>GUNTUR</v>
          </cell>
          <cell r="F80" t="str">
            <v>TEMUROSO</v>
          </cell>
        </row>
        <row r="81">
          <cell r="E81" t="str">
            <v>KARANGAWEN</v>
          </cell>
          <cell r="F81" t="str">
            <v>KARANGAWEN</v>
          </cell>
        </row>
        <row r="82">
          <cell r="E82" t="str">
            <v>MRANGGEN</v>
          </cell>
          <cell r="F82" t="str">
            <v>KEBONBATUR</v>
          </cell>
        </row>
        <row r="83">
          <cell r="E83" t="str">
            <v>WEDUNG</v>
          </cell>
          <cell r="F83" t="str">
            <v>BABALAN</v>
          </cell>
        </row>
        <row r="84">
          <cell r="E84" t="str">
            <v>KARANGTENGAH</v>
          </cell>
          <cell r="F84" t="str">
            <v>PIDODO</v>
          </cell>
        </row>
        <row r="85">
          <cell r="E85" t="str">
            <v>DEMPET</v>
          </cell>
          <cell r="F85" t="str">
            <v>BOTOSENGON</v>
          </cell>
        </row>
        <row r="86">
          <cell r="E86" t="str">
            <v>MRANGGEN</v>
          </cell>
          <cell r="F86" t="str">
            <v>BANDUNGREJO</v>
          </cell>
        </row>
        <row r="87">
          <cell r="E87" t="str">
            <v>MRANGGEN</v>
          </cell>
          <cell r="F87" t="str">
            <v>BANDUNGREJO</v>
          </cell>
        </row>
        <row r="88">
          <cell r="E88" t="str">
            <v>MRANGGEN</v>
          </cell>
          <cell r="F88" t="str">
            <v>BATURSARI</v>
          </cell>
        </row>
        <row r="89">
          <cell r="E89" t="str">
            <v>MRANGGEN</v>
          </cell>
          <cell r="F89" t="str">
            <v>BATURSARI</v>
          </cell>
        </row>
        <row r="90">
          <cell r="E90" t="str">
            <v>MRANGGEN</v>
          </cell>
          <cell r="F90" t="str">
            <v>MRANGGEN</v>
          </cell>
        </row>
        <row r="91">
          <cell r="E91" t="str">
            <v>MRANGGEN</v>
          </cell>
          <cell r="F91" t="str">
            <v>BANDUNGREJO</v>
          </cell>
        </row>
        <row r="92">
          <cell r="E92" t="str">
            <v>MRANGGEN</v>
          </cell>
          <cell r="F92" t="str">
            <v>BATURSARI</v>
          </cell>
        </row>
        <row r="93">
          <cell r="E93" t="str">
            <v>WEDUNG</v>
          </cell>
          <cell r="F93" t="str">
            <v>KENDUREN</v>
          </cell>
        </row>
        <row r="94">
          <cell r="E94" t="str">
            <v>WEDUNG</v>
          </cell>
          <cell r="F94" t="str">
            <v>JETAK</v>
          </cell>
        </row>
        <row r="95">
          <cell r="E95" t="str">
            <v>MRANGGEN</v>
          </cell>
          <cell r="F95" t="str">
            <v>KEBONBATUR</v>
          </cell>
        </row>
        <row r="96">
          <cell r="E96" t="str">
            <v>MRANGGEN</v>
          </cell>
          <cell r="F96" t="str">
            <v>BATURSARI</v>
          </cell>
        </row>
        <row r="97">
          <cell r="E97" t="str">
            <v>DEMAK</v>
          </cell>
          <cell r="F97" t="str">
            <v>BINTORO</v>
          </cell>
        </row>
        <row r="98">
          <cell r="E98" t="str">
            <v>WONOSALAM</v>
          </cell>
          <cell r="F98" t="str">
            <v>MOJODEMAK</v>
          </cell>
        </row>
        <row r="99">
          <cell r="E99" t="str">
            <v>DEMAK</v>
          </cell>
          <cell r="F99" t="str">
            <v>BINTORO</v>
          </cell>
        </row>
        <row r="100">
          <cell r="E100" t="str">
            <v>DEMPET</v>
          </cell>
          <cell r="F100" t="str">
            <v>BALEROMO</v>
          </cell>
        </row>
        <row r="101">
          <cell r="E101" t="str">
            <v>MRANGGEN</v>
          </cell>
          <cell r="F101" t="str">
            <v>KEBONBATUR</v>
          </cell>
        </row>
        <row r="102">
          <cell r="E102" t="str">
            <v>SAYUNG</v>
          </cell>
          <cell r="F102" t="str">
            <v>PILANGSARI</v>
          </cell>
        </row>
        <row r="103">
          <cell r="E103" t="str">
            <v>MRANGGEN</v>
          </cell>
          <cell r="F103" t="str">
            <v>KEBONBATUR</v>
          </cell>
        </row>
        <row r="104">
          <cell r="E104" t="str">
            <v>MRANGGEN</v>
          </cell>
          <cell r="F104" t="str">
            <v>KEBONBATUR</v>
          </cell>
        </row>
        <row r="105">
          <cell r="E105" t="str">
            <v>GUNTUR</v>
          </cell>
          <cell r="F105" t="str">
            <v>TLOGOWERU</v>
          </cell>
        </row>
        <row r="106">
          <cell r="E106" t="str">
            <v>SAYUNG</v>
          </cell>
          <cell r="F106" t="str">
            <v>BULUSARI</v>
          </cell>
        </row>
        <row r="107">
          <cell r="E107" t="str">
            <v>MRANGGEN</v>
          </cell>
          <cell r="F107" t="str">
            <v>MRANGGEN</v>
          </cell>
        </row>
        <row r="108">
          <cell r="E108" t="str">
            <v>DEMAK</v>
          </cell>
          <cell r="F108" t="str">
            <v>MANGUNJIWAN</v>
          </cell>
        </row>
        <row r="109">
          <cell r="E109" t="str">
            <v>GUNTUR</v>
          </cell>
          <cell r="F109" t="str">
            <v>BOGOSARI</v>
          </cell>
        </row>
        <row r="110">
          <cell r="E110" t="str">
            <v>WEDUNG</v>
          </cell>
          <cell r="F110" t="str">
            <v>JUNGPASIR</v>
          </cell>
        </row>
        <row r="111">
          <cell r="E111" t="str">
            <v>DEMAK</v>
          </cell>
          <cell r="F111" t="str">
            <v>MANGUNJIWAN</v>
          </cell>
        </row>
        <row r="112">
          <cell r="E112" t="str">
            <v>MRANGGEN</v>
          </cell>
          <cell r="F112" t="str">
            <v>KEBONBATUR</v>
          </cell>
        </row>
        <row r="113">
          <cell r="E113" t="str">
            <v>MRANGGEN</v>
          </cell>
          <cell r="F113" t="str">
            <v>KEBONBATUR</v>
          </cell>
        </row>
        <row r="114">
          <cell r="E114" t="str">
            <v>MRANGGEN</v>
          </cell>
          <cell r="F114" t="str">
            <v>MRANGGEN</v>
          </cell>
        </row>
        <row r="115">
          <cell r="E115" t="str">
            <v>MIJEN</v>
          </cell>
          <cell r="F115" t="str">
            <v>JLEPER</v>
          </cell>
        </row>
        <row r="116">
          <cell r="E116" t="str">
            <v>SAYUNG</v>
          </cell>
          <cell r="F116" t="str">
            <v>SAYUNG</v>
          </cell>
        </row>
        <row r="117">
          <cell r="E117" t="str">
            <v>KEBONAGUNG</v>
          </cell>
          <cell r="F117" t="str">
            <v>MIJEN</v>
          </cell>
        </row>
        <row r="118">
          <cell r="E118" t="str">
            <v>SAYUNG</v>
          </cell>
          <cell r="F118" t="str">
            <v>PILANGSARI</v>
          </cell>
        </row>
        <row r="119">
          <cell r="E119" t="str">
            <v>DEMAK</v>
          </cell>
          <cell r="F119" t="str">
            <v>BINTORO</v>
          </cell>
        </row>
        <row r="120">
          <cell r="E120" t="str">
            <v>SAYUNG</v>
          </cell>
          <cell r="F120" t="str">
            <v>SRIWULAN</v>
          </cell>
        </row>
        <row r="121">
          <cell r="E121" t="str">
            <v>DEMAK</v>
          </cell>
          <cell r="F121" t="str">
            <v>BINTORO</v>
          </cell>
        </row>
        <row r="122">
          <cell r="E122" t="str">
            <v>DEMAK</v>
          </cell>
          <cell r="F122" t="str">
            <v>KALICILIK</v>
          </cell>
        </row>
        <row r="123">
          <cell r="E123" t="str">
            <v>KEBONAGUNG</v>
          </cell>
          <cell r="F123" t="str">
            <v>KLAMPOK LOR</v>
          </cell>
        </row>
        <row r="124">
          <cell r="E124" t="str">
            <v>KARANGAWEN</v>
          </cell>
          <cell r="F124" t="str">
            <v>TLOGOREJO</v>
          </cell>
        </row>
        <row r="125">
          <cell r="E125" t="str">
            <v>KARANGAWEN</v>
          </cell>
          <cell r="F125" t="str">
            <v>KARANGAWEN</v>
          </cell>
        </row>
        <row r="126">
          <cell r="E126" t="str">
            <v>MRANGGEN</v>
          </cell>
          <cell r="F126" t="str">
            <v>KEBONBATUR</v>
          </cell>
        </row>
        <row r="127">
          <cell r="E127" t="str">
            <v>MRANGGEN</v>
          </cell>
          <cell r="F127" t="str">
            <v>BATURSARI</v>
          </cell>
        </row>
        <row r="128">
          <cell r="E128" t="str">
            <v>MRANGGEN</v>
          </cell>
          <cell r="F128" t="str">
            <v>KEBONBATUR</v>
          </cell>
        </row>
        <row r="129">
          <cell r="E129" t="str">
            <v>DEMAK</v>
          </cell>
          <cell r="F129" t="str">
            <v>RAJI</v>
          </cell>
        </row>
        <row r="130">
          <cell r="E130" t="str">
            <v>DEMPET</v>
          </cell>
          <cell r="F130" t="str">
            <v>KRAMAT</v>
          </cell>
        </row>
        <row r="131">
          <cell r="E131" t="str">
            <v>KEBONAGUNG</v>
          </cell>
          <cell r="F131" t="str">
            <v>WERDOYO</v>
          </cell>
        </row>
        <row r="132">
          <cell r="E132" t="str">
            <v>KEBONAGUNG</v>
          </cell>
          <cell r="F132" t="str">
            <v>MANGUNAN LOR</v>
          </cell>
        </row>
        <row r="133">
          <cell r="E133" t="str">
            <v>DEMAK</v>
          </cell>
          <cell r="F133" t="str">
            <v>BINTORO</v>
          </cell>
        </row>
        <row r="134">
          <cell r="E134" t="str">
            <v>MRANGGEN</v>
          </cell>
          <cell r="F134" t="str">
            <v>KEBONBATUR</v>
          </cell>
        </row>
        <row r="135">
          <cell r="E135" t="str">
            <v>DEMPET</v>
          </cell>
          <cell r="F135" t="str">
            <v>JERUKGULUNG</v>
          </cell>
        </row>
        <row r="136">
          <cell r="E136" t="str">
            <v>MRANGGEN</v>
          </cell>
          <cell r="F136" t="str">
            <v>MRANGGEN</v>
          </cell>
        </row>
        <row r="137">
          <cell r="E137" t="str">
            <v>GAJAH</v>
          </cell>
          <cell r="F137" t="str">
            <v>BANJARSARI</v>
          </cell>
        </row>
        <row r="138">
          <cell r="E138" t="str">
            <v>MRANGGEN</v>
          </cell>
          <cell r="F138" t="str">
            <v>KEBONBATUR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sqref="A1:XFD1048576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44" customWidth="1"/>
    <col min="4" max="4" width="22" style="44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5703125" hidden="1" customWidth="1"/>
    <col min="12" max="13" width="9.140625" hidden="1" customWidth="1"/>
    <col min="14" max="14" width="12.85546875" hidden="1" customWidth="1"/>
    <col min="15" max="15" width="9.140625" style="3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2"/>
      <c r="D1" s="2"/>
    </row>
    <row r="2" spans="1:17" x14ac:dyDescent="0.25">
      <c r="A2" s="4"/>
      <c r="B2" s="4"/>
      <c r="C2" s="5"/>
      <c r="D2" s="5"/>
    </row>
    <row r="3" spans="1:17" x14ac:dyDescent="0.25">
      <c r="A3" s="4"/>
      <c r="B3" s="4"/>
      <c r="C3" s="5"/>
      <c r="D3" s="5"/>
    </row>
    <row r="4" spans="1:17" x14ac:dyDescent="0.25">
      <c r="A4" s="6" t="s">
        <v>1</v>
      </c>
      <c r="B4" s="7" t="s">
        <v>2</v>
      </c>
      <c r="C4" s="8"/>
      <c r="D4" s="8"/>
    </row>
    <row r="5" spans="1:17" ht="60" customHeight="1" x14ac:dyDescent="0.25">
      <c r="A5" s="9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2" t="s">
        <v>8</v>
      </c>
      <c r="G5" s="13" t="s">
        <v>9</v>
      </c>
      <c r="H5" s="14" t="s">
        <v>10</v>
      </c>
      <c r="I5" s="14" t="s">
        <v>11</v>
      </c>
      <c r="J5" s="12" t="s">
        <v>12</v>
      </c>
      <c r="K5" s="13" t="s">
        <v>13</v>
      </c>
      <c r="L5" s="13" t="s">
        <v>14</v>
      </c>
      <c r="M5" s="12" t="s">
        <v>15</v>
      </c>
      <c r="Q5" s="15" t="s">
        <v>16</v>
      </c>
    </row>
    <row r="6" spans="1:17" ht="15" customHeight="1" x14ac:dyDescent="0.25">
      <c r="A6" s="16"/>
      <c r="B6" s="16"/>
      <c r="C6" s="17"/>
      <c r="D6" s="18"/>
      <c r="E6" s="12"/>
      <c r="F6" s="12"/>
      <c r="G6" s="19"/>
      <c r="H6" s="14"/>
      <c r="I6" s="14"/>
      <c r="J6" s="12"/>
      <c r="K6" s="19"/>
      <c r="L6" s="19"/>
      <c r="M6" s="12"/>
      <c r="Q6" s="20"/>
    </row>
    <row r="7" spans="1:17" ht="15.75" customHeight="1" x14ac:dyDescent="0.25">
      <c r="A7" s="16"/>
      <c r="B7" s="16"/>
      <c r="C7" s="17"/>
      <c r="D7" s="18"/>
      <c r="E7" s="12"/>
      <c r="F7" s="12"/>
      <c r="G7" s="21"/>
      <c r="H7" s="14"/>
      <c r="I7" s="14"/>
      <c r="J7" s="12"/>
      <c r="K7" s="21"/>
      <c r="L7" s="21"/>
      <c r="M7" s="12"/>
      <c r="Q7" s="22"/>
    </row>
    <row r="8" spans="1:17" x14ac:dyDescent="0.25">
      <c r="A8" s="23">
        <v>1</v>
      </c>
      <c r="B8" s="24" t="s">
        <v>17</v>
      </c>
      <c r="C8" s="25" t="s">
        <v>18</v>
      </c>
      <c r="D8" s="26">
        <f>COUNTIFS('[1]TOTAL SUSPEK'!$F:$F,"kembangarum")</f>
        <v>3</v>
      </c>
      <c r="E8" s="27" t="e">
        <f>SUM(#REF!)</f>
        <v>#REF!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>
        <f>SUM(D8:D26)</f>
        <v>50</v>
      </c>
      <c r="M8" s="27" t="e">
        <f>SUM(#REF!)</f>
        <v>#REF!</v>
      </c>
      <c r="P8" s="28">
        <f t="shared" ref="P8:P71" si="0">SUM(D8:D8)</f>
        <v>3</v>
      </c>
      <c r="Q8" s="29">
        <f>SUM(P8:P26)</f>
        <v>50</v>
      </c>
    </row>
    <row r="9" spans="1:17" x14ac:dyDescent="0.25">
      <c r="A9" s="23"/>
      <c r="B9" s="24" t="s">
        <v>17</v>
      </c>
      <c r="C9" s="25" t="s">
        <v>17</v>
      </c>
      <c r="D9" s="26">
        <f>COUNTIFS('[1]TOTAL SUSPEK'!$F:$F,"mranggen")</f>
        <v>7</v>
      </c>
      <c r="E9" s="30"/>
      <c r="F9" s="31"/>
      <c r="G9" s="31"/>
      <c r="H9" s="31"/>
      <c r="I9" s="31"/>
      <c r="J9" s="31"/>
      <c r="K9" s="32"/>
      <c r="L9" s="32"/>
      <c r="M9" s="32"/>
      <c r="P9" s="28">
        <f t="shared" si="0"/>
        <v>7</v>
      </c>
      <c r="Q9" s="33"/>
    </row>
    <row r="10" spans="1:17" x14ac:dyDescent="0.25">
      <c r="A10" s="23"/>
      <c r="B10" s="24" t="s">
        <v>17</v>
      </c>
      <c r="C10" s="25" t="s">
        <v>19</v>
      </c>
      <c r="D10" s="26">
        <f>COUNTIFS('[1]TOTAL SUSPEK'!$F:$F,"kangkung")</f>
        <v>0</v>
      </c>
      <c r="E10" s="30"/>
      <c r="F10" s="31"/>
      <c r="G10" s="31"/>
      <c r="H10" s="31"/>
      <c r="I10" s="31"/>
      <c r="J10" s="31"/>
      <c r="K10" s="32"/>
      <c r="L10" s="32"/>
      <c r="M10" s="32"/>
      <c r="P10" s="28">
        <f t="shared" si="0"/>
        <v>0</v>
      </c>
      <c r="Q10" s="33"/>
    </row>
    <row r="11" spans="1:17" x14ac:dyDescent="0.25">
      <c r="A11" s="23"/>
      <c r="B11" s="24" t="s">
        <v>17</v>
      </c>
      <c r="C11" s="25" t="s">
        <v>20</v>
      </c>
      <c r="D11" s="26">
        <f>COUNTIFS('[1]TOTAL SUSPEK'!$F:$F,"Kalitengah")</f>
        <v>0</v>
      </c>
      <c r="E11" s="30"/>
      <c r="F11" s="31"/>
      <c r="G11" s="31"/>
      <c r="H11" s="31"/>
      <c r="I11" s="31"/>
      <c r="J11" s="31"/>
      <c r="K11" s="32"/>
      <c r="L11" s="32"/>
      <c r="M11" s="32"/>
      <c r="P11" s="28">
        <f t="shared" si="0"/>
        <v>0</v>
      </c>
      <c r="Q11" s="33"/>
    </row>
    <row r="12" spans="1:17" x14ac:dyDescent="0.25">
      <c r="A12" s="23"/>
      <c r="B12" s="24" t="s">
        <v>17</v>
      </c>
      <c r="C12" s="25" t="s">
        <v>21</v>
      </c>
      <c r="D12" s="26">
        <f>COUNTIFS('[1]TOTAL SUSPEK'!$F:$F,"brumbung")</f>
        <v>1</v>
      </c>
      <c r="E12" s="30"/>
      <c r="F12" s="31"/>
      <c r="G12" s="31"/>
      <c r="H12" s="31"/>
      <c r="I12" s="31"/>
      <c r="J12" s="31"/>
      <c r="K12" s="32"/>
      <c r="L12" s="32"/>
      <c r="M12" s="32"/>
      <c r="P12" s="28">
        <f t="shared" si="0"/>
        <v>1</v>
      </c>
      <c r="Q12" s="33"/>
    </row>
    <row r="13" spans="1:17" x14ac:dyDescent="0.25">
      <c r="A13" s="23"/>
      <c r="B13" s="24" t="s">
        <v>17</v>
      </c>
      <c r="C13" s="25" t="s">
        <v>22</v>
      </c>
      <c r="D13" s="26">
        <f>COUNTIFS('[1]TOTAL SUSPEK'!$F:$F,"Sumberejo",'[1]TOTAL SUSPEK'!$E:$E,"mranggen")</f>
        <v>2</v>
      </c>
      <c r="E13" s="30"/>
      <c r="F13" s="31"/>
      <c r="G13" s="31"/>
      <c r="H13" s="31"/>
      <c r="I13" s="31"/>
      <c r="J13" s="31"/>
      <c r="K13" s="32"/>
      <c r="L13" s="32"/>
      <c r="M13" s="32"/>
      <c r="P13" s="28">
        <f t="shared" si="0"/>
        <v>2</v>
      </c>
      <c r="Q13" s="33"/>
    </row>
    <row r="14" spans="1:17" x14ac:dyDescent="0.25">
      <c r="A14" s="23"/>
      <c r="B14" s="24" t="s">
        <v>17</v>
      </c>
      <c r="C14" s="25" t="s">
        <v>23</v>
      </c>
      <c r="D14" s="26">
        <f>COUNTIFS('[1]TOTAL SUSPEK'!$F:$F,"Bandungrejo",'[1]TOTAL SUSPEK'!$E:$E,"mranggen")</f>
        <v>5</v>
      </c>
      <c r="E14" s="30"/>
      <c r="F14" s="31"/>
      <c r="G14" s="31"/>
      <c r="H14" s="31"/>
      <c r="I14" s="31"/>
      <c r="J14" s="31"/>
      <c r="K14" s="32"/>
      <c r="L14" s="32"/>
      <c r="M14" s="32"/>
      <c r="P14" s="28">
        <f t="shared" si="0"/>
        <v>5</v>
      </c>
      <c r="Q14" s="33"/>
    </row>
    <row r="15" spans="1:17" x14ac:dyDescent="0.25">
      <c r="A15" s="23"/>
      <c r="B15" s="24" t="s">
        <v>17</v>
      </c>
      <c r="C15" s="25" t="s">
        <v>24</v>
      </c>
      <c r="D15" s="26">
        <f>COUNTIFS('[1]TOTAL SUSPEK'!$F:$F,"menur")</f>
        <v>0</v>
      </c>
      <c r="E15" s="30"/>
      <c r="F15" s="31"/>
      <c r="G15" s="31"/>
      <c r="H15" s="31"/>
      <c r="I15" s="31"/>
      <c r="J15" s="31"/>
      <c r="K15" s="32"/>
      <c r="L15" s="32"/>
      <c r="M15" s="32"/>
      <c r="P15" s="28">
        <f t="shared" si="0"/>
        <v>0</v>
      </c>
      <c r="Q15" s="33"/>
    </row>
    <row r="16" spans="1:17" x14ac:dyDescent="0.25">
      <c r="A16" s="23"/>
      <c r="B16" s="24" t="s">
        <v>17</v>
      </c>
      <c r="C16" s="25" t="s">
        <v>25</v>
      </c>
      <c r="D16" s="26">
        <f>COUNTIFS('[1]TOTAL SUSPEK'!$F:$F,"wringinjajar")</f>
        <v>0</v>
      </c>
      <c r="E16" s="30"/>
      <c r="F16" s="31"/>
      <c r="G16" s="31"/>
      <c r="H16" s="31"/>
      <c r="I16" s="31"/>
      <c r="J16" s="31"/>
      <c r="K16" s="32"/>
      <c r="L16" s="32"/>
      <c r="M16" s="32"/>
      <c r="P16" s="28">
        <f t="shared" si="0"/>
        <v>0</v>
      </c>
      <c r="Q16" s="33"/>
    </row>
    <row r="17" spans="1:17" x14ac:dyDescent="0.25">
      <c r="A17" s="23"/>
      <c r="B17" s="24" t="s">
        <v>17</v>
      </c>
      <c r="C17" s="25" t="s">
        <v>26</v>
      </c>
      <c r="D17" s="26">
        <f>COUNTIFS('[1]TOTAL SUSPEK'!$F:$F,"candisari")</f>
        <v>0</v>
      </c>
      <c r="E17" s="30"/>
      <c r="F17" s="31"/>
      <c r="G17" s="31"/>
      <c r="H17" s="31"/>
      <c r="I17" s="31"/>
      <c r="J17" s="31"/>
      <c r="K17" s="32"/>
      <c r="L17" s="32"/>
      <c r="M17" s="32"/>
      <c r="P17" s="28">
        <f t="shared" si="0"/>
        <v>0</v>
      </c>
      <c r="Q17" s="33"/>
    </row>
    <row r="18" spans="1:17" x14ac:dyDescent="0.25">
      <c r="A18" s="23"/>
      <c r="B18" s="24" t="s">
        <v>17</v>
      </c>
      <c r="C18" s="25" t="s">
        <v>27</v>
      </c>
      <c r="D18" s="26">
        <f>COUNTIFS('[1]TOTAL SUSPEK'!$F:$F,"ngemplak")</f>
        <v>0</v>
      </c>
      <c r="E18" s="30"/>
      <c r="F18" s="31"/>
      <c r="G18" s="31"/>
      <c r="H18" s="31"/>
      <c r="I18" s="31"/>
      <c r="J18" s="31"/>
      <c r="K18" s="32"/>
      <c r="L18" s="32"/>
      <c r="M18" s="32"/>
      <c r="P18" s="28">
        <f t="shared" si="0"/>
        <v>0</v>
      </c>
      <c r="Q18" s="33"/>
    </row>
    <row r="19" spans="1:17" x14ac:dyDescent="0.25">
      <c r="A19" s="23"/>
      <c r="B19" s="24" t="s">
        <v>17</v>
      </c>
      <c r="C19" s="25" t="s">
        <v>28</v>
      </c>
      <c r="D19" s="26">
        <f>COUNTIFS('[1]TOTAL SUSPEK'!$F:$F,"karangsono")</f>
        <v>0</v>
      </c>
      <c r="E19" s="30"/>
      <c r="F19" s="31"/>
      <c r="G19" s="31"/>
      <c r="H19" s="31"/>
      <c r="I19" s="31"/>
      <c r="J19" s="31"/>
      <c r="K19" s="32"/>
      <c r="L19" s="32"/>
      <c r="M19" s="32"/>
      <c r="P19" s="28">
        <f t="shared" si="0"/>
        <v>0</v>
      </c>
      <c r="Q19" s="33"/>
    </row>
    <row r="20" spans="1:17" x14ac:dyDescent="0.25">
      <c r="A20" s="23"/>
      <c r="B20" s="24" t="s">
        <v>17</v>
      </c>
      <c r="C20" s="25" t="s">
        <v>29</v>
      </c>
      <c r="D20" s="26">
        <f>COUNTIFS('[1]TOTAL SUSPEK'!$F:$F,"jamus")</f>
        <v>0</v>
      </c>
      <c r="E20" s="30"/>
      <c r="F20" s="31"/>
      <c r="G20" s="31"/>
      <c r="H20" s="31"/>
      <c r="I20" s="31"/>
      <c r="J20" s="31"/>
      <c r="K20" s="32"/>
      <c r="L20" s="32"/>
      <c r="M20" s="32"/>
      <c r="P20" s="28">
        <f t="shared" si="0"/>
        <v>0</v>
      </c>
      <c r="Q20" s="33"/>
    </row>
    <row r="21" spans="1:17" x14ac:dyDescent="0.25">
      <c r="A21" s="23"/>
      <c r="B21" s="24" t="s">
        <v>17</v>
      </c>
      <c r="C21" s="25" t="s">
        <v>30</v>
      </c>
      <c r="D21" s="26">
        <f>COUNTIFS('[1]TOTAL SUSPEK'!$F:$F,"waru")</f>
        <v>0</v>
      </c>
      <c r="E21" s="30"/>
      <c r="F21" s="31"/>
      <c r="G21" s="31"/>
      <c r="H21" s="31"/>
      <c r="I21" s="31"/>
      <c r="J21" s="31"/>
      <c r="K21" s="32"/>
      <c r="L21" s="32"/>
      <c r="M21" s="32"/>
      <c r="P21" s="28">
        <f t="shared" si="0"/>
        <v>0</v>
      </c>
      <c r="Q21" s="33"/>
    </row>
    <row r="22" spans="1:17" x14ac:dyDescent="0.25">
      <c r="A22" s="23"/>
      <c r="B22" s="24" t="s">
        <v>17</v>
      </c>
      <c r="C22" s="25" t="s">
        <v>31</v>
      </c>
      <c r="D22" s="26">
        <f>COUNTIFS('[1]TOTAL SUSPEK'!$F:$F,"tegalarum")</f>
        <v>0</v>
      </c>
      <c r="E22" s="30"/>
      <c r="F22" s="31"/>
      <c r="G22" s="31"/>
      <c r="H22" s="31"/>
      <c r="I22" s="31"/>
      <c r="J22" s="31"/>
      <c r="K22" s="32"/>
      <c r="L22" s="32"/>
      <c r="M22" s="32"/>
      <c r="P22" s="28">
        <f t="shared" si="0"/>
        <v>0</v>
      </c>
      <c r="Q22" s="33"/>
    </row>
    <row r="23" spans="1:17" x14ac:dyDescent="0.25">
      <c r="A23" s="23"/>
      <c r="B23" s="24" t="s">
        <v>17</v>
      </c>
      <c r="C23" s="25" t="s">
        <v>32</v>
      </c>
      <c r="D23" s="26">
        <f>COUNTIFS('[1]TOTAL SUSPEK'!$F:$F,"tamansari")</f>
        <v>0</v>
      </c>
      <c r="E23" s="30"/>
      <c r="F23" s="31"/>
      <c r="G23" s="31"/>
      <c r="H23" s="31"/>
      <c r="I23" s="31"/>
      <c r="J23" s="31"/>
      <c r="K23" s="32"/>
      <c r="L23" s="32"/>
      <c r="M23" s="32"/>
      <c r="P23" s="28">
        <f t="shared" si="0"/>
        <v>0</v>
      </c>
      <c r="Q23" s="33"/>
    </row>
    <row r="24" spans="1:17" x14ac:dyDescent="0.25">
      <c r="A24" s="23"/>
      <c r="B24" s="24" t="s">
        <v>17</v>
      </c>
      <c r="C24" s="25" t="s">
        <v>33</v>
      </c>
      <c r="D24" s="26">
        <f>COUNTIFS('[1]TOTAL SUSPEK'!$F:$F,"banyumeneng")</f>
        <v>1</v>
      </c>
      <c r="E24" s="30"/>
      <c r="F24" s="31"/>
      <c r="G24" s="31"/>
      <c r="H24" s="31"/>
      <c r="I24" s="31"/>
      <c r="J24" s="31"/>
      <c r="K24" s="32"/>
      <c r="L24" s="32"/>
      <c r="M24" s="32"/>
      <c r="P24" s="28">
        <f t="shared" si="0"/>
        <v>1</v>
      </c>
      <c r="Q24" s="33"/>
    </row>
    <row r="25" spans="1:17" x14ac:dyDescent="0.25">
      <c r="A25" s="23"/>
      <c r="B25" s="24" t="s">
        <v>17</v>
      </c>
      <c r="C25" s="25" t="s">
        <v>34</v>
      </c>
      <c r="D25" s="26">
        <f>COUNTIFS('[1]TOTAL SUSPEK'!$F:$F,"kebonbatur")</f>
        <v>15</v>
      </c>
      <c r="E25" s="30"/>
      <c r="F25" s="31"/>
      <c r="G25" s="31"/>
      <c r="H25" s="31"/>
      <c r="I25" s="31"/>
      <c r="J25" s="31"/>
      <c r="K25" s="32"/>
      <c r="L25" s="32"/>
      <c r="M25" s="32"/>
      <c r="P25" s="28">
        <f t="shared" si="0"/>
        <v>15</v>
      </c>
      <c r="Q25" s="33"/>
    </row>
    <row r="26" spans="1:17" x14ac:dyDescent="0.25">
      <c r="A26" s="23"/>
      <c r="B26" s="24" t="s">
        <v>17</v>
      </c>
      <c r="C26" s="25" t="s">
        <v>35</v>
      </c>
      <c r="D26" s="26">
        <f>COUNTIFS('[1]TOTAL SUSPEK'!$F:$F,"batursari")</f>
        <v>16</v>
      </c>
      <c r="E26" s="30"/>
      <c r="F26" s="31"/>
      <c r="G26" s="31"/>
      <c r="H26" s="31"/>
      <c r="I26" s="31"/>
      <c r="J26" s="31"/>
      <c r="K26" s="32"/>
      <c r="L26" s="32"/>
      <c r="M26" s="32"/>
      <c r="P26" s="28">
        <f t="shared" si="0"/>
        <v>16</v>
      </c>
      <c r="Q26" s="33"/>
    </row>
    <row r="27" spans="1:17" ht="15" customHeight="1" x14ac:dyDescent="0.25">
      <c r="A27" s="23">
        <v>2</v>
      </c>
      <c r="B27" s="24" t="s">
        <v>36</v>
      </c>
      <c r="C27" s="25" t="s">
        <v>37</v>
      </c>
      <c r="D27" s="26">
        <f>COUNTIFS('[1]TOTAL SUSPEK'!$F:$F,"wonowoso")</f>
        <v>1</v>
      </c>
      <c r="E27" s="30" t="e">
        <f>SUM(#REF!)</f>
        <v>#REF!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>
        <f>SUM(D27:D43)</f>
        <v>2</v>
      </c>
      <c r="M27" s="30" t="e">
        <f>SUM(#REF!)</f>
        <v>#REF!</v>
      </c>
      <c r="P27" s="28">
        <f t="shared" si="0"/>
        <v>1</v>
      </c>
      <c r="Q27" s="29">
        <f>SUM(P27:P43)</f>
        <v>2</v>
      </c>
    </row>
    <row r="28" spans="1:17" ht="15" customHeight="1" x14ac:dyDescent="0.25">
      <c r="A28" s="23"/>
      <c r="B28" s="24" t="s">
        <v>36</v>
      </c>
      <c r="C28" s="25" t="s">
        <v>38</v>
      </c>
      <c r="D28" s="26">
        <f>COUNTIFS('[1]TOTAL SUSPEK'!$F:$F,"sampang")</f>
        <v>0</v>
      </c>
      <c r="E28" s="30"/>
      <c r="F28" s="31"/>
      <c r="G28" s="31"/>
      <c r="H28" s="31"/>
      <c r="I28" s="31"/>
      <c r="J28" s="31"/>
      <c r="K28" s="32"/>
      <c r="L28" s="32"/>
      <c r="M28" s="32"/>
      <c r="P28" s="28">
        <f t="shared" si="0"/>
        <v>0</v>
      </c>
      <c r="Q28" s="33"/>
    </row>
    <row r="29" spans="1:17" ht="15" customHeight="1" x14ac:dyDescent="0.25">
      <c r="A29" s="23"/>
      <c r="B29" s="24" t="s">
        <v>36</v>
      </c>
      <c r="C29" s="25" t="s">
        <v>39</v>
      </c>
      <c r="D29" s="26">
        <f>COUNTIFS('[1]TOTAL SUSPEK'!$F:$F,"tambakbulusan")</f>
        <v>0</v>
      </c>
      <c r="E29" s="30"/>
      <c r="F29" s="31"/>
      <c r="G29" s="31"/>
      <c r="H29" s="31"/>
      <c r="I29" s="31"/>
      <c r="J29" s="31"/>
      <c r="K29" s="32"/>
      <c r="L29" s="32"/>
      <c r="M29" s="32"/>
      <c r="P29" s="28">
        <f t="shared" si="0"/>
        <v>0</v>
      </c>
      <c r="Q29" s="33"/>
    </row>
    <row r="30" spans="1:17" ht="15" customHeight="1" x14ac:dyDescent="0.25">
      <c r="A30" s="23"/>
      <c r="B30" s="24" t="s">
        <v>36</v>
      </c>
      <c r="C30" s="25" t="s">
        <v>40</v>
      </c>
      <c r="D30" s="26">
        <f>COUNTIFS('[1]TOTAL SUSPEK'!$F:$F,"pulosari")</f>
        <v>0</v>
      </c>
      <c r="E30" s="30"/>
      <c r="F30" s="31"/>
      <c r="G30" s="31"/>
      <c r="H30" s="31"/>
      <c r="I30" s="31"/>
      <c r="J30" s="31"/>
      <c r="K30" s="32"/>
      <c r="L30" s="32"/>
      <c r="M30" s="32"/>
      <c r="P30" s="28">
        <f t="shared" si="0"/>
        <v>0</v>
      </c>
      <c r="Q30" s="33"/>
    </row>
    <row r="31" spans="1:17" ht="15" customHeight="1" x14ac:dyDescent="0.25">
      <c r="A31" s="23"/>
      <c r="B31" s="24" t="s">
        <v>36</v>
      </c>
      <c r="C31" s="25" t="s">
        <v>41</v>
      </c>
      <c r="D31" s="26">
        <f>COUNTIFS('[1]TOTAL SUSPEK'!$F:$F,"Rejosari",'[1]TOTAL SUSPEK'!$E:$E,"karangtengah")</f>
        <v>0</v>
      </c>
      <c r="E31" s="30"/>
      <c r="F31" s="31"/>
      <c r="G31" s="31"/>
      <c r="H31" s="31"/>
      <c r="I31" s="31"/>
      <c r="J31" s="31"/>
      <c r="K31" s="32"/>
      <c r="L31" s="32"/>
      <c r="M31" s="32"/>
      <c r="P31" s="28">
        <f t="shared" si="0"/>
        <v>0</v>
      </c>
      <c r="Q31" s="33"/>
    </row>
    <row r="32" spans="1:17" ht="15" customHeight="1" x14ac:dyDescent="0.25">
      <c r="A32" s="23"/>
      <c r="B32" s="24" t="s">
        <v>36</v>
      </c>
      <c r="C32" s="25" t="s">
        <v>42</v>
      </c>
      <c r="D32" s="26">
        <f>COUNTIFS('[1]TOTAL SUSPEK'!$F:$F,"Ploso")</f>
        <v>0</v>
      </c>
      <c r="E32" s="30"/>
      <c r="F32" s="31"/>
      <c r="G32" s="31"/>
      <c r="H32" s="31"/>
      <c r="I32" s="31"/>
      <c r="J32" s="31"/>
      <c r="K32" s="32"/>
      <c r="L32" s="32"/>
      <c r="M32" s="32"/>
      <c r="P32" s="28">
        <f t="shared" si="0"/>
        <v>0</v>
      </c>
      <c r="Q32" s="33"/>
    </row>
    <row r="33" spans="1:17" ht="15" customHeight="1" x14ac:dyDescent="0.25">
      <c r="A33" s="23"/>
      <c r="B33" s="24" t="s">
        <v>36</v>
      </c>
      <c r="C33" s="25" t="s">
        <v>43</v>
      </c>
      <c r="D33" s="26">
        <f>COUNTIFS('[1]TOTAL SUSPEK'!$F:$F,"Wonokerto")</f>
        <v>0</v>
      </c>
      <c r="E33" s="30"/>
      <c r="F33" s="31"/>
      <c r="G33" s="31"/>
      <c r="H33" s="31"/>
      <c r="I33" s="31"/>
      <c r="J33" s="31"/>
      <c r="K33" s="32"/>
      <c r="L33" s="32"/>
      <c r="M33" s="32"/>
      <c r="P33" s="28">
        <f t="shared" si="0"/>
        <v>0</v>
      </c>
      <c r="Q33" s="33"/>
    </row>
    <row r="34" spans="1:17" ht="15" customHeight="1" x14ac:dyDescent="0.25">
      <c r="A34" s="23"/>
      <c r="B34" s="24" t="s">
        <v>36</v>
      </c>
      <c r="C34" s="25" t="s">
        <v>44</v>
      </c>
      <c r="D34" s="26">
        <f>COUNTIFS('[1]TOTAL SUSPEK'!$F:$F,"Karangsari")</f>
        <v>0</v>
      </c>
      <c r="E34" s="30"/>
      <c r="F34" s="31"/>
      <c r="G34" s="31"/>
      <c r="H34" s="31"/>
      <c r="I34" s="31"/>
      <c r="J34" s="31"/>
      <c r="K34" s="32"/>
      <c r="L34" s="32"/>
      <c r="M34" s="32"/>
      <c r="P34" s="28">
        <f t="shared" si="0"/>
        <v>0</v>
      </c>
      <c r="Q34" s="33"/>
    </row>
    <row r="35" spans="1:17" ht="15" customHeight="1" x14ac:dyDescent="0.25">
      <c r="A35" s="23"/>
      <c r="B35" s="24" t="s">
        <v>36</v>
      </c>
      <c r="C35" s="25" t="s">
        <v>45</v>
      </c>
      <c r="D35" s="26">
        <f>COUNTIFS('[1]TOTAL SUSPEK'!$F:$F,"Batu")</f>
        <v>0</v>
      </c>
      <c r="E35" s="30"/>
      <c r="F35" s="31"/>
      <c r="G35" s="31"/>
      <c r="H35" s="31"/>
      <c r="I35" s="31"/>
      <c r="J35" s="31"/>
      <c r="K35" s="32"/>
      <c r="L35" s="32"/>
      <c r="M35" s="32"/>
      <c r="P35" s="28">
        <f t="shared" si="0"/>
        <v>0</v>
      </c>
      <c r="Q35" s="33"/>
    </row>
    <row r="36" spans="1:17" ht="15" customHeight="1" x14ac:dyDescent="0.25">
      <c r="A36" s="23"/>
      <c r="B36" s="24" t="s">
        <v>36</v>
      </c>
      <c r="C36" s="25" t="s">
        <v>46</v>
      </c>
      <c r="D36" s="26">
        <f>COUNTIFS('[1]TOTAL SUSPEK'!$F:$F,"Donorejo")</f>
        <v>0</v>
      </c>
      <c r="E36" s="30"/>
      <c r="F36" s="31"/>
      <c r="G36" s="31"/>
      <c r="H36" s="31"/>
      <c r="I36" s="31"/>
      <c r="J36" s="31"/>
      <c r="K36" s="32"/>
      <c r="L36" s="32"/>
      <c r="M36" s="32"/>
      <c r="P36" s="28">
        <f t="shared" si="0"/>
        <v>0</v>
      </c>
      <c r="Q36" s="33"/>
    </row>
    <row r="37" spans="1:17" ht="15" customHeight="1" x14ac:dyDescent="0.25">
      <c r="A37" s="23"/>
      <c r="B37" s="24" t="s">
        <v>36</v>
      </c>
      <c r="C37" s="25" t="s">
        <v>47</v>
      </c>
      <c r="D37" s="26">
        <f>COUNTIFS('[1]TOTAL SUSPEK'!$F:$F,"Kedunguter")</f>
        <v>0</v>
      </c>
      <c r="E37" s="30"/>
      <c r="F37" s="31"/>
      <c r="G37" s="31"/>
      <c r="H37" s="31"/>
      <c r="I37" s="31"/>
      <c r="J37" s="31"/>
      <c r="K37" s="32"/>
      <c r="L37" s="32"/>
      <c r="M37" s="32"/>
      <c r="P37" s="28">
        <f t="shared" si="0"/>
        <v>0</v>
      </c>
      <c r="Q37" s="33"/>
    </row>
    <row r="38" spans="1:17" ht="15" customHeight="1" x14ac:dyDescent="0.25">
      <c r="A38" s="23"/>
      <c r="B38" s="24" t="s">
        <v>36</v>
      </c>
      <c r="C38" s="25" t="s">
        <v>48</v>
      </c>
      <c r="D38" s="26">
        <f>COUNTIFS('[1]TOTAL SUSPEK'!$F:$F,"Karangtowo")</f>
        <v>0</v>
      </c>
      <c r="E38" s="30"/>
      <c r="F38" s="31"/>
      <c r="G38" s="31"/>
      <c r="H38" s="31"/>
      <c r="I38" s="31"/>
      <c r="J38" s="31"/>
      <c r="K38" s="32"/>
      <c r="L38" s="32"/>
      <c r="M38" s="32"/>
      <c r="P38" s="28">
        <f t="shared" si="0"/>
        <v>0</v>
      </c>
      <c r="Q38" s="33"/>
    </row>
    <row r="39" spans="1:17" ht="15" customHeight="1" x14ac:dyDescent="0.25">
      <c r="A39" s="23"/>
      <c r="B39" s="24" t="s">
        <v>36</v>
      </c>
      <c r="C39" s="25" t="s">
        <v>49</v>
      </c>
      <c r="D39" s="26">
        <f>COUNTIFS('[1]TOTAL SUSPEK'!$F:$F,"Wonoagung")</f>
        <v>0</v>
      </c>
      <c r="E39" s="30"/>
      <c r="F39" s="31"/>
      <c r="G39" s="31"/>
      <c r="H39" s="31"/>
      <c r="I39" s="31"/>
      <c r="J39" s="31"/>
      <c r="K39" s="32"/>
      <c r="L39" s="32"/>
      <c r="M39" s="32"/>
      <c r="P39" s="28">
        <f t="shared" si="0"/>
        <v>0</v>
      </c>
      <c r="Q39" s="33"/>
    </row>
    <row r="40" spans="1:17" ht="15" customHeight="1" x14ac:dyDescent="0.25">
      <c r="A40" s="23"/>
      <c r="B40" s="24" t="s">
        <v>36</v>
      </c>
      <c r="C40" s="25" t="s">
        <v>50</v>
      </c>
      <c r="D40" s="26">
        <f>COUNTIFS('[1]TOTAL SUSPEK'!$F:$F,"Klitih")</f>
        <v>0</v>
      </c>
      <c r="E40" s="30"/>
      <c r="F40" s="31"/>
      <c r="G40" s="31"/>
      <c r="H40" s="31"/>
      <c r="I40" s="31"/>
      <c r="J40" s="31"/>
      <c r="K40" s="32"/>
      <c r="L40" s="32"/>
      <c r="M40" s="32"/>
      <c r="P40" s="28">
        <f t="shared" si="0"/>
        <v>0</v>
      </c>
      <c r="Q40" s="33"/>
    </row>
    <row r="41" spans="1:17" ht="15" customHeight="1" x14ac:dyDescent="0.25">
      <c r="A41" s="23"/>
      <c r="B41" s="24" t="s">
        <v>36</v>
      </c>
      <c r="C41" s="25" t="s">
        <v>51</v>
      </c>
      <c r="D41" s="26">
        <f>COUNTIFS('[1]TOTAL SUSPEK'!$F:$F,"Grogol")</f>
        <v>0</v>
      </c>
      <c r="E41" s="30"/>
      <c r="F41" s="31"/>
      <c r="G41" s="31"/>
      <c r="H41" s="31"/>
      <c r="I41" s="31"/>
      <c r="J41" s="31"/>
      <c r="K41" s="32"/>
      <c r="L41" s="32"/>
      <c r="M41" s="32"/>
      <c r="P41" s="28">
        <f t="shared" si="0"/>
        <v>0</v>
      </c>
      <c r="Q41" s="33"/>
    </row>
    <row r="42" spans="1:17" ht="15" customHeight="1" x14ac:dyDescent="0.25">
      <c r="A42" s="23"/>
      <c r="B42" s="24" t="s">
        <v>36</v>
      </c>
      <c r="C42" s="25" t="s">
        <v>52</v>
      </c>
      <c r="D42" s="26">
        <f>COUNTIFS('[1]TOTAL SUSPEK'!$F:$F,"Pidodo")</f>
        <v>1</v>
      </c>
      <c r="E42" s="30"/>
      <c r="F42" s="31"/>
      <c r="G42" s="31"/>
      <c r="H42" s="31"/>
      <c r="I42" s="31"/>
      <c r="J42" s="31"/>
      <c r="K42" s="32"/>
      <c r="L42" s="32"/>
      <c r="M42" s="32"/>
      <c r="P42" s="28">
        <f t="shared" si="0"/>
        <v>1</v>
      </c>
      <c r="Q42" s="33"/>
    </row>
    <row r="43" spans="1:17" ht="15" customHeight="1" x14ac:dyDescent="0.25">
      <c r="A43" s="23"/>
      <c r="B43" s="24" t="s">
        <v>36</v>
      </c>
      <c r="C43" s="25" t="s">
        <v>53</v>
      </c>
      <c r="D43" s="26">
        <f>COUNTIFS('[1]TOTAL SUSPEK'!$F:$F,"Dukun")</f>
        <v>0</v>
      </c>
      <c r="E43" s="30"/>
      <c r="F43" s="31"/>
      <c r="G43" s="31"/>
      <c r="H43" s="31"/>
      <c r="I43" s="31"/>
      <c r="J43" s="31"/>
      <c r="K43" s="32"/>
      <c r="L43" s="32"/>
      <c r="M43" s="32"/>
      <c r="P43" s="28">
        <f t="shared" si="0"/>
        <v>0</v>
      </c>
      <c r="Q43" s="33"/>
    </row>
    <row r="44" spans="1:17" x14ac:dyDescent="0.25">
      <c r="A44" s="34">
        <v>3</v>
      </c>
      <c r="B44" s="35" t="s">
        <v>54</v>
      </c>
      <c r="C44" s="25" t="s">
        <v>55</v>
      </c>
      <c r="D44" s="26">
        <f>COUNTIFS('[1]TOTAL SUSPEK'!$F:$F,"Botorejo")</f>
        <v>0</v>
      </c>
      <c r="E44" s="30" t="e">
        <f>SUM(#REF!)</f>
        <v>#REF!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>
        <f>SUM(D44:D64)</f>
        <v>2</v>
      </c>
      <c r="M44" s="30" t="e">
        <f>SUM(#REF!)</f>
        <v>#REF!</v>
      </c>
      <c r="P44" s="28">
        <f t="shared" si="0"/>
        <v>0</v>
      </c>
      <c r="Q44" s="29">
        <f>SUM(P44:P64)</f>
        <v>2</v>
      </c>
    </row>
    <row r="45" spans="1:17" x14ac:dyDescent="0.25">
      <c r="A45" s="34"/>
      <c r="B45" s="35" t="s">
        <v>54</v>
      </c>
      <c r="C45" s="25" t="s">
        <v>56</v>
      </c>
      <c r="D45" s="26">
        <f>COUNTIFS('[1]TOTAL SUSPEK'!$F:$F,"Getas")</f>
        <v>0</v>
      </c>
      <c r="E45" s="30"/>
      <c r="F45" s="31"/>
      <c r="G45" s="31"/>
      <c r="H45" s="31"/>
      <c r="I45" s="31"/>
      <c r="J45" s="31"/>
      <c r="K45" s="32"/>
      <c r="L45" s="32"/>
      <c r="M45" s="32"/>
      <c r="P45" s="28">
        <f t="shared" si="0"/>
        <v>0</v>
      </c>
      <c r="Q45" s="33"/>
    </row>
    <row r="46" spans="1:17" x14ac:dyDescent="0.25">
      <c r="A46" s="34"/>
      <c r="B46" s="35" t="s">
        <v>54</v>
      </c>
      <c r="C46" s="25" t="s">
        <v>57</v>
      </c>
      <c r="D46" s="26">
        <f>COUNTIFS('[1]TOTAL SUSPEK'!$F:$F,"Kuncir")</f>
        <v>0</v>
      </c>
      <c r="E46" s="30"/>
      <c r="F46" s="31"/>
      <c r="G46" s="31"/>
      <c r="H46" s="31"/>
      <c r="I46" s="31"/>
      <c r="J46" s="31"/>
      <c r="K46" s="32"/>
      <c r="L46" s="32"/>
      <c r="M46" s="32"/>
      <c r="P46" s="28">
        <f t="shared" si="0"/>
        <v>0</v>
      </c>
      <c r="Q46" s="33"/>
    </row>
    <row r="47" spans="1:17" x14ac:dyDescent="0.25">
      <c r="A47" s="34"/>
      <c r="B47" s="35" t="s">
        <v>54</v>
      </c>
      <c r="C47" s="25" t="s">
        <v>58</v>
      </c>
      <c r="D47" s="26">
        <f>COUNTIFS('[1]TOTAL SUSPEK'!$F:$F,"trengguli")</f>
        <v>0</v>
      </c>
      <c r="E47" s="30"/>
      <c r="F47" s="31"/>
      <c r="G47" s="31"/>
      <c r="H47" s="31"/>
      <c r="I47" s="31"/>
      <c r="J47" s="31"/>
      <c r="K47" s="32"/>
      <c r="L47" s="32"/>
      <c r="M47" s="32"/>
      <c r="P47" s="28">
        <f t="shared" si="0"/>
        <v>0</v>
      </c>
      <c r="Q47" s="33"/>
    </row>
    <row r="48" spans="1:17" x14ac:dyDescent="0.25">
      <c r="A48" s="34"/>
      <c r="B48" s="35" t="s">
        <v>54</v>
      </c>
      <c r="C48" s="25" t="s">
        <v>59</v>
      </c>
      <c r="D48" s="26">
        <f>COUNTIFS('[1]TOTAL SUSPEK'!$F:$F,"Mranak")</f>
        <v>0</v>
      </c>
      <c r="E48" s="30"/>
      <c r="F48" s="31"/>
      <c r="G48" s="31"/>
      <c r="H48" s="31"/>
      <c r="I48" s="31"/>
      <c r="J48" s="31"/>
      <c r="K48" s="32"/>
      <c r="L48" s="32"/>
      <c r="M48" s="32"/>
      <c r="P48" s="28">
        <f t="shared" si="0"/>
        <v>0</v>
      </c>
      <c r="Q48" s="33"/>
    </row>
    <row r="49" spans="1:17" x14ac:dyDescent="0.25">
      <c r="A49" s="34"/>
      <c r="B49" s="35" t="s">
        <v>54</v>
      </c>
      <c r="C49" s="25" t="s">
        <v>60</v>
      </c>
      <c r="D49" s="26">
        <f>COUNTIFS('[1]TOTAL SUSPEK'!$F:$F,"Pilangrejo")</f>
        <v>0</v>
      </c>
      <c r="E49" s="30"/>
      <c r="F49" s="31"/>
      <c r="G49" s="31"/>
      <c r="H49" s="31"/>
      <c r="I49" s="31"/>
      <c r="J49" s="31"/>
      <c r="K49" s="32"/>
      <c r="L49" s="32"/>
      <c r="M49" s="32"/>
      <c r="P49" s="28">
        <f t="shared" si="0"/>
        <v>0</v>
      </c>
      <c r="Q49" s="33"/>
    </row>
    <row r="50" spans="1:17" x14ac:dyDescent="0.25">
      <c r="A50" s="34"/>
      <c r="B50" s="35" t="s">
        <v>54</v>
      </c>
      <c r="C50" s="25" t="s">
        <v>61</v>
      </c>
      <c r="D50" s="26">
        <f>COUNTIFS('[1]TOTAL SUSPEK'!$F:$F,"Kerangkulon")</f>
        <v>0</v>
      </c>
      <c r="E50" s="30"/>
      <c r="F50" s="31"/>
      <c r="G50" s="31"/>
      <c r="H50" s="31"/>
      <c r="I50" s="31"/>
      <c r="J50" s="31"/>
      <c r="K50" s="32"/>
      <c r="L50" s="32"/>
      <c r="M50" s="32"/>
      <c r="P50" s="28">
        <f t="shared" si="0"/>
        <v>0</v>
      </c>
      <c r="Q50" s="33"/>
    </row>
    <row r="51" spans="1:17" x14ac:dyDescent="0.25">
      <c r="A51" s="34"/>
      <c r="B51" s="35" t="s">
        <v>54</v>
      </c>
      <c r="C51" s="25" t="s">
        <v>62</v>
      </c>
      <c r="D51" s="26">
        <f>COUNTIFS('[1]TOTAL SUSPEK'!$F:$F,"Sidomulyo",'[1]TOTAL SUSPEK'!$E:$E,"wonosalam")</f>
        <v>0</v>
      </c>
      <c r="E51" s="30"/>
      <c r="F51" s="31"/>
      <c r="G51" s="31"/>
      <c r="H51" s="31"/>
      <c r="I51" s="31"/>
      <c r="J51" s="31"/>
      <c r="K51" s="32"/>
      <c r="L51" s="32"/>
      <c r="M51" s="32"/>
      <c r="P51" s="28">
        <f t="shared" si="0"/>
        <v>0</v>
      </c>
      <c r="Q51" s="33"/>
    </row>
    <row r="52" spans="1:17" x14ac:dyDescent="0.25">
      <c r="A52" s="34"/>
      <c r="B52" s="35" t="s">
        <v>54</v>
      </c>
      <c r="C52" s="25" t="s">
        <v>63</v>
      </c>
      <c r="D52" s="26">
        <f>COUNTIFS('[1]TOTAL SUSPEK'!$F:$F,"Bunderan")</f>
        <v>0</v>
      </c>
      <c r="E52" s="30"/>
      <c r="F52" s="31"/>
      <c r="G52" s="31"/>
      <c r="H52" s="31"/>
      <c r="I52" s="31"/>
      <c r="J52" s="31"/>
      <c r="K52" s="32"/>
      <c r="L52" s="32"/>
      <c r="M52" s="32"/>
      <c r="P52" s="28">
        <f t="shared" si="0"/>
        <v>0</v>
      </c>
      <c r="Q52" s="33"/>
    </row>
    <row r="53" spans="1:17" x14ac:dyDescent="0.25">
      <c r="A53" s="34"/>
      <c r="B53" s="35" t="s">
        <v>54</v>
      </c>
      <c r="C53" s="25" t="s">
        <v>64</v>
      </c>
      <c r="D53" s="26">
        <f>COUNTIFS('[1]TOTAL SUSPEK'!$F:$F,"Mojodemak")</f>
        <v>1</v>
      </c>
      <c r="E53" s="30"/>
      <c r="F53" s="31"/>
      <c r="G53" s="31"/>
      <c r="H53" s="31"/>
      <c r="I53" s="31"/>
      <c r="J53" s="31"/>
      <c r="K53" s="32"/>
      <c r="L53" s="32"/>
      <c r="M53" s="32"/>
      <c r="P53" s="28">
        <f t="shared" si="0"/>
        <v>1</v>
      </c>
      <c r="Q53" s="33"/>
    </row>
    <row r="54" spans="1:17" x14ac:dyDescent="0.25">
      <c r="A54" s="34"/>
      <c r="B54" s="35" t="s">
        <v>54</v>
      </c>
      <c r="C54" s="25" t="s">
        <v>65</v>
      </c>
      <c r="D54" s="26">
        <f>COUNTIFS('[1]TOTAL SUSPEK'!$F:$F,"Mrisen")</f>
        <v>0</v>
      </c>
      <c r="E54" s="30"/>
      <c r="F54" s="31"/>
      <c r="G54" s="31"/>
      <c r="H54" s="31"/>
      <c r="I54" s="31"/>
      <c r="J54" s="31"/>
      <c r="K54" s="32"/>
      <c r="L54" s="32"/>
      <c r="M54" s="32"/>
      <c r="P54" s="28">
        <f t="shared" si="0"/>
        <v>0</v>
      </c>
      <c r="Q54" s="33"/>
    </row>
    <row r="55" spans="1:17" x14ac:dyDescent="0.25">
      <c r="A55" s="34"/>
      <c r="B55" s="35" t="s">
        <v>54</v>
      </c>
      <c r="C55" s="25" t="s">
        <v>66</v>
      </c>
      <c r="D55" s="26">
        <f>COUNTIFS('[1]TOTAL SUSPEK'!$F:$F,"Doreng")</f>
        <v>0</v>
      </c>
      <c r="E55" s="30"/>
      <c r="F55" s="31"/>
      <c r="G55" s="31"/>
      <c r="H55" s="31"/>
      <c r="I55" s="31"/>
      <c r="J55" s="31"/>
      <c r="K55" s="32"/>
      <c r="L55" s="32"/>
      <c r="M55" s="32"/>
      <c r="P55" s="28">
        <f t="shared" si="0"/>
        <v>0</v>
      </c>
      <c r="Q55" s="33"/>
    </row>
    <row r="56" spans="1:17" x14ac:dyDescent="0.25">
      <c r="A56" s="34"/>
      <c r="B56" s="35" t="s">
        <v>54</v>
      </c>
      <c r="C56" s="25" t="s">
        <v>67</v>
      </c>
      <c r="D56" s="26">
        <f>COUNTIFS('[1]TOTAL SUSPEK'!$F:$F,"Karangrowo")</f>
        <v>0</v>
      </c>
      <c r="E56" s="30"/>
      <c r="F56" s="31"/>
      <c r="G56" s="31"/>
      <c r="H56" s="31"/>
      <c r="I56" s="31"/>
      <c r="J56" s="31"/>
      <c r="K56" s="32"/>
      <c r="L56" s="32"/>
      <c r="M56" s="32"/>
      <c r="P56" s="28">
        <f t="shared" si="0"/>
        <v>0</v>
      </c>
      <c r="Q56" s="33"/>
    </row>
    <row r="57" spans="1:17" x14ac:dyDescent="0.25">
      <c r="A57" s="34"/>
      <c r="B57" s="35" t="s">
        <v>54</v>
      </c>
      <c r="C57" s="25" t="s">
        <v>68</v>
      </c>
      <c r="D57" s="26">
        <f>COUNTIFS('[1]TOTAL SUSPEK'!$F:$F,"Kalianyar")</f>
        <v>0</v>
      </c>
      <c r="E57" s="30"/>
      <c r="F57" s="31"/>
      <c r="G57" s="31"/>
      <c r="H57" s="31"/>
      <c r="I57" s="31"/>
      <c r="J57" s="31"/>
      <c r="K57" s="32"/>
      <c r="L57" s="32"/>
      <c r="M57" s="32"/>
      <c r="P57" s="28">
        <f t="shared" si="0"/>
        <v>0</v>
      </c>
      <c r="Q57" s="33"/>
    </row>
    <row r="58" spans="1:17" x14ac:dyDescent="0.25">
      <c r="A58" s="34"/>
      <c r="B58" s="35" t="s">
        <v>54</v>
      </c>
      <c r="C58" s="25" t="s">
        <v>54</v>
      </c>
      <c r="D58" s="26">
        <f>COUNTIFS('[1]TOTAL SUSPEK'!$F:$F,"Wonosalam")</f>
        <v>0</v>
      </c>
      <c r="E58" s="30"/>
      <c r="F58" s="31"/>
      <c r="G58" s="31"/>
      <c r="H58" s="31"/>
      <c r="I58" s="31"/>
      <c r="J58" s="31"/>
      <c r="K58" s="32"/>
      <c r="L58" s="32"/>
      <c r="M58" s="32"/>
      <c r="P58" s="28">
        <f t="shared" si="0"/>
        <v>0</v>
      </c>
      <c r="Q58" s="33"/>
    </row>
    <row r="59" spans="1:17" x14ac:dyDescent="0.25">
      <c r="A59" s="34"/>
      <c r="B59" s="35" t="s">
        <v>54</v>
      </c>
      <c r="C59" s="25" t="s">
        <v>69</v>
      </c>
      <c r="D59" s="26">
        <f>COUNTIFS('[1]TOTAL SUSPEK'!$F:$F,"Tlogorejo",'[1]TOTAL SUSPEK'!$E:$E,"wonosalam")</f>
        <v>0</v>
      </c>
      <c r="E59" s="30"/>
      <c r="F59" s="31"/>
      <c r="G59" s="31"/>
      <c r="H59" s="31"/>
      <c r="I59" s="31"/>
      <c r="J59" s="31"/>
      <c r="K59" s="32"/>
      <c r="L59" s="32"/>
      <c r="M59" s="32"/>
      <c r="P59" s="28">
        <f t="shared" si="0"/>
        <v>0</v>
      </c>
      <c r="Q59" s="33"/>
    </row>
    <row r="60" spans="1:17" x14ac:dyDescent="0.25">
      <c r="A60" s="34"/>
      <c r="B60" s="35" t="s">
        <v>54</v>
      </c>
      <c r="C60" s="25" t="s">
        <v>70</v>
      </c>
      <c r="D60" s="26">
        <f>COUNTIFS('[1]TOTAL SUSPEK'!$F:$F,"Tlogodowo")</f>
        <v>0</v>
      </c>
      <c r="E60" s="30"/>
      <c r="F60" s="31"/>
      <c r="G60" s="31"/>
      <c r="H60" s="31"/>
      <c r="I60" s="31"/>
      <c r="J60" s="31"/>
      <c r="K60" s="32"/>
      <c r="L60" s="32"/>
      <c r="M60" s="32"/>
      <c r="P60" s="28">
        <f t="shared" si="0"/>
        <v>0</v>
      </c>
      <c r="Q60" s="33"/>
    </row>
    <row r="61" spans="1:17" x14ac:dyDescent="0.25">
      <c r="A61" s="34"/>
      <c r="B61" s="35" t="s">
        <v>54</v>
      </c>
      <c r="C61" s="25" t="s">
        <v>71</v>
      </c>
      <c r="D61" s="26">
        <f>COUNTIFS('[1]TOTAL SUSPEK'!$F:$F,"Lempuyang")</f>
        <v>0</v>
      </c>
      <c r="E61" s="30"/>
      <c r="F61" s="31"/>
      <c r="G61" s="31"/>
      <c r="H61" s="31"/>
      <c r="I61" s="31"/>
      <c r="J61" s="31"/>
      <c r="K61" s="32"/>
      <c r="L61" s="32"/>
      <c r="M61" s="32"/>
      <c r="P61" s="28">
        <f t="shared" si="0"/>
        <v>0</v>
      </c>
      <c r="Q61" s="33"/>
    </row>
    <row r="62" spans="1:17" x14ac:dyDescent="0.25">
      <c r="A62" s="34"/>
      <c r="B62" s="35" t="s">
        <v>54</v>
      </c>
      <c r="C62" s="25" t="s">
        <v>72</v>
      </c>
      <c r="D62" s="26">
        <f>COUNTIFS('[1]TOTAL SUSPEK'!$F:$F,"Karangrejo",'[1]TOTAL SUSPEK'!$E:$E,"Wonosalam")</f>
        <v>0</v>
      </c>
      <c r="E62" s="30"/>
      <c r="F62" s="31"/>
      <c r="G62" s="31"/>
      <c r="H62" s="31"/>
      <c r="I62" s="31"/>
      <c r="J62" s="31"/>
      <c r="K62" s="32"/>
      <c r="L62" s="32"/>
      <c r="M62" s="32"/>
      <c r="P62" s="28">
        <f t="shared" si="0"/>
        <v>0</v>
      </c>
      <c r="Q62" s="33"/>
    </row>
    <row r="63" spans="1:17" x14ac:dyDescent="0.25">
      <c r="A63" s="34"/>
      <c r="B63" s="35" t="s">
        <v>54</v>
      </c>
      <c r="C63" s="25" t="s">
        <v>73</v>
      </c>
      <c r="D63" s="26">
        <f>COUNTIFS('[1]TOTAL SUSPEK'!$F:$F,"Kendaldoyong")</f>
        <v>0</v>
      </c>
      <c r="E63" s="30"/>
      <c r="F63" s="31"/>
      <c r="G63" s="31"/>
      <c r="H63" s="31"/>
      <c r="I63" s="31"/>
      <c r="J63" s="31"/>
      <c r="K63" s="32"/>
      <c r="L63" s="32"/>
      <c r="M63" s="32"/>
      <c r="P63" s="28">
        <f t="shared" si="0"/>
        <v>0</v>
      </c>
      <c r="Q63" s="33"/>
    </row>
    <row r="64" spans="1:17" x14ac:dyDescent="0.25">
      <c r="A64" s="34"/>
      <c r="B64" s="35" t="s">
        <v>54</v>
      </c>
      <c r="C64" s="25" t="s">
        <v>74</v>
      </c>
      <c r="D64" s="26">
        <f>COUNTIFS('[1]TOTAL SUSPEK'!$F:$F,"Jogoloyo")</f>
        <v>1</v>
      </c>
      <c r="E64" s="30"/>
      <c r="F64" s="31"/>
      <c r="G64" s="31"/>
      <c r="H64" s="31"/>
      <c r="I64" s="31"/>
      <c r="J64" s="31"/>
      <c r="K64" s="32"/>
      <c r="L64" s="32"/>
      <c r="M64" s="32"/>
      <c r="P64" s="28">
        <f t="shared" si="0"/>
        <v>1</v>
      </c>
      <c r="Q64" s="33"/>
    </row>
    <row r="65" spans="1:17" x14ac:dyDescent="0.25">
      <c r="A65" s="23">
        <v>4</v>
      </c>
      <c r="B65" s="24" t="s">
        <v>75</v>
      </c>
      <c r="C65" s="36" t="s">
        <v>76</v>
      </c>
      <c r="D65" s="26">
        <f>COUNTIFS('[1]TOTAL SUSPEK'!$F:$F,"Kedondong",'[1]TOTAL SUSPEK'!$E:$E,"gajah")</f>
        <v>0</v>
      </c>
      <c r="E65" s="30" t="e">
        <f>SUM(#REF!)</f>
        <v>#REF!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>
        <f>SUM(D65:D82)</f>
        <v>2</v>
      </c>
      <c r="M65" s="30" t="e">
        <f>SUM(#REF!)</f>
        <v>#REF!</v>
      </c>
      <c r="P65" s="28">
        <f t="shared" si="0"/>
        <v>0</v>
      </c>
      <c r="Q65" s="29">
        <f>SUM(P65:P82)</f>
        <v>2</v>
      </c>
    </row>
    <row r="66" spans="1:17" x14ac:dyDescent="0.25">
      <c r="A66" s="23"/>
      <c r="B66" s="24" t="s">
        <v>75</v>
      </c>
      <c r="C66" s="37" t="s">
        <v>77</v>
      </c>
      <c r="D66" s="26">
        <f>COUNTIFS('[1]TOTAL SUSPEK'!$F:$F,"Banjarsari",'[1]TOTAL SUSPEK'!$E:$E,"gajah")</f>
        <v>1</v>
      </c>
      <c r="E66" s="30"/>
      <c r="F66" s="31"/>
      <c r="G66" s="31"/>
      <c r="H66" s="31"/>
      <c r="I66" s="31"/>
      <c r="J66" s="31"/>
      <c r="K66" s="32"/>
      <c r="L66" s="32"/>
      <c r="M66" s="32"/>
      <c r="P66" s="28">
        <f t="shared" si="0"/>
        <v>1</v>
      </c>
      <c r="Q66" s="33"/>
    </row>
    <row r="67" spans="1:17" x14ac:dyDescent="0.25">
      <c r="A67" s="23"/>
      <c r="B67" s="24" t="s">
        <v>75</v>
      </c>
      <c r="C67" s="36" t="s">
        <v>75</v>
      </c>
      <c r="D67" s="26">
        <f>COUNTIFS('[1]TOTAL SUSPEK'!$F:$F,"Gajah")</f>
        <v>0</v>
      </c>
      <c r="E67" s="30"/>
      <c r="F67" s="31"/>
      <c r="G67" s="31"/>
      <c r="H67" s="31"/>
      <c r="I67" s="31"/>
      <c r="J67" s="31"/>
      <c r="K67" s="32"/>
      <c r="L67" s="32"/>
      <c r="M67" s="32"/>
      <c r="P67" s="28">
        <f t="shared" si="0"/>
        <v>0</v>
      </c>
      <c r="Q67" s="33"/>
    </row>
    <row r="68" spans="1:17" x14ac:dyDescent="0.25">
      <c r="A68" s="23"/>
      <c r="B68" s="24" t="s">
        <v>75</v>
      </c>
      <c r="C68" s="36" t="s">
        <v>78</v>
      </c>
      <c r="D68" s="26">
        <f>COUNTIFS('[1]TOTAL SUSPEK'!$F:$F,"Sari")</f>
        <v>0</v>
      </c>
      <c r="E68" s="30"/>
      <c r="F68" s="31"/>
      <c r="G68" s="31"/>
      <c r="H68" s="31"/>
      <c r="I68" s="31"/>
      <c r="J68" s="31"/>
      <c r="K68" s="32"/>
      <c r="L68" s="32"/>
      <c r="M68" s="32"/>
      <c r="P68" s="28">
        <f t="shared" si="0"/>
        <v>0</v>
      </c>
      <c r="Q68" s="33"/>
    </row>
    <row r="69" spans="1:17" x14ac:dyDescent="0.25">
      <c r="A69" s="23"/>
      <c r="B69" s="24" t="s">
        <v>75</v>
      </c>
      <c r="C69" s="36" t="s">
        <v>79</v>
      </c>
      <c r="D69" s="26">
        <f>COUNTIFS('[1]TOTAL SUSPEK'!$F:$F,"Boyolali")</f>
        <v>0</v>
      </c>
      <c r="E69" s="30"/>
      <c r="F69" s="31"/>
      <c r="G69" s="31"/>
      <c r="H69" s="31"/>
      <c r="I69" s="31"/>
      <c r="J69" s="31"/>
      <c r="K69" s="32"/>
      <c r="L69" s="32"/>
      <c r="M69" s="32"/>
      <c r="P69" s="28">
        <f t="shared" si="0"/>
        <v>0</v>
      </c>
      <c r="Q69" s="33"/>
    </row>
    <row r="70" spans="1:17" x14ac:dyDescent="0.25">
      <c r="A70" s="23"/>
      <c r="B70" s="24" t="s">
        <v>75</v>
      </c>
      <c r="C70" s="36" t="s">
        <v>80</v>
      </c>
      <c r="D70" s="26">
        <f>COUNTIFS('[1]TOTAL SUSPEK'!$F:$F,"Jatisono")</f>
        <v>0</v>
      </c>
      <c r="E70" s="30"/>
      <c r="F70" s="31"/>
      <c r="G70" s="31"/>
      <c r="H70" s="31"/>
      <c r="I70" s="31"/>
      <c r="J70" s="31"/>
      <c r="K70" s="32"/>
      <c r="L70" s="32"/>
      <c r="M70" s="32"/>
      <c r="P70" s="28">
        <f t="shared" si="0"/>
        <v>0</v>
      </c>
      <c r="Q70" s="33"/>
    </row>
    <row r="71" spans="1:17" x14ac:dyDescent="0.25">
      <c r="A71" s="23"/>
      <c r="B71" s="24" t="s">
        <v>75</v>
      </c>
      <c r="C71" s="36" t="s">
        <v>81</v>
      </c>
      <c r="D71" s="26">
        <f>COUNTIFS('[1]TOTAL SUSPEK'!$F:$F,"Sambiroto")</f>
        <v>0</v>
      </c>
      <c r="E71" s="30"/>
      <c r="F71" s="31"/>
      <c r="G71" s="31"/>
      <c r="H71" s="31"/>
      <c r="I71" s="31"/>
      <c r="J71" s="31"/>
      <c r="K71" s="32"/>
      <c r="L71" s="32"/>
      <c r="M71" s="32"/>
      <c r="P71" s="28">
        <f t="shared" si="0"/>
        <v>0</v>
      </c>
      <c r="Q71" s="33"/>
    </row>
    <row r="72" spans="1:17" x14ac:dyDescent="0.25">
      <c r="A72" s="23"/>
      <c r="B72" s="24" t="s">
        <v>75</v>
      </c>
      <c r="C72" s="36" t="s">
        <v>82</v>
      </c>
      <c r="D72" s="26">
        <f>COUNTIFS('[1]TOTAL SUSPEK'!$F:$F,"Tlogopandogan")</f>
        <v>0</v>
      </c>
      <c r="E72" s="30"/>
      <c r="F72" s="31"/>
      <c r="G72" s="31"/>
      <c r="H72" s="31"/>
      <c r="I72" s="31"/>
      <c r="J72" s="31"/>
      <c r="K72" s="32"/>
      <c r="L72" s="32"/>
      <c r="M72" s="32"/>
      <c r="P72" s="28">
        <f t="shared" ref="P72:P135" si="1">SUM(D72:D72)</f>
        <v>0</v>
      </c>
      <c r="Q72" s="33"/>
    </row>
    <row r="73" spans="1:17" x14ac:dyDescent="0.25">
      <c r="A73" s="23"/>
      <c r="B73" s="24" t="s">
        <v>75</v>
      </c>
      <c r="C73" s="36" t="s">
        <v>83</v>
      </c>
      <c r="D73" s="26">
        <f>COUNTIFS('[1]TOTAL SUSPEK'!$F:$F,"Surodadi",'[1]TOTAL SUSPEK'!$E:$E,"gajah")</f>
        <v>0</v>
      </c>
      <c r="E73" s="30"/>
      <c r="F73" s="31"/>
      <c r="G73" s="31"/>
      <c r="H73" s="31"/>
      <c r="I73" s="31"/>
      <c r="J73" s="31"/>
      <c r="K73" s="32"/>
      <c r="L73" s="32"/>
      <c r="M73" s="32"/>
      <c r="P73" s="28">
        <f t="shared" si="1"/>
        <v>0</v>
      </c>
      <c r="Q73" s="33"/>
    </row>
    <row r="74" spans="1:17" x14ac:dyDescent="0.25">
      <c r="A74" s="23"/>
      <c r="B74" s="24" t="s">
        <v>75</v>
      </c>
      <c r="C74" s="36" t="s">
        <v>84</v>
      </c>
      <c r="D74" s="26">
        <f>COUNTIFS('[1]TOTAL SUSPEK'!$F:$F,"Gedangalas")</f>
        <v>0</v>
      </c>
      <c r="E74" s="30"/>
      <c r="F74" s="31"/>
      <c r="G74" s="31"/>
      <c r="H74" s="31"/>
      <c r="I74" s="31"/>
      <c r="J74" s="31"/>
      <c r="K74" s="32"/>
      <c r="L74" s="32"/>
      <c r="M74" s="32"/>
      <c r="P74" s="28">
        <f t="shared" si="1"/>
        <v>0</v>
      </c>
      <c r="Q74" s="33"/>
    </row>
    <row r="75" spans="1:17" x14ac:dyDescent="0.25">
      <c r="A75" s="23"/>
      <c r="B75" s="24" t="s">
        <v>75</v>
      </c>
      <c r="C75" s="36" t="s">
        <v>85</v>
      </c>
      <c r="D75" s="26">
        <f>COUNTIFS('[1]TOTAL SUSPEK'!$F:$F,"Sambung")</f>
        <v>0</v>
      </c>
      <c r="E75" s="30"/>
      <c r="F75" s="31"/>
      <c r="G75" s="31"/>
      <c r="H75" s="31"/>
      <c r="I75" s="31"/>
      <c r="J75" s="31"/>
      <c r="K75" s="32"/>
      <c r="L75" s="32"/>
      <c r="M75" s="32"/>
      <c r="P75" s="28">
        <f t="shared" si="1"/>
        <v>0</v>
      </c>
      <c r="Q75" s="33"/>
    </row>
    <row r="76" spans="1:17" x14ac:dyDescent="0.25">
      <c r="A76" s="23"/>
      <c r="B76" s="24" t="s">
        <v>75</v>
      </c>
      <c r="C76" s="36" t="s">
        <v>86</v>
      </c>
      <c r="D76" s="26">
        <f>COUNTIFS('[1]TOTAL SUSPEK'!$F:$F,"Tambirejo")</f>
        <v>1</v>
      </c>
      <c r="E76" s="30"/>
      <c r="F76" s="31"/>
      <c r="G76" s="31"/>
      <c r="H76" s="31"/>
      <c r="I76" s="31"/>
      <c r="J76" s="31"/>
      <c r="K76" s="32"/>
      <c r="L76" s="32"/>
      <c r="M76" s="32"/>
      <c r="P76" s="28">
        <f t="shared" si="1"/>
        <v>1</v>
      </c>
      <c r="Q76" s="33"/>
    </row>
    <row r="77" spans="1:17" x14ac:dyDescent="0.25">
      <c r="A77" s="23"/>
      <c r="B77" s="24" t="s">
        <v>75</v>
      </c>
      <c r="C77" s="36" t="s">
        <v>87</v>
      </c>
      <c r="D77" s="26">
        <f>COUNTIFS('[1]TOTAL SUSPEK'!$F:$F,"Mlatiharjo")</f>
        <v>0</v>
      </c>
      <c r="E77" s="30"/>
      <c r="F77" s="31"/>
      <c r="G77" s="31"/>
      <c r="H77" s="31"/>
      <c r="I77" s="31"/>
      <c r="J77" s="31"/>
      <c r="K77" s="32"/>
      <c r="L77" s="32"/>
      <c r="M77" s="32"/>
      <c r="P77" s="28">
        <f t="shared" si="1"/>
        <v>0</v>
      </c>
      <c r="Q77" s="33"/>
    </row>
    <row r="78" spans="1:17" x14ac:dyDescent="0.25">
      <c r="A78" s="23"/>
      <c r="B78" s="24" t="s">
        <v>75</v>
      </c>
      <c r="C78" s="36" t="s">
        <v>88</v>
      </c>
      <c r="D78" s="26">
        <f>COUNTIFS('[1]TOTAL SUSPEK'!$F:$F,"Mojosimo")</f>
        <v>0</v>
      </c>
      <c r="E78" s="30"/>
      <c r="F78" s="31"/>
      <c r="G78" s="31"/>
      <c r="H78" s="31"/>
      <c r="I78" s="31"/>
      <c r="J78" s="31"/>
      <c r="K78" s="32"/>
      <c r="L78" s="32"/>
      <c r="M78" s="32"/>
      <c r="P78" s="28">
        <f t="shared" si="1"/>
        <v>0</v>
      </c>
      <c r="Q78" s="33"/>
    </row>
    <row r="79" spans="1:17" x14ac:dyDescent="0.25">
      <c r="A79" s="23"/>
      <c r="B79" s="24" t="s">
        <v>75</v>
      </c>
      <c r="C79" s="36" t="s">
        <v>89</v>
      </c>
      <c r="D79" s="26">
        <f>COUNTIFS('[1]TOTAL SUSPEK'!$F:$F,"Medini")</f>
        <v>0</v>
      </c>
      <c r="E79" s="30"/>
      <c r="F79" s="31"/>
      <c r="G79" s="31"/>
      <c r="H79" s="31"/>
      <c r="I79" s="31"/>
      <c r="J79" s="31"/>
      <c r="K79" s="32"/>
      <c r="L79" s="32"/>
      <c r="M79" s="32"/>
      <c r="P79" s="28">
        <f t="shared" si="1"/>
        <v>0</v>
      </c>
      <c r="Q79" s="33"/>
    </row>
    <row r="80" spans="1:17" x14ac:dyDescent="0.25">
      <c r="A80" s="23"/>
      <c r="B80" s="24" t="s">
        <v>75</v>
      </c>
      <c r="C80" s="36" t="s">
        <v>90</v>
      </c>
      <c r="D80" s="26">
        <f>COUNTIFS('[1]TOTAL SUSPEK'!$F:$F,"Wilalung")</f>
        <v>0</v>
      </c>
      <c r="E80" s="30"/>
      <c r="F80" s="31"/>
      <c r="G80" s="31"/>
      <c r="H80" s="31"/>
      <c r="I80" s="31"/>
      <c r="J80" s="31"/>
      <c r="K80" s="32"/>
      <c r="L80" s="32"/>
      <c r="M80" s="32"/>
      <c r="P80" s="28">
        <f t="shared" si="1"/>
        <v>0</v>
      </c>
      <c r="Q80" s="33"/>
    </row>
    <row r="81" spans="1:17" x14ac:dyDescent="0.25">
      <c r="A81" s="23"/>
      <c r="B81" s="24" t="s">
        <v>75</v>
      </c>
      <c r="C81" s="36" t="s">
        <v>91</v>
      </c>
      <c r="D81" s="26">
        <f>COUNTIFS('[1]TOTAL SUSPEK'!$F:$F,"Tanjunganyar")</f>
        <v>0</v>
      </c>
      <c r="E81" s="30"/>
      <c r="F81" s="31"/>
      <c r="G81" s="31"/>
      <c r="H81" s="31"/>
      <c r="I81" s="31"/>
      <c r="J81" s="31"/>
      <c r="K81" s="32"/>
      <c r="L81" s="32"/>
      <c r="M81" s="32"/>
      <c r="P81" s="28">
        <f t="shared" si="1"/>
        <v>0</v>
      </c>
      <c r="Q81" s="33"/>
    </row>
    <row r="82" spans="1:17" x14ac:dyDescent="0.25">
      <c r="A82" s="23"/>
      <c r="B82" s="24" t="s">
        <v>75</v>
      </c>
      <c r="C82" s="36" t="s">
        <v>92</v>
      </c>
      <c r="D82" s="26">
        <f>COUNTIFS('[1]TOTAL SUSPEK'!$F:$F,"Mlekang")</f>
        <v>0</v>
      </c>
      <c r="E82" s="30"/>
      <c r="F82" s="31"/>
      <c r="G82" s="31"/>
      <c r="H82" s="31"/>
      <c r="I82" s="31"/>
      <c r="J82" s="31"/>
      <c r="K82" s="32"/>
      <c r="L82" s="32"/>
      <c r="M82" s="32"/>
      <c r="P82" s="28">
        <f t="shared" si="1"/>
        <v>0</v>
      </c>
      <c r="Q82" s="33"/>
    </row>
    <row r="83" spans="1:17" ht="15" customHeight="1" x14ac:dyDescent="0.25">
      <c r="A83" s="23">
        <v>5</v>
      </c>
      <c r="B83" s="38" t="s">
        <v>93</v>
      </c>
      <c r="C83" s="25" t="s">
        <v>94</v>
      </c>
      <c r="D83" s="26">
        <f>COUNTIFS('[1]TOTAL SUSPEK'!$F:$F,"Cangkring B")</f>
        <v>0</v>
      </c>
      <c r="E83" s="30" t="e">
        <f>SUM(#REF!)</f>
        <v>#REF!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>
        <f>SUM(D83:D99)</f>
        <v>1</v>
      </c>
      <c r="M83" s="30" t="e">
        <f>SUM(#REF!)</f>
        <v>#REF!</v>
      </c>
      <c r="P83" s="28">
        <f t="shared" si="1"/>
        <v>0</v>
      </c>
      <c r="Q83" s="29">
        <f>SUM(P83:P99)</f>
        <v>1</v>
      </c>
    </row>
    <row r="84" spans="1:17" ht="15" customHeight="1" x14ac:dyDescent="0.25">
      <c r="A84" s="23"/>
      <c r="B84" s="38" t="s">
        <v>93</v>
      </c>
      <c r="C84" s="25" t="s">
        <v>95</v>
      </c>
      <c r="D84" s="26">
        <f>COUNTIFS('[1]TOTAL SUSPEK'!$F:$F,"Undaan Lor")</f>
        <v>0</v>
      </c>
      <c r="E84" s="30"/>
      <c r="F84" s="31"/>
      <c r="G84" s="31"/>
      <c r="H84" s="31"/>
      <c r="I84" s="31"/>
      <c r="J84" s="31"/>
      <c r="K84" s="32"/>
      <c r="L84" s="32"/>
      <c r="M84" s="32"/>
      <c r="P84" s="28">
        <f t="shared" si="1"/>
        <v>0</v>
      </c>
      <c r="Q84" s="33"/>
    </row>
    <row r="85" spans="1:17" ht="15" customHeight="1" x14ac:dyDescent="0.25">
      <c r="A85" s="23"/>
      <c r="B85" s="38" t="s">
        <v>93</v>
      </c>
      <c r="C85" s="25" t="s">
        <v>96</v>
      </c>
      <c r="D85" s="26">
        <f>COUNTIFS('[1]TOTAL SUSPEK'!$F:$F,"Undaan Kidul")</f>
        <v>0</v>
      </c>
      <c r="E85" s="30"/>
      <c r="F85" s="31"/>
      <c r="G85" s="31"/>
      <c r="H85" s="31"/>
      <c r="I85" s="31"/>
      <c r="J85" s="31"/>
      <c r="K85" s="32"/>
      <c r="L85" s="32"/>
      <c r="M85" s="32"/>
      <c r="P85" s="28">
        <f t="shared" si="1"/>
        <v>0</v>
      </c>
      <c r="Q85" s="33"/>
    </row>
    <row r="86" spans="1:17" ht="15" customHeight="1" x14ac:dyDescent="0.25">
      <c r="A86" s="23"/>
      <c r="B86" s="38" t="s">
        <v>93</v>
      </c>
      <c r="C86" s="25" t="s">
        <v>97</v>
      </c>
      <c r="D86" s="26">
        <f>COUNTIFS('[1]TOTAL SUSPEK'!$F:$F,"Ketanjung")</f>
        <v>0</v>
      </c>
      <c r="E86" s="30"/>
      <c r="F86" s="31"/>
      <c r="G86" s="31"/>
      <c r="H86" s="31"/>
      <c r="I86" s="31"/>
      <c r="J86" s="31"/>
      <c r="K86" s="32"/>
      <c r="L86" s="32"/>
      <c r="M86" s="32"/>
      <c r="P86" s="28">
        <f t="shared" si="1"/>
        <v>0</v>
      </c>
      <c r="Q86" s="33"/>
    </row>
    <row r="87" spans="1:17" ht="15" customHeight="1" x14ac:dyDescent="0.25">
      <c r="A87" s="23"/>
      <c r="B87" s="38" t="s">
        <v>93</v>
      </c>
      <c r="C87" s="25" t="s">
        <v>98</v>
      </c>
      <c r="D87" s="26">
        <f>COUNTIFS('[1]TOTAL SUSPEK'!$F:$F,"Cangkring Rembang")</f>
        <v>0</v>
      </c>
      <c r="E87" s="30"/>
      <c r="F87" s="31"/>
      <c r="G87" s="31"/>
      <c r="H87" s="31"/>
      <c r="I87" s="31"/>
      <c r="J87" s="31"/>
      <c r="K87" s="32"/>
      <c r="L87" s="32"/>
      <c r="M87" s="32"/>
      <c r="P87" s="28">
        <f t="shared" si="1"/>
        <v>0</v>
      </c>
      <c r="Q87" s="33"/>
    </row>
    <row r="88" spans="1:17" ht="15" customHeight="1" x14ac:dyDescent="0.25">
      <c r="A88" s="23"/>
      <c r="B88" s="38" t="s">
        <v>93</v>
      </c>
      <c r="C88" s="25" t="s">
        <v>99</v>
      </c>
      <c r="D88" s="26">
        <f>COUNTIFS('[1]TOTAL SUSPEK'!$F:$F,"Tuwang")</f>
        <v>0</v>
      </c>
      <c r="E88" s="30"/>
      <c r="F88" s="31"/>
      <c r="G88" s="31"/>
      <c r="H88" s="31"/>
      <c r="I88" s="31"/>
      <c r="J88" s="31"/>
      <c r="K88" s="32"/>
      <c r="L88" s="32"/>
      <c r="M88" s="32"/>
      <c r="P88" s="28">
        <f t="shared" si="1"/>
        <v>0</v>
      </c>
      <c r="Q88" s="33"/>
    </row>
    <row r="89" spans="1:17" ht="15" customHeight="1" x14ac:dyDescent="0.25">
      <c r="A89" s="23"/>
      <c r="B89" s="38" t="s">
        <v>93</v>
      </c>
      <c r="C89" s="25" t="s">
        <v>100</v>
      </c>
      <c r="D89" s="26">
        <f>COUNTIFS('[1]TOTAL SUSPEK'!$F:$F,"Wonorejo",'[1]TOTAL SUSPEK'!$E:$E,"karanganyar")</f>
        <v>1</v>
      </c>
      <c r="E89" s="30"/>
      <c r="F89" s="31"/>
      <c r="G89" s="31"/>
      <c r="H89" s="31"/>
      <c r="I89" s="31"/>
      <c r="J89" s="31"/>
      <c r="K89" s="32"/>
      <c r="L89" s="32"/>
      <c r="M89" s="32"/>
      <c r="P89" s="28">
        <f t="shared" si="1"/>
        <v>1</v>
      </c>
      <c r="Q89" s="33"/>
    </row>
    <row r="90" spans="1:17" ht="15" customHeight="1" x14ac:dyDescent="0.25">
      <c r="A90" s="23"/>
      <c r="B90" s="38" t="s">
        <v>93</v>
      </c>
      <c r="C90" s="25" t="s">
        <v>101</v>
      </c>
      <c r="D90" s="26">
        <f>COUNTIFS('[1]TOTAL SUSPEK'!$F:$F,"Ngemplik Wetan")</f>
        <v>0</v>
      </c>
      <c r="E90" s="30"/>
      <c r="F90" s="31"/>
      <c r="G90" s="31"/>
      <c r="H90" s="31"/>
      <c r="I90" s="31"/>
      <c r="J90" s="31"/>
      <c r="K90" s="32"/>
      <c r="L90" s="32"/>
      <c r="M90" s="32"/>
      <c r="P90" s="28">
        <f t="shared" si="1"/>
        <v>0</v>
      </c>
      <c r="Q90" s="33"/>
    </row>
    <row r="91" spans="1:17" ht="15" customHeight="1" x14ac:dyDescent="0.25">
      <c r="A91" s="23"/>
      <c r="B91" s="38" t="s">
        <v>93</v>
      </c>
      <c r="C91" s="25" t="s">
        <v>93</v>
      </c>
      <c r="D91" s="26">
        <f>COUNTIFS('[1]TOTAL SUSPEK'!$F:$F,"Karanganyar")</f>
        <v>0</v>
      </c>
      <c r="E91" s="30"/>
      <c r="F91" s="31"/>
      <c r="G91" s="31"/>
      <c r="H91" s="31"/>
      <c r="I91" s="31"/>
      <c r="J91" s="31"/>
      <c r="K91" s="32"/>
      <c r="L91" s="32"/>
      <c r="M91" s="32"/>
      <c r="P91" s="28">
        <f t="shared" si="1"/>
        <v>0</v>
      </c>
      <c r="Q91" s="33"/>
    </row>
    <row r="92" spans="1:17" ht="15" customHeight="1" x14ac:dyDescent="0.25">
      <c r="A92" s="23"/>
      <c r="B92" s="38" t="s">
        <v>93</v>
      </c>
      <c r="C92" s="25" t="s">
        <v>102</v>
      </c>
      <c r="D92" s="26">
        <f>COUNTIFS('[1]TOTAL SUSPEK'!$F:$F,"Ngaluran")</f>
        <v>0</v>
      </c>
      <c r="E92" s="30"/>
      <c r="F92" s="31"/>
      <c r="G92" s="31"/>
      <c r="H92" s="31"/>
      <c r="I92" s="31"/>
      <c r="J92" s="31"/>
      <c r="K92" s="32"/>
      <c r="L92" s="32"/>
      <c r="M92" s="32"/>
      <c r="P92" s="28">
        <f t="shared" si="1"/>
        <v>0</v>
      </c>
      <c r="Q92" s="33"/>
    </row>
    <row r="93" spans="1:17" ht="15" customHeight="1" x14ac:dyDescent="0.25">
      <c r="A93" s="23"/>
      <c r="B93" s="38" t="s">
        <v>93</v>
      </c>
      <c r="C93" s="25" t="s">
        <v>103</v>
      </c>
      <c r="D93" s="26">
        <f>COUNTIFS('[1]TOTAL SUSPEK'!$F:$F,"Kedungwaru Kidul")</f>
        <v>0</v>
      </c>
      <c r="E93" s="30"/>
      <c r="F93" s="31"/>
      <c r="G93" s="31"/>
      <c r="H93" s="31"/>
      <c r="I93" s="31"/>
      <c r="J93" s="31"/>
      <c r="K93" s="32"/>
      <c r="L93" s="32"/>
      <c r="M93" s="32"/>
      <c r="P93" s="28">
        <f t="shared" si="1"/>
        <v>0</v>
      </c>
      <c r="Q93" s="33"/>
    </row>
    <row r="94" spans="1:17" ht="15" customHeight="1" x14ac:dyDescent="0.25">
      <c r="A94" s="23"/>
      <c r="B94" s="38" t="s">
        <v>93</v>
      </c>
      <c r="C94" s="25" t="s">
        <v>104</v>
      </c>
      <c r="D94" s="26">
        <f>COUNTIFS('[1]TOTAL SUSPEK'!$F:$F,"Kedungwaru Lor")</f>
        <v>0</v>
      </c>
      <c r="E94" s="30"/>
      <c r="F94" s="31"/>
      <c r="G94" s="31"/>
      <c r="H94" s="31"/>
      <c r="I94" s="31"/>
      <c r="J94" s="31"/>
      <c r="K94" s="32"/>
      <c r="L94" s="32"/>
      <c r="M94" s="32"/>
      <c r="P94" s="28">
        <f t="shared" si="1"/>
        <v>0</v>
      </c>
      <c r="Q94" s="33"/>
    </row>
    <row r="95" spans="1:17" ht="15" customHeight="1" x14ac:dyDescent="0.25">
      <c r="A95" s="23"/>
      <c r="B95" s="38" t="s">
        <v>93</v>
      </c>
      <c r="C95" s="25" t="s">
        <v>105</v>
      </c>
      <c r="D95" s="26">
        <f>COUNTIFS('[1]TOTAL SUSPEK'!$F:$F,"Tugu Lor")</f>
        <v>0</v>
      </c>
      <c r="E95" s="30"/>
      <c r="F95" s="31"/>
      <c r="G95" s="31"/>
      <c r="H95" s="31"/>
      <c r="I95" s="31"/>
      <c r="J95" s="31"/>
      <c r="K95" s="32"/>
      <c r="L95" s="32"/>
      <c r="M95" s="32"/>
      <c r="P95" s="28">
        <f t="shared" si="1"/>
        <v>0</v>
      </c>
      <c r="Q95" s="33"/>
    </row>
    <row r="96" spans="1:17" ht="15" customHeight="1" x14ac:dyDescent="0.25">
      <c r="A96" s="23"/>
      <c r="B96" s="38" t="s">
        <v>93</v>
      </c>
      <c r="C96" s="25" t="s">
        <v>106</v>
      </c>
      <c r="D96" s="26">
        <f>COUNTIFS('[1]TOTAL SUSPEK'!$F:$F,"Kotakan")</f>
        <v>0</v>
      </c>
      <c r="E96" s="30"/>
      <c r="F96" s="31"/>
      <c r="G96" s="31"/>
      <c r="H96" s="31"/>
      <c r="I96" s="31"/>
      <c r="J96" s="31"/>
      <c r="K96" s="32"/>
      <c r="L96" s="32"/>
      <c r="M96" s="32"/>
      <c r="P96" s="28">
        <f t="shared" si="1"/>
        <v>0</v>
      </c>
      <c r="Q96" s="33"/>
    </row>
    <row r="97" spans="1:17" ht="15" customHeight="1" x14ac:dyDescent="0.25">
      <c r="A97" s="23"/>
      <c r="B97" s="38" t="s">
        <v>93</v>
      </c>
      <c r="C97" s="25" t="s">
        <v>107</v>
      </c>
      <c r="D97" s="26">
        <f>COUNTIFS('[1]TOTAL SUSPEK'!$F:$F,"Wonoketingal")</f>
        <v>0</v>
      </c>
      <c r="E97" s="30"/>
      <c r="F97" s="31"/>
      <c r="G97" s="31"/>
      <c r="H97" s="31"/>
      <c r="I97" s="31"/>
      <c r="J97" s="31"/>
      <c r="K97" s="32"/>
      <c r="L97" s="32"/>
      <c r="M97" s="32"/>
      <c r="P97" s="28">
        <f t="shared" si="1"/>
        <v>0</v>
      </c>
      <c r="Q97" s="33"/>
    </row>
    <row r="98" spans="1:17" ht="15" customHeight="1" x14ac:dyDescent="0.25">
      <c r="A98" s="23"/>
      <c r="B98" s="38" t="s">
        <v>93</v>
      </c>
      <c r="C98" s="25" t="s">
        <v>108</v>
      </c>
      <c r="D98" s="26">
        <f>COUNTIFS('[1]TOTAL SUSPEK'!$F:$F,"Jatirejo")</f>
        <v>0</v>
      </c>
      <c r="E98" s="30"/>
      <c r="F98" s="31"/>
      <c r="G98" s="31"/>
      <c r="H98" s="31"/>
      <c r="I98" s="31"/>
      <c r="J98" s="31"/>
      <c r="K98" s="32"/>
      <c r="L98" s="32"/>
      <c r="M98" s="32"/>
      <c r="P98" s="28">
        <f t="shared" si="1"/>
        <v>0</v>
      </c>
      <c r="Q98" s="33"/>
    </row>
    <row r="99" spans="1:17" ht="15" customHeight="1" x14ac:dyDescent="0.25">
      <c r="A99" s="23"/>
      <c r="B99" s="38" t="s">
        <v>93</v>
      </c>
      <c r="C99" s="25" t="s">
        <v>23</v>
      </c>
      <c r="D99" s="26">
        <f>COUNTIFS('[1]TOTAL SUSPEK'!$F:$F,"Bandungrejo",'[1]TOTAL SUSPEK'!$E:$E,"Karanganyar")</f>
        <v>0</v>
      </c>
      <c r="E99" s="30"/>
      <c r="F99" s="31"/>
      <c r="G99" s="31"/>
      <c r="H99" s="31"/>
      <c r="I99" s="31"/>
      <c r="J99" s="31"/>
      <c r="K99" s="32"/>
      <c r="L99" s="32"/>
      <c r="M99" s="32"/>
      <c r="P99" s="28">
        <f t="shared" si="1"/>
        <v>0</v>
      </c>
      <c r="Q99" s="33"/>
    </row>
    <row r="100" spans="1:17" ht="15" customHeight="1" x14ac:dyDescent="0.25">
      <c r="A100" s="23">
        <v>6</v>
      </c>
      <c r="B100" s="38" t="s">
        <v>109</v>
      </c>
      <c r="C100" s="25" t="s">
        <v>110</v>
      </c>
      <c r="D100" s="26">
        <f>COUNTIFS('[1]TOTAL SUSPEK'!$F:$F,"Mijen",'[1]TOTAL SUSPEK'!$E:$E,"mijen")</f>
        <v>0</v>
      </c>
      <c r="E100" s="30" t="e">
        <f>SUM(#REF!)</f>
        <v>#REF!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>
        <f>SUM(D100:D114)</f>
        <v>2</v>
      </c>
      <c r="M100" s="30" t="e">
        <f>SUM(#REF!)</f>
        <v>#REF!</v>
      </c>
      <c r="P100" s="28">
        <f t="shared" si="1"/>
        <v>0</v>
      </c>
      <c r="Q100" s="29">
        <f>SUM(P100:P114)</f>
        <v>2</v>
      </c>
    </row>
    <row r="101" spans="1:17" ht="15" customHeight="1" x14ac:dyDescent="0.25">
      <c r="A101" s="23"/>
      <c r="B101" s="38" t="s">
        <v>109</v>
      </c>
      <c r="C101" s="25" t="s">
        <v>111</v>
      </c>
      <c r="D101" s="26">
        <f>COUNTIFS('[1]TOTAL SUSPEK'!$F:$F,"Geneng")</f>
        <v>0</v>
      </c>
      <c r="E101" s="30"/>
      <c r="F101" s="31"/>
      <c r="G101" s="31"/>
      <c r="H101" s="31"/>
      <c r="I101" s="31"/>
      <c r="J101" s="31"/>
      <c r="K101" s="32"/>
      <c r="L101" s="32"/>
      <c r="M101" s="32"/>
      <c r="P101" s="28">
        <f t="shared" si="1"/>
        <v>0</v>
      </c>
      <c r="Q101" s="33"/>
    </row>
    <row r="102" spans="1:17" ht="15" customHeight="1" x14ac:dyDescent="0.25">
      <c r="A102" s="23"/>
      <c r="B102" s="38" t="s">
        <v>109</v>
      </c>
      <c r="C102" s="25" t="s">
        <v>112</v>
      </c>
      <c r="D102" s="26">
        <f>COUNTIFS('[1]TOTAL SUSPEK'!$F:$F,"Tanggul")</f>
        <v>0</v>
      </c>
      <c r="E102" s="30"/>
      <c r="F102" s="31"/>
      <c r="G102" s="31"/>
      <c r="H102" s="31"/>
      <c r="I102" s="31"/>
      <c r="J102" s="31"/>
      <c r="K102" s="32"/>
      <c r="L102" s="32"/>
      <c r="M102" s="32"/>
      <c r="P102" s="28">
        <f t="shared" si="1"/>
        <v>0</v>
      </c>
      <c r="Q102" s="33"/>
    </row>
    <row r="103" spans="1:17" ht="15" customHeight="1" x14ac:dyDescent="0.25">
      <c r="A103" s="23"/>
      <c r="B103" s="38" t="s">
        <v>109</v>
      </c>
      <c r="C103" s="25" t="s">
        <v>113</v>
      </c>
      <c r="D103" s="26">
        <f>COUNTIFS('[1]TOTAL SUSPEK'!$F:$F,"Bantengmati")</f>
        <v>0</v>
      </c>
      <c r="E103" s="30"/>
      <c r="F103" s="31"/>
      <c r="G103" s="31"/>
      <c r="H103" s="31"/>
      <c r="I103" s="31"/>
      <c r="J103" s="31"/>
      <c r="K103" s="32"/>
      <c r="L103" s="32"/>
      <c r="M103" s="32"/>
      <c r="P103" s="28">
        <f t="shared" si="1"/>
        <v>0</v>
      </c>
      <c r="Q103" s="33"/>
    </row>
    <row r="104" spans="1:17" ht="15" customHeight="1" x14ac:dyDescent="0.25">
      <c r="A104" s="23"/>
      <c r="B104" s="38" t="s">
        <v>109</v>
      </c>
      <c r="C104" s="25" t="s">
        <v>114</v>
      </c>
      <c r="D104" s="26">
        <f>COUNTIFS('[1]TOTAL SUSPEK'!$F:$F,"Mlaten")</f>
        <v>0</v>
      </c>
      <c r="E104" s="30"/>
      <c r="F104" s="31"/>
      <c r="G104" s="31"/>
      <c r="H104" s="31"/>
      <c r="I104" s="31"/>
      <c r="J104" s="31"/>
      <c r="K104" s="32"/>
      <c r="L104" s="32"/>
      <c r="M104" s="32"/>
      <c r="P104" s="28">
        <f t="shared" si="1"/>
        <v>0</v>
      </c>
      <c r="Q104" s="33"/>
    </row>
    <row r="105" spans="1:17" ht="15" customHeight="1" x14ac:dyDescent="0.25">
      <c r="A105" s="23"/>
      <c r="B105" s="38" t="s">
        <v>109</v>
      </c>
      <c r="C105" s="25" t="s">
        <v>115</v>
      </c>
      <c r="D105" s="26">
        <f>COUNTIFS('[1]TOTAL SUSPEK'!$F:$F,"Bermi")</f>
        <v>0</v>
      </c>
      <c r="E105" s="30"/>
      <c r="F105" s="31"/>
      <c r="G105" s="31"/>
      <c r="H105" s="31"/>
      <c r="I105" s="31"/>
      <c r="J105" s="31"/>
      <c r="K105" s="32"/>
      <c r="L105" s="32"/>
      <c r="M105" s="32"/>
      <c r="P105" s="28">
        <f t="shared" si="1"/>
        <v>0</v>
      </c>
      <c r="Q105" s="33"/>
    </row>
    <row r="106" spans="1:17" ht="15" customHeight="1" x14ac:dyDescent="0.25">
      <c r="A106" s="23"/>
      <c r="B106" s="38" t="s">
        <v>109</v>
      </c>
      <c r="C106" s="25" t="s">
        <v>116</v>
      </c>
      <c r="D106" s="26">
        <f>COUNTIFS('[1]TOTAL SUSPEK'!$F:$F,"Gempolsongo")</f>
        <v>0</v>
      </c>
      <c r="E106" s="30"/>
      <c r="F106" s="31"/>
      <c r="G106" s="31"/>
      <c r="H106" s="31"/>
      <c r="I106" s="31"/>
      <c r="J106" s="31"/>
      <c r="K106" s="32"/>
      <c r="L106" s="32"/>
      <c r="M106" s="32"/>
      <c r="P106" s="28">
        <f t="shared" si="1"/>
        <v>0</v>
      </c>
      <c r="Q106" s="33"/>
    </row>
    <row r="107" spans="1:17" ht="15" customHeight="1" x14ac:dyDescent="0.25">
      <c r="A107" s="23"/>
      <c r="B107" s="38" t="s">
        <v>109</v>
      </c>
      <c r="C107" s="25" t="s">
        <v>117</v>
      </c>
      <c r="D107" s="26">
        <f>COUNTIFS('[1]TOTAL SUSPEK'!$F:$F,"Ngelo wetan")</f>
        <v>0</v>
      </c>
      <c r="E107" s="30"/>
      <c r="F107" s="31"/>
      <c r="G107" s="31"/>
      <c r="H107" s="31"/>
      <c r="I107" s="31"/>
      <c r="J107" s="31"/>
      <c r="K107" s="32"/>
      <c r="L107" s="32"/>
      <c r="M107" s="32"/>
      <c r="P107" s="28">
        <f t="shared" si="1"/>
        <v>0</v>
      </c>
      <c r="Q107" s="33"/>
    </row>
    <row r="108" spans="1:17" ht="15" customHeight="1" x14ac:dyDescent="0.25">
      <c r="A108" s="23"/>
      <c r="B108" s="38" t="s">
        <v>109</v>
      </c>
      <c r="C108" s="25" t="s">
        <v>118</v>
      </c>
      <c r="D108" s="26">
        <f>COUNTIFS('[1]TOTAL SUSPEK'!$F:$F,"Bakung")</f>
        <v>0</v>
      </c>
      <c r="E108" s="30"/>
      <c r="F108" s="31"/>
      <c r="G108" s="31"/>
      <c r="H108" s="31"/>
      <c r="I108" s="31"/>
      <c r="J108" s="31"/>
      <c r="K108" s="32"/>
      <c r="L108" s="32"/>
      <c r="M108" s="32"/>
      <c r="P108" s="28">
        <f t="shared" si="1"/>
        <v>0</v>
      </c>
      <c r="Q108" s="33"/>
    </row>
    <row r="109" spans="1:17" ht="15" customHeight="1" x14ac:dyDescent="0.25">
      <c r="A109" s="23"/>
      <c r="B109" s="38" t="s">
        <v>109</v>
      </c>
      <c r="C109" s="25" t="s">
        <v>119</v>
      </c>
      <c r="D109" s="26">
        <f>COUNTIFS('[1]TOTAL SUSPEK'!$F:$F,"Pasir")</f>
        <v>0</v>
      </c>
      <c r="E109" s="30"/>
      <c r="F109" s="31"/>
      <c r="G109" s="31"/>
      <c r="H109" s="31"/>
      <c r="I109" s="31"/>
      <c r="J109" s="31"/>
      <c r="K109" s="32"/>
      <c r="L109" s="32"/>
      <c r="M109" s="32"/>
      <c r="P109" s="28">
        <f t="shared" si="1"/>
        <v>0</v>
      </c>
      <c r="Q109" s="33"/>
    </row>
    <row r="110" spans="1:17" ht="15" customHeight="1" x14ac:dyDescent="0.25">
      <c r="A110" s="23"/>
      <c r="B110" s="38" t="s">
        <v>109</v>
      </c>
      <c r="C110" s="25" t="s">
        <v>120</v>
      </c>
      <c r="D110" s="26">
        <f>COUNTIFS('[1]TOTAL SUSPEK'!$F:$F,"Jleper")</f>
        <v>1</v>
      </c>
      <c r="E110" s="30"/>
      <c r="F110" s="31"/>
      <c r="G110" s="31"/>
      <c r="H110" s="31"/>
      <c r="I110" s="31"/>
      <c r="J110" s="31"/>
      <c r="K110" s="32"/>
      <c r="L110" s="32"/>
      <c r="M110" s="32"/>
      <c r="P110" s="28">
        <f t="shared" si="1"/>
        <v>1</v>
      </c>
      <c r="Q110" s="33"/>
    </row>
    <row r="111" spans="1:17" ht="15" customHeight="1" x14ac:dyDescent="0.25">
      <c r="A111" s="23"/>
      <c r="B111" s="38" t="s">
        <v>109</v>
      </c>
      <c r="C111" s="25" t="s">
        <v>41</v>
      </c>
      <c r="D111" s="26">
        <f>COUNTIFS('[1]TOTAL SUSPEK'!$F:$F,"Rejosari",'[1]TOTAL SUSPEK'!$E:$E,"mijen")</f>
        <v>0</v>
      </c>
      <c r="E111" s="30"/>
      <c r="F111" s="31"/>
      <c r="G111" s="31"/>
      <c r="H111" s="31"/>
      <c r="I111" s="31"/>
      <c r="J111" s="31"/>
      <c r="K111" s="32"/>
      <c r="L111" s="32"/>
      <c r="M111" s="32"/>
      <c r="P111" s="28">
        <f t="shared" si="1"/>
        <v>0</v>
      </c>
      <c r="Q111" s="33"/>
    </row>
    <row r="112" spans="1:17" ht="15" customHeight="1" x14ac:dyDescent="0.25">
      <c r="A112" s="23"/>
      <c r="B112" s="38" t="s">
        <v>109</v>
      </c>
      <c r="C112" s="25" t="s">
        <v>121</v>
      </c>
      <c r="D112" s="26">
        <f>COUNTIFS('[1]TOTAL SUSPEK'!$F:$F,"Ngegot")</f>
        <v>0</v>
      </c>
      <c r="E112" s="30"/>
      <c r="F112" s="31"/>
      <c r="G112" s="31"/>
      <c r="H112" s="31"/>
      <c r="I112" s="31"/>
      <c r="J112" s="31"/>
      <c r="K112" s="32"/>
      <c r="L112" s="32"/>
      <c r="M112" s="32"/>
      <c r="P112" s="28">
        <f t="shared" si="1"/>
        <v>0</v>
      </c>
      <c r="Q112" s="33"/>
    </row>
    <row r="113" spans="1:17" ht="15" customHeight="1" x14ac:dyDescent="0.25">
      <c r="A113" s="23"/>
      <c r="B113" s="38" t="s">
        <v>109</v>
      </c>
      <c r="C113" s="25" t="s">
        <v>122</v>
      </c>
      <c r="D113" s="26">
        <f>COUNTIFS('[1]TOTAL SUSPEK'!$F:$F,"Pecuk")</f>
        <v>1</v>
      </c>
      <c r="E113" s="30"/>
      <c r="F113" s="31"/>
      <c r="G113" s="31"/>
      <c r="H113" s="31"/>
      <c r="I113" s="31"/>
      <c r="J113" s="31"/>
      <c r="K113" s="32"/>
      <c r="L113" s="32"/>
      <c r="M113" s="32"/>
      <c r="P113" s="28">
        <f t="shared" si="1"/>
        <v>1</v>
      </c>
      <c r="Q113" s="33"/>
    </row>
    <row r="114" spans="1:17" ht="15" customHeight="1" x14ac:dyDescent="0.25">
      <c r="A114" s="23"/>
      <c r="B114" s="38" t="s">
        <v>109</v>
      </c>
      <c r="C114" s="25" t="s">
        <v>123</v>
      </c>
      <c r="D114" s="26">
        <f>COUNTIFS('[1]TOTAL SUSPEK'!$F:$F,"Ngelo Kulon")</f>
        <v>0</v>
      </c>
      <c r="E114" s="30"/>
      <c r="F114" s="31"/>
      <c r="G114" s="31"/>
      <c r="H114" s="31"/>
      <c r="I114" s="31"/>
      <c r="J114" s="31"/>
      <c r="K114" s="32"/>
      <c r="L114" s="32"/>
      <c r="M114" s="32"/>
      <c r="P114" s="28">
        <f t="shared" si="1"/>
        <v>0</v>
      </c>
      <c r="Q114" s="33"/>
    </row>
    <row r="115" spans="1:17" x14ac:dyDescent="0.25">
      <c r="A115" s="23">
        <v>7</v>
      </c>
      <c r="B115" s="38" t="s">
        <v>124</v>
      </c>
      <c r="C115" s="25" t="s">
        <v>125</v>
      </c>
      <c r="D115" s="26">
        <f>COUNTIFS('[1]TOTAL SUSPEK'!$F:$F,"Betokan")</f>
        <v>0</v>
      </c>
      <c r="E115" s="30" t="e">
        <f>SUM(#REF!)</f>
        <v>#REF!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>
        <f>SUM(D115:D133)</f>
        <v>15</v>
      </c>
      <c r="M115" s="30" t="e">
        <f>SUM(#REF!)</f>
        <v>#REF!</v>
      </c>
      <c r="P115" s="28">
        <f t="shared" si="1"/>
        <v>0</v>
      </c>
      <c r="Q115" s="29">
        <f>SUM(P115:P133)</f>
        <v>15</v>
      </c>
    </row>
    <row r="116" spans="1:17" x14ac:dyDescent="0.25">
      <c r="A116" s="23"/>
      <c r="B116" s="38" t="s">
        <v>124</v>
      </c>
      <c r="C116" s="25" t="s">
        <v>126</v>
      </c>
      <c r="D116" s="26">
        <f>COUNTIFS('[1]TOTAL SUSPEK'!$F:$F,"Kalicilik")</f>
        <v>1</v>
      </c>
      <c r="E116" s="30"/>
      <c r="F116" s="31"/>
      <c r="G116" s="31"/>
      <c r="H116" s="31"/>
      <c r="I116" s="31"/>
      <c r="J116" s="31"/>
      <c r="K116" s="32"/>
      <c r="L116" s="32"/>
      <c r="M116" s="32"/>
      <c r="P116" s="28">
        <f t="shared" si="1"/>
        <v>1</v>
      </c>
      <c r="Q116" s="33"/>
    </row>
    <row r="117" spans="1:17" x14ac:dyDescent="0.25">
      <c r="A117" s="23"/>
      <c r="B117" s="38" t="s">
        <v>124</v>
      </c>
      <c r="C117" s="25" t="s">
        <v>127</v>
      </c>
      <c r="D117" s="26">
        <f>COUNTIFS('[1]TOTAL SUSPEK'!$F:$F,"Kadilangu")</f>
        <v>0</v>
      </c>
      <c r="E117" s="30"/>
      <c r="F117" s="31"/>
      <c r="G117" s="31"/>
      <c r="H117" s="31"/>
      <c r="I117" s="31"/>
      <c r="J117" s="31"/>
      <c r="K117" s="32"/>
      <c r="L117" s="32"/>
      <c r="M117" s="32"/>
      <c r="P117" s="28">
        <f t="shared" si="1"/>
        <v>0</v>
      </c>
      <c r="Q117" s="33"/>
    </row>
    <row r="118" spans="1:17" x14ac:dyDescent="0.25">
      <c r="A118" s="23"/>
      <c r="B118" s="38" t="s">
        <v>124</v>
      </c>
      <c r="C118" s="25" t="s">
        <v>128</v>
      </c>
      <c r="D118" s="26">
        <f>COUNTIFS('[1]TOTAL SUSPEK'!$F:$F,"Singorejo")</f>
        <v>0</v>
      </c>
      <c r="E118" s="30"/>
      <c r="F118" s="31"/>
      <c r="G118" s="31"/>
      <c r="H118" s="31"/>
      <c r="I118" s="31"/>
      <c r="J118" s="31"/>
      <c r="K118" s="32"/>
      <c r="L118" s="32"/>
      <c r="M118" s="32"/>
      <c r="P118" s="28">
        <f t="shared" si="1"/>
        <v>0</v>
      </c>
      <c r="Q118" s="33"/>
    </row>
    <row r="119" spans="1:17" x14ac:dyDescent="0.25">
      <c r="A119" s="23"/>
      <c r="B119" s="38" t="s">
        <v>124</v>
      </c>
      <c r="C119" s="25" t="s">
        <v>129</v>
      </c>
      <c r="D119" s="26">
        <f>COUNTIFS('[1]TOTAL SUSPEK'!$F:$F,"Karangmlati")</f>
        <v>0</v>
      </c>
      <c r="E119" s="30"/>
      <c r="F119" s="31"/>
      <c r="G119" s="31"/>
      <c r="H119" s="31"/>
      <c r="I119" s="31"/>
      <c r="J119" s="31"/>
      <c r="K119" s="32"/>
      <c r="L119" s="32"/>
      <c r="M119" s="32"/>
      <c r="P119" s="28">
        <f t="shared" si="1"/>
        <v>0</v>
      </c>
      <c r="Q119" s="33"/>
    </row>
    <row r="120" spans="1:17" x14ac:dyDescent="0.25">
      <c r="A120" s="23"/>
      <c r="B120" s="38" t="s">
        <v>124</v>
      </c>
      <c r="C120" s="25" t="s">
        <v>130</v>
      </c>
      <c r="D120" s="26">
        <f>COUNTIFS('[1]TOTAL SUSPEK'!$F:$F,"Bintoro")</f>
        <v>6</v>
      </c>
      <c r="E120" s="30"/>
      <c r="F120" s="31"/>
      <c r="G120" s="31"/>
      <c r="H120" s="31"/>
      <c r="I120" s="31"/>
      <c r="J120" s="31"/>
      <c r="K120" s="32"/>
      <c r="L120" s="32"/>
      <c r="M120" s="32"/>
      <c r="P120" s="28">
        <f t="shared" si="1"/>
        <v>6</v>
      </c>
      <c r="Q120" s="33"/>
    </row>
    <row r="121" spans="1:17" x14ac:dyDescent="0.25">
      <c r="A121" s="23"/>
      <c r="B121" s="38" t="s">
        <v>124</v>
      </c>
      <c r="C121" s="25" t="s">
        <v>131</v>
      </c>
      <c r="D121" s="26">
        <f>COUNTIFS('[1]TOTAL SUSPEK'!$F:$F,"Turirejo")</f>
        <v>0</v>
      </c>
      <c r="E121" s="30"/>
      <c r="F121" s="31"/>
      <c r="G121" s="31"/>
      <c r="H121" s="31"/>
      <c r="I121" s="31"/>
      <c r="J121" s="31"/>
      <c r="K121" s="32"/>
      <c r="L121" s="32"/>
      <c r="M121" s="32"/>
      <c r="P121" s="28">
        <f t="shared" si="1"/>
        <v>0</v>
      </c>
      <c r="Q121" s="33"/>
    </row>
    <row r="122" spans="1:17" s="44" customFormat="1" x14ac:dyDescent="0.25">
      <c r="A122" s="39"/>
      <c r="B122" s="40" t="s">
        <v>124</v>
      </c>
      <c r="C122" s="25" t="s">
        <v>76</v>
      </c>
      <c r="D122" s="26">
        <f>COUNTIFS('[1]TOTAL SUSPEK'!$F:$F,"Kedondong",'[1]TOTAL SUSPEK'!$E:$E,"demak")</f>
        <v>0</v>
      </c>
      <c r="E122" s="41"/>
      <c r="F122" s="42"/>
      <c r="G122" s="42"/>
      <c r="H122" s="42"/>
      <c r="I122" s="42"/>
      <c r="J122" s="42"/>
      <c r="K122" s="43"/>
      <c r="L122" s="43"/>
      <c r="M122" s="43"/>
      <c r="P122" s="28">
        <f t="shared" si="1"/>
        <v>0</v>
      </c>
      <c r="Q122" s="25"/>
    </row>
    <row r="123" spans="1:17" x14ac:dyDescent="0.25">
      <c r="A123" s="23"/>
      <c r="B123" s="38" t="s">
        <v>124</v>
      </c>
      <c r="C123" s="45" t="s">
        <v>132</v>
      </c>
      <c r="D123" s="26">
        <f>COUNTIFS('[1]TOTAL SUSPEK'!$F:$F,"Bango")</f>
        <v>0</v>
      </c>
      <c r="E123" s="30"/>
      <c r="F123" s="31"/>
      <c r="G123" s="31"/>
      <c r="H123" s="31"/>
      <c r="I123" s="31"/>
      <c r="J123" s="31"/>
      <c r="K123" s="32"/>
      <c r="L123" s="32"/>
      <c r="M123" s="32"/>
      <c r="P123" s="28">
        <f t="shared" si="1"/>
        <v>0</v>
      </c>
      <c r="Q123" s="33"/>
    </row>
    <row r="124" spans="1:17" x14ac:dyDescent="0.25">
      <c r="A124" s="23"/>
      <c r="B124" s="38" t="s">
        <v>124</v>
      </c>
      <c r="C124" s="25" t="s">
        <v>133</v>
      </c>
      <c r="D124" s="26">
        <f>COUNTIFS('[1]TOTAL SUSPEK'!$F:$F,"Raji")</f>
        <v>1</v>
      </c>
      <c r="E124" s="30"/>
      <c r="F124" s="31"/>
      <c r="G124" s="31"/>
      <c r="H124" s="31"/>
      <c r="I124" s="31"/>
      <c r="J124" s="31"/>
      <c r="K124" s="32"/>
      <c r="L124" s="32"/>
      <c r="M124" s="32"/>
      <c r="P124" s="28">
        <f t="shared" si="1"/>
        <v>1</v>
      </c>
      <c r="Q124" s="33"/>
    </row>
    <row r="125" spans="1:17" x14ac:dyDescent="0.25">
      <c r="A125" s="23"/>
      <c r="B125" s="38" t="s">
        <v>124</v>
      </c>
      <c r="C125" s="25" t="s">
        <v>134</v>
      </c>
      <c r="D125" s="26">
        <f>COUNTIFS('[1]TOTAL SUSPEK'!$F:$F,"Mulyorejo")</f>
        <v>1</v>
      </c>
      <c r="E125" s="30"/>
      <c r="F125" s="31"/>
      <c r="G125" s="31"/>
      <c r="H125" s="31"/>
      <c r="I125" s="31"/>
      <c r="J125" s="31"/>
      <c r="K125" s="32"/>
      <c r="L125" s="32"/>
      <c r="M125" s="32"/>
      <c r="P125" s="28">
        <f t="shared" si="1"/>
        <v>1</v>
      </c>
      <c r="Q125" s="33"/>
    </row>
    <row r="126" spans="1:17" x14ac:dyDescent="0.25">
      <c r="A126" s="23"/>
      <c r="B126" s="38" t="s">
        <v>124</v>
      </c>
      <c r="C126" s="25" t="s">
        <v>135</v>
      </c>
      <c r="D126" s="26">
        <f>COUNTIFS('[1]TOTAL SUSPEK'!$F:$F,"Sedo")</f>
        <v>0</v>
      </c>
      <c r="E126" s="30"/>
      <c r="F126" s="31"/>
      <c r="G126" s="31"/>
      <c r="H126" s="31"/>
      <c r="I126" s="31"/>
      <c r="J126" s="31"/>
      <c r="K126" s="32"/>
      <c r="L126" s="32"/>
      <c r="M126" s="32"/>
      <c r="P126" s="28">
        <f t="shared" si="1"/>
        <v>0</v>
      </c>
      <c r="Q126" s="33"/>
    </row>
    <row r="127" spans="1:17" x14ac:dyDescent="0.25">
      <c r="A127" s="23"/>
      <c r="B127" s="38" t="s">
        <v>124</v>
      </c>
      <c r="C127" s="45" t="s">
        <v>136</v>
      </c>
      <c r="D127" s="26">
        <f>COUNTIFS('[1]TOTAL SUSPEK'!$F:$F,"Bolo")</f>
        <v>0</v>
      </c>
      <c r="E127" s="30"/>
      <c r="F127" s="31"/>
      <c r="G127" s="31"/>
      <c r="H127" s="31"/>
      <c r="I127" s="31"/>
      <c r="J127" s="31"/>
      <c r="K127" s="32"/>
      <c r="L127" s="32"/>
      <c r="M127" s="32"/>
      <c r="P127" s="28">
        <f t="shared" si="1"/>
        <v>0</v>
      </c>
      <c r="Q127" s="33"/>
    </row>
    <row r="128" spans="1:17" x14ac:dyDescent="0.25">
      <c r="A128" s="23"/>
      <c r="B128" s="38" t="s">
        <v>124</v>
      </c>
      <c r="C128" s="25" t="s">
        <v>137</v>
      </c>
      <c r="D128" s="26">
        <f>COUNTIFS('[1]TOTAL SUSPEK'!$F:$F,"Katonsari")</f>
        <v>3</v>
      </c>
      <c r="E128" s="30"/>
      <c r="F128" s="31"/>
      <c r="G128" s="31"/>
      <c r="H128" s="31"/>
      <c r="I128" s="31"/>
      <c r="J128" s="31"/>
      <c r="K128" s="32"/>
      <c r="L128" s="32"/>
      <c r="M128" s="32"/>
      <c r="P128" s="28">
        <f t="shared" si="1"/>
        <v>3</v>
      </c>
      <c r="Q128" s="33"/>
    </row>
    <row r="129" spans="1:17" x14ac:dyDescent="0.25">
      <c r="A129" s="23"/>
      <c r="B129" s="38" t="s">
        <v>124</v>
      </c>
      <c r="C129" s="25" t="s">
        <v>138</v>
      </c>
      <c r="D129" s="26">
        <f>COUNTIFS('[1]TOTAL SUSPEK'!$F:$F,"Kalikondang")</f>
        <v>0</v>
      </c>
      <c r="E129" s="30"/>
      <c r="F129" s="31"/>
      <c r="G129" s="31"/>
      <c r="H129" s="31"/>
      <c r="I129" s="31"/>
      <c r="J129" s="31"/>
      <c r="K129" s="32"/>
      <c r="L129" s="32"/>
      <c r="M129" s="32"/>
      <c r="P129" s="28">
        <f t="shared" si="1"/>
        <v>0</v>
      </c>
      <c r="Q129" s="33"/>
    </row>
    <row r="130" spans="1:17" x14ac:dyDescent="0.25">
      <c r="A130" s="23"/>
      <c r="B130" s="38" t="s">
        <v>124</v>
      </c>
      <c r="C130" s="25" t="s">
        <v>139</v>
      </c>
      <c r="D130" s="26">
        <f>COUNTIFS('[1]TOTAL SUSPEK'!$F:$F,"Cabean")</f>
        <v>0</v>
      </c>
      <c r="E130" s="30"/>
      <c r="F130" s="31"/>
      <c r="G130" s="31"/>
      <c r="H130" s="31"/>
      <c r="I130" s="31"/>
      <c r="J130" s="31"/>
      <c r="K130" s="32"/>
      <c r="L130" s="32"/>
      <c r="M130" s="32"/>
      <c r="P130" s="28">
        <f t="shared" si="1"/>
        <v>0</v>
      </c>
      <c r="Q130" s="33"/>
    </row>
    <row r="131" spans="1:17" x14ac:dyDescent="0.25">
      <c r="A131" s="23"/>
      <c r="B131" s="38" t="s">
        <v>124</v>
      </c>
      <c r="C131" s="25" t="s">
        <v>140</v>
      </c>
      <c r="D131" s="26">
        <f>COUNTIFS('[1]TOTAL SUSPEK'!$F:$F,"Tempuran")</f>
        <v>0</v>
      </c>
      <c r="E131" s="30"/>
      <c r="F131" s="31"/>
      <c r="G131" s="31"/>
      <c r="H131" s="31"/>
      <c r="I131" s="31"/>
      <c r="J131" s="31"/>
      <c r="K131" s="32"/>
      <c r="L131" s="32"/>
      <c r="M131" s="32"/>
      <c r="P131" s="28">
        <f t="shared" si="1"/>
        <v>0</v>
      </c>
      <c r="Q131" s="33"/>
    </row>
    <row r="132" spans="1:17" x14ac:dyDescent="0.25">
      <c r="A132" s="23"/>
      <c r="B132" s="38" t="s">
        <v>124</v>
      </c>
      <c r="C132" s="25" t="s">
        <v>141</v>
      </c>
      <c r="D132" s="26">
        <f>COUNTIFS('[1]TOTAL SUSPEK'!$F:$F,"Donorojo")</f>
        <v>0</v>
      </c>
      <c r="E132" s="30"/>
      <c r="F132" s="31"/>
      <c r="G132" s="31"/>
      <c r="H132" s="31"/>
      <c r="I132" s="31"/>
      <c r="J132" s="31"/>
      <c r="K132" s="32"/>
      <c r="L132" s="32"/>
      <c r="M132" s="32"/>
      <c r="P132" s="28">
        <f t="shared" si="1"/>
        <v>0</v>
      </c>
      <c r="Q132" s="33"/>
    </row>
    <row r="133" spans="1:17" x14ac:dyDescent="0.25">
      <c r="A133" s="23"/>
      <c r="B133" s="38" t="s">
        <v>124</v>
      </c>
      <c r="C133" s="25" t="s">
        <v>142</v>
      </c>
      <c r="D133" s="26">
        <f>COUNTIFS('[1]TOTAL SUSPEK'!$F:$F,"Mangunjiwan")</f>
        <v>3</v>
      </c>
      <c r="E133" s="30"/>
      <c r="F133" s="31"/>
      <c r="G133" s="31"/>
      <c r="H133" s="31"/>
      <c r="I133" s="31"/>
      <c r="J133" s="31"/>
      <c r="K133" s="32"/>
      <c r="L133" s="32"/>
      <c r="M133" s="32"/>
      <c r="P133" s="28">
        <f t="shared" si="1"/>
        <v>3</v>
      </c>
      <c r="Q133" s="33"/>
    </row>
    <row r="134" spans="1:17" x14ac:dyDescent="0.25">
      <c r="A134" s="23">
        <v>8</v>
      </c>
      <c r="B134" s="38" t="s">
        <v>143</v>
      </c>
      <c r="C134" s="25" t="s">
        <v>144</v>
      </c>
      <c r="D134" s="26">
        <f>COUNTIFS('[1]TOTAL SUSPEK'!$F:$F,"Morodemak")</f>
        <v>0</v>
      </c>
      <c r="E134" s="30" t="e">
        <f>SUM(#REF!)</f>
        <v>#REF!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>
        <f>SUM(D134:D154)</f>
        <v>2</v>
      </c>
      <c r="M134" s="30" t="e">
        <f>SUM(#REF!)</f>
        <v>#REF!</v>
      </c>
      <c r="P134" s="28">
        <f t="shared" si="1"/>
        <v>0</v>
      </c>
      <c r="Q134" s="29">
        <f>SUM(P134:P154)</f>
        <v>2</v>
      </c>
    </row>
    <row r="135" spans="1:17" x14ac:dyDescent="0.25">
      <c r="A135" s="23"/>
      <c r="B135" s="38" t="s">
        <v>143</v>
      </c>
      <c r="C135" s="25" t="s">
        <v>145</v>
      </c>
      <c r="D135" s="26">
        <f>COUNTIFS('[1]TOTAL SUSPEK'!$F:$F,"Purworejo")</f>
        <v>0</v>
      </c>
      <c r="E135" s="30"/>
      <c r="F135" s="31"/>
      <c r="G135" s="31"/>
      <c r="H135" s="31"/>
      <c r="I135" s="31"/>
      <c r="J135" s="31"/>
      <c r="K135" s="32"/>
      <c r="L135" s="32"/>
      <c r="M135" s="32"/>
      <c r="P135" s="28">
        <f t="shared" si="1"/>
        <v>0</v>
      </c>
      <c r="Q135" s="33"/>
    </row>
    <row r="136" spans="1:17" x14ac:dyDescent="0.25">
      <c r="A136" s="23"/>
      <c r="B136" s="38" t="s">
        <v>143</v>
      </c>
      <c r="C136" s="25" t="s">
        <v>22</v>
      </c>
      <c r="D136" s="26">
        <f>COUNTIFS('[1]TOTAL SUSPEK'!$F:$F,"Sumberejo",'[1]TOTAL SUSPEK'!$E:$E,"bonang")</f>
        <v>0</v>
      </c>
      <c r="E136" s="30"/>
      <c r="F136" s="31"/>
      <c r="G136" s="31"/>
      <c r="H136" s="31"/>
      <c r="I136" s="31"/>
      <c r="J136" s="31"/>
      <c r="K136" s="32"/>
      <c r="L136" s="32"/>
      <c r="M136" s="32"/>
      <c r="P136" s="28">
        <f t="shared" ref="P136:P199" si="2">SUM(D136:D136)</f>
        <v>0</v>
      </c>
      <c r="Q136" s="33"/>
    </row>
    <row r="137" spans="1:17" x14ac:dyDescent="0.25">
      <c r="A137" s="23"/>
      <c r="B137" s="38" t="s">
        <v>143</v>
      </c>
      <c r="C137" s="25" t="s">
        <v>146</v>
      </c>
      <c r="D137" s="26">
        <f>COUNTIFS('[1]TOTAL SUSPEK'!$F:$F,"Gebangarum")</f>
        <v>1</v>
      </c>
      <c r="E137" s="30"/>
      <c r="F137" s="31"/>
      <c r="G137" s="31"/>
      <c r="H137" s="31"/>
      <c r="I137" s="31"/>
      <c r="J137" s="31"/>
      <c r="K137" s="32"/>
      <c r="L137" s="32"/>
      <c r="M137" s="32"/>
      <c r="P137" s="28">
        <f t="shared" si="2"/>
        <v>1</v>
      </c>
      <c r="Q137" s="33"/>
    </row>
    <row r="138" spans="1:17" x14ac:dyDescent="0.25">
      <c r="A138" s="23"/>
      <c r="B138" s="38" t="s">
        <v>143</v>
      </c>
      <c r="C138" s="25" t="s">
        <v>147</v>
      </c>
      <c r="D138" s="26">
        <f>COUNTIFS('[1]TOTAL SUSPEK'!$F:$F,"Gebang")</f>
        <v>0</v>
      </c>
      <c r="E138" s="30"/>
      <c r="F138" s="31"/>
      <c r="G138" s="31"/>
      <c r="H138" s="31"/>
      <c r="I138" s="31"/>
      <c r="J138" s="31"/>
      <c r="K138" s="32"/>
      <c r="L138" s="32"/>
      <c r="M138" s="32"/>
      <c r="P138" s="28">
        <f t="shared" si="2"/>
        <v>0</v>
      </c>
      <c r="Q138" s="33"/>
    </row>
    <row r="139" spans="1:17" x14ac:dyDescent="0.25">
      <c r="A139" s="23"/>
      <c r="B139" s="38" t="s">
        <v>143</v>
      </c>
      <c r="C139" s="25" t="s">
        <v>148</v>
      </c>
      <c r="D139" s="26">
        <f>COUNTIFS('[1]TOTAL SUSPEK'!$F:$F,"Kembangan")</f>
        <v>0</v>
      </c>
      <c r="E139" s="30"/>
      <c r="F139" s="31"/>
      <c r="G139" s="31"/>
      <c r="H139" s="31"/>
      <c r="I139" s="31"/>
      <c r="J139" s="31"/>
      <c r="K139" s="32"/>
      <c r="L139" s="32"/>
      <c r="M139" s="32"/>
      <c r="P139" s="28">
        <f t="shared" si="2"/>
        <v>0</v>
      </c>
      <c r="Q139" s="33"/>
    </row>
    <row r="140" spans="1:17" x14ac:dyDescent="0.25">
      <c r="A140" s="23"/>
      <c r="B140" s="38" t="s">
        <v>143</v>
      </c>
      <c r="C140" s="25" t="s">
        <v>72</v>
      </c>
      <c r="D140" s="26">
        <f>COUNTIFS('[1]TOTAL SUSPEK'!$F:$F,"Karangrejo",'[1]TOTAL SUSPEK'!$E:$E,"bonang")</f>
        <v>0</v>
      </c>
      <c r="E140" s="30"/>
      <c r="F140" s="31"/>
      <c r="G140" s="31"/>
      <c r="H140" s="31"/>
      <c r="I140" s="31"/>
      <c r="J140" s="31"/>
      <c r="K140" s="32"/>
      <c r="L140" s="32"/>
      <c r="M140" s="32"/>
      <c r="P140" s="28">
        <f t="shared" si="2"/>
        <v>0</v>
      </c>
      <c r="Q140" s="33"/>
    </row>
    <row r="141" spans="1:17" x14ac:dyDescent="0.25">
      <c r="A141" s="23"/>
      <c r="B141" s="38" t="s">
        <v>143</v>
      </c>
      <c r="C141" s="25" t="s">
        <v>149</v>
      </c>
      <c r="D141" s="26">
        <f>COUNTIFS('[1]TOTAL SUSPEK'!$F:$F,"Sukodono")</f>
        <v>0</v>
      </c>
      <c r="E141" s="30"/>
      <c r="F141" s="31"/>
      <c r="G141" s="31"/>
      <c r="H141" s="31"/>
      <c r="I141" s="31"/>
      <c r="J141" s="31"/>
      <c r="K141" s="32"/>
      <c r="L141" s="32"/>
      <c r="M141" s="32"/>
      <c r="P141" s="28">
        <f t="shared" si="2"/>
        <v>0</v>
      </c>
      <c r="Q141" s="33"/>
    </row>
    <row r="142" spans="1:17" x14ac:dyDescent="0.25">
      <c r="A142" s="23"/>
      <c r="B142" s="38" t="s">
        <v>143</v>
      </c>
      <c r="C142" s="25" t="s">
        <v>150</v>
      </c>
      <c r="D142" s="26">
        <f>COUNTIFS('[1]TOTAL SUSPEK'!$F:$F,"Tlogoboyo")</f>
        <v>0</v>
      </c>
      <c r="E142" s="30"/>
      <c r="F142" s="31"/>
      <c r="G142" s="31"/>
      <c r="H142" s="31"/>
      <c r="I142" s="31"/>
      <c r="J142" s="31"/>
      <c r="K142" s="32"/>
      <c r="L142" s="32"/>
      <c r="M142" s="32"/>
      <c r="P142" s="28">
        <f t="shared" si="2"/>
        <v>0</v>
      </c>
      <c r="Q142" s="33"/>
    </row>
    <row r="143" spans="1:17" x14ac:dyDescent="0.25">
      <c r="A143" s="23"/>
      <c r="B143" s="38" t="s">
        <v>143</v>
      </c>
      <c r="C143" s="25" t="s">
        <v>151</v>
      </c>
      <c r="D143" s="26">
        <f>COUNTIFS('[1]TOTAL SUSPEK'!$F:$F,"Margolinduk")</f>
        <v>0</v>
      </c>
      <c r="E143" s="30"/>
      <c r="F143" s="31"/>
      <c r="G143" s="31"/>
      <c r="H143" s="31"/>
      <c r="I143" s="31"/>
      <c r="J143" s="31"/>
      <c r="K143" s="32"/>
      <c r="L143" s="32"/>
      <c r="M143" s="32"/>
      <c r="P143" s="28">
        <f t="shared" si="2"/>
        <v>0</v>
      </c>
      <c r="Q143" s="33"/>
    </row>
    <row r="144" spans="1:17" x14ac:dyDescent="0.25">
      <c r="A144" s="23"/>
      <c r="B144" s="38" t="s">
        <v>143</v>
      </c>
      <c r="C144" s="25" t="s">
        <v>152</v>
      </c>
      <c r="D144" s="26">
        <f>COUNTIFS('[1]TOTAL SUSPEK'!$F:$F,"Tridonorejo")</f>
        <v>0</v>
      </c>
      <c r="E144" s="30"/>
      <c r="F144" s="31"/>
      <c r="G144" s="31"/>
      <c r="H144" s="31"/>
      <c r="I144" s="31"/>
      <c r="J144" s="31"/>
      <c r="K144" s="32"/>
      <c r="L144" s="32"/>
      <c r="M144" s="32"/>
      <c r="P144" s="28">
        <f t="shared" si="2"/>
        <v>0</v>
      </c>
      <c r="Q144" s="33"/>
    </row>
    <row r="145" spans="1:17" x14ac:dyDescent="0.25">
      <c r="A145" s="23"/>
      <c r="B145" s="38" t="s">
        <v>143</v>
      </c>
      <c r="C145" s="25" t="s">
        <v>153</v>
      </c>
      <c r="D145" s="26">
        <f>COUNTIFS('[1]TOTAL SUSPEK'!$F:$F,"Wonosari")</f>
        <v>0</v>
      </c>
      <c r="E145" s="30"/>
      <c r="F145" s="31"/>
      <c r="G145" s="31"/>
      <c r="H145" s="31"/>
      <c r="I145" s="31"/>
      <c r="J145" s="31"/>
      <c r="K145" s="32"/>
      <c r="L145" s="32"/>
      <c r="M145" s="32"/>
      <c r="P145" s="28">
        <f t="shared" si="2"/>
        <v>0</v>
      </c>
      <c r="Q145" s="33"/>
    </row>
    <row r="146" spans="1:17" x14ac:dyDescent="0.25">
      <c r="A146" s="23"/>
      <c r="B146" s="38" t="s">
        <v>143</v>
      </c>
      <c r="C146" s="25" t="s">
        <v>154</v>
      </c>
      <c r="D146" s="26">
        <f>COUNTIFS('[1]TOTAL SUSPEK'!$F:$F,"Jatirogo")</f>
        <v>1</v>
      </c>
      <c r="E146" s="30"/>
      <c r="F146" s="31"/>
      <c r="G146" s="31"/>
      <c r="H146" s="31"/>
      <c r="I146" s="31"/>
      <c r="J146" s="31"/>
      <c r="K146" s="32"/>
      <c r="L146" s="32"/>
      <c r="M146" s="32"/>
      <c r="P146" s="28">
        <f t="shared" si="2"/>
        <v>1</v>
      </c>
      <c r="Q146" s="33"/>
    </row>
    <row r="147" spans="1:17" x14ac:dyDescent="0.25">
      <c r="A147" s="23"/>
      <c r="B147" s="38" t="s">
        <v>143</v>
      </c>
      <c r="C147" s="25" t="s">
        <v>155</v>
      </c>
      <c r="D147" s="26">
        <f>COUNTIFS('[1]TOTAL SUSPEK'!$F:$F,"Poncoharjo")</f>
        <v>0</v>
      </c>
      <c r="E147" s="30"/>
      <c r="F147" s="31"/>
      <c r="G147" s="31"/>
      <c r="H147" s="31"/>
      <c r="I147" s="31"/>
      <c r="J147" s="31"/>
      <c r="K147" s="32"/>
      <c r="L147" s="32"/>
      <c r="M147" s="32"/>
      <c r="P147" s="28">
        <f t="shared" si="2"/>
        <v>0</v>
      </c>
      <c r="Q147" s="33"/>
    </row>
    <row r="148" spans="1:17" x14ac:dyDescent="0.25">
      <c r="A148" s="23"/>
      <c r="B148" s="38" t="s">
        <v>143</v>
      </c>
      <c r="C148" s="25" t="s">
        <v>156</v>
      </c>
      <c r="D148" s="26">
        <f>COUNTIFS('[1]TOTAL SUSPEK'!$F:$F,"Jali")</f>
        <v>0</v>
      </c>
      <c r="E148" s="30"/>
      <c r="F148" s="31"/>
      <c r="G148" s="31"/>
      <c r="H148" s="31"/>
      <c r="I148" s="31"/>
      <c r="J148" s="31"/>
      <c r="K148" s="32"/>
      <c r="L148" s="32"/>
      <c r="M148" s="32"/>
      <c r="P148" s="28">
        <f t="shared" si="2"/>
        <v>0</v>
      </c>
      <c r="Q148" s="33"/>
    </row>
    <row r="149" spans="1:17" x14ac:dyDescent="0.25">
      <c r="A149" s="23"/>
      <c r="B149" s="38" t="s">
        <v>143</v>
      </c>
      <c r="C149" s="25" t="s">
        <v>157</v>
      </c>
      <c r="D149" s="26">
        <f>COUNTIFS('[1]TOTAL SUSPEK'!$F:$F,"Krajanbogo")</f>
        <v>0</v>
      </c>
      <c r="E149" s="30"/>
      <c r="F149" s="31"/>
      <c r="G149" s="31"/>
      <c r="H149" s="31"/>
      <c r="I149" s="31"/>
      <c r="J149" s="31"/>
      <c r="K149" s="32"/>
      <c r="L149" s="32"/>
      <c r="M149" s="32"/>
      <c r="P149" s="28">
        <f t="shared" si="2"/>
        <v>0</v>
      </c>
      <c r="Q149" s="33"/>
    </row>
    <row r="150" spans="1:17" x14ac:dyDescent="0.25">
      <c r="A150" s="23"/>
      <c r="B150" s="38" t="s">
        <v>143</v>
      </c>
      <c r="C150" s="25" t="s">
        <v>158</v>
      </c>
      <c r="D150" s="26">
        <f>COUNTIFS('[1]TOTAL SUSPEK'!$F:$F,"Serangan")</f>
        <v>0</v>
      </c>
      <c r="E150" s="30"/>
      <c r="F150" s="31"/>
      <c r="G150" s="31"/>
      <c r="H150" s="31"/>
      <c r="I150" s="31"/>
      <c r="J150" s="31"/>
      <c r="K150" s="32"/>
      <c r="L150" s="32"/>
      <c r="M150" s="32"/>
      <c r="P150" s="28">
        <f t="shared" si="2"/>
        <v>0</v>
      </c>
      <c r="Q150" s="33"/>
    </row>
    <row r="151" spans="1:17" x14ac:dyDescent="0.25">
      <c r="A151" s="23"/>
      <c r="B151" s="38" t="s">
        <v>143</v>
      </c>
      <c r="C151" s="45" t="s">
        <v>159</v>
      </c>
      <c r="D151" s="26">
        <f>COUNTIFS('[1]TOTAL SUSPEK'!$F:$F,"Betahwalang")</f>
        <v>0</v>
      </c>
      <c r="E151" s="30"/>
      <c r="F151" s="31"/>
      <c r="G151" s="31"/>
      <c r="H151" s="31"/>
      <c r="I151" s="31"/>
      <c r="J151" s="31"/>
      <c r="K151" s="32"/>
      <c r="L151" s="32"/>
      <c r="M151" s="32"/>
      <c r="P151" s="28">
        <f t="shared" si="2"/>
        <v>0</v>
      </c>
      <c r="Q151" s="33"/>
    </row>
    <row r="152" spans="1:17" x14ac:dyDescent="0.25">
      <c r="A152" s="23"/>
      <c r="B152" s="38" t="s">
        <v>143</v>
      </c>
      <c r="C152" s="25" t="s">
        <v>160</v>
      </c>
      <c r="D152" s="26">
        <f>COUNTIFS('[1]TOTAL SUSPEK'!$F:$F,"Jatimulyo")</f>
        <v>0</v>
      </c>
      <c r="E152" s="30"/>
      <c r="F152" s="31"/>
      <c r="G152" s="31"/>
      <c r="H152" s="31"/>
      <c r="I152" s="31"/>
      <c r="J152" s="31"/>
      <c r="K152" s="32"/>
      <c r="L152" s="32"/>
      <c r="M152" s="32"/>
      <c r="P152" s="28">
        <f t="shared" si="2"/>
        <v>0</v>
      </c>
      <c r="Q152" s="33"/>
    </row>
    <row r="153" spans="1:17" x14ac:dyDescent="0.25">
      <c r="A153" s="23"/>
      <c r="B153" s="38" t="s">
        <v>143</v>
      </c>
      <c r="C153" s="25" t="s">
        <v>161</v>
      </c>
      <c r="D153" s="26">
        <f>COUNTIFS('[1]TOTAL SUSPEK'!$F:$F,"Weding")</f>
        <v>0</v>
      </c>
      <c r="E153" s="30"/>
      <c r="F153" s="31"/>
      <c r="G153" s="31"/>
      <c r="H153" s="31"/>
      <c r="I153" s="31"/>
      <c r="J153" s="31"/>
      <c r="K153" s="32"/>
      <c r="L153" s="32"/>
      <c r="M153" s="32"/>
      <c r="P153" s="28">
        <f t="shared" si="2"/>
        <v>0</v>
      </c>
      <c r="Q153" s="33"/>
    </row>
    <row r="154" spans="1:17" x14ac:dyDescent="0.25">
      <c r="A154" s="23"/>
      <c r="B154" s="38" t="s">
        <v>143</v>
      </c>
      <c r="C154" s="25" t="s">
        <v>162</v>
      </c>
      <c r="D154" s="26">
        <f>COUNTIFS('[1]TOTAL SUSPEK'!$F:$F,"Bonangrejo")</f>
        <v>0</v>
      </c>
      <c r="E154" s="30"/>
      <c r="F154" s="31"/>
      <c r="G154" s="31"/>
      <c r="H154" s="31"/>
      <c r="I154" s="31"/>
      <c r="J154" s="31"/>
      <c r="K154" s="32"/>
      <c r="L154" s="32"/>
      <c r="M154" s="32"/>
      <c r="P154" s="28">
        <f t="shared" si="2"/>
        <v>0</v>
      </c>
      <c r="Q154" s="33"/>
    </row>
    <row r="155" spans="1:17" ht="15" customHeight="1" x14ac:dyDescent="0.25">
      <c r="A155" s="23">
        <v>9</v>
      </c>
      <c r="B155" s="38" t="s">
        <v>163</v>
      </c>
      <c r="C155" s="25" t="s">
        <v>164</v>
      </c>
      <c r="D155" s="26">
        <f>COUNTIFS('[1]TOTAL SUSPEK'!$F:$F,"Temuroso")</f>
        <v>1</v>
      </c>
      <c r="E155" s="30" t="e">
        <f>SUM(#REF!)</f>
        <v>#REF!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>
        <f>SUM(D155:D174)</f>
        <v>7</v>
      </c>
      <c r="M155" s="30" t="e">
        <f>SUM(#REF!)</f>
        <v>#REF!</v>
      </c>
      <c r="P155" s="28">
        <f t="shared" si="2"/>
        <v>1</v>
      </c>
      <c r="Q155" s="29">
        <f>SUM(P155:P174)</f>
        <v>7</v>
      </c>
    </row>
    <row r="156" spans="1:17" ht="15" customHeight="1" x14ac:dyDescent="0.25">
      <c r="A156" s="23"/>
      <c r="B156" s="38" t="s">
        <v>163</v>
      </c>
      <c r="C156" s="25" t="s">
        <v>165</v>
      </c>
      <c r="D156" s="26">
        <f>COUNTIFS('[1]TOTAL SUSPEK'!$F:$F,"Turitempel")</f>
        <v>0</v>
      </c>
      <c r="E156" s="30"/>
      <c r="F156" s="31"/>
      <c r="G156" s="31"/>
      <c r="H156" s="31"/>
      <c r="I156" s="31"/>
      <c r="J156" s="31"/>
      <c r="K156" s="32"/>
      <c r="L156" s="32"/>
      <c r="M156" s="32"/>
      <c r="P156" s="28">
        <f t="shared" si="2"/>
        <v>0</v>
      </c>
      <c r="Q156" s="33"/>
    </row>
    <row r="157" spans="1:17" ht="15" customHeight="1" x14ac:dyDescent="0.25">
      <c r="A157" s="23"/>
      <c r="B157" s="38" t="s">
        <v>163</v>
      </c>
      <c r="C157" s="25" t="s">
        <v>166</v>
      </c>
      <c r="D157" s="26">
        <f>COUNTIFS('[1]TOTAL SUSPEK'!$F:$F,"Tlogoweru")</f>
        <v>1</v>
      </c>
      <c r="E157" s="30"/>
      <c r="F157" s="31"/>
      <c r="G157" s="31"/>
      <c r="H157" s="31"/>
      <c r="I157" s="31"/>
      <c r="J157" s="31"/>
      <c r="K157" s="32"/>
      <c r="L157" s="32"/>
      <c r="M157" s="32"/>
      <c r="P157" s="28">
        <f t="shared" si="2"/>
        <v>1</v>
      </c>
      <c r="Q157" s="33"/>
    </row>
    <row r="158" spans="1:17" ht="15" customHeight="1" x14ac:dyDescent="0.25">
      <c r="A158" s="23"/>
      <c r="B158" s="38" t="s">
        <v>163</v>
      </c>
      <c r="C158" s="25" t="s">
        <v>167</v>
      </c>
      <c r="D158" s="26">
        <f>COUNTIFS('[1]TOTAL SUSPEK'!$F:$F,"Trimulyo")</f>
        <v>0</v>
      </c>
      <c r="E158" s="30"/>
      <c r="F158" s="31"/>
      <c r="G158" s="31"/>
      <c r="H158" s="31"/>
      <c r="I158" s="31"/>
      <c r="J158" s="31"/>
      <c r="K158" s="32"/>
      <c r="L158" s="32"/>
      <c r="M158" s="32"/>
      <c r="P158" s="28">
        <f t="shared" si="2"/>
        <v>0</v>
      </c>
      <c r="Q158" s="33"/>
    </row>
    <row r="159" spans="1:17" ht="15" customHeight="1" x14ac:dyDescent="0.25">
      <c r="A159" s="23"/>
      <c r="B159" s="38" t="s">
        <v>163</v>
      </c>
      <c r="C159" s="25" t="s">
        <v>168</v>
      </c>
      <c r="D159" s="26">
        <f>COUNTIFS('[1]TOTAL SUSPEK'!$F:$F,"Bakalrejo")</f>
        <v>1</v>
      </c>
      <c r="E159" s="30"/>
      <c r="F159" s="31"/>
      <c r="G159" s="31"/>
      <c r="H159" s="31"/>
      <c r="I159" s="31"/>
      <c r="J159" s="31"/>
      <c r="K159" s="32"/>
      <c r="L159" s="32"/>
      <c r="M159" s="32"/>
      <c r="P159" s="28">
        <f t="shared" si="2"/>
        <v>1</v>
      </c>
      <c r="Q159" s="33"/>
    </row>
    <row r="160" spans="1:17" ht="15" customHeight="1" x14ac:dyDescent="0.25">
      <c r="A160" s="23"/>
      <c r="B160" s="38" t="s">
        <v>163</v>
      </c>
      <c r="C160" s="25" t="s">
        <v>69</v>
      </c>
      <c r="D160" s="26">
        <f>COUNTIFS('[1]TOTAL SUSPEK'!$F:$F,"Tlogorejo",'[1]TOTAL SUSPEK'!$E:$E,"guntur")</f>
        <v>0</v>
      </c>
      <c r="E160" s="30"/>
      <c r="F160" s="31"/>
      <c r="G160" s="31"/>
      <c r="H160" s="31"/>
      <c r="I160" s="31"/>
      <c r="J160" s="31"/>
      <c r="K160" s="32"/>
      <c r="L160" s="32"/>
      <c r="M160" s="32"/>
      <c r="P160" s="28">
        <f t="shared" si="2"/>
        <v>0</v>
      </c>
      <c r="Q160" s="33"/>
    </row>
    <row r="161" spans="1:17" ht="15" customHeight="1" x14ac:dyDescent="0.25">
      <c r="A161" s="23"/>
      <c r="B161" s="38" t="s">
        <v>163</v>
      </c>
      <c r="C161" s="25" t="s">
        <v>169</v>
      </c>
      <c r="D161" s="26">
        <f>COUNTIFS('[1]TOTAL SUSPEK'!$F:$F,"Bumiharjo")</f>
        <v>0</v>
      </c>
      <c r="E161" s="30"/>
      <c r="F161" s="31"/>
      <c r="G161" s="31"/>
      <c r="H161" s="31"/>
      <c r="I161" s="31"/>
      <c r="J161" s="31"/>
      <c r="K161" s="32"/>
      <c r="L161" s="32"/>
      <c r="M161" s="32"/>
      <c r="P161" s="28">
        <f t="shared" si="2"/>
        <v>0</v>
      </c>
      <c r="Q161" s="33"/>
    </row>
    <row r="162" spans="1:17" ht="15" customHeight="1" x14ac:dyDescent="0.25">
      <c r="A162" s="23"/>
      <c r="B162" s="38" t="s">
        <v>163</v>
      </c>
      <c r="C162" s="25" t="s">
        <v>170</v>
      </c>
      <c r="D162" s="26">
        <f>COUNTIFS('[1]TOTAL SUSPEK'!$F:$F,"Sidoharjo")</f>
        <v>0</v>
      </c>
      <c r="E162" s="30"/>
      <c r="F162" s="31"/>
      <c r="G162" s="31"/>
      <c r="H162" s="31"/>
      <c r="I162" s="31"/>
      <c r="J162" s="31"/>
      <c r="K162" s="32"/>
      <c r="L162" s="32"/>
      <c r="M162" s="32"/>
      <c r="P162" s="28">
        <f t="shared" si="2"/>
        <v>0</v>
      </c>
      <c r="Q162" s="33"/>
    </row>
    <row r="163" spans="1:17" ht="15" customHeight="1" x14ac:dyDescent="0.25">
      <c r="A163" s="23"/>
      <c r="B163" s="38" t="s">
        <v>163</v>
      </c>
      <c r="C163" s="25" t="s">
        <v>171</v>
      </c>
      <c r="D163" s="26">
        <f>COUNTIFS('[1]TOTAL SUSPEK'!$F:$F,"Bogosari")</f>
        <v>1</v>
      </c>
      <c r="E163" s="30"/>
      <c r="F163" s="31"/>
      <c r="G163" s="31"/>
      <c r="H163" s="31"/>
      <c r="I163" s="31"/>
      <c r="J163" s="31"/>
      <c r="K163" s="32"/>
      <c r="L163" s="32"/>
      <c r="M163" s="32"/>
      <c r="P163" s="28">
        <f t="shared" si="2"/>
        <v>1</v>
      </c>
      <c r="Q163" s="33"/>
    </row>
    <row r="164" spans="1:17" ht="15" customHeight="1" x14ac:dyDescent="0.25">
      <c r="A164" s="23"/>
      <c r="B164" s="38" t="s">
        <v>163</v>
      </c>
      <c r="C164" s="25" t="s">
        <v>172</v>
      </c>
      <c r="D164" s="26">
        <f>COUNTIFS('[1]TOTAL SUSPEK'!$F:$F,"Guntur")</f>
        <v>0</v>
      </c>
      <c r="E164" s="30"/>
      <c r="F164" s="31"/>
      <c r="G164" s="31"/>
      <c r="H164" s="31"/>
      <c r="I164" s="31"/>
      <c r="J164" s="31"/>
      <c r="K164" s="32"/>
      <c r="L164" s="32"/>
      <c r="M164" s="32"/>
      <c r="P164" s="28">
        <f t="shared" si="2"/>
        <v>0</v>
      </c>
      <c r="Q164" s="33"/>
    </row>
    <row r="165" spans="1:17" ht="15" customHeight="1" x14ac:dyDescent="0.25">
      <c r="A165" s="23"/>
      <c r="B165" s="38" t="s">
        <v>163</v>
      </c>
      <c r="C165" s="25" t="s">
        <v>173</v>
      </c>
      <c r="D165" s="26">
        <f>COUNTIFS('[1]TOTAL SUSPEK'!$F:$F,"Blerong")</f>
        <v>1</v>
      </c>
      <c r="E165" s="30"/>
      <c r="F165" s="31"/>
      <c r="G165" s="31"/>
      <c r="H165" s="31"/>
      <c r="I165" s="31"/>
      <c r="J165" s="31"/>
      <c r="K165" s="32"/>
      <c r="L165" s="32"/>
      <c r="M165" s="32"/>
      <c r="P165" s="28">
        <f t="shared" si="2"/>
        <v>1</v>
      </c>
      <c r="Q165" s="33"/>
    </row>
    <row r="166" spans="1:17" ht="15" customHeight="1" x14ac:dyDescent="0.25">
      <c r="A166" s="23"/>
      <c r="B166" s="38" t="s">
        <v>163</v>
      </c>
      <c r="C166" s="25" t="s">
        <v>174</v>
      </c>
      <c r="D166" s="26">
        <f>COUNTIFS('[1]TOTAL SUSPEK'!$F:$F,"Pamongan")</f>
        <v>0</v>
      </c>
      <c r="E166" s="30"/>
      <c r="F166" s="31"/>
      <c r="G166" s="31"/>
      <c r="H166" s="31"/>
      <c r="I166" s="31"/>
      <c r="J166" s="31"/>
      <c r="K166" s="32"/>
      <c r="L166" s="32"/>
      <c r="M166" s="32"/>
      <c r="P166" s="28">
        <f t="shared" si="2"/>
        <v>0</v>
      </c>
      <c r="Q166" s="33"/>
    </row>
    <row r="167" spans="1:17" ht="15" customHeight="1" x14ac:dyDescent="0.25">
      <c r="A167" s="23"/>
      <c r="B167" s="38" t="s">
        <v>163</v>
      </c>
      <c r="C167" s="25" t="s">
        <v>175</v>
      </c>
      <c r="D167" s="26">
        <f>COUNTIFS('[1]TOTAL SUSPEK'!$F:$F,"Sukorejo")</f>
        <v>2</v>
      </c>
      <c r="E167" s="30"/>
      <c r="F167" s="31"/>
      <c r="G167" s="31"/>
      <c r="H167" s="31"/>
      <c r="I167" s="31"/>
      <c r="J167" s="31"/>
      <c r="K167" s="32"/>
      <c r="L167" s="32"/>
      <c r="M167" s="32"/>
      <c r="P167" s="28">
        <f t="shared" si="2"/>
        <v>2</v>
      </c>
      <c r="Q167" s="33"/>
    </row>
    <row r="168" spans="1:17" ht="15" customHeight="1" x14ac:dyDescent="0.25">
      <c r="A168" s="23"/>
      <c r="B168" s="38" t="s">
        <v>163</v>
      </c>
      <c r="C168" s="25" t="s">
        <v>176</v>
      </c>
      <c r="D168" s="26">
        <f>COUNTIFS('[1]TOTAL SUSPEK'!$F:$F,"Sarirejo")</f>
        <v>0</v>
      </c>
      <c r="E168" s="30"/>
      <c r="F168" s="31"/>
      <c r="G168" s="31"/>
      <c r="H168" s="31"/>
      <c r="I168" s="31"/>
      <c r="J168" s="31"/>
      <c r="K168" s="32"/>
      <c r="L168" s="32"/>
      <c r="M168" s="32"/>
      <c r="P168" s="28">
        <f t="shared" si="2"/>
        <v>0</v>
      </c>
      <c r="Q168" s="33"/>
    </row>
    <row r="169" spans="1:17" ht="15" customHeight="1" x14ac:dyDescent="0.25">
      <c r="A169" s="23"/>
      <c r="B169" s="38" t="s">
        <v>163</v>
      </c>
      <c r="C169" s="25" t="s">
        <v>177</v>
      </c>
      <c r="D169" s="26">
        <f>COUNTIFS('[1]TOTAL SUSPEK'!$F:$F,"Sidokumpul")</f>
        <v>0</v>
      </c>
      <c r="E169" s="30"/>
      <c r="F169" s="31"/>
      <c r="G169" s="31"/>
      <c r="H169" s="31"/>
      <c r="I169" s="31"/>
      <c r="J169" s="31"/>
      <c r="K169" s="32"/>
      <c r="L169" s="32"/>
      <c r="M169" s="32"/>
      <c r="P169" s="28">
        <f t="shared" si="2"/>
        <v>0</v>
      </c>
      <c r="Q169" s="33"/>
    </row>
    <row r="170" spans="1:17" ht="15" customHeight="1" x14ac:dyDescent="0.25">
      <c r="A170" s="23"/>
      <c r="B170" s="38" t="s">
        <v>163</v>
      </c>
      <c r="C170" s="25" t="s">
        <v>178</v>
      </c>
      <c r="D170" s="26">
        <f>COUNTIFS('[1]TOTAL SUSPEK'!$F:$F,"Gaji")</f>
        <v>0</v>
      </c>
      <c r="E170" s="30"/>
      <c r="F170" s="31"/>
      <c r="G170" s="31"/>
      <c r="H170" s="31"/>
      <c r="I170" s="31"/>
      <c r="J170" s="31"/>
      <c r="K170" s="32"/>
      <c r="L170" s="32"/>
      <c r="M170" s="32"/>
      <c r="P170" s="28">
        <f t="shared" si="2"/>
        <v>0</v>
      </c>
      <c r="Q170" s="33"/>
    </row>
    <row r="171" spans="1:17" ht="15" customHeight="1" x14ac:dyDescent="0.25">
      <c r="A171" s="23"/>
      <c r="B171" s="38" t="s">
        <v>163</v>
      </c>
      <c r="C171" s="25" t="s">
        <v>179</v>
      </c>
      <c r="D171" s="26">
        <f>COUNTIFS('[1]TOTAL SUSPEK'!$F:$F,"Banjarejo")</f>
        <v>0</v>
      </c>
      <c r="E171" s="30"/>
      <c r="F171" s="31"/>
      <c r="G171" s="31"/>
      <c r="H171" s="31"/>
      <c r="I171" s="31"/>
      <c r="J171" s="31"/>
      <c r="K171" s="32"/>
      <c r="L171" s="32"/>
      <c r="M171" s="32"/>
      <c r="P171" s="28">
        <f t="shared" si="2"/>
        <v>0</v>
      </c>
      <c r="Q171" s="33"/>
    </row>
    <row r="172" spans="1:17" ht="15" customHeight="1" x14ac:dyDescent="0.25">
      <c r="A172" s="23"/>
      <c r="B172" s="38" t="s">
        <v>163</v>
      </c>
      <c r="C172" s="25" t="s">
        <v>180</v>
      </c>
      <c r="D172" s="26">
        <f>COUNTIFS('[1]TOTAL SUSPEK'!$F:$F,"Krandon")</f>
        <v>0</v>
      </c>
      <c r="E172" s="30"/>
      <c r="F172" s="31"/>
      <c r="G172" s="31"/>
      <c r="H172" s="31"/>
      <c r="I172" s="31"/>
      <c r="J172" s="31"/>
      <c r="K172" s="32"/>
      <c r="L172" s="32"/>
      <c r="M172" s="32"/>
      <c r="P172" s="28">
        <f t="shared" si="2"/>
        <v>0</v>
      </c>
      <c r="Q172" s="33"/>
    </row>
    <row r="173" spans="1:17" ht="15" customHeight="1" x14ac:dyDescent="0.25">
      <c r="A173" s="23"/>
      <c r="B173" s="38" t="s">
        <v>163</v>
      </c>
      <c r="C173" s="25" t="s">
        <v>181</v>
      </c>
      <c r="D173" s="26">
        <f>COUNTIFS('[1]TOTAL SUSPEK'!$F:$F,"Tangkis")</f>
        <v>0</v>
      </c>
      <c r="E173" s="30"/>
      <c r="F173" s="31"/>
      <c r="G173" s="31"/>
      <c r="H173" s="31"/>
      <c r="I173" s="31"/>
      <c r="J173" s="31"/>
      <c r="K173" s="32"/>
      <c r="L173" s="32"/>
      <c r="M173" s="32"/>
      <c r="P173" s="28">
        <f t="shared" si="2"/>
        <v>0</v>
      </c>
      <c r="Q173" s="33"/>
    </row>
    <row r="174" spans="1:17" ht="15" customHeight="1" x14ac:dyDescent="0.25">
      <c r="A174" s="23"/>
      <c r="B174" s="38" t="s">
        <v>163</v>
      </c>
      <c r="C174" s="25" t="s">
        <v>100</v>
      </c>
      <c r="D174" s="26">
        <f>COUNTIFS('[1]TOTAL SUSPEK'!$F:$F,"Wonorejo",'[1]TOTAL SUSPEK'!$E:$E,"guntur")</f>
        <v>0</v>
      </c>
      <c r="E174" s="30"/>
      <c r="F174" s="31"/>
      <c r="G174" s="31"/>
      <c r="H174" s="31"/>
      <c r="I174" s="31"/>
      <c r="J174" s="31"/>
      <c r="K174" s="32"/>
      <c r="L174" s="32"/>
      <c r="M174" s="32"/>
      <c r="P174" s="28">
        <f t="shared" si="2"/>
        <v>0</v>
      </c>
      <c r="Q174" s="33"/>
    </row>
    <row r="175" spans="1:17" ht="15" customHeight="1" x14ac:dyDescent="0.25">
      <c r="A175" s="46">
        <v>10</v>
      </c>
      <c r="B175" s="38" t="s">
        <v>182</v>
      </c>
      <c r="C175" s="25" t="s">
        <v>183</v>
      </c>
      <c r="D175" s="26">
        <f>COUNTIFS('[1]TOTAL SUSPEK'!$F:$F,"Bumirejo")</f>
        <v>0</v>
      </c>
      <c r="E175" s="30" t="e">
        <f>SUM(#REF!)</f>
        <v>#REF!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>
        <f>SUM(D175:D186)</f>
        <v>16</v>
      </c>
      <c r="M175" s="30" t="e">
        <f>SUM(#REF!)</f>
        <v>#REF!</v>
      </c>
      <c r="P175" s="28">
        <f t="shared" si="2"/>
        <v>0</v>
      </c>
      <c r="Q175" s="29">
        <f>SUM(P175:P186)</f>
        <v>16</v>
      </c>
    </row>
    <row r="176" spans="1:17" ht="15" customHeight="1" x14ac:dyDescent="0.25">
      <c r="A176" s="46"/>
      <c r="B176" s="38" t="s">
        <v>182</v>
      </c>
      <c r="C176" s="25" t="s">
        <v>184</v>
      </c>
      <c r="D176" s="26">
        <f>COUNTIFS('[1]TOTAL SUSPEK'!$F:$F,"Pundenarum")</f>
        <v>1</v>
      </c>
      <c r="E176" s="30"/>
      <c r="F176" s="31"/>
      <c r="G176" s="31"/>
      <c r="H176" s="31"/>
      <c r="I176" s="31"/>
      <c r="J176" s="31"/>
      <c r="K176" s="32"/>
      <c r="L176" s="32"/>
      <c r="M176" s="32"/>
      <c r="P176" s="28">
        <f t="shared" si="2"/>
        <v>1</v>
      </c>
      <c r="Q176" s="33"/>
    </row>
    <row r="177" spans="1:17" ht="15" customHeight="1" x14ac:dyDescent="0.25">
      <c r="A177" s="46"/>
      <c r="B177" s="38" t="s">
        <v>182</v>
      </c>
      <c r="C177" s="25" t="s">
        <v>185</v>
      </c>
      <c r="D177" s="26">
        <f>COUNTIFS('[1]TOTAL SUSPEK'!$F:$F,"Kuripan")</f>
        <v>1</v>
      </c>
      <c r="E177" s="30"/>
      <c r="F177" s="31"/>
      <c r="G177" s="31"/>
      <c r="H177" s="31"/>
      <c r="I177" s="31"/>
      <c r="J177" s="31"/>
      <c r="K177" s="32"/>
      <c r="L177" s="32"/>
      <c r="M177" s="32"/>
      <c r="P177" s="28">
        <f t="shared" si="2"/>
        <v>1</v>
      </c>
      <c r="Q177" s="33"/>
    </row>
    <row r="178" spans="1:17" ht="15" customHeight="1" x14ac:dyDescent="0.25">
      <c r="A178" s="46"/>
      <c r="B178" s="38" t="s">
        <v>182</v>
      </c>
      <c r="C178" s="25" t="s">
        <v>186</v>
      </c>
      <c r="D178" s="26">
        <f>COUNTIFS('[1]TOTAL SUSPEK'!$F:$F,"Brambang")</f>
        <v>4</v>
      </c>
      <c r="E178" s="30"/>
      <c r="F178" s="31"/>
      <c r="G178" s="31"/>
      <c r="H178" s="31"/>
      <c r="I178" s="31"/>
      <c r="J178" s="31"/>
      <c r="K178" s="32"/>
      <c r="L178" s="32"/>
      <c r="M178" s="32"/>
      <c r="P178" s="28">
        <f t="shared" si="2"/>
        <v>4</v>
      </c>
      <c r="Q178" s="33"/>
    </row>
    <row r="179" spans="1:17" ht="15" customHeight="1" x14ac:dyDescent="0.25">
      <c r="A179" s="46"/>
      <c r="B179" s="38" t="s">
        <v>182</v>
      </c>
      <c r="C179" s="25" t="s">
        <v>182</v>
      </c>
      <c r="D179" s="26">
        <f>COUNTIFS('[1]TOTAL SUSPEK'!$F:$F,"Karangawen")</f>
        <v>3</v>
      </c>
      <c r="E179" s="30"/>
      <c r="F179" s="31"/>
      <c r="G179" s="31"/>
      <c r="H179" s="31"/>
      <c r="I179" s="31"/>
      <c r="J179" s="31"/>
      <c r="K179" s="32"/>
      <c r="L179" s="32"/>
      <c r="M179" s="32"/>
      <c r="P179" s="28">
        <f t="shared" si="2"/>
        <v>3</v>
      </c>
      <c r="Q179" s="33"/>
    </row>
    <row r="180" spans="1:17" ht="15" customHeight="1" x14ac:dyDescent="0.25">
      <c r="A180" s="46"/>
      <c r="B180" s="38" t="s">
        <v>182</v>
      </c>
      <c r="C180" s="25" t="s">
        <v>187</v>
      </c>
      <c r="D180" s="26">
        <f>COUNTIFS('[1]TOTAL SUSPEK'!$F:$F,"Sidorejo",'[1]TOTAL SUSPEK'!$E:$E,"karangawen")</f>
        <v>0</v>
      </c>
      <c r="E180" s="30"/>
      <c r="F180" s="31"/>
      <c r="G180" s="31"/>
      <c r="H180" s="31"/>
      <c r="I180" s="31"/>
      <c r="J180" s="31"/>
      <c r="K180" s="32"/>
      <c r="L180" s="32"/>
      <c r="M180" s="32"/>
      <c r="P180" s="28">
        <f t="shared" si="2"/>
        <v>0</v>
      </c>
      <c r="Q180" s="33"/>
    </row>
    <row r="181" spans="1:17" ht="15" customHeight="1" x14ac:dyDescent="0.25">
      <c r="A181" s="46"/>
      <c r="B181" s="38" t="s">
        <v>182</v>
      </c>
      <c r="C181" s="25" t="s">
        <v>188</v>
      </c>
      <c r="D181" s="26">
        <f>COUNTIFS('[1]TOTAL SUSPEK'!$F:$F,"Wonosekar")</f>
        <v>1</v>
      </c>
      <c r="E181" s="30"/>
      <c r="F181" s="31"/>
      <c r="G181" s="31"/>
      <c r="H181" s="31"/>
      <c r="I181" s="31"/>
      <c r="J181" s="31"/>
      <c r="K181" s="32"/>
      <c r="L181" s="32"/>
      <c r="M181" s="32"/>
      <c r="P181" s="28">
        <f t="shared" si="2"/>
        <v>1</v>
      </c>
      <c r="Q181" s="33"/>
    </row>
    <row r="182" spans="1:17" ht="15" customHeight="1" x14ac:dyDescent="0.25">
      <c r="A182" s="46"/>
      <c r="B182" s="38" t="s">
        <v>182</v>
      </c>
      <c r="C182" s="25" t="s">
        <v>69</v>
      </c>
      <c r="D182" s="26">
        <f>COUNTIFS('[1]TOTAL SUSPEK'!$F:$F,"Tlogorejo",'[1]TOTAL SUSPEK'!$E:$E,"Karangawen")</f>
        <v>1</v>
      </c>
      <c r="E182" s="30"/>
      <c r="F182" s="31"/>
      <c r="G182" s="31"/>
      <c r="H182" s="31"/>
      <c r="I182" s="31"/>
      <c r="J182" s="31"/>
      <c r="K182" s="32"/>
      <c r="L182" s="32"/>
      <c r="M182" s="32"/>
      <c r="P182" s="28">
        <f t="shared" si="2"/>
        <v>1</v>
      </c>
      <c r="Q182" s="33"/>
    </row>
    <row r="183" spans="1:17" ht="15" customHeight="1" x14ac:dyDescent="0.25">
      <c r="A183" s="46"/>
      <c r="B183" s="38" t="s">
        <v>182</v>
      </c>
      <c r="C183" s="25" t="s">
        <v>41</v>
      </c>
      <c r="D183" s="26">
        <f>COUNTIFS('[1]TOTAL SUSPEK'!$F:$F,"Rejosari",'[1]TOTAL SUSPEK'!$E:$E,"karangawen")</f>
        <v>4</v>
      </c>
      <c r="E183" s="30"/>
      <c r="F183" s="31"/>
      <c r="G183" s="31"/>
      <c r="H183" s="31"/>
      <c r="I183" s="31"/>
      <c r="J183" s="31"/>
      <c r="K183" s="32"/>
      <c r="L183" s="32"/>
      <c r="M183" s="32"/>
      <c r="P183" s="28">
        <f t="shared" si="2"/>
        <v>4</v>
      </c>
      <c r="Q183" s="33"/>
    </row>
    <row r="184" spans="1:17" ht="15" customHeight="1" x14ac:dyDescent="0.25">
      <c r="A184" s="46"/>
      <c r="B184" s="38" t="s">
        <v>182</v>
      </c>
      <c r="C184" s="25" t="s">
        <v>189</v>
      </c>
      <c r="D184" s="26">
        <f>COUNTIFS('[1]TOTAL SUSPEK'!$F:$F,"Teluk")</f>
        <v>0</v>
      </c>
      <c r="E184" s="30"/>
      <c r="F184" s="31"/>
      <c r="G184" s="31"/>
      <c r="H184" s="31"/>
      <c r="I184" s="31"/>
      <c r="J184" s="31"/>
      <c r="K184" s="32"/>
      <c r="L184" s="32"/>
      <c r="M184" s="32"/>
      <c r="P184" s="28">
        <f t="shared" si="2"/>
        <v>0</v>
      </c>
      <c r="Q184" s="33"/>
    </row>
    <row r="185" spans="1:17" ht="15" customHeight="1" x14ac:dyDescent="0.25">
      <c r="A185" s="46"/>
      <c r="B185" s="38" t="s">
        <v>182</v>
      </c>
      <c r="C185" s="25" t="s">
        <v>190</v>
      </c>
      <c r="D185" s="26">
        <f>COUNTIFS('[1]TOTAL SUSPEK'!$F:$F,"Margohayu")</f>
        <v>0</v>
      </c>
      <c r="E185" s="30"/>
      <c r="F185" s="31"/>
      <c r="G185" s="31"/>
      <c r="H185" s="31"/>
      <c r="I185" s="31"/>
      <c r="J185" s="31"/>
      <c r="K185" s="32"/>
      <c r="L185" s="32"/>
      <c r="M185" s="32"/>
      <c r="P185" s="28">
        <f t="shared" si="2"/>
        <v>0</v>
      </c>
      <c r="Q185" s="33"/>
    </row>
    <row r="186" spans="1:17" ht="15" customHeight="1" x14ac:dyDescent="0.25">
      <c r="A186" s="46"/>
      <c r="B186" s="38" t="s">
        <v>182</v>
      </c>
      <c r="C186" s="25" t="s">
        <v>191</v>
      </c>
      <c r="D186" s="26">
        <f>COUNTIFS('[1]TOTAL SUSPEK'!$F:$F,"Jragung")</f>
        <v>1</v>
      </c>
      <c r="E186" s="30"/>
      <c r="F186" s="31"/>
      <c r="G186" s="31"/>
      <c r="H186" s="31"/>
      <c r="I186" s="31"/>
      <c r="J186" s="31"/>
      <c r="K186" s="32"/>
      <c r="L186" s="32"/>
      <c r="M186" s="32"/>
      <c r="P186" s="28">
        <f t="shared" si="2"/>
        <v>1</v>
      </c>
      <c r="Q186" s="33"/>
    </row>
    <row r="187" spans="1:17" x14ac:dyDescent="0.25">
      <c r="A187" s="46">
        <v>11</v>
      </c>
      <c r="B187" s="38" t="s">
        <v>192</v>
      </c>
      <c r="C187" s="25" t="s">
        <v>193</v>
      </c>
      <c r="D187" s="26">
        <f>COUNTIFS('[1]TOTAL SUSPEK'!$F:$F,"Harjowinangun")</f>
        <v>0</v>
      </c>
      <c r="E187" s="30" t="e">
        <f>SUM(#REF!)</f>
        <v>#REF!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>
        <f>SUM(D187:D202)</f>
        <v>7</v>
      </c>
      <c r="M187" s="30" t="e">
        <f>SUM(#REF!)</f>
        <v>#REF!</v>
      </c>
      <c r="P187" s="28">
        <f t="shared" si="2"/>
        <v>0</v>
      </c>
      <c r="Q187" s="29">
        <f>SUM(P187:P202)</f>
        <v>7</v>
      </c>
    </row>
    <row r="188" spans="1:17" x14ac:dyDescent="0.25">
      <c r="A188" s="46"/>
      <c r="B188" s="38" t="s">
        <v>192</v>
      </c>
      <c r="C188" s="25" t="s">
        <v>192</v>
      </c>
      <c r="D188" s="26">
        <f>COUNTIFS('[1]TOTAL SUSPEK'!$F:$F,"Dempet")</f>
        <v>0</v>
      </c>
      <c r="E188" s="30"/>
      <c r="F188" s="31"/>
      <c r="G188" s="31"/>
      <c r="H188" s="31"/>
      <c r="I188" s="31"/>
      <c r="J188" s="31"/>
      <c r="K188" s="32"/>
      <c r="L188" s="32"/>
      <c r="M188" s="32"/>
      <c r="P188" s="28">
        <f t="shared" si="2"/>
        <v>0</v>
      </c>
      <c r="Q188" s="33"/>
    </row>
    <row r="189" spans="1:17" x14ac:dyDescent="0.25">
      <c r="A189" s="46"/>
      <c r="B189" s="38" t="s">
        <v>192</v>
      </c>
      <c r="C189" s="25" t="s">
        <v>194</v>
      </c>
      <c r="D189" s="26">
        <f>COUNTIFS('[1]TOTAL SUSPEK'!$F:$F,"Brakas")</f>
        <v>0</v>
      </c>
      <c r="E189" s="30"/>
      <c r="F189" s="31"/>
      <c r="G189" s="31"/>
      <c r="H189" s="31"/>
      <c r="I189" s="31"/>
      <c r="J189" s="31"/>
      <c r="K189" s="32"/>
      <c r="L189" s="32"/>
      <c r="M189" s="32"/>
      <c r="P189" s="28">
        <f t="shared" si="2"/>
        <v>0</v>
      </c>
      <c r="Q189" s="33"/>
    </row>
    <row r="190" spans="1:17" x14ac:dyDescent="0.25">
      <c r="A190" s="46"/>
      <c r="B190" s="38" t="s">
        <v>192</v>
      </c>
      <c r="C190" s="45" t="s">
        <v>62</v>
      </c>
      <c r="D190" s="26">
        <f>COUNTIFS('[1]TOTAL SUSPEK'!$F:$F,"Sidomulyo",'[1]TOTAL SUSPEK'!$E:$E,"dempet")</f>
        <v>1</v>
      </c>
      <c r="E190" s="30"/>
      <c r="F190" s="31"/>
      <c r="G190" s="31"/>
      <c r="H190" s="31"/>
      <c r="I190" s="31"/>
      <c r="J190" s="31"/>
      <c r="K190" s="32"/>
      <c r="L190" s="32"/>
      <c r="M190" s="32"/>
      <c r="P190" s="28">
        <f t="shared" si="2"/>
        <v>1</v>
      </c>
      <c r="Q190" s="33"/>
    </row>
    <row r="191" spans="1:17" x14ac:dyDescent="0.25">
      <c r="A191" s="46"/>
      <c r="B191" s="38" t="s">
        <v>192</v>
      </c>
      <c r="C191" s="25" t="s">
        <v>195</v>
      </c>
      <c r="D191" s="26">
        <f>COUNTIFS('[1]TOTAL SUSPEK'!$F:$F,"Gempoldenok")</f>
        <v>0</v>
      </c>
      <c r="E191" s="30"/>
      <c r="F191" s="31"/>
      <c r="G191" s="31"/>
      <c r="H191" s="31"/>
      <c r="I191" s="31"/>
      <c r="J191" s="31"/>
      <c r="K191" s="32"/>
      <c r="L191" s="32"/>
      <c r="M191" s="32"/>
      <c r="P191" s="28">
        <f t="shared" si="2"/>
        <v>0</v>
      </c>
      <c r="Q191" s="33"/>
    </row>
    <row r="192" spans="1:17" x14ac:dyDescent="0.25">
      <c r="A192" s="46"/>
      <c r="B192" s="38" t="s">
        <v>192</v>
      </c>
      <c r="C192" s="25" t="s">
        <v>196</v>
      </c>
      <c r="D192" s="26">
        <f>COUNTIFS('[1]TOTAL SUSPEK'!$F:$F,"Botosengon")</f>
        <v>1</v>
      </c>
      <c r="E192" s="30"/>
      <c r="F192" s="31"/>
      <c r="G192" s="31"/>
      <c r="H192" s="31"/>
      <c r="I192" s="31"/>
      <c r="J192" s="31"/>
      <c r="K192" s="32"/>
      <c r="L192" s="32"/>
      <c r="M192" s="32"/>
      <c r="P192" s="28">
        <f t="shared" si="2"/>
        <v>1</v>
      </c>
      <c r="Q192" s="33"/>
    </row>
    <row r="193" spans="1:17" x14ac:dyDescent="0.25">
      <c r="A193" s="46"/>
      <c r="B193" s="38" t="s">
        <v>192</v>
      </c>
      <c r="C193" s="25" t="s">
        <v>197</v>
      </c>
      <c r="D193" s="26">
        <f>COUNTIFS('[1]TOTAL SUSPEK'!$F:$F,"Merak")</f>
        <v>0</v>
      </c>
      <c r="E193" s="30"/>
      <c r="F193" s="31"/>
      <c r="G193" s="31"/>
      <c r="H193" s="31"/>
      <c r="I193" s="31"/>
      <c r="J193" s="31"/>
      <c r="K193" s="32"/>
      <c r="L193" s="32"/>
      <c r="M193" s="32"/>
      <c r="P193" s="28">
        <f t="shared" si="2"/>
        <v>0</v>
      </c>
      <c r="Q193" s="33"/>
    </row>
    <row r="194" spans="1:17" x14ac:dyDescent="0.25">
      <c r="A194" s="46"/>
      <c r="B194" s="38" t="s">
        <v>192</v>
      </c>
      <c r="C194" s="25" t="s">
        <v>198</v>
      </c>
      <c r="D194" s="26">
        <f>COUNTIFS('[1]TOTAL SUSPEK'!$F:$F,"Kebonsari")</f>
        <v>0</v>
      </c>
      <c r="E194" s="30"/>
      <c r="F194" s="31"/>
      <c r="G194" s="31"/>
      <c r="H194" s="31"/>
      <c r="I194" s="31"/>
      <c r="J194" s="31"/>
      <c r="K194" s="32"/>
      <c r="L194" s="32"/>
      <c r="M194" s="32"/>
      <c r="P194" s="28">
        <f t="shared" si="2"/>
        <v>0</v>
      </c>
      <c r="Q194" s="33"/>
    </row>
    <row r="195" spans="1:17" x14ac:dyDescent="0.25">
      <c r="A195" s="46"/>
      <c r="B195" s="38" t="s">
        <v>192</v>
      </c>
      <c r="C195" s="25" t="s">
        <v>199</v>
      </c>
      <c r="D195" s="26">
        <f>COUNTIFS('[1]TOTAL SUSPEK'!$F:$F,"Balerejo")</f>
        <v>1</v>
      </c>
      <c r="E195" s="30"/>
      <c r="F195" s="31"/>
      <c r="G195" s="31"/>
      <c r="H195" s="31"/>
      <c r="I195" s="31"/>
      <c r="J195" s="31"/>
      <c r="K195" s="32"/>
      <c r="L195" s="32"/>
      <c r="M195" s="32"/>
      <c r="P195" s="28">
        <f t="shared" si="2"/>
        <v>1</v>
      </c>
      <c r="Q195" s="33"/>
    </row>
    <row r="196" spans="1:17" x14ac:dyDescent="0.25">
      <c r="A196" s="46"/>
      <c r="B196" s="38" t="s">
        <v>192</v>
      </c>
      <c r="C196" s="25" t="s">
        <v>72</v>
      </c>
      <c r="D196" s="26">
        <f>COUNTIFS('[1]TOTAL SUSPEK'!$F:$F,"Karangrejo",'[1]TOTAL SUSPEK'!$E:$E,"dempet")</f>
        <v>1</v>
      </c>
      <c r="E196" s="30"/>
      <c r="F196" s="31"/>
      <c r="G196" s="31"/>
      <c r="H196" s="31"/>
      <c r="I196" s="31"/>
      <c r="J196" s="31"/>
      <c r="K196" s="32"/>
      <c r="L196" s="32"/>
      <c r="M196" s="32"/>
      <c r="P196" s="28">
        <f t="shared" si="2"/>
        <v>1</v>
      </c>
      <c r="Q196" s="33"/>
    </row>
    <row r="197" spans="1:17" x14ac:dyDescent="0.25">
      <c r="A197" s="46"/>
      <c r="B197" s="38" t="s">
        <v>192</v>
      </c>
      <c r="C197" s="25" t="s">
        <v>200</v>
      </c>
      <c r="D197" s="26">
        <f>COUNTIFS('[1]TOTAL SUSPEK'!$F:$F,"Baleromo")</f>
        <v>1</v>
      </c>
      <c r="E197" s="30"/>
      <c r="F197" s="31"/>
      <c r="G197" s="31"/>
      <c r="H197" s="31"/>
      <c r="I197" s="31"/>
      <c r="J197" s="31"/>
      <c r="K197" s="32"/>
      <c r="L197" s="32"/>
      <c r="M197" s="32"/>
      <c r="P197" s="28">
        <f t="shared" si="2"/>
        <v>1</v>
      </c>
      <c r="Q197" s="33"/>
    </row>
    <row r="198" spans="1:17" x14ac:dyDescent="0.25">
      <c r="A198" s="46"/>
      <c r="B198" s="38" t="s">
        <v>192</v>
      </c>
      <c r="C198" s="25" t="s">
        <v>201</v>
      </c>
      <c r="D198" s="26">
        <f>COUNTIFS('[1]TOTAL SUSPEK'!$F:$F,"Jerukgulung")</f>
        <v>1</v>
      </c>
      <c r="E198" s="30"/>
      <c r="F198" s="31"/>
      <c r="G198" s="31"/>
      <c r="H198" s="31"/>
      <c r="I198" s="31"/>
      <c r="J198" s="31"/>
      <c r="K198" s="32"/>
      <c r="L198" s="32"/>
      <c r="M198" s="32"/>
      <c r="P198" s="28">
        <f t="shared" si="2"/>
        <v>1</v>
      </c>
      <c r="Q198" s="33"/>
    </row>
    <row r="199" spans="1:17" x14ac:dyDescent="0.25">
      <c r="A199" s="46"/>
      <c r="B199" s="38" t="s">
        <v>192</v>
      </c>
      <c r="C199" s="25" t="s">
        <v>202</v>
      </c>
      <c r="D199" s="26">
        <f>COUNTIFS('[1]TOTAL SUSPEK'!$F:$F,"Kunir")</f>
        <v>0</v>
      </c>
      <c r="E199" s="30"/>
      <c r="F199" s="31"/>
      <c r="G199" s="31"/>
      <c r="H199" s="31"/>
      <c r="I199" s="31"/>
      <c r="J199" s="31"/>
      <c r="K199" s="32"/>
      <c r="L199" s="32"/>
      <c r="M199" s="32"/>
      <c r="P199" s="28">
        <f t="shared" si="2"/>
        <v>0</v>
      </c>
      <c r="Q199" s="33"/>
    </row>
    <row r="200" spans="1:17" x14ac:dyDescent="0.25">
      <c r="A200" s="46"/>
      <c r="B200" s="38" t="s">
        <v>192</v>
      </c>
      <c r="C200" s="25" t="s">
        <v>203</v>
      </c>
      <c r="D200" s="26">
        <f>COUNTIFS('[1]TOTAL SUSPEK'!$F:$F,"Kedungori")</f>
        <v>0</v>
      </c>
      <c r="E200" s="30"/>
      <c r="F200" s="31"/>
      <c r="G200" s="31"/>
      <c r="H200" s="31"/>
      <c r="I200" s="31"/>
      <c r="J200" s="31"/>
      <c r="K200" s="32"/>
      <c r="L200" s="32"/>
      <c r="M200" s="32"/>
      <c r="P200" s="28">
        <f t="shared" ref="P200:P257" si="3">SUM(D200:D200)</f>
        <v>0</v>
      </c>
      <c r="Q200" s="33"/>
    </row>
    <row r="201" spans="1:17" x14ac:dyDescent="0.25">
      <c r="A201" s="46"/>
      <c r="B201" s="38" t="s">
        <v>192</v>
      </c>
      <c r="C201" s="45" t="s">
        <v>204</v>
      </c>
      <c r="D201" s="26">
        <f>COUNTIFS('[1]TOTAL SUSPEK'!$F:$F,"Kuwu")</f>
        <v>0</v>
      </c>
      <c r="E201" s="30"/>
      <c r="F201" s="31"/>
      <c r="G201" s="31"/>
      <c r="H201" s="31"/>
      <c r="I201" s="31"/>
      <c r="J201" s="31"/>
      <c r="K201" s="32"/>
      <c r="L201" s="32"/>
      <c r="M201" s="32"/>
      <c r="P201" s="28">
        <f t="shared" si="3"/>
        <v>0</v>
      </c>
      <c r="Q201" s="33"/>
    </row>
    <row r="202" spans="1:17" x14ac:dyDescent="0.25">
      <c r="A202" s="46"/>
      <c r="B202" s="38" t="s">
        <v>192</v>
      </c>
      <c r="C202" s="25" t="s">
        <v>205</v>
      </c>
      <c r="D202" s="26">
        <f>COUNTIFS('[1]TOTAL SUSPEK'!$F:$F,"Kramat")</f>
        <v>1</v>
      </c>
      <c r="E202" s="30"/>
      <c r="F202" s="31"/>
      <c r="G202" s="31"/>
      <c r="H202" s="31"/>
      <c r="I202" s="31"/>
      <c r="J202" s="31"/>
      <c r="K202" s="32"/>
      <c r="L202" s="32"/>
      <c r="M202" s="32"/>
      <c r="P202" s="28">
        <f t="shared" si="3"/>
        <v>1</v>
      </c>
      <c r="Q202" s="33"/>
    </row>
    <row r="203" spans="1:17" ht="15" customHeight="1" x14ac:dyDescent="0.25">
      <c r="A203" s="46">
        <v>12</v>
      </c>
      <c r="B203" s="38" t="s">
        <v>206</v>
      </c>
      <c r="C203" s="25" t="s">
        <v>207</v>
      </c>
      <c r="D203" s="26">
        <f>COUNTIFS('[1]TOTAL SUSPEK'!$F:$F,"Mangunrejo")</f>
        <v>0</v>
      </c>
      <c r="E203" s="30" t="e">
        <f>SUM(#REF!)</f>
        <v>#REF!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>
        <f>SUM(D203:D216)</f>
        <v>12</v>
      </c>
      <c r="M203" s="30" t="e">
        <f>SUM(#REF!)</f>
        <v>#REF!</v>
      </c>
      <c r="P203" s="28">
        <f t="shared" si="3"/>
        <v>0</v>
      </c>
      <c r="Q203" s="29">
        <f>SUM(P203:P216)</f>
        <v>12</v>
      </c>
    </row>
    <row r="204" spans="1:17" ht="15" customHeight="1" x14ac:dyDescent="0.25">
      <c r="A204" s="46"/>
      <c r="B204" s="38" t="s">
        <v>206</v>
      </c>
      <c r="C204" s="25" t="s">
        <v>208</v>
      </c>
      <c r="D204" s="26">
        <f>COUNTIFS('[1]TOTAL SUSPEK'!$F:$F,"Tlogosih")</f>
        <v>1</v>
      </c>
      <c r="E204" s="30"/>
      <c r="F204" s="31"/>
      <c r="G204" s="31"/>
      <c r="H204" s="31"/>
      <c r="I204" s="31"/>
      <c r="J204" s="31"/>
      <c r="K204" s="32"/>
      <c r="L204" s="32"/>
      <c r="M204" s="32"/>
      <c r="P204" s="28">
        <f t="shared" si="3"/>
        <v>1</v>
      </c>
      <c r="Q204" s="33"/>
    </row>
    <row r="205" spans="1:17" ht="15" customHeight="1" x14ac:dyDescent="0.25">
      <c r="A205" s="46"/>
      <c r="B205" s="38" t="s">
        <v>206</v>
      </c>
      <c r="C205" s="25" t="s">
        <v>209</v>
      </c>
      <c r="D205" s="26">
        <f>COUNTIFS('[1]TOTAL SUSPEK'!$F:$F,"Megonten")</f>
        <v>1</v>
      </c>
      <c r="E205" s="30"/>
      <c r="F205" s="31"/>
      <c r="G205" s="31"/>
      <c r="H205" s="31"/>
      <c r="I205" s="31"/>
      <c r="J205" s="31"/>
      <c r="K205" s="32"/>
      <c r="L205" s="32"/>
      <c r="M205" s="32"/>
      <c r="P205" s="28">
        <f t="shared" si="3"/>
        <v>1</v>
      </c>
      <c r="Q205" s="33"/>
    </row>
    <row r="206" spans="1:17" ht="15" customHeight="1" x14ac:dyDescent="0.25">
      <c r="A206" s="46"/>
      <c r="B206" s="38" t="s">
        <v>206</v>
      </c>
      <c r="C206" s="25" t="s">
        <v>210</v>
      </c>
      <c r="D206" s="26">
        <f>COUNTIFS('[1]TOTAL SUSPEK'!$F:$F,"Soko kidul")</f>
        <v>1</v>
      </c>
      <c r="E206" s="30"/>
      <c r="F206" s="31"/>
      <c r="G206" s="31"/>
      <c r="H206" s="31"/>
      <c r="I206" s="31"/>
      <c r="J206" s="31"/>
      <c r="K206" s="32"/>
      <c r="L206" s="32"/>
      <c r="M206" s="32"/>
      <c r="P206" s="28">
        <f t="shared" si="3"/>
        <v>1</v>
      </c>
      <c r="Q206" s="33"/>
    </row>
    <row r="207" spans="1:17" ht="15" customHeight="1" x14ac:dyDescent="0.25">
      <c r="A207" s="46"/>
      <c r="B207" s="38" t="s">
        <v>206</v>
      </c>
      <c r="C207" s="25" t="s">
        <v>211</v>
      </c>
      <c r="D207" s="26">
        <f>COUNTIFS('[1]TOTAL SUSPEK'!$F:$F,"Pilang wetan")</f>
        <v>0</v>
      </c>
      <c r="E207" s="30"/>
      <c r="F207" s="31"/>
      <c r="G207" s="31"/>
      <c r="H207" s="31"/>
      <c r="I207" s="31"/>
      <c r="J207" s="31"/>
      <c r="K207" s="32"/>
      <c r="L207" s="32"/>
      <c r="M207" s="32"/>
      <c r="P207" s="28">
        <f t="shared" si="3"/>
        <v>0</v>
      </c>
      <c r="Q207" s="33"/>
    </row>
    <row r="208" spans="1:17" ht="15" customHeight="1" x14ac:dyDescent="0.25">
      <c r="A208" s="46"/>
      <c r="B208" s="38" t="s">
        <v>206</v>
      </c>
      <c r="C208" s="25" t="s">
        <v>206</v>
      </c>
      <c r="D208" s="26">
        <f>COUNTIFS('[1]TOTAL SUSPEK'!$F:$F,"Kebonagung")</f>
        <v>1</v>
      </c>
      <c r="E208" s="30"/>
      <c r="F208" s="31"/>
      <c r="G208" s="31"/>
      <c r="H208" s="31"/>
      <c r="I208" s="31"/>
      <c r="J208" s="31"/>
      <c r="K208" s="32"/>
      <c r="L208" s="32"/>
      <c r="M208" s="32"/>
      <c r="P208" s="28">
        <f t="shared" si="3"/>
        <v>1</v>
      </c>
      <c r="Q208" s="33"/>
    </row>
    <row r="209" spans="1:17" ht="15" customHeight="1" x14ac:dyDescent="0.25">
      <c r="A209" s="46"/>
      <c r="B209" s="38" t="s">
        <v>206</v>
      </c>
      <c r="C209" s="25" t="s">
        <v>110</v>
      </c>
      <c r="D209" s="26">
        <f>COUNTIFS('[1]TOTAL SUSPEK'!$F:$F,"Mijen",'[1]TOTAL SUSPEK'!$E:$E,"kebonagung")</f>
        <v>3</v>
      </c>
      <c r="E209" s="30"/>
      <c r="F209" s="31"/>
      <c r="G209" s="31"/>
      <c r="H209" s="31"/>
      <c r="I209" s="31"/>
      <c r="J209" s="31"/>
      <c r="K209" s="32"/>
      <c r="L209" s="32"/>
      <c r="M209" s="32"/>
      <c r="P209" s="28">
        <f t="shared" si="3"/>
        <v>3</v>
      </c>
      <c r="Q209" s="33"/>
    </row>
    <row r="210" spans="1:17" ht="15" customHeight="1" x14ac:dyDescent="0.25">
      <c r="A210" s="46"/>
      <c r="B210" s="38" t="s">
        <v>206</v>
      </c>
      <c r="C210" s="25" t="s">
        <v>212</v>
      </c>
      <c r="D210" s="26">
        <f>COUNTIFS('[1]TOTAL SUSPEK'!$F:$F,"Klampok Lor")</f>
        <v>1</v>
      </c>
      <c r="E210" s="30"/>
      <c r="F210" s="31"/>
      <c r="G210" s="31"/>
      <c r="H210" s="31"/>
      <c r="I210" s="31"/>
      <c r="J210" s="31"/>
      <c r="K210" s="32"/>
      <c r="L210" s="32"/>
      <c r="M210" s="32"/>
      <c r="P210" s="28">
        <f t="shared" si="3"/>
        <v>1</v>
      </c>
      <c r="Q210" s="33"/>
    </row>
    <row r="211" spans="1:17" ht="15" customHeight="1" x14ac:dyDescent="0.25">
      <c r="A211" s="46"/>
      <c r="B211" s="38" t="s">
        <v>206</v>
      </c>
      <c r="C211" s="25" t="s">
        <v>213</v>
      </c>
      <c r="D211" s="26">
        <f>COUNTIFS('[1]TOTAL SUSPEK'!$F:$F,"Werdoyo")</f>
        <v>1</v>
      </c>
      <c r="E211" s="30"/>
      <c r="F211" s="31"/>
      <c r="G211" s="31"/>
      <c r="H211" s="31"/>
      <c r="I211" s="31"/>
      <c r="J211" s="31"/>
      <c r="K211" s="32"/>
      <c r="L211" s="32"/>
      <c r="M211" s="32"/>
      <c r="P211" s="28">
        <f t="shared" si="3"/>
        <v>1</v>
      </c>
      <c r="Q211" s="33"/>
    </row>
    <row r="212" spans="1:17" ht="15" customHeight="1" x14ac:dyDescent="0.25">
      <c r="A212" s="46"/>
      <c r="B212" s="38" t="s">
        <v>206</v>
      </c>
      <c r="C212" s="25" t="s">
        <v>214</v>
      </c>
      <c r="D212" s="26">
        <f>COUNTIFS('[1]TOTAL SUSPEK'!$F:$F,"Babat")</f>
        <v>0</v>
      </c>
      <c r="E212" s="30"/>
      <c r="F212" s="31"/>
      <c r="G212" s="31"/>
      <c r="H212" s="31"/>
      <c r="I212" s="31"/>
      <c r="J212" s="31"/>
      <c r="K212" s="32"/>
      <c r="L212" s="32"/>
      <c r="M212" s="32"/>
      <c r="P212" s="28">
        <f t="shared" si="3"/>
        <v>0</v>
      </c>
      <c r="Q212" s="33"/>
    </row>
    <row r="213" spans="1:17" ht="15" customHeight="1" x14ac:dyDescent="0.25">
      <c r="A213" s="46"/>
      <c r="B213" s="38" t="s">
        <v>206</v>
      </c>
      <c r="C213" s="25" t="s">
        <v>215</v>
      </c>
      <c r="D213" s="26">
        <f>COUNTIFS('[1]TOTAL SUSPEK'!$F:$F,"Prigi")</f>
        <v>0</v>
      </c>
      <c r="E213" s="30"/>
      <c r="F213" s="31"/>
      <c r="G213" s="31"/>
      <c r="H213" s="31"/>
      <c r="I213" s="31"/>
      <c r="J213" s="31"/>
      <c r="K213" s="32"/>
      <c r="L213" s="32"/>
      <c r="M213" s="32"/>
      <c r="P213" s="28">
        <f t="shared" si="3"/>
        <v>0</v>
      </c>
      <c r="Q213" s="33"/>
    </row>
    <row r="214" spans="1:17" ht="15" customHeight="1" x14ac:dyDescent="0.25">
      <c r="A214" s="46"/>
      <c r="B214" s="38" t="s">
        <v>206</v>
      </c>
      <c r="C214" s="25" t="s">
        <v>216</v>
      </c>
      <c r="D214" s="26">
        <f>COUNTIFS('[1]TOTAL SUSPEK'!$F:$F,"Sarimulyo")</f>
        <v>0</v>
      </c>
      <c r="E214" s="30"/>
      <c r="F214" s="31"/>
      <c r="G214" s="31"/>
      <c r="H214" s="31"/>
      <c r="I214" s="31"/>
      <c r="J214" s="31"/>
      <c r="K214" s="32"/>
      <c r="L214" s="32"/>
      <c r="M214" s="32"/>
      <c r="P214" s="28">
        <f t="shared" si="3"/>
        <v>0</v>
      </c>
      <c r="Q214" s="33"/>
    </row>
    <row r="215" spans="1:17" ht="15" customHeight="1" x14ac:dyDescent="0.25">
      <c r="A215" s="46"/>
      <c r="B215" s="38" t="s">
        <v>206</v>
      </c>
      <c r="C215" s="25" t="s">
        <v>217</v>
      </c>
      <c r="D215" s="26">
        <f>COUNTIFS('[1]TOTAL SUSPEK'!$F:$F,"Solowire")</f>
        <v>0</v>
      </c>
      <c r="E215" s="30"/>
      <c r="F215" s="31"/>
      <c r="G215" s="31"/>
      <c r="H215" s="31"/>
      <c r="I215" s="31"/>
      <c r="J215" s="31"/>
      <c r="K215" s="32"/>
      <c r="L215" s="32"/>
      <c r="M215" s="32"/>
      <c r="P215" s="28">
        <f t="shared" si="3"/>
        <v>0</v>
      </c>
      <c r="Q215" s="33"/>
    </row>
    <row r="216" spans="1:17" ht="15" customHeight="1" x14ac:dyDescent="0.25">
      <c r="A216" s="46"/>
      <c r="B216" s="38" t="s">
        <v>206</v>
      </c>
      <c r="C216" s="25" t="s">
        <v>218</v>
      </c>
      <c r="D216" s="26">
        <f>COUNTIFS('[1]TOTAL SUSPEK'!$F:$F,"Mangunan Lor")</f>
        <v>3</v>
      </c>
      <c r="E216" s="30"/>
      <c r="F216" s="31"/>
      <c r="G216" s="31"/>
      <c r="H216" s="31"/>
      <c r="I216" s="31"/>
      <c r="J216" s="31"/>
      <c r="K216" s="32"/>
      <c r="L216" s="32"/>
      <c r="M216" s="32"/>
      <c r="P216" s="28">
        <f t="shared" si="3"/>
        <v>3</v>
      </c>
      <c r="Q216" s="33"/>
    </row>
    <row r="217" spans="1:17" x14ac:dyDescent="0.25">
      <c r="A217" s="46">
        <v>13</v>
      </c>
      <c r="B217" s="38" t="s">
        <v>219</v>
      </c>
      <c r="C217" s="25" t="s">
        <v>220</v>
      </c>
      <c r="D217" s="26">
        <f>COUNTIFS('[1]TOTAL SUSPEK'!$F:$F,"Bedono")</f>
        <v>0</v>
      </c>
      <c r="E217" s="30" t="e">
        <f>SUM(#REF!)</f>
        <v>#REF!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>
        <f>SUM(D217:D236)</f>
        <v>13</v>
      </c>
      <c r="M217" s="30" t="e">
        <f>SUM(#REF!)</f>
        <v>#REF!</v>
      </c>
      <c r="N217" s="47" t="s">
        <v>221</v>
      </c>
      <c r="P217" s="28">
        <f t="shared" si="3"/>
        <v>0</v>
      </c>
      <c r="Q217" s="29">
        <f>SUM(P217:P236)</f>
        <v>13</v>
      </c>
    </row>
    <row r="218" spans="1:17" x14ac:dyDescent="0.25">
      <c r="A218" s="46"/>
      <c r="B218" s="38" t="s">
        <v>219</v>
      </c>
      <c r="C218" s="25" t="s">
        <v>222</v>
      </c>
      <c r="D218" s="26">
        <f>COUNTIFS('[1]TOTAL SUSPEK'!$F:$F,"Gemulak")</f>
        <v>0</v>
      </c>
      <c r="E218" s="30"/>
      <c r="F218" s="31"/>
      <c r="G218" s="31" t="s">
        <v>223</v>
      </c>
      <c r="H218" s="31"/>
      <c r="I218" s="31"/>
      <c r="J218" s="31"/>
      <c r="K218" s="32"/>
      <c r="L218" s="32"/>
      <c r="M218" s="32"/>
      <c r="N218" s="48" t="s">
        <v>224</v>
      </c>
      <c r="P218" s="28">
        <f t="shared" si="3"/>
        <v>0</v>
      </c>
      <c r="Q218" s="33"/>
    </row>
    <row r="219" spans="1:17" x14ac:dyDescent="0.25">
      <c r="A219" s="46"/>
      <c r="B219" s="38" t="s">
        <v>219</v>
      </c>
      <c r="C219" s="25" t="s">
        <v>225</v>
      </c>
      <c r="D219" s="26">
        <f>COUNTIFS('[1]TOTAL SUSPEK'!$F:$F,"Sriwulan")</f>
        <v>4</v>
      </c>
      <c r="E219" s="30"/>
      <c r="F219" s="31"/>
      <c r="G219" s="31"/>
      <c r="H219" s="31"/>
      <c r="I219" s="31"/>
      <c r="J219" s="31"/>
      <c r="K219" s="32"/>
      <c r="L219" s="32"/>
      <c r="M219" s="32"/>
      <c r="N219" s="49" t="s">
        <v>226</v>
      </c>
      <c r="P219" s="28">
        <f t="shared" si="3"/>
        <v>4</v>
      </c>
      <c r="Q219" s="33"/>
    </row>
    <row r="220" spans="1:17" x14ac:dyDescent="0.25">
      <c r="A220" s="46"/>
      <c r="B220" s="38" t="s">
        <v>219</v>
      </c>
      <c r="C220" s="25" t="s">
        <v>227</v>
      </c>
      <c r="D220" s="26">
        <f>COUNTIFS('[1]TOTAL SUSPEK'!$F:$F,"Tugu")</f>
        <v>0</v>
      </c>
      <c r="E220" s="30"/>
      <c r="F220" s="31"/>
      <c r="G220" s="31"/>
      <c r="H220" s="31"/>
      <c r="I220" s="31"/>
      <c r="J220" s="31"/>
      <c r="K220" s="32"/>
      <c r="L220" s="32"/>
      <c r="M220" s="32"/>
      <c r="N220" s="47" t="s">
        <v>228</v>
      </c>
      <c r="P220" s="28">
        <f t="shared" si="3"/>
        <v>0</v>
      </c>
      <c r="Q220" s="33"/>
    </row>
    <row r="221" spans="1:17" x14ac:dyDescent="0.25">
      <c r="A221" s="46"/>
      <c r="B221" s="38" t="s">
        <v>219</v>
      </c>
      <c r="C221" s="25" t="s">
        <v>229</v>
      </c>
      <c r="D221" s="26">
        <f>COUNTIFS('[1]TOTAL SUSPEK'!$F:$F,"Purwosari")</f>
        <v>0</v>
      </c>
      <c r="E221" s="30"/>
      <c r="F221" s="31"/>
      <c r="G221" s="31"/>
      <c r="H221" s="31"/>
      <c r="I221" s="31"/>
      <c r="J221" s="31"/>
      <c r="K221" s="32"/>
      <c r="L221" s="32"/>
      <c r="M221" s="32"/>
      <c r="N221" s="49" t="s">
        <v>230</v>
      </c>
      <c r="P221" s="28">
        <f t="shared" si="3"/>
        <v>0</v>
      </c>
      <c r="Q221" s="33"/>
    </row>
    <row r="222" spans="1:17" x14ac:dyDescent="0.25">
      <c r="A222" s="46"/>
      <c r="B222" s="38" t="s">
        <v>219</v>
      </c>
      <c r="C222" s="25" t="s">
        <v>83</v>
      </c>
      <c r="D222" s="26">
        <f>COUNTIFS('[1]TOTAL SUSPEK'!$F:$F,"surodadi",'[1]TOTAL SUSPEK'!$E:$E,"sayung")</f>
        <v>0</v>
      </c>
      <c r="E222" s="30"/>
      <c r="F222" s="31"/>
      <c r="G222" s="31"/>
      <c r="H222" s="31"/>
      <c r="I222" s="31"/>
      <c r="J222" s="31"/>
      <c r="K222" s="32"/>
      <c r="L222" s="32"/>
      <c r="M222" s="32"/>
      <c r="N222" s="50" t="s">
        <v>231</v>
      </c>
      <c r="P222" s="28">
        <f t="shared" si="3"/>
        <v>0</v>
      </c>
      <c r="Q222" s="33"/>
    </row>
    <row r="223" spans="1:17" x14ac:dyDescent="0.25">
      <c r="A223" s="46"/>
      <c r="B223" s="38" t="s">
        <v>219</v>
      </c>
      <c r="C223" s="25" t="s">
        <v>187</v>
      </c>
      <c r="D223" s="26">
        <f>COUNTIFS('[1]TOTAL SUSPEK'!$F:$F,"sidorejo",'[1]TOTAL SUSPEK'!$E:$E,"sayung")</f>
        <v>0</v>
      </c>
      <c r="E223" s="30"/>
      <c r="F223" s="31"/>
      <c r="G223" s="31"/>
      <c r="H223" s="31"/>
      <c r="I223" s="31"/>
      <c r="J223" s="31"/>
      <c r="K223" s="32"/>
      <c r="L223" s="32"/>
      <c r="M223" s="32"/>
      <c r="N223" s="50" t="s">
        <v>231</v>
      </c>
      <c r="P223" s="28">
        <f t="shared" si="3"/>
        <v>0</v>
      </c>
      <c r="Q223" s="33"/>
    </row>
    <row r="224" spans="1:17" x14ac:dyDescent="0.25">
      <c r="A224" s="46"/>
      <c r="B224" s="38" t="s">
        <v>219</v>
      </c>
      <c r="C224" s="25" t="s">
        <v>232</v>
      </c>
      <c r="D224" s="26">
        <f>COUNTIFS('[1]TOTAL SUSPEK'!$F:$F,"Timbulsloko")</f>
        <v>0</v>
      </c>
      <c r="E224" s="30"/>
      <c r="F224" s="31"/>
      <c r="G224" s="31"/>
      <c r="H224" s="31"/>
      <c r="I224" s="31"/>
      <c r="J224" s="31"/>
      <c r="K224" s="32"/>
      <c r="L224" s="32"/>
      <c r="M224" s="32"/>
      <c r="N224" s="49" t="s">
        <v>230</v>
      </c>
      <c r="P224" s="28">
        <f t="shared" si="3"/>
        <v>0</v>
      </c>
      <c r="Q224" s="33"/>
    </row>
    <row r="225" spans="1:17" x14ac:dyDescent="0.25">
      <c r="A225" s="46"/>
      <c r="B225" s="38" t="s">
        <v>219</v>
      </c>
      <c r="C225" s="25" t="s">
        <v>77</v>
      </c>
      <c r="D225" s="26">
        <f>COUNTIFS('[1]TOTAL SUSPEK'!$F:$F,"banjarsari",'[1]TOTAL SUSPEK'!$E:$E,"sayung")</f>
        <v>0</v>
      </c>
      <c r="E225" s="30"/>
      <c r="F225" s="31"/>
      <c r="G225" s="31"/>
      <c r="H225" s="31"/>
      <c r="I225" s="31"/>
      <c r="J225" s="31"/>
      <c r="K225" s="32"/>
      <c r="L225" s="32"/>
      <c r="M225" s="32"/>
      <c r="N225" s="47" t="s">
        <v>233</v>
      </c>
      <c r="P225" s="28">
        <f t="shared" si="3"/>
        <v>0</v>
      </c>
      <c r="Q225" s="33"/>
    </row>
    <row r="226" spans="1:17" x14ac:dyDescent="0.25">
      <c r="A226" s="46"/>
      <c r="B226" s="38" t="s">
        <v>219</v>
      </c>
      <c r="C226" s="25" t="s">
        <v>234</v>
      </c>
      <c r="D226" s="26">
        <f>COUNTIFS('[1]TOTAL SUSPEK'!$F:$F,"sidogemah")</f>
        <v>1</v>
      </c>
      <c r="E226" s="30"/>
      <c r="F226" s="31"/>
      <c r="G226" s="31"/>
      <c r="H226" s="31"/>
      <c r="I226" s="31"/>
      <c r="J226" s="31"/>
      <c r="K226" s="32"/>
      <c r="L226" s="32"/>
      <c r="M226" s="32"/>
      <c r="N226" s="49" t="s">
        <v>235</v>
      </c>
      <c r="P226" s="28">
        <f t="shared" si="3"/>
        <v>1</v>
      </c>
      <c r="Q226" s="33"/>
    </row>
    <row r="227" spans="1:17" x14ac:dyDescent="0.25">
      <c r="A227" s="46"/>
      <c r="B227" s="38" t="s">
        <v>219</v>
      </c>
      <c r="C227" s="25" t="s">
        <v>236</v>
      </c>
      <c r="D227" s="26">
        <f>COUNTIFS('[1]TOTAL SUSPEK'!$F:$F,"Tambakroto")</f>
        <v>0</v>
      </c>
      <c r="E227" s="30"/>
      <c r="F227" s="31"/>
      <c r="G227" s="31"/>
      <c r="H227" s="31"/>
      <c r="I227" s="31"/>
      <c r="J227" s="31"/>
      <c r="K227" s="32"/>
      <c r="L227" s="32"/>
      <c r="M227" s="32"/>
      <c r="N227" s="49" t="s">
        <v>230</v>
      </c>
      <c r="P227" s="28">
        <f t="shared" si="3"/>
        <v>0</v>
      </c>
      <c r="Q227" s="33"/>
    </row>
    <row r="228" spans="1:17" x14ac:dyDescent="0.25">
      <c r="A228" s="46"/>
      <c r="B228" s="38" t="s">
        <v>219</v>
      </c>
      <c r="C228" s="25" t="s">
        <v>237</v>
      </c>
      <c r="D228" s="26">
        <f>COUNTIFS('[1]TOTAL SUSPEK'!$F:$F,"Kalisari")</f>
        <v>2</v>
      </c>
      <c r="E228" s="30"/>
      <c r="F228" s="31"/>
      <c r="G228" s="31"/>
      <c r="H228" s="31"/>
      <c r="I228" s="31"/>
      <c r="J228" s="31"/>
      <c r="K228" s="32"/>
      <c r="L228" s="32"/>
      <c r="M228" s="32"/>
      <c r="P228" s="28">
        <f t="shared" si="3"/>
        <v>2</v>
      </c>
      <c r="Q228" s="33"/>
    </row>
    <row r="229" spans="1:17" x14ac:dyDescent="0.25">
      <c r="A229" s="46"/>
      <c r="B229" s="38" t="s">
        <v>219</v>
      </c>
      <c r="C229" s="25" t="s">
        <v>238</v>
      </c>
      <c r="D229" s="26">
        <f>COUNTIFS('[1]TOTAL SUSPEK'!$F:$F,"Dombo")</f>
        <v>1</v>
      </c>
      <c r="E229" s="30"/>
      <c r="F229" s="31"/>
      <c r="G229" s="31"/>
      <c r="H229" s="31"/>
      <c r="I229" s="31"/>
      <c r="J229" s="31"/>
      <c r="K229" s="32"/>
      <c r="L229" s="32"/>
      <c r="M229" s="32"/>
      <c r="P229" s="28">
        <f t="shared" si="3"/>
        <v>1</v>
      </c>
      <c r="Q229" s="33"/>
    </row>
    <row r="230" spans="1:17" x14ac:dyDescent="0.25">
      <c r="A230" s="46"/>
      <c r="B230" s="38" t="s">
        <v>219</v>
      </c>
      <c r="C230" s="25" t="s">
        <v>239</v>
      </c>
      <c r="D230" s="26">
        <f>COUNTIFS('[1]TOTAL SUSPEK'!$F:$F,"Bulusari")</f>
        <v>1</v>
      </c>
      <c r="E230" s="30"/>
      <c r="F230" s="31"/>
      <c r="G230" s="31"/>
      <c r="H230" s="31"/>
      <c r="I230" s="31"/>
      <c r="J230" s="31"/>
      <c r="K230" s="32"/>
      <c r="L230" s="32"/>
      <c r="M230" s="32"/>
      <c r="P230" s="28">
        <f t="shared" si="3"/>
        <v>1</v>
      </c>
      <c r="Q230" s="33"/>
    </row>
    <row r="231" spans="1:17" x14ac:dyDescent="0.25">
      <c r="A231" s="46"/>
      <c r="B231" s="38" t="s">
        <v>219</v>
      </c>
      <c r="C231" s="25" t="s">
        <v>240</v>
      </c>
      <c r="D231" s="26">
        <f>COUNTIFS('[1]TOTAL SUSPEK'!$F:$F,"Jetaksari")</f>
        <v>0</v>
      </c>
      <c r="E231" s="30"/>
      <c r="F231" s="31"/>
      <c r="G231" s="31"/>
      <c r="H231" s="31"/>
      <c r="I231" s="31"/>
      <c r="J231" s="31"/>
      <c r="K231" s="32"/>
      <c r="L231" s="32"/>
      <c r="M231" s="32"/>
      <c r="P231" s="28">
        <f t="shared" si="3"/>
        <v>0</v>
      </c>
      <c r="Q231" s="33"/>
    </row>
    <row r="232" spans="1:17" x14ac:dyDescent="0.25">
      <c r="A232" s="46"/>
      <c r="B232" s="38" t="s">
        <v>219</v>
      </c>
      <c r="C232" s="25" t="s">
        <v>241</v>
      </c>
      <c r="D232" s="26">
        <f>COUNTIFS('[1]TOTAL SUSPEK'!$F:$F,"Karangasem")</f>
        <v>1</v>
      </c>
      <c r="E232" s="30"/>
      <c r="F232" s="31"/>
      <c r="G232" s="31"/>
      <c r="H232" s="31"/>
      <c r="I232" s="31"/>
      <c r="J232" s="31"/>
      <c r="K232" s="32"/>
      <c r="L232" s="32"/>
      <c r="M232" s="32"/>
      <c r="P232" s="28">
        <f t="shared" si="3"/>
        <v>1</v>
      </c>
      <c r="Q232" s="33"/>
    </row>
    <row r="233" spans="1:17" x14ac:dyDescent="0.25">
      <c r="A233" s="46"/>
      <c r="B233" s="38" t="s">
        <v>219</v>
      </c>
      <c r="C233" s="25" t="s">
        <v>242</v>
      </c>
      <c r="D233" s="26">
        <f>COUNTIFS('[1]TOTAL SUSPEK'!$F:$F,"Prampelan")</f>
        <v>0</v>
      </c>
      <c r="E233" s="30"/>
      <c r="F233" s="31"/>
      <c r="G233" s="31"/>
      <c r="H233" s="31"/>
      <c r="I233" s="31"/>
      <c r="J233" s="31"/>
      <c r="K233" s="32"/>
      <c r="L233" s="32"/>
      <c r="M233" s="32"/>
      <c r="P233" s="28">
        <f t="shared" si="3"/>
        <v>0</v>
      </c>
      <c r="Q233" s="33"/>
    </row>
    <row r="234" spans="1:17" x14ac:dyDescent="0.25">
      <c r="A234" s="46"/>
      <c r="B234" s="38" t="s">
        <v>219</v>
      </c>
      <c r="C234" s="25" t="s">
        <v>243</v>
      </c>
      <c r="D234" s="26">
        <f>COUNTIFS('[1]TOTAL SUSPEK'!$F:$F,"Sayung")</f>
        <v>1</v>
      </c>
      <c r="E234" s="30"/>
      <c r="F234" s="31"/>
      <c r="G234" s="31"/>
      <c r="H234" s="31"/>
      <c r="I234" s="31"/>
      <c r="J234" s="31"/>
      <c r="K234" s="32"/>
      <c r="L234" s="32"/>
      <c r="M234" s="32"/>
      <c r="P234" s="28">
        <f t="shared" si="3"/>
        <v>1</v>
      </c>
      <c r="Q234" s="33"/>
    </row>
    <row r="235" spans="1:17" x14ac:dyDescent="0.25">
      <c r="A235" s="46"/>
      <c r="B235" s="38" t="s">
        <v>219</v>
      </c>
      <c r="C235" s="25" t="s">
        <v>244</v>
      </c>
      <c r="D235" s="26">
        <f>COUNTIFS('[1]TOTAL SUSPEK'!$F:$F,"Pilangsari")</f>
        <v>2</v>
      </c>
      <c r="E235" s="30"/>
      <c r="F235" s="31"/>
      <c r="G235" s="31"/>
      <c r="H235" s="31"/>
      <c r="I235" s="31"/>
      <c r="J235" s="31"/>
      <c r="K235" s="32"/>
      <c r="L235" s="32"/>
      <c r="M235" s="32"/>
      <c r="P235" s="28">
        <f t="shared" si="3"/>
        <v>2</v>
      </c>
      <c r="Q235" s="33"/>
    </row>
    <row r="236" spans="1:17" x14ac:dyDescent="0.25">
      <c r="A236" s="46"/>
      <c r="B236" s="38" t="s">
        <v>219</v>
      </c>
      <c r="C236" s="25" t="s">
        <v>245</v>
      </c>
      <c r="D236" s="26">
        <f>COUNTIFS('[1]TOTAL SUSPEK'!$F:$F,"loireng")</f>
        <v>0</v>
      </c>
      <c r="E236" s="30"/>
      <c r="F236" s="31"/>
      <c r="G236" s="31"/>
      <c r="H236" s="31"/>
      <c r="I236" s="31"/>
      <c r="J236" s="31"/>
      <c r="K236" s="32"/>
      <c r="L236" s="32"/>
      <c r="M236" s="32"/>
      <c r="P236" s="28">
        <f t="shared" si="3"/>
        <v>0</v>
      </c>
      <c r="Q236" s="33"/>
    </row>
    <row r="237" spans="1:17" x14ac:dyDescent="0.25">
      <c r="A237" s="46">
        <v>14</v>
      </c>
      <c r="B237" s="38" t="s">
        <v>246</v>
      </c>
      <c r="C237" s="25" t="s">
        <v>246</v>
      </c>
      <c r="D237" s="26">
        <f>COUNTIFS('[1]TOTAL SUSPEK'!$F:$F,"Wedung")</f>
        <v>0</v>
      </c>
      <c r="E237" s="30" t="e">
        <f>SUM(#REF!)</f>
        <v>#REF!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>
        <f>SUM(D237:D256)</f>
        <v>6</v>
      </c>
      <c r="M237" s="30" t="e">
        <f>SUM(#REF!)</f>
        <v>#REF!</v>
      </c>
      <c r="P237" s="28">
        <f t="shared" si="3"/>
        <v>0</v>
      </c>
      <c r="Q237" s="29">
        <f>SUM(P237:P256)</f>
        <v>6</v>
      </c>
    </row>
    <row r="238" spans="1:17" x14ac:dyDescent="0.25">
      <c r="A238" s="46"/>
      <c r="B238" s="38" t="s">
        <v>246</v>
      </c>
      <c r="C238" s="25" t="s">
        <v>247</v>
      </c>
      <c r="D238" s="26">
        <f>COUNTIFS('[1]TOTAL SUSPEK'!$F:$F,"Ruwit")</f>
        <v>0</v>
      </c>
      <c r="E238" s="30"/>
      <c r="F238" s="31"/>
      <c r="G238" s="31"/>
      <c r="H238" s="31"/>
      <c r="I238" s="31"/>
      <c r="J238" s="31"/>
      <c r="K238" s="32"/>
      <c r="L238" s="32"/>
      <c r="M238" s="32"/>
      <c r="P238" s="28">
        <f t="shared" si="3"/>
        <v>0</v>
      </c>
      <c r="Q238" s="33"/>
    </row>
    <row r="239" spans="1:17" x14ac:dyDescent="0.25">
      <c r="A239" s="46"/>
      <c r="B239" s="38" t="s">
        <v>246</v>
      </c>
      <c r="C239" s="25" t="s">
        <v>248</v>
      </c>
      <c r="D239" s="26">
        <f>COUNTIFS('[1]TOTAL SUSPEK'!$F:$F,"Bungo")</f>
        <v>0</v>
      </c>
      <c r="E239" s="30"/>
      <c r="F239" s="31"/>
      <c r="G239" s="31"/>
      <c r="H239" s="31"/>
      <c r="I239" s="31"/>
      <c r="J239" s="31"/>
      <c r="K239" s="32"/>
      <c r="L239" s="32"/>
      <c r="M239" s="32"/>
      <c r="P239" s="28">
        <f t="shared" si="3"/>
        <v>0</v>
      </c>
      <c r="Q239" s="33"/>
    </row>
    <row r="240" spans="1:17" x14ac:dyDescent="0.25">
      <c r="A240" s="46"/>
      <c r="B240" s="38" t="s">
        <v>246</v>
      </c>
      <c r="C240" s="25" t="s">
        <v>249</v>
      </c>
      <c r="D240" s="26">
        <f>COUNTIFS('[1]TOTAL SUSPEK'!$F:$F,"Ngawen")</f>
        <v>0</v>
      </c>
      <c r="E240" s="30"/>
      <c r="F240" s="31"/>
      <c r="G240" s="31"/>
      <c r="H240" s="31"/>
      <c r="I240" s="31"/>
      <c r="J240" s="31"/>
      <c r="K240" s="32"/>
      <c r="L240" s="32"/>
      <c r="M240" s="32"/>
      <c r="P240" s="28">
        <f t="shared" si="3"/>
        <v>0</v>
      </c>
      <c r="Q240" s="33"/>
    </row>
    <row r="241" spans="1:17" x14ac:dyDescent="0.25">
      <c r="A241" s="46"/>
      <c r="B241" s="38" t="s">
        <v>246</v>
      </c>
      <c r="C241" s="25" t="s">
        <v>250</v>
      </c>
      <c r="D241" s="26">
        <f>COUNTIFS('[1]TOTAL SUSPEK'!$F:$F,"Kenduren")</f>
        <v>1</v>
      </c>
      <c r="E241" s="30"/>
      <c r="F241" s="31"/>
      <c r="G241" s="31"/>
      <c r="H241" s="31"/>
      <c r="I241" s="31"/>
      <c r="J241" s="31"/>
      <c r="K241" s="32"/>
      <c r="L241" s="32"/>
      <c r="M241" s="32"/>
      <c r="P241" s="28">
        <f t="shared" si="3"/>
        <v>1</v>
      </c>
      <c r="Q241" s="33"/>
    </row>
    <row r="242" spans="1:17" x14ac:dyDescent="0.25">
      <c r="A242" s="46"/>
      <c r="B242" s="38" t="s">
        <v>246</v>
      </c>
      <c r="C242" s="25" t="s">
        <v>251</v>
      </c>
      <c r="D242" s="26">
        <f>COUNTIFS('[1]TOTAL SUSPEK'!$F:$F,"Buko")</f>
        <v>0</v>
      </c>
      <c r="E242" s="30"/>
      <c r="F242" s="31"/>
      <c r="G242" s="31"/>
      <c r="H242" s="31"/>
      <c r="I242" s="31"/>
      <c r="J242" s="31"/>
      <c r="K242" s="32"/>
      <c r="L242" s="32"/>
      <c r="M242" s="32"/>
      <c r="P242" s="28">
        <f t="shared" si="3"/>
        <v>0</v>
      </c>
      <c r="Q242" s="33"/>
    </row>
    <row r="243" spans="1:17" x14ac:dyDescent="0.25">
      <c r="A243" s="46"/>
      <c r="B243" s="38" t="s">
        <v>246</v>
      </c>
      <c r="C243" s="25" t="s">
        <v>252</v>
      </c>
      <c r="D243" s="26">
        <f>COUNTIFS('[1]TOTAL SUSPEK'!$F:$F,"Mandung")</f>
        <v>0</v>
      </c>
      <c r="E243" s="30"/>
      <c r="F243" s="31"/>
      <c r="G243" s="31"/>
      <c r="H243" s="31"/>
      <c r="I243" s="31"/>
      <c r="J243" s="31"/>
      <c r="K243" s="32"/>
      <c r="L243" s="32"/>
      <c r="M243" s="32"/>
      <c r="P243" s="28">
        <f t="shared" si="3"/>
        <v>0</v>
      </c>
      <c r="Q243" s="33"/>
    </row>
    <row r="244" spans="1:17" x14ac:dyDescent="0.25">
      <c r="A244" s="46"/>
      <c r="B244" s="38" t="s">
        <v>246</v>
      </c>
      <c r="C244" s="25" t="s">
        <v>253</v>
      </c>
      <c r="D244" s="26">
        <f>COUNTIFS('[1]TOTAL SUSPEK'!$F:$F,"Berahan Wetan")</f>
        <v>0</v>
      </c>
      <c r="E244" s="30"/>
      <c r="F244" s="31"/>
      <c r="G244" s="31"/>
      <c r="H244" s="31"/>
      <c r="I244" s="31"/>
      <c r="J244" s="31"/>
      <c r="K244" s="32"/>
      <c r="L244" s="32"/>
      <c r="M244" s="32"/>
      <c r="P244" s="28">
        <f t="shared" si="3"/>
        <v>0</v>
      </c>
      <c r="Q244" s="33"/>
    </row>
    <row r="245" spans="1:17" x14ac:dyDescent="0.25">
      <c r="A245" s="46"/>
      <c r="B245" s="38" t="s">
        <v>246</v>
      </c>
      <c r="C245" s="25" t="s">
        <v>254</v>
      </c>
      <c r="D245" s="26">
        <f>COUNTIFS('[1]TOTAL SUSPEK'!$F:$F,"Berahan Kulon")</f>
        <v>0</v>
      </c>
      <c r="E245" s="30"/>
      <c r="F245" s="31"/>
      <c r="G245" s="31"/>
      <c r="H245" s="31"/>
      <c r="I245" s="31"/>
      <c r="J245" s="31"/>
      <c r="K245" s="32"/>
      <c r="L245" s="32"/>
      <c r="M245" s="32"/>
      <c r="P245" s="28">
        <f t="shared" si="3"/>
        <v>0</v>
      </c>
      <c r="Q245" s="33"/>
    </row>
    <row r="246" spans="1:17" x14ac:dyDescent="0.25">
      <c r="A246" s="46"/>
      <c r="B246" s="38" t="s">
        <v>246</v>
      </c>
      <c r="C246" s="25" t="s">
        <v>255</v>
      </c>
      <c r="D246" s="26">
        <f>COUNTIFS('[1]TOTAL SUSPEK'!$F:$F,"Tempel")</f>
        <v>0</v>
      </c>
      <c r="E246" s="30"/>
      <c r="F246" s="31"/>
      <c r="G246" s="31"/>
      <c r="H246" s="31"/>
      <c r="I246" s="31"/>
      <c r="J246" s="31"/>
      <c r="K246" s="32"/>
      <c r="L246" s="32"/>
      <c r="M246" s="32"/>
      <c r="P246" s="28">
        <f t="shared" si="3"/>
        <v>0</v>
      </c>
      <c r="Q246" s="33"/>
    </row>
    <row r="247" spans="1:17" x14ac:dyDescent="0.25">
      <c r="A247" s="46"/>
      <c r="B247" s="38" t="s">
        <v>246</v>
      </c>
      <c r="C247" s="25" t="s">
        <v>256</v>
      </c>
      <c r="D247" s="26">
        <f>COUNTIFS('[1]TOTAL SUSPEK'!$F:$F,"Kedungkarang")</f>
        <v>0</v>
      </c>
      <c r="E247" s="30"/>
      <c r="F247" s="31"/>
      <c r="G247" s="31"/>
      <c r="H247" s="31"/>
      <c r="I247" s="31"/>
      <c r="J247" s="31"/>
      <c r="K247" s="32"/>
      <c r="L247" s="32"/>
      <c r="M247" s="32"/>
      <c r="P247" s="28">
        <f t="shared" si="3"/>
        <v>0</v>
      </c>
      <c r="Q247" s="33"/>
    </row>
    <row r="248" spans="1:17" x14ac:dyDescent="0.25">
      <c r="A248" s="46"/>
      <c r="B248" s="38" t="s">
        <v>246</v>
      </c>
      <c r="C248" s="25" t="s">
        <v>257</v>
      </c>
      <c r="D248" s="26">
        <f>COUNTIFS('[1]TOTAL SUSPEK'!$F:$F,"Kedungmutih")</f>
        <v>0</v>
      </c>
      <c r="E248" s="30"/>
      <c r="F248" s="31"/>
      <c r="G248" s="31"/>
      <c r="H248" s="31"/>
      <c r="I248" s="31"/>
      <c r="J248" s="31"/>
      <c r="K248" s="32"/>
      <c r="L248" s="32"/>
      <c r="M248" s="32"/>
      <c r="P248" s="28">
        <f t="shared" si="3"/>
        <v>0</v>
      </c>
      <c r="Q248" s="33"/>
    </row>
    <row r="249" spans="1:17" x14ac:dyDescent="0.25">
      <c r="A249" s="46"/>
      <c r="B249" s="38" t="s">
        <v>246</v>
      </c>
      <c r="C249" s="25" t="s">
        <v>258</v>
      </c>
      <c r="D249" s="26">
        <f>COUNTIFS('[1]TOTAL SUSPEK'!$F:$F,"Jungsemi")</f>
        <v>0</v>
      </c>
      <c r="E249" s="30"/>
      <c r="F249" s="31"/>
      <c r="G249" s="31"/>
      <c r="H249" s="31"/>
      <c r="I249" s="31"/>
      <c r="J249" s="31"/>
      <c r="K249" s="32"/>
      <c r="L249" s="32"/>
      <c r="M249" s="32"/>
      <c r="P249" s="28">
        <f t="shared" si="3"/>
        <v>0</v>
      </c>
      <c r="Q249" s="33"/>
    </row>
    <row r="250" spans="1:17" x14ac:dyDescent="0.25">
      <c r="A250" s="46"/>
      <c r="B250" s="38" t="s">
        <v>246</v>
      </c>
      <c r="C250" s="25" t="s">
        <v>259</v>
      </c>
      <c r="D250" s="26">
        <f>COUNTIFS('[1]TOTAL SUSPEK'!$F:$F,"Jetak")</f>
        <v>2</v>
      </c>
      <c r="E250" s="30"/>
      <c r="F250" s="31"/>
      <c r="G250" s="31"/>
      <c r="H250" s="31"/>
      <c r="I250" s="31"/>
      <c r="J250" s="31"/>
      <c r="K250" s="32"/>
      <c r="L250" s="32"/>
      <c r="M250" s="32"/>
      <c r="P250" s="28">
        <f t="shared" si="3"/>
        <v>2</v>
      </c>
      <c r="Q250" s="33"/>
    </row>
    <row r="251" spans="1:17" x14ac:dyDescent="0.25">
      <c r="A251" s="46"/>
      <c r="B251" s="38" t="s">
        <v>246</v>
      </c>
      <c r="C251" s="25" t="s">
        <v>260</v>
      </c>
      <c r="D251" s="26">
        <f>COUNTIFS('[1]TOTAL SUSPEK'!$F:$F,"Jungpasir")</f>
        <v>1</v>
      </c>
      <c r="E251" s="30"/>
      <c r="F251" s="31"/>
      <c r="G251" s="31"/>
      <c r="H251" s="31"/>
      <c r="I251" s="31"/>
      <c r="J251" s="31"/>
      <c r="K251" s="32"/>
      <c r="L251" s="32"/>
      <c r="M251" s="32"/>
      <c r="P251" s="28">
        <f t="shared" si="3"/>
        <v>1</v>
      </c>
      <c r="Q251" s="33"/>
    </row>
    <row r="252" spans="1:17" x14ac:dyDescent="0.25">
      <c r="A252" s="46"/>
      <c r="B252" s="38" t="s">
        <v>246</v>
      </c>
      <c r="C252" s="25" t="s">
        <v>261</v>
      </c>
      <c r="D252" s="26">
        <f>COUNTIFS('[1]TOTAL SUSPEK'!$F:$F,"Mutih kulon")</f>
        <v>0</v>
      </c>
      <c r="E252" s="30"/>
      <c r="F252" s="31"/>
      <c r="G252" s="31"/>
      <c r="H252" s="31"/>
      <c r="I252" s="31"/>
      <c r="J252" s="31"/>
      <c r="K252" s="32"/>
      <c r="L252" s="32"/>
      <c r="M252" s="32"/>
      <c r="P252" s="28">
        <f t="shared" si="3"/>
        <v>0</v>
      </c>
      <c r="Q252" s="33"/>
    </row>
    <row r="253" spans="1:17" x14ac:dyDescent="0.25">
      <c r="A253" s="46"/>
      <c r="B253" s="38" t="s">
        <v>246</v>
      </c>
      <c r="C253" s="25" t="s">
        <v>262</v>
      </c>
      <c r="D253" s="26">
        <f>COUNTIFS('[1]TOTAL SUSPEK'!$F:$F,"Mutih Wetan")</f>
        <v>1</v>
      </c>
      <c r="E253" s="30"/>
      <c r="F253" s="31"/>
      <c r="G253" s="31"/>
      <c r="H253" s="31"/>
      <c r="I253" s="31"/>
      <c r="J253" s="31"/>
      <c r="K253" s="32"/>
      <c r="L253" s="32"/>
      <c r="M253" s="32"/>
      <c r="P253" s="28">
        <f t="shared" si="3"/>
        <v>1</v>
      </c>
      <c r="Q253" s="33"/>
    </row>
    <row r="254" spans="1:17" x14ac:dyDescent="0.25">
      <c r="A254" s="46"/>
      <c r="B254" s="38" t="s">
        <v>246</v>
      </c>
      <c r="C254" s="25" t="s">
        <v>263</v>
      </c>
      <c r="D254" s="26">
        <f>COUNTIFS('[1]TOTAL SUSPEK'!$F:$F,"Kendalasem")</f>
        <v>0</v>
      </c>
      <c r="E254" s="30"/>
      <c r="F254" s="31"/>
      <c r="G254" s="31"/>
      <c r="H254" s="31"/>
      <c r="I254" s="31"/>
      <c r="J254" s="31"/>
      <c r="K254" s="32"/>
      <c r="L254" s="32"/>
      <c r="M254" s="32"/>
      <c r="P254" s="28">
        <f t="shared" si="3"/>
        <v>0</v>
      </c>
      <c r="Q254" s="33"/>
    </row>
    <row r="255" spans="1:17" x14ac:dyDescent="0.25">
      <c r="A255" s="46"/>
      <c r="B255" s="38" t="s">
        <v>246</v>
      </c>
      <c r="C255" s="25" t="s">
        <v>264</v>
      </c>
      <c r="D255" s="26">
        <f>COUNTIFS('[1]TOTAL SUSPEK'!$F:$F,"Babalan")</f>
        <v>1</v>
      </c>
      <c r="E255" s="30"/>
      <c r="F255" s="31"/>
      <c r="G255" s="31"/>
      <c r="H255" s="31"/>
      <c r="I255" s="31"/>
      <c r="J255" s="31"/>
      <c r="K255" s="32"/>
      <c r="L255" s="32"/>
      <c r="M255" s="32"/>
      <c r="P255" s="28">
        <f t="shared" si="3"/>
        <v>1</v>
      </c>
      <c r="Q255" s="33"/>
    </row>
    <row r="256" spans="1:17" x14ac:dyDescent="0.25">
      <c r="A256" s="46"/>
      <c r="B256" s="38" t="s">
        <v>246</v>
      </c>
      <c r="C256" s="25" t="s">
        <v>265</v>
      </c>
      <c r="D256" s="26">
        <f>COUNTIFS('[1]TOTAL SUSPEK'!$F:$F,"Tedunan")</f>
        <v>0</v>
      </c>
      <c r="E256" s="30"/>
      <c r="F256" s="31"/>
      <c r="G256" s="31"/>
      <c r="H256" s="31"/>
      <c r="I256" s="31"/>
      <c r="J256" s="31"/>
      <c r="K256" s="32"/>
      <c r="L256" s="32"/>
      <c r="M256" s="32"/>
      <c r="P256" s="28">
        <f t="shared" si="3"/>
        <v>0</v>
      </c>
      <c r="Q256" s="33"/>
    </row>
    <row r="257" spans="1:17" x14ac:dyDescent="0.25">
      <c r="A257" s="51"/>
      <c r="B257" s="52" t="s">
        <v>266</v>
      </c>
      <c r="C257" s="53"/>
      <c r="D257" s="54">
        <v>0</v>
      </c>
      <c r="E257" s="55" t="e">
        <f>#REF!</f>
        <v>#REF!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>
        <f>D257</f>
        <v>0</v>
      </c>
      <c r="M257" s="55" t="e">
        <f>#REF!</f>
        <v>#REF!</v>
      </c>
      <c r="P257" s="28">
        <f t="shared" si="3"/>
        <v>0</v>
      </c>
      <c r="Q257" s="33">
        <f>D257</f>
        <v>0</v>
      </c>
    </row>
    <row r="258" spans="1:17" ht="15" customHeight="1" x14ac:dyDescent="0.25">
      <c r="A258" s="56" t="s">
        <v>267</v>
      </c>
      <c r="B258" s="57"/>
      <c r="C258" s="58"/>
      <c r="D258" s="59">
        <f t="shared" ref="D258" si="4">SUM(D8:D257)</f>
        <v>137</v>
      </c>
      <c r="E258" s="60" t="e">
        <f t="shared" ref="E258:M258" si="5">SUM(E8:E257)</f>
        <v>#REF!</v>
      </c>
      <c r="F258" s="60" t="e">
        <f t="shared" si="5"/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>
        <f t="shared" si="5"/>
        <v>137</v>
      </c>
      <c r="M258" s="60" t="e">
        <f t="shared" si="5"/>
        <v>#REF!</v>
      </c>
      <c r="O258" s="3">
        <f>SUM(O8:O257)</f>
        <v>0</v>
      </c>
      <c r="P258" s="61">
        <f>SUM(P8:P257)</f>
        <v>137</v>
      </c>
      <c r="Q258" s="59">
        <f>SUM(Q8:Q257)</f>
        <v>137</v>
      </c>
    </row>
    <row r="259" spans="1:17" ht="15" customHeight="1" x14ac:dyDescent="0.25">
      <c r="A259" s="62"/>
      <c r="B259" s="63"/>
      <c r="C259" s="64"/>
      <c r="D259" s="64"/>
    </row>
    <row r="260" spans="1:17" ht="15" customHeight="1" x14ac:dyDescent="0.25">
      <c r="A260" s="65"/>
      <c r="B260" s="66"/>
    </row>
    <row r="261" spans="1:17" ht="15" customHeight="1" x14ac:dyDescent="0.25">
      <c r="A261" s="65"/>
    </row>
    <row r="262" spans="1:17" x14ac:dyDescent="0.25">
      <c r="A262" s="65"/>
    </row>
    <row r="263" spans="1:17" x14ac:dyDescent="0.25">
      <c r="A263" s="65"/>
    </row>
    <row r="264" spans="1:17" x14ac:dyDescent="0.25">
      <c r="A264" s="65"/>
    </row>
    <row r="265" spans="1:17" x14ac:dyDescent="0.25">
      <c r="A265" s="65"/>
    </row>
    <row r="266" spans="1:17" x14ac:dyDescent="0.25">
      <c r="A266" s="65"/>
      <c r="D266" s="64"/>
    </row>
    <row r="267" spans="1:17" x14ac:dyDescent="0.25">
      <c r="A267" s="65"/>
    </row>
    <row r="268" spans="1:17" x14ac:dyDescent="0.25">
      <c r="A268" s="65"/>
    </row>
    <row r="269" spans="1:17" x14ac:dyDescent="0.25">
      <c r="A269" s="65"/>
    </row>
    <row r="270" spans="1:17" x14ac:dyDescent="0.25">
      <c r="A270" s="65"/>
    </row>
    <row r="271" spans="1:17" x14ac:dyDescent="0.25">
      <c r="A271" s="65"/>
    </row>
    <row r="272" spans="1:17" x14ac:dyDescent="0.25">
      <c r="A272" s="65"/>
    </row>
    <row r="273" spans="1:1" customFormat="1" x14ac:dyDescent="0.25">
      <c r="A273" s="65"/>
    </row>
    <row r="274" spans="1:1" customFormat="1" x14ac:dyDescent="0.25">
      <c r="A274" s="65"/>
    </row>
    <row r="275" spans="1:1" customFormat="1" x14ac:dyDescent="0.25">
      <c r="A275" s="65"/>
    </row>
    <row r="276" spans="1:1" customFormat="1" x14ac:dyDescent="0.25">
      <c r="A276" s="65"/>
    </row>
    <row r="277" spans="1:1" customFormat="1" x14ac:dyDescent="0.25">
      <c r="A277" s="65"/>
    </row>
    <row r="278" spans="1:1" customFormat="1" x14ac:dyDescent="0.25">
      <c r="A278" s="65"/>
    </row>
    <row r="279" spans="1:1" customFormat="1" x14ac:dyDescent="0.25">
      <c r="A279" s="65"/>
    </row>
    <row r="280" spans="1:1" customFormat="1" x14ac:dyDescent="0.25">
      <c r="A280" s="65"/>
    </row>
    <row r="281" spans="1:1" customFormat="1" x14ac:dyDescent="0.25">
      <c r="A281" s="65"/>
    </row>
    <row r="282" spans="1:1" customFormat="1" x14ac:dyDescent="0.25">
      <c r="A282" s="65"/>
    </row>
    <row r="283" spans="1:1" customFormat="1" x14ac:dyDescent="0.25">
      <c r="A283" s="65"/>
    </row>
    <row r="284" spans="1:1" customFormat="1" x14ac:dyDescent="0.25">
      <c r="A284" s="65"/>
    </row>
    <row r="285" spans="1:1" customFormat="1" x14ac:dyDescent="0.25">
      <c r="A285" s="65"/>
    </row>
    <row r="286" spans="1:1" customFormat="1" x14ac:dyDescent="0.25">
      <c r="A286" s="65"/>
    </row>
    <row r="287" spans="1:1" customFormat="1" x14ac:dyDescent="0.25">
      <c r="A287" s="65"/>
    </row>
    <row r="288" spans="1:1" customFormat="1" x14ac:dyDescent="0.25">
      <c r="A288" s="65"/>
    </row>
    <row r="289" spans="1:1" customFormat="1" x14ac:dyDescent="0.25">
      <c r="A289" s="65"/>
    </row>
    <row r="290" spans="1:1" customFormat="1" x14ac:dyDescent="0.25">
      <c r="A290" s="65"/>
    </row>
    <row r="291" spans="1:1" customFormat="1" x14ac:dyDescent="0.25">
      <c r="A291" s="65"/>
    </row>
    <row r="292" spans="1:1" customFormat="1" x14ac:dyDescent="0.25">
      <c r="A292" s="65"/>
    </row>
    <row r="293" spans="1:1" customFormat="1" x14ac:dyDescent="0.25">
      <c r="A293" s="65"/>
    </row>
    <row r="294" spans="1:1" customFormat="1" x14ac:dyDescent="0.25">
      <c r="A294" s="65"/>
    </row>
    <row r="295" spans="1:1" customFormat="1" x14ac:dyDescent="0.25">
      <c r="A295" s="65"/>
    </row>
    <row r="296" spans="1:1" customFormat="1" x14ac:dyDescent="0.25">
      <c r="A296" s="65"/>
    </row>
    <row r="297" spans="1:1" customFormat="1" x14ac:dyDescent="0.25">
      <c r="A297" s="65"/>
    </row>
    <row r="298" spans="1:1" customFormat="1" x14ac:dyDescent="0.25">
      <c r="A298" s="65"/>
    </row>
    <row r="299" spans="1:1" customFormat="1" x14ac:dyDescent="0.25">
      <c r="A299" s="65"/>
    </row>
    <row r="300" spans="1:1" customFormat="1" x14ac:dyDescent="0.25">
      <c r="A300" s="65"/>
    </row>
    <row r="301" spans="1:1" customFormat="1" x14ac:dyDescent="0.25">
      <c r="A301" s="65"/>
    </row>
    <row r="302" spans="1:1" customFormat="1" x14ac:dyDescent="0.25">
      <c r="A302" s="65"/>
    </row>
    <row r="303" spans="1:1" customFormat="1" x14ac:dyDescent="0.25">
      <c r="A303" s="65"/>
    </row>
    <row r="304" spans="1:1" customFormat="1" x14ac:dyDescent="0.25">
      <c r="A304" s="65"/>
    </row>
    <row r="305" spans="1:2" customFormat="1" x14ac:dyDescent="0.25">
      <c r="A305" s="65"/>
    </row>
    <row r="306" spans="1:2" customFormat="1" x14ac:dyDescent="0.25">
      <c r="A306" s="65"/>
    </row>
    <row r="307" spans="1:2" customFormat="1" x14ac:dyDescent="0.25">
      <c r="A307" s="65"/>
    </row>
    <row r="308" spans="1:2" customFormat="1" x14ac:dyDescent="0.25">
      <c r="A308" s="65"/>
    </row>
    <row r="309" spans="1:2" customFormat="1" x14ac:dyDescent="0.25">
      <c r="A309" s="65"/>
    </row>
    <row r="310" spans="1:2" customFormat="1" x14ac:dyDescent="0.25">
      <c r="A310" s="65"/>
    </row>
    <row r="311" spans="1:2" customFormat="1" x14ac:dyDescent="0.25">
      <c r="A311" s="65"/>
    </row>
    <row r="312" spans="1:2" customFormat="1" x14ac:dyDescent="0.25">
      <c r="A312" s="65"/>
    </row>
    <row r="313" spans="1:2" customFormat="1" x14ac:dyDescent="0.25">
      <c r="A313" s="65"/>
    </row>
    <row r="314" spans="1:2" customFormat="1" x14ac:dyDescent="0.25">
      <c r="A314" s="65"/>
    </row>
    <row r="315" spans="1:2" customFormat="1" x14ac:dyDescent="0.25">
      <c r="A315" s="65"/>
    </row>
    <row r="316" spans="1:2" customFormat="1" x14ac:dyDescent="0.25">
      <c r="A316" s="65"/>
    </row>
    <row r="317" spans="1:2" customFormat="1" x14ac:dyDescent="0.25">
      <c r="A317" s="65"/>
    </row>
    <row r="318" spans="1:2" customFormat="1" x14ac:dyDescent="0.25">
      <c r="A318" s="65"/>
      <c r="B318" t="s">
        <v>268</v>
      </c>
    </row>
    <row r="319" spans="1:2" customFormat="1" x14ac:dyDescent="0.25">
      <c r="A319" s="65"/>
    </row>
    <row r="320" spans="1:2" customFormat="1" x14ac:dyDescent="0.25">
      <c r="A320" s="46" t="s">
        <v>3</v>
      </c>
      <c r="B320" s="67" t="s">
        <v>269</v>
      </c>
    </row>
    <row r="321" spans="1:2" customFormat="1" x14ac:dyDescent="0.25">
      <c r="A321" s="68" t="s">
        <v>270</v>
      </c>
      <c r="B321" s="33" t="s">
        <v>271</v>
      </c>
    </row>
    <row r="322" spans="1:2" customFormat="1" x14ac:dyDescent="0.25">
      <c r="A322" s="68" t="s">
        <v>272</v>
      </c>
      <c r="B322" s="33" t="s">
        <v>23</v>
      </c>
    </row>
    <row r="323" spans="1:2" customFormat="1" x14ac:dyDescent="0.25">
      <c r="A323" s="68" t="s">
        <v>273</v>
      </c>
      <c r="B323" s="33" t="s">
        <v>35</v>
      </c>
    </row>
    <row r="324" spans="1:2" customFormat="1" x14ac:dyDescent="0.25">
      <c r="A324" s="68" t="s">
        <v>274</v>
      </c>
      <c r="B324" s="33" t="s">
        <v>44</v>
      </c>
    </row>
    <row r="325" spans="1:2" customFormat="1" x14ac:dyDescent="0.25">
      <c r="A325" s="68" t="s">
        <v>275</v>
      </c>
      <c r="B325" s="33" t="s">
        <v>39</v>
      </c>
    </row>
    <row r="326" spans="1:2" customFormat="1" x14ac:dyDescent="0.25">
      <c r="A326" s="68" t="s">
        <v>276</v>
      </c>
      <c r="B326" s="33" t="s">
        <v>55</v>
      </c>
    </row>
    <row r="327" spans="1:2" customFormat="1" x14ac:dyDescent="0.25">
      <c r="A327" s="68" t="s">
        <v>277</v>
      </c>
      <c r="B327" s="33" t="s">
        <v>59</v>
      </c>
    </row>
    <row r="328" spans="1:2" customFormat="1" x14ac:dyDescent="0.25">
      <c r="A328" s="68" t="s">
        <v>278</v>
      </c>
      <c r="B328" s="33" t="s">
        <v>56</v>
      </c>
    </row>
    <row r="329" spans="1:2" customFormat="1" x14ac:dyDescent="0.25">
      <c r="A329" s="68" t="s">
        <v>279</v>
      </c>
      <c r="B329" s="33" t="s">
        <v>77</v>
      </c>
    </row>
    <row r="330" spans="1:2" customFormat="1" x14ac:dyDescent="0.25">
      <c r="A330" s="68" t="s">
        <v>280</v>
      </c>
      <c r="B330" s="33" t="s">
        <v>86</v>
      </c>
    </row>
    <row r="331" spans="1:2" customFormat="1" x14ac:dyDescent="0.25">
      <c r="A331" s="68" t="s">
        <v>281</v>
      </c>
      <c r="B331" s="33" t="s">
        <v>75</v>
      </c>
    </row>
    <row r="332" spans="1:2" customFormat="1" x14ac:dyDescent="0.25">
      <c r="A332" s="68" t="s">
        <v>282</v>
      </c>
      <c r="B332" s="33" t="s">
        <v>85</v>
      </c>
    </row>
    <row r="333" spans="1:2" customFormat="1" x14ac:dyDescent="0.25">
      <c r="A333" s="68" t="s">
        <v>283</v>
      </c>
      <c r="B333" s="33" t="s">
        <v>97</v>
      </c>
    </row>
    <row r="334" spans="1:2" customFormat="1" x14ac:dyDescent="0.25">
      <c r="A334" s="68" t="s">
        <v>284</v>
      </c>
      <c r="B334" s="33" t="s">
        <v>285</v>
      </c>
    </row>
    <row r="335" spans="1:2" customFormat="1" x14ac:dyDescent="0.25">
      <c r="A335" s="68" t="s">
        <v>286</v>
      </c>
      <c r="B335" s="33" t="s">
        <v>287</v>
      </c>
    </row>
    <row r="336" spans="1:2" customFormat="1" x14ac:dyDescent="0.25">
      <c r="A336" s="68" t="s">
        <v>288</v>
      </c>
      <c r="B336" s="33" t="s">
        <v>93</v>
      </c>
    </row>
    <row r="337" spans="1:2" customFormat="1" x14ac:dyDescent="0.25">
      <c r="A337" s="68" t="s">
        <v>289</v>
      </c>
      <c r="B337" s="33" t="s">
        <v>102</v>
      </c>
    </row>
    <row r="338" spans="1:2" customFormat="1" x14ac:dyDescent="0.25">
      <c r="A338" s="68" t="s">
        <v>290</v>
      </c>
      <c r="B338" s="33" t="s">
        <v>23</v>
      </c>
    </row>
    <row r="339" spans="1:2" customFormat="1" x14ac:dyDescent="0.25">
      <c r="A339" s="68" t="s">
        <v>291</v>
      </c>
      <c r="B339" s="33" t="s">
        <v>130</v>
      </c>
    </row>
    <row r="340" spans="1:2" customFormat="1" x14ac:dyDescent="0.25">
      <c r="A340" s="68" t="s">
        <v>292</v>
      </c>
      <c r="B340" s="33" t="s">
        <v>136</v>
      </c>
    </row>
    <row r="341" spans="1:2" customFormat="1" x14ac:dyDescent="0.25">
      <c r="A341" s="68" t="s">
        <v>293</v>
      </c>
      <c r="B341" s="33" t="s">
        <v>137</v>
      </c>
    </row>
    <row r="342" spans="1:2" customFormat="1" x14ac:dyDescent="0.25">
      <c r="A342" s="68" t="s">
        <v>294</v>
      </c>
      <c r="B342" s="33" t="s">
        <v>138</v>
      </c>
    </row>
    <row r="343" spans="1:2" customFormat="1" x14ac:dyDescent="0.25">
      <c r="A343" s="68" t="s">
        <v>295</v>
      </c>
      <c r="B343" s="33" t="s">
        <v>22</v>
      </c>
    </row>
    <row r="344" spans="1:2" customFormat="1" x14ac:dyDescent="0.25">
      <c r="A344" s="68" t="s">
        <v>296</v>
      </c>
      <c r="B344" s="33" t="s">
        <v>149</v>
      </c>
    </row>
    <row r="345" spans="1:2" customFormat="1" x14ac:dyDescent="0.25">
      <c r="A345" s="68" t="s">
        <v>297</v>
      </c>
      <c r="B345" s="33" t="s">
        <v>164</v>
      </c>
    </row>
    <row r="346" spans="1:2" customFormat="1" x14ac:dyDescent="0.25">
      <c r="A346" s="68" t="s">
        <v>298</v>
      </c>
      <c r="B346" s="33" t="s">
        <v>183</v>
      </c>
    </row>
    <row r="347" spans="1:2" customFormat="1" x14ac:dyDescent="0.25">
      <c r="A347" s="68" t="s">
        <v>299</v>
      </c>
      <c r="B347" s="33" t="s">
        <v>202</v>
      </c>
    </row>
    <row r="348" spans="1:2" customFormat="1" x14ac:dyDescent="0.25">
      <c r="A348" s="68" t="s">
        <v>300</v>
      </c>
      <c r="B348" s="33" t="s">
        <v>222</v>
      </c>
    </row>
    <row r="349" spans="1:2" customFormat="1" x14ac:dyDescent="0.25">
      <c r="A349" s="68" t="s">
        <v>301</v>
      </c>
      <c r="B349" s="33" t="s">
        <v>246</v>
      </c>
    </row>
    <row r="350" spans="1:2" customFormat="1" x14ac:dyDescent="0.25">
      <c r="A350" s="68" t="s">
        <v>302</v>
      </c>
      <c r="B350" s="33" t="s">
        <v>265</v>
      </c>
    </row>
    <row r="351" spans="1:2" customFormat="1" x14ac:dyDescent="0.25">
      <c r="A351" s="68" t="s">
        <v>303</v>
      </c>
      <c r="B351" s="33" t="s">
        <v>258</v>
      </c>
    </row>
    <row r="354" spans="1:2" customFormat="1" x14ac:dyDescent="0.25">
      <c r="A354" s="69" t="s">
        <v>304</v>
      </c>
      <c r="B354" s="69"/>
    </row>
    <row r="356" spans="1:2" customFormat="1" x14ac:dyDescent="0.25">
      <c r="A356" s="46" t="s">
        <v>3</v>
      </c>
      <c r="B356" s="67" t="s">
        <v>269</v>
      </c>
    </row>
    <row r="357" spans="1:2" customFormat="1" x14ac:dyDescent="0.25">
      <c r="A357" s="68" t="s">
        <v>270</v>
      </c>
      <c r="B357" s="33" t="s">
        <v>40</v>
      </c>
    </row>
    <row r="358" spans="1:2" customFormat="1" x14ac:dyDescent="0.25">
      <c r="A358" s="68" t="s">
        <v>272</v>
      </c>
      <c r="B358" s="33" t="s">
        <v>46</v>
      </c>
    </row>
    <row r="359" spans="1:2" customFormat="1" x14ac:dyDescent="0.25">
      <c r="A359" s="68" t="s">
        <v>273</v>
      </c>
      <c r="B359" s="33" t="s">
        <v>61</v>
      </c>
    </row>
    <row r="360" spans="1:2" customFormat="1" x14ac:dyDescent="0.25">
      <c r="A360" s="68" t="s">
        <v>274</v>
      </c>
      <c r="B360" s="33" t="s">
        <v>62</v>
      </c>
    </row>
    <row r="361" spans="1:2" customFormat="1" x14ac:dyDescent="0.25">
      <c r="A361" s="68" t="s">
        <v>275</v>
      </c>
      <c r="B361" s="33" t="s">
        <v>108</v>
      </c>
    </row>
    <row r="362" spans="1:2" customFormat="1" x14ac:dyDescent="0.25">
      <c r="A362" s="68" t="s">
        <v>276</v>
      </c>
      <c r="B362" s="33" t="s">
        <v>125</v>
      </c>
    </row>
    <row r="363" spans="1:2" customFormat="1" x14ac:dyDescent="0.25">
      <c r="A363" s="68" t="s">
        <v>277</v>
      </c>
      <c r="B363" s="33" t="s">
        <v>151</v>
      </c>
    </row>
    <row r="364" spans="1:2" customFormat="1" x14ac:dyDescent="0.25">
      <c r="A364" s="68" t="s">
        <v>278</v>
      </c>
      <c r="B364" s="33" t="s">
        <v>305</v>
      </c>
    </row>
    <row r="365" spans="1:2" customFormat="1" x14ac:dyDescent="0.25">
      <c r="A365" s="68" t="s">
        <v>279</v>
      </c>
      <c r="B365" s="33" t="s">
        <v>157</v>
      </c>
    </row>
    <row r="366" spans="1:2" customFormat="1" x14ac:dyDescent="0.25">
      <c r="A366" s="68" t="s">
        <v>280</v>
      </c>
      <c r="B366" s="33" t="s">
        <v>187</v>
      </c>
    </row>
    <row r="367" spans="1:2" customFormat="1" x14ac:dyDescent="0.25">
      <c r="A367" s="68" t="s">
        <v>281</v>
      </c>
      <c r="B367" s="33" t="s">
        <v>193</v>
      </c>
    </row>
    <row r="368" spans="1:2" customFormat="1" x14ac:dyDescent="0.25">
      <c r="A368" s="68" t="s">
        <v>282</v>
      </c>
      <c r="B368" s="33" t="s">
        <v>72</v>
      </c>
    </row>
    <row r="369" spans="1:2" customFormat="1" x14ac:dyDescent="0.25">
      <c r="A369" s="68" t="s">
        <v>283</v>
      </c>
      <c r="B369" s="33" t="s">
        <v>197</v>
      </c>
    </row>
    <row r="370" spans="1:2" customFormat="1" x14ac:dyDescent="0.25">
      <c r="A370" s="68" t="s">
        <v>284</v>
      </c>
      <c r="B370" s="33" t="s">
        <v>77</v>
      </c>
    </row>
    <row r="371" spans="1:2" customFormat="1" x14ac:dyDescent="0.25">
      <c r="A371" s="68" t="s">
        <v>286</v>
      </c>
      <c r="B371" s="33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LABORAT</cp:lastModifiedBy>
  <dcterms:created xsi:type="dcterms:W3CDTF">2021-07-12T07:33:07Z</dcterms:created>
  <dcterms:modified xsi:type="dcterms:W3CDTF">2021-07-12T07:33:37Z</dcterms:modified>
</cp:coreProperties>
</file>