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1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LE LINA\OPEN DATA\SEKTORAL\2024\SEMESTER 2 2024\"/>
    </mc:Choice>
  </mc:AlternateContent>
  <xr:revisionPtr revIDLastSave="0" documentId="8_{994F17CC-B4ED-47E5-B9A0-1261D84303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Prod24" sheetId="9" r:id="rId1"/>
  </sheets>
  <definedNames>
    <definedName name="_xlnm.Print_Area" localSheetId="0">RekapProd24!$A$1:$U$25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9" l="1"/>
  <c r="N14" i="9"/>
  <c r="N13" i="9"/>
  <c r="N11" i="9"/>
  <c r="N10" i="9"/>
  <c r="N9" i="9"/>
  <c r="N16" i="9" s="1"/>
  <c r="M15" i="9"/>
  <c r="M14" i="9"/>
  <c r="M13" i="9"/>
  <c r="M11" i="9"/>
  <c r="M10" i="9"/>
  <c r="M9" i="9"/>
  <c r="M8" i="9"/>
  <c r="M7" i="9"/>
  <c r="M6" i="9"/>
  <c r="L15" i="9"/>
  <c r="L14" i="9"/>
  <c r="L13" i="9"/>
  <c r="L12" i="9"/>
  <c r="L11" i="9"/>
  <c r="L10" i="9"/>
  <c r="L9" i="9"/>
  <c r="L8" i="9"/>
  <c r="L7" i="9"/>
  <c r="L6" i="9"/>
  <c r="K15" i="9"/>
  <c r="K14" i="9"/>
  <c r="K13" i="9"/>
  <c r="K12" i="9"/>
  <c r="K11" i="9"/>
  <c r="K10" i="9"/>
  <c r="K9" i="9"/>
  <c r="K8" i="9"/>
  <c r="K7" i="9"/>
  <c r="K6" i="9"/>
  <c r="J15" i="9"/>
  <c r="P15" i="9" s="1"/>
  <c r="J14" i="9"/>
  <c r="J13" i="9"/>
  <c r="P13" i="9" s="1"/>
  <c r="J12" i="9"/>
  <c r="P12" i="9" s="1"/>
  <c r="J11" i="9"/>
  <c r="P11" i="9" s="1"/>
  <c r="J10" i="9"/>
  <c r="J9" i="9"/>
  <c r="J8" i="9"/>
  <c r="J7" i="9"/>
  <c r="J6" i="9"/>
  <c r="I14" i="9"/>
  <c r="P14" i="9" s="1"/>
  <c r="I10" i="9"/>
  <c r="P10" i="9" s="1"/>
  <c r="I9" i="9"/>
  <c r="P9" i="9" s="1"/>
  <c r="I8" i="9"/>
  <c r="P8" i="9" s="1"/>
  <c r="I7" i="9"/>
  <c r="P7" i="9" s="1"/>
  <c r="I6" i="9"/>
  <c r="P6" i="9" s="1"/>
  <c r="H16" i="9"/>
  <c r="S17" i="9" l="1"/>
  <c r="M16" i="9"/>
  <c r="L16" i="9"/>
  <c r="K16" i="9"/>
  <c r="J16" i="9"/>
  <c r="P16" i="9" l="1"/>
  <c r="I16" i="9" l="1"/>
  <c r="N17" i="9" s="1"/>
</calcChain>
</file>

<file path=xl/sharedStrings.xml><?xml version="1.0" encoding="utf-8"?>
<sst xmlns="http://schemas.openxmlformats.org/spreadsheetml/2006/main" count="60" uniqueCount="34">
  <si>
    <t xml:space="preserve">JUMLAH PRODUKSI GARAM </t>
  </si>
  <si>
    <t>TAHUN 2024</t>
  </si>
  <si>
    <t>No</t>
  </si>
  <si>
    <t>Kec.</t>
  </si>
  <si>
    <t>Desa/Kelurahan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</si>
  <si>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</si>
  <si>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</si>
  <si>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</si>
  <si>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</si>
  <si>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</si>
  <si>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</si>
  <si>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</si>
  <si>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</si>
  <si>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</si>
  <si>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</si>
  <si>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</si>
  <si>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</si>
  <si>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 Produksi Kumulatif  (Ton)</t>
  </si>
  <si>
    <t>Produksi (Ton)</t>
  </si>
  <si>
    <t>Wedung</t>
  </si>
  <si>
    <t>Tedunan</t>
  </si>
  <si>
    <t>Kendalasem</t>
  </si>
  <si>
    <t>Kedungkarang</t>
  </si>
  <si>
    <t>-</t>
  </si>
  <si>
    <t>Kedungmutih</t>
  </si>
  <si>
    <t>Babalan</t>
  </si>
  <si>
    <t>Berahan Wetan</t>
  </si>
  <si>
    <t>Berahan Kulon</t>
  </si>
  <si>
    <t>Mutih Wetan</t>
  </si>
  <si>
    <t>Mutih Kulon</t>
  </si>
  <si>
    <t xml:space="preserve"> Bungo</t>
  </si>
  <si>
    <t>Total</t>
  </si>
  <si>
    <t>pro</t>
  </si>
  <si>
    <t>Sumber: Dinas Kelautan dan Perikanan Kab.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</si>
</sst>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_);_(* \(#,##0\);_(* &quot;-&quot;??_);_(@_)"/>
    <numFmt numFmtId="166" formatCode="_(* #,##0.0_);_(* \(#,##0.0\);_(* &quot;-&quot;??_);_(@_)"/>
    <numFmt numFmtId="167" formatCode="#,##0.000;[Red]#,##0.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name val="Arial"/>
      <family val="2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sz val="11"/>
      <name val="Calibri"/>
      <family val="2"/>
    </font>
    <font>
      <sz val="12"/>
      <name val="Times New Roman"/>
      <family val="1"/>
    </font>
    <font>
      <u/>
      <sz val="12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Bahnschrift Light Condensed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2" fillId="0" borderId="0"/>
    <xf numFmtId="0" fontId="14" fillId="0" borderId="0">
      <alignment vertical="center"/>
    </xf>
    <xf numFmtId="0" fontId="2" fillId="0" borderId="0"/>
    <xf numFmtId="0" fontId="1" fillId="0" borderId="0"/>
    <xf numFmtId="0" fontId="13" fillId="0" borderId="0"/>
  </cellStyleXfs>
  <cellXfs count="5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4" fillId="2" borderId="3" xfId="1" applyFont="1" applyFill="1" applyBorder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0" fillId="2" borderId="0" xfId="3" applyFont="1" applyFill="1"/>
    <xf numFmtId="0" fontId="11" fillId="0" borderId="0" xfId="0" applyFont="1" applyAlignment="1">
      <alignment horizontal="center"/>
    </xf>
    <xf numFmtId="0" fontId="12" fillId="2" borderId="0" xfId="0" applyFont="1" applyFill="1"/>
    <xf numFmtId="0" fontId="10" fillId="2" borderId="0" xfId="0" applyFont="1" applyFill="1"/>
    <xf numFmtId="0" fontId="10" fillId="2" borderId="0" xfId="3" applyFont="1" applyFill="1" applyAlignment="1">
      <alignment horizontal="center"/>
    </xf>
    <xf numFmtId="0" fontId="15" fillId="2" borderId="0" xfId="3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2" borderId="0" xfId="0" applyFill="1"/>
    <xf numFmtId="0" fontId="17" fillId="0" borderId="6" xfId="0" applyFont="1" applyBorder="1" applyAlignment="1">
      <alignment horizontal="center" vertical="center" wrapText="1"/>
    </xf>
    <xf numFmtId="164" fontId="19" fillId="0" borderId="0" xfId="0" applyNumberFormat="1" applyFont="1"/>
    <xf numFmtId="166" fontId="18" fillId="2" borderId="0" xfId="1" applyNumberFormat="1" applyFont="1" applyFill="1" applyBorder="1" applyAlignment="1">
      <alignment horizontal="center" vertical="center"/>
    </xf>
    <xf numFmtId="37" fontId="18" fillId="2" borderId="0" xfId="1" applyNumberFormat="1" applyFont="1" applyFill="1" applyBorder="1" applyAlignment="1">
      <alignment horizontal="right" vertical="center"/>
    </xf>
    <xf numFmtId="37" fontId="18" fillId="0" borderId="0" xfId="1" applyNumberFormat="1" applyFont="1" applyFill="1" applyBorder="1" applyAlignment="1">
      <alignment horizontal="right" vertical="center"/>
    </xf>
    <xf numFmtId="164" fontId="18" fillId="0" borderId="0" xfId="2" applyFont="1" applyFill="1" applyBorder="1" applyAlignment="1">
      <alignment horizontal="center" vertical="center"/>
    </xf>
    <xf numFmtId="43" fontId="4" fillId="2" borderId="3" xfId="1" applyFont="1" applyFill="1" applyBorder="1" applyAlignment="1">
      <alignment vertical="center"/>
    </xf>
    <xf numFmtId="37" fontId="4" fillId="2" borderId="3" xfId="1" applyNumberFormat="1" applyFont="1" applyFill="1" applyBorder="1" applyAlignment="1">
      <alignment horizontal="right" vertical="center"/>
    </xf>
    <xf numFmtId="0" fontId="21" fillId="0" borderId="0" xfId="0" applyFont="1"/>
    <xf numFmtId="0" fontId="22" fillId="0" borderId="0" xfId="0" applyFont="1"/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1" fontId="4" fillId="2" borderId="3" xfId="1" applyNumberFormat="1" applyFont="1" applyFill="1" applyBorder="1" applyAlignment="1">
      <alignment horizontal="right" vertical="center"/>
    </xf>
    <xf numFmtId="41" fontId="4" fillId="2" borderId="3" xfId="1" applyNumberFormat="1" applyFont="1" applyFill="1" applyBorder="1" applyAlignment="1">
      <alignment horizontal="center" vertical="top"/>
    </xf>
    <xf numFmtId="41" fontId="10" fillId="0" borderId="3" xfId="0" applyNumberFormat="1" applyFont="1" applyBorder="1" applyAlignment="1">
      <alignment horizontal="center" vertical="center"/>
    </xf>
    <xf numFmtId="41" fontId="10" fillId="2" borderId="3" xfId="0" applyNumberFormat="1" applyFont="1" applyFill="1" applyBorder="1" applyAlignment="1">
      <alignment horizontal="center" vertical="center"/>
    </xf>
    <xf numFmtId="41" fontId="4" fillId="2" borderId="3" xfId="1" applyNumberFormat="1" applyFont="1" applyFill="1" applyBorder="1" applyAlignment="1">
      <alignment horizontal="center" vertical="center"/>
    </xf>
    <xf numFmtId="41" fontId="4" fillId="2" borderId="3" xfId="1" applyNumberFormat="1" applyFont="1" applyFill="1" applyBorder="1" applyAlignment="1">
      <alignment horizontal="right" vertical="top"/>
    </xf>
    <xf numFmtId="41" fontId="4" fillId="0" borderId="5" xfId="1" applyNumberFormat="1" applyFont="1" applyFill="1" applyBorder="1" applyAlignment="1">
      <alignment horizontal="right" vertical="center"/>
    </xf>
    <xf numFmtId="41" fontId="4" fillId="0" borderId="3" xfId="2" applyNumberFormat="1" applyFont="1" applyFill="1" applyBorder="1" applyAlignment="1">
      <alignment horizontal="center" vertical="center"/>
    </xf>
    <xf numFmtId="41" fontId="4" fillId="0" borderId="3" xfId="1" applyNumberFormat="1" applyFont="1" applyFill="1" applyBorder="1" applyAlignment="1">
      <alignment horizontal="right" vertical="center"/>
    </xf>
    <xf numFmtId="167" fontId="4" fillId="2" borderId="3" xfId="1" applyNumberFormat="1" applyFont="1" applyFill="1" applyBorder="1" applyAlignment="1">
      <alignment horizontal="right" vertical="center"/>
    </xf>
    <xf numFmtId="167" fontId="4" fillId="0" borderId="5" xfId="1" applyNumberFormat="1" applyFont="1" applyFill="1" applyBorder="1" applyAlignment="1">
      <alignment horizontal="right" vertical="center"/>
    </xf>
    <xf numFmtId="0" fontId="10" fillId="0" borderId="0" xfId="3" applyFont="1" applyAlignment="1">
      <alignment horizontal="center" wrapText="1"/>
    </xf>
    <xf numFmtId="166" fontId="4" fillId="2" borderId="3" xfId="1" applyNumberFormat="1" applyFont="1" applyFill="1" applyBorder="1" applyAlignment="1">
      <alignment horizontal="center" vertical="center"/>
    </xf>
    <xf numFmtId="0" fontId="10" fillId="0" borderId="0" xfId="3" applyFont="1" applyAlignment="1">
      <alignment horizontal="center" wrapText="1"/>
    </xf>
    <xf numFmtId="164" fontId="20" fillId="0" borderId="7" xfId="0" applyNumberFormat="1" applyFont="1" applyBorder="1" applyAlignment="1">
      <alignment horizontal="right"/>
    </xf>
    <xf numFmtId="0" fontId="20" fillId="0" borderId="7" xfId="0" applyFont="1" applyBorder="1" applyAlignment="1">
      <alignment horizontal="right"/>
    </xf>
    <xf numFmtId="0" fontId="3" fillId="0" borderId="0" xfId="0" applyFont="1" applyAlignment="1">
      <alignment horizontal="center"/>
    </xf>
    <xf numFmtId="43" fontId="16" fillId="0" borderId="1" xfId="1" applyFont="1" applyFill="1" applyBorder="1" applyAlignment="1">
      <alignment horizontal="center" vertical="center"/>
    </xf>
    <xf numFmtId="43" fontId="16" fillId="0" borderId="4" xfId="1" applyFont="1" applyFill="1" applyBorder="1" applyAlignment="1">
      <alignment horizontal="center" vertical="center"/>
    </xf>
    <xf numFmtId="43" fontId="16" fillId="0" borderId="3" xfId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/>
    </xf>
  </cellXfs>
  <cellStyles count="10">
    <cellStyle name="Comma 2" xfId="4" xr:uid="{00000000-0005-0000-0000-000002000000}"/>
    <cellStyle name="Koma" xfId="1" builtinId="3"/>
    <cellStyle name="Koma [0]" xfId="2" builtinId="6"/>
    <cellStyle name="Normal" xfId="0" builtinId="0"/>
    <cellStyle name="Normal 2" xfId="3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Normal 6" xfId="8" xr:uid="{00000000-0005-0000-0000-000008000000}"/>
    <cellStyle name="Normal 7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view="pageBreakPreview" zoomScale="80" zoomScaleSheetLayoutView="80" workbookViewId="0">
      <pane xSplit="3" ySplit="5" topLeftCell="D8" activePane="bottomRight" state="frozen"/>
      <selection pane="bottomRight" activeCell="A19" sqref="A19:F19"/>
      <selection pane="bottomLeft" activeCell="A6" sqref="A6"/>
      <selection pane="topRight" activeCell="D1" sqref="D1"/>
    </sheetView>
  </sheetViews>
  <sheetFormatPr defaultRowHeight="15"/>
  <cols>
    <col min="1" max="1" width="5.42578125" style="2" customWidth="1"/>
    <col min="2" max="2" width="11.85546875" customWidth="1"/>
    <col min="3" max="3" width="22" customWidth="1"/>
    <col min="4" max="15" width="15.7109375" customWidth="1"/>
    <col min="16" max="16" width="30.28515625" customWidth="1"/>
    <col min="19" max="19" width="9.140625" customWidth="1"/>
  </cols>
  <sheetData>
    <row r="1" spans="1:19" ht="2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9" ht="2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9">
      <c r="B3" s="1"/>
      <c r="P3" s="19"/>
    </row>
    <row r="4" spans="1:19" s="2" customFormat="1" ht="34.5" customHeight="1">
      <c r="A4" s="52" t="s">
        <v>2</v>
      </c>
      <c r="B4" s="52" t="s">
        <v>3</v>
      </c>
      <c r="C4" s="52" t="s">
        <v>4</v>
      </c>
      <c r="D4" s="30" t="s">
        <v>5</v>
      </c>
      <c r="E4" s="30" t="s">
        <v>6</v>
      </c>
      <c r="F4" s="30" t="s">
        <v>7</v>
      </c>
      <c r="G4" s="30" t="s">
        <v>8</v>
      </c>
      <c r="H4" s="31" t="s">
        <v>9</v>
      </c>
      <c r="I4" s="31" t="s">
        <v>10</v>
      </c>
      <c r="J4" s="30" t="s">
        <v>11</v>
      </c>
      <c r="K4" s="31" t="s">
        <v>12</v>
      </c>
      <c r="L4" s="30" t="s">
        <v>13</v>
      </c>
      <c r="M4" s="30" t="s">
        <v>14</v>
      </c>
      <c r="N4" s="30" t="s">
        <v>15</v>
      </c>
      <c r="O4" s="30" t="s">
        <v>16</v>
      </c>
      <c r="P4" s="54" t="s">
        <v>17</v>
      </c>
    </row>
    <row r="5" spans="1:19" s="2" customFormat="1" ht="33.75" customHeight="1">
      <c r="A5" s="53"/>
      <c r="B5" s="53"/>
      <c r="C5" s="53"/>
      <c r="D5" s="20" t="s">
        <v>18</v>
      </c>
      <c r="E5" s="20" t="s">
        <v>18</v>
      </c>
      <c r="F5" s="20" t="s">
        <v>18</v>
      </c>
      <c r="G5" s="20" t="s">
        <v>18</v>
      </c>
      <c r="H5" s="20" t="s">
        <v>18</v>
      </c>
      <c r="I5" s="20" t="s">
        <v>18</v>
      </c>
      <c r="J5" s="20" t="s">
        <v>18</v>
      </c>
      <c r="K5" s="20" t="s">
        <v>18</v>
      </c>
      <c r="L5" s="20" t="s">
        <v>18</v>
      </c>
      <c r="M5" s="20" t="s">
        <v>18</v>
      </c>
      <c r="N5" s="20" t="s">
        <v>18</v>
      </c>
      <c r="O5" s="20" t="s">
        <v>18</v>
      </c>
      <c r="P5" s="54"/>
    </row>
    <row r="6" spans="1:19" s="28" customFormat="1" ht="24.95" customHeight="1">
      <c r="A6" s="32">
        <v>1</v>
      </c>
      <c r="B6" s="3" t="s">
        <v>19</v>
      </c>
      <c r="C6" s="26" t="s">
        <v>20</v>
      </c>
      <c r="D6" s="35">
        <v>0</v>
      </c>
      <c r="E6" s="35">
        <v>0</v>
      </c>
      <c r="F6" s="35">
        <v>0</v>
      </c>
      <c r="G6" s="35">
        <v>0</v>
      </c>
      <c r="H6" s="40">
        <v>0</v>
      </c>
      <c r="I6" s="37">
        <f>92776.37534/1000</f>
        <v>92.776375340000001</v>
      </c>
      <c r="J6" s="38">
        <f>221171.2270482/1000</f>
        <v>221.1712270482</v>
      </c>
      <c r="K6" s="38">
        <f>408524.397259/1000</f>
        <v>408.52439725900001</v>
      </c>
      <c r="L6" s="38">
        <f>395540.4758734/1000</f>
        <v>395.5404758734</v>
      </c>
      <c r="M6" s="38">
        <f>264875.9014759/1000</f>
        <v>264.87590147590004</v>
      </c>
      <c r="N6" s="36">
        <v>0</v>
      </c>
      <c r="O6" s="39">
        <v>0</v>
      </c>
      <c r="P6" s="27">
        <f>SUM(D6:O6)</f>
        <v>1382.8883769965</v>
      </c>
    </row>
    <row r="7" spans="1:19" s="28" customFormat="1" ht="24.95" customHeight="1">
      <c r="A7" s="32">
        <v>2</v>
      </c>
      <c r="B7" s="3" t="s">
        <v>19</v>
      </c>
      <c r="C7" s="26" t="s">
        <v>21</v>
      </c>
      <c r="D7" s="35">
        <v>0</v>
      </c>
      <c r="E7" s="35">
        <v>0</v>
      </c>
      <c r="F7" s="35">
        <v>0</v>
      </c>
      <c r="G7" s="35">
        <v>0</v>
      </c>
      <c r="H7" s="40">
        <v>0</v>
      </c>
      <c r="I7" s="37">
        <f>261429.91233/1000</f>
        <v>261.42991232999998</v>
      </c>
      <c r="J7" s="38">
        <f>623227.3494759/1000</f>
        <v>623.22734947589993</v>
      </c>
      <c r="K7" s="38">
        <f>1151160.4863705/1000</f>
        <v>1151.1604863704999</v>
      </c>
      <c r="L7" s="38">
        <f>1114573.7430633/1000</f>
        <v>1114.5737430632998</v>
      </c>
      <c r="M7" s="38">
        <f>746380.56776205/1000</f>
        <v>746.38056776204996</v>
      </c>
      <c r="N7" s="36">
        <v>0</v>
      </c>
      <c r="O7" s="39">
        <v>0</v>
      </c>
      <c r="P7" s="27">
        <f t="shared" ref="P7:P15" si="0">SUM(D7:O7)</f>
        <v>3896.7720590017493</v>
      </c>
    </row>
    <row r="8" spans="1:19" s="28" customFormat="1" ht="24.95" customHeight="1">
      <c r="A8" s="32">
        <v>3</v>
      </c>
      <c r="B8" s="3" t="s">
        <v>19</v>
      </c>
      <c r="C8" s="26" t="s">
        <v>22</v>
      </c>
      <c r="D8" s="35">
        <v>0</v>
      </c>
      <c r="E8" s="35">
        <v>0</v>
      </c>
      <c r="F8" s="35">
        <v>0</v>
      </c>
      <c r="G8" s="35">
        <v>0</v>
      </c>
      <c r="H8" s="40" t="s">
        <v>23</v>
      </c>
      <c r="I8" s="37">
        <f>313451.17123/1000</f>
        <v>313.45117123</v>
      </c>
      <c r="J8" s="38">
        <f>747241.7402229/1000</f>
        <v>747.24174022290003</v>
      </c>
      <c r="K8" s="38">
        <f>1380226.9201355/1000</f>
        <v>1380.2269201355</v>
      </c>
      <c r="L8" s="38">
        <f>1336359.8758523/1000</f>
        <v>1336.3598758523001</v>
      </c>
      <c r="M8" s="38">
        <f>894900.89738855/1000</f>
        <v>894.90089738854999</v>
      </c>
      <c r="N8" s="36">
        <v>0</v>
      </c>
      <c r="O8" s="39">
        <v>0</v>
      </c>
      <c r="P8" s="27">
        <f t="shared" si="0"/>
        <v>4672.1806048292501</v>
      </c>
    </row>
    <row r="9" spans="1:19" s="28" customFormat="1" ht="24.95" customHeight="1">
      <c r="A9" s="32">
        <v>4</v>
      </c>
      <c r="B9" s="3" t="s">
        <v>19</v>
      </c>
      <c r="C9" s="26" t="s">
        <v>24</v>
      </c>
      <c r="D9" s="35">
        <v>0</v>
      </c>
      <c r="E9" s="35">
        <v>0</v>
      </c>
      <c r="F9" s="35">
        <v>0</v>
      </c>
      <c r="G9" s="35">
        <v>0</v>
      </c>
      <c r="H9" s="44">
        <v>0.19539300000000001</v>
      </c>
      <c r="I9" s="37">
        <f>829477.43407/1000</f>
        <v>829.47743406999996</v>
      </c>
      <c r="J9" s="38">
        <f>1977405.7913961/1000</f>
        <v>1977.4057913961001</v>
      </c>
      <c r="K9" s="38">
        <f>3652457.5092695/1000</f>
        <v>3652.4575092695</v>
      </c>
      <c r="L9" s="38">
        <f>3536373.3256007/1000</f>
        <v>3536.3733256006999</v>
      </c>
      <c r="M9" s="38">
        <f>2368152.26180195/1000</f>
        <v>2368.1522618019503</v>
      </c>
      <c r="N9" s="40">
        <f>512899/1000</f>
        <v>512.899</v>
      </c>
      <c r="O9" s="39">
        <v>0</v>
      </c>
      <c r="P9" s="27">
        <f t="shared" si="0"/>
        <v>12876.96071513825</v>
      </c>
    </row>
    <row r="10" spans="1:19" s="28" customFormat="1" ht="24.95" customHeight="1">
      <c r="A10" s="32">
        <v>5</v>
      </c>
      <c r="B10" s="3" t="s">
        <v>19</v>
      </c>
      <c r="C10" s="26" t="s">
        <v>25</v>
      </c>
      <c r="D10" s="35">
        <v>0</v>
      </c>
      <c r="E10" s="35">
        <v>0</v>
      </c>
      <c r="F10" s="35">
        <v>0</v>
      </c>
      <c r="G10" s="35">
        <v>0</v>
      </c>
      <c r="H10" s="40" t="s">
        <v>23</v>
      </c>
      <c r="I10" s="37">
        <f>549917.03565/1000</f>
        <v>549.91703565</v>
      </c>
      <c r="J10" s="38">
        <f>1310956.8583995/1000</f>
        <v>1310.9568583994999</v>
      </c>
      <c r="K10" s="38">
        <f>2421462.6267525/1000</f>
        <v>2421.4626267525</v>
      </c>
      <c r="L10" s="38">
        <f>2344502.5220565/1000</f>
        <v>2344.5025220564999</v>
      </c>
      <c r="M10" s="38">
        <f>1570009.28330025/1000</f>
        <v>1570.00928330025</v>
      </c>
      <c r="N10" s="40">
        <f>340035/1000</f>
        <v>340.03500000000003</v>
      </c>
      <c r="O10" s="39">
        <v>0</v>
      </c>
      <c r="P10" s="27">
        <f t="shared" si="0"/>
        <v>8536.8833261587497</v>
      </c>
    </row>
    <row r="11" spans="1:19" s="28" customFormat="1" ht="24.95" customHeight="1">
      <c r="A11" s="32">
        <v>6</v>
      </c>
      <c r="B11" s="3" t="s">
        <v>19</v>
      </c>
      <c r="C11" s="26" t="s">
        <v>26</v>
      </c>
      <c r="D11" s="35">
        <v>0</v>
      </c>
      <c r="E11" s="35">
        <v>0</v>
      </c>
      <c r="F11" s="35">
        <v>0</v>
      </c>
      <c r="G11" s="35">
        <v>0</v>
      </c>
      <c r="H11" s="40" t="s">
        <v>23</v>
      </c>
      <c r="I11" s="39">
        <v>0</v>
      </c>
      <c r="J11" s="38">
        <f>958946.7800484/1000</f>
        <v>958.9467800484</v>
      </c>
      <c r="K11" s="38">
        <f>1771266.364758/1000</f>
        <v>1771.266364758</v>
      </c>
      <c r="L11" s="38">
        <f>1714971.1143708/1000</f>
        <v>1714.9711143708</v>
      </c>
      <c r="M11" s="38">
        <f>1148440.0399758/1000</f>
        <v>1148.4400399758001</v>
      </c>
      <c r="N11" s="40">
        <f>248731/1000</f>
        <v>248.73099999999999</v>
      </c>
      <c r="O11" s="39">
        <v>0</v>
      </c>
      <c r="P11" s="27">
        <f t="shared" si="0"/>
        <v>5842.3552991529996</v>
      </c>
    </row>
    <row r="12" spans="1:19" s="28" customFormat="1" ht="24.95" customHeight="1">
      <c r="A12" s="32">
        <v>7</v>
      </c>
      <c r="B12" s="3" t="s">
        <v>19</v>
      </c>
      <c r="C12" s="26" t="s">
        <v>27</v>
      </c>
      <c r="D12" s="35">
        <v>0</v>
      </c>
      <c r="E12" s="35">
        <v>0</v>
      </c>
      <c r="F12" s="35">
        <v>0</v>
      </c>
      <c r="G12" s="35">
        <v>0</v>
      </c>
      <c r="H12" s="40" t="s">
        <v>23</v>
      </c>
      <c r="I12" s="39">
        <v>0</v>
      </c>
      <c r="J12" s="38">
        <f>146028.779637/1000</f>
        <v>146.02877963700001</v>
      </c>
      <c r="K12" s="38">
        <f>269729.114315/1000</f>
        <v>269.729114315</v>
      </c>
      <c r="L12" s="38">
        <f>261156.452219/1000</f>
        <v>261.15645221900002</v>
      </c>
      <c r="M12" s="39">
        <v>0</v>
      </c>
      <c r="N12" s="36">
        <v>0</v>
      </c>
      <c r="O12" s="39">
        <v>0</v>
      </c>
      <c r="P12" s="27">
        <f t="shared" si="0"/>
        <v>676.91434617100003</v>
      </c>
    </row>
    <row r="13" spans="1:19" s="28" customFormat="1" ht="24.95" customHeight="1">
      <c r="A13" s="32">
        <v>8</v>
      </c>
      <c r="B13" s="3" t="s">
        <v>19</v>
      </c>
      <c r="C13" s="26" t="s">
        <v>28</v>
      </c>
      <c r="D13" s="35">
        <v>0</v>
      </c>
      <c r="E13" s="35">
        <v>0</v>
      </c>
      <c r="F13" s="35">
        <v>0</v>
      </c>
      <c r="G13" s="35">
        <v>0</v>
      </c>
      <c r="H13" s="40" t="s">
        <v>23</v>
      </c>
      <c r="I13" s="39">
        <v>0</v>
      </c>
      <c r="J13" s="38">
        <f>355532.3805735/1000</f>
        <v>355.53238057350001</v>
      </c>
      <c r="K13" s="38">
        <f>656702.2908825/1000</f>
        <v>656.70229088250005</v>
      </c>
      <c r="L13" s="38">
        <f>635830.6587945/1000</f>
        <v>635.8306587945001</v>
      </c>
      <c r="M13" s="38">
        <f>425787.57221325/1000</f>
        <v>425.78757221324997</v>
      </c>
      <c r="N13" s="40">
        <f>92218/1000</f>
        <v>92.218000000000004</v>
      </c>
      <c r="O13" s="39">
        <v>0</v>
      </c>
      <c r="P13" s="27">
        <f t="shared" si="0"/>
        <v>2166.0709024637499</v>
      </c>
    </row>
    <row r="14" spans="1:19" s="28" customFormat="1" ht="24.95" customHeight="1">
      <c r="A14" s="32">
        <v>9</v>
      </c>
      <c r="B14" s="3" t="s">
        <v>19</v>
      </c>
      <c r="C14" s="26" t="s">
        <v>29</v>
      </c>
      <c r="D14" s="35">
        <v>0</v>
      </c>
      <c r="E14" s="35">
        <v>0</v>
      </c>
      <c r="F14" s="35">
        <v>0</v>
      </c>
      <c r="G14" s="35">
        <v>0</v>
      </c>
      <c r="H14" s="40" t="s">
        <v>23</v>
      </c>
      <c r="I14" s="37">
        <f>1005764.85994/1000</f>
        <v>1005.76485994</v>
      </c>
      <c r="J14" s="38">
        <f>2397660.4753062/1000</f>
        <v>2397.6604753061997</v>
      </c>
      <c r="K14" s="38">
        <f>4428708.080969/1000</f>
        <v>4428.7080809690005</v>
      </c>
      <c r="L14" s="38">
        <f>4287952.7235194/1000</f>
        <v>4287.9527235194</v>
      </c>
      <c r="M14" s="38">
        <f>2871451.6273469/1000</f>
        <v>2871.4516273468998</v>
      </c>
      <c r="N14" s="40">
        <f>621904/1000</f>
        <v>621.904</v>
      </c>
      <c r="O14" s="39">
        <v>0</v>
      </c>
      <c r="P14" s="27">
        <f t="shared" si="0"/>
        <v>15613.4417670815</v>
      </c>
    </row>
    <row r="15" spans="1:19" s="28" customFormat="1" ht="24.95" customHeight="1">
      <c r="A15" s="32">
        <v>10</v>
      </c>
      <c r="B15" s="3" t="s">
        <v>19</v>
      </c>
      <c r="C15" s="26" t="s">
        <v>30</v>
      </c>
      <c r="D15" s="35">
        <v>0</v>
      </c>
      <c r="E15" s="35">
        <v>0</v>
      </c>
      <c r="F15" s="35">
        <v>0</v>
      </c>
      <c r="G15" s="35">
        <v>0</v>
      </c>
      <c r="H15" s="40" t="s">
        <v>23</v>
      </c>
      <c r="I15" s="39">
        <v>0</v>
      </c>
      <c r="J15" s="38">
        <f>317520.8690901/1000</f>
        <v>317.52086909010001</v>
      </c>
      <c r="K15" s="38">
        <f>586491.3957995/1000</f>
        <v>586.49139579950008</v>
      </c>
      <c r="L15" s="38">
        <f>567851.2405787/1000</f>
        <v>567.85124057869996</v>
      </c>
      <c r="M15" s="38">
        <f>380264.77295495/1000</f>
        <v>380.26477295494999</v>
      </c>
      <c r="N15" s="36">
        <v>0</v>
      </c>
      <c r="O15" s="39">
        <v>0</v>
      </c>
      <c r="P15" s="27">
        <f t="shared" si="0"/>
        <v>1852.1282784232499</v>
      </c>
    </row>
    <row r="16" spans="1:19" s="28" customFormat="1" ht="24.95" customHeight="1">
      <c r="A16" s="47" t="s">
        <v>31</v>
      </c>
      <c r="B16" s="47"/>
      <c r="C16" s="47"/>
      <c r="D16" s="35">
        <v>0</v>
      </c>
      <c r="E16" s="35">
        <v>0</v>
      </c>
      <c r="F16" s="35">
        <v>0</v>
      </c>
      <c r="G16" s="35">
        <v>0</v>
      </c>
      <c r="H16" s="45">
        <f>SUM(H6:H14)</f>
        <v>0.19539300000000001</v>
      </c>
      <c r="I16" s="41">
        <f t="shared" ref="I16" si="1">SUM(I6:I14)</f>
        <v>3052.8167885599996</v>
      </c>
      <c r="J16" s="42">
        <f t="shared" ref="J16:P16" si="2">SUM(J6:J15)</f>
        <v>9055.6922511977991</v>
      </c>
      <c r="K16" s="43">
        <f t="shared" si="2"/>
        <v>16726.729186511002</v>
      </c>
      <c r="L16" s="43">
        <f t="shared" si="2"/>
        <v>16195.112131928601</v>
      </c>
      <c r="M16" s="43">
        <f t="shared" si="2"/>
        <v>10670.2629242196</v>
      </c>
      <c r="N16" s="43">
        <f t="shared" si="2"/>
        <v>1815.787</v>
      </c>
      <c r="O16" s="43">
        <f t="shared" si="2"/>
        <v>0</v>
      </c>
      <c r="P16" s="27">
        <f t="shared" si="2"/>
        <v>57516.595675416989</v>
      </c>
      <c r="R16" s="27"/>
      <c r="S16" s="28">
        <v>1234.06</v>
      </c>
    </row>
    <row r="17" spans="1:19" ht="24.95" customHeight="1">
      <c r="A17" s="22"/>
      <c r="B17" s="22"/>
      <c r="C17" s="22"/>
      <c r="D17" s="23"/>
      <c r="E17" s="23"/>
      <c r="F17" s="23"/>
      <c r="G17" s="23"/>
      <c r="H17" s="24"/>
      <c r="I17" s="24"/>
      <c r="J17" s="25"/>
      <c r="K17" s="24"/>
      <c r="L17" s="24"/>
      <c r="M17" s="24"/>
      <c r="N17" s="49">
        <f>H16+I16+J16+K16+L16+M16</f>
        <v>55700.808675417</v>
      </c>
      <c r="O17" s="50"/>
      <c r="P17" s="50"/>
      <c r="Q17" t="s">
        <v>32</v>
      </c>
      <c r="R17">
        <v>55700809</v>
      </c>
      <c r="S17" s="29">
        <f>R17/S16</f>
        <v>45136.224332690472</v>
      </c>
    </row>
    <row r="18" spans="1:19" s="7" customFormat="1" ht="15" customHeight="1">
      <c r="A18" s="33"/>
      <c r="B18" s="4"/>
      <c r="C18" s="5"/>
      <c r="D18" s="6"/>
      <c r="N18" s="46"/>
      <c r="R18" s="7">
        <v>11</v>
      </c>
    </row>
    <row r="19" spans="1:19" s="7" customFormat="1" ht="15" customHeight="1">
      <c r="A19" s="55" t="s">
        <v>33</v>
      </c>
      <c r="B19" s="55"/>
      <c r="C19" s="55"/>
      <c r="D19" s="55"/>
      <c r="E19" s="55"/>
      <c r="F19" s="55"/>
      <c r="N19" s="46"/>
    </row>
    <row r="20" spans="1:19" s="7" customFormat="1" ht="31.5" customHeight="1">
      <c r="A20" s="34"/>
      <c r="B20" s="8"/>
      <c r="C20" s="9"/>
      <c r="D20" s="9"/>
      <c r="N20" s="15"/>
    </row>
    <row r="21" spans="1:19" s="7" customFormat="1" ht="18.75" customHeight="1">
      <c r="A21" s="34"/>
      <c r="B21" s="8"/>
      <c r="C21" s="9"/>
      <c r="D21" s="9"/>
      <c r="N21" s="15"/>
    </row>
    <row r="22" spans="1:19" s="7" customFormat="1" ht="3" hidden="1" customHeight="1">
      <c r="A22" s="34"/>
      <c r="B22" s="8"/>
      <c r="C22" s="9"/>
      <c r="D22" s="9"/>
      <c r="N22" s="16"/>
    </row>
    <row r="23" spans="1:19" s="7" customFormat="1" ht="15.75">
      <c r="A23" s="34"/>
      <c r="B23" s="8"/>
      <c r="C23" s="9"/>
      <c r="D23" s="9"/>
      <c r="N23" s="17"/>
    </row>
    <row r="24" spans="1:19" s="4" customFormat="1" ht="15.75" customHeight="1">
      <c r="A24" s="34"/>
      <c r="B24" s="8"/>
      <c r="C24" s="9"/>
      <c r="D24" s="9"/>
      <c r="N24" s="18"/>
    </row>
    <row r="25" spans="1:19">
      <c r="C25" s="9"/>
    </row>
    <row r="26" spans="1:19">
      <c r="C26" s="9"/>
      <c r="E26" s="21"/>
    </row>
    <row r="28" spans="1:19" ht="15.75">
      <c r="C28" s="48"/>
      <c r="D28" s="48"/>
      <c r="E28" s="48"/>
      <c r="F28" s="48"/>
      <c r="G28" s="48"/>
      <c r="H28" s="48"/>
      <c r="I28" s="10"/>
      <c r="J28" s="10"/>
      <c r="K28" s="10"/>
      <c r="L28" s="10"/>
      <c r="M28" s="10"/>
      <c r="N28" s="10"/>
      <c r="O28" s="10"/>
      <c r="P28" s="10"/>
    </row>
    <row r="29" spans="1:19" ht="15.75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9" ht="15.75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9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9"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3:16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3:16" ht="15.75"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3:16" ht="15.75"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3:16" ht="15.75"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</sheetData>
  <mergeCells count="10">
    <mergeCell ref="A16:C16"/>
    <mergeCell ref="C28:H28"/>
    <mergeCell ref="N17:P17"/>
    <mergeCell ref="A1:P1"/>
    <mergeCell ref="A2:P2"/>
    <mergeCell ref="A4:A5"/>
    <mergeCell ref="B4:B5"/>
    <mergeCell ref="C4:C5"/>
    <mergeCell ref="P4:P5"/>
    <mergeCell ref="A19:F19"/>
  </mergeCells>
  <phoneticPr fontId="23" type="noConversion"/>
  <printOptions horizontalCentered="1"/>
  <pageMargins left="0.11811023622047245" right="0.70866141732283472" top="0.74803149606299213" bottom="0.74803149606299213" header="0.31496062992125984" footer="0.31496062992125984"/>
  <pageSetup paperSize="5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lenovo</cp:lastModifiedBy>
  <cp:revision/>
  <dcterms:created xsi:type="dcterms:W3CDTF">2024-01-08T04:15:00Z</dcterms:created>
  <dcterms:modified xsi:type="dcterms:W3CDTF">2025-02-25T07:02:39Z</dcterms:modified>
  <cp:category/>
  <cp:contentStatus/>
</cp:coreProperties>
</file>