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00" windowHeight="7980" firstSheet="3" activeTab="10"/>
  </bookViews>
  <sheets>
    <sheet name="PENJUALAN" sheetId="1" r:id="rId1"/>
    <sheet name="kec-popyam" sheetId="2" r:id="rId2"/>
    <sheet name="Kec-pop" sheetId="3" r:id="rId3"/>
    <sheet name="rkp-pop" sheetId="4" r:id="rId4"/>
    <sheet name="kec-pot" sheetId="5" r:id="rId5"/>
    <sheet name="rkp-pot" sheetId="6" r:id="rId6"/>
    <sheet name="kec-DAGING" sheetId="7" r:id="rId7"/>
    <sheet name="KEC-telur" sheetId="8" r:id="rId8"/>
    <sheet name="KEC-SUSU" sheetId="9" r:id="rId9"/>
    <sheet name="rkp-prod" sheetId="10" r:id="rId10"/>
    <sheet name="penyakit" sheetId="11" r:id="rId11"/>
  </sheets>
  <definedNames>
    <definedName name="_xlnm.Print_Area" localSheetId="6">'kec-DAGING'!$A$242:$N$273</definedName>
    <definedName name="_xlnm.Print_Area" localSheetId="2">'Kec-pop'!$AU$1:$BT$30</definedName>
    <definedName name="_xlnm.Print_Area" localSheetId="1">'kec-popyam'!$A$1:$P$28</definedName>
    <definedName name="_xlnm.Print_Area" localSheetId="4">'kec-pot'!$B$270:$W$298</definedName>
    <definedName name="_xlnm.Print_Area" localSheetId="8">'KEC-SUSU'!#REF!</definedName>
    <definedName name="_xlnm.Print_Area" localSheetId="7">'KEC-telur'!$A$59:$Q$85</definedName>
    <definedName name="_xlnm.Print_Area" localSheetId="0">'PENJUALAN'!$A$1:$K$56</definedName>
    <definedName name="_xlnm.Print_Area" localSheetId="3">'rkp-pop'!$L$1:$Z$35</definedName>
    <definedName name="_xlnm.Print_Area" localSheetId="5">'rkp-pot'!$N$1:$Z$33</definedName>
    <definedName name="_xlnm.Print_Area" localSheetId="9">'rkp-prod'!$J$1:$Q$33</definedName>
  </definedNames>
  <calcPr fullCalcOnLoad="1"/>
</workbook>
</file>

<file path=xl/comments11.xml><?xml version="1.0" encoding="utf-8"?>
<comments xmlns="http://schemas.openxmlformats.org/spreadsheetml/2006/main">
  <authors>
    <author>user</author>
  </authors>
  <commentList>
    <comment ref="K26" authorId="0">
      <text>
        <r>
          <rPr>
            <sz val="9"/>
            <rFont val="Times New Roman"/>
            <family val="1"/>
          </rPr>
          <t xml:space="preserve">user:
kra, jun, keracunan
</t>
        </r>
      </text>
    </comment>
  </commentList>
</comments>
</file>

<file path=xl/comments8.xml><?xml version="1.0" encoding="utf-8"?>
<comments xmlns="http://schemas.openxmlformats.org/spreadsheetml/2006/main">
  <authors>
    <author>w8</author>
  </authors>
  <commentList>
    <comment ref="O105" authorId="0">
      <text>
        <r>
          <rPr>
            <b/>
            <sz val="9"/>
            <rFont val="Tahoma"/>
            <family val="2"/>
          </rPr>
          <t>w8:</t>
        </r>
        <r>
          <rPr>
            <sz val="9"/>
            <rFont val="Tahoma"/>
            <family val="2"/>
          </rPr>
          <t xml:space="preserve">
CEK MANUAL
</t>
        </r>
      </text>
    </comment>
  </commentList>
</comments>
</file>

<file path=xl/sharedStrings.xml><?xml version="1.0" encoding="utf-8"?>
<sst xmlns="http://schemas.openxmlformats.org/spreadsheetml/2006/main" count="3451" uniqueCount="316">
  <si>
    <t>PENJUALAN TAHUN 2016</t>
  </si>
  <si>
    <t>KECAMATAN</t>
  </si>
  <si>
    <t>SAPI</t>
  </si>
  <si>
    <t>KERBAU</t>
  </si>
  <si>
    <t>KAMBING</t>
  </si>
  <si>
    <t>DOMBA</t>
  </si>
  <si>
    <t>Jumlah</t>
  </si>
  <si>
    <t>Jt</t>
  </si>
  <si>
    <t>Bt</t>
  </si>
  <si>
    <t>JANUARI</t>
  </si>
  <si>
    <t>Masuk</t>
  </si>
  <si>
    <t>Terjual</t>
  </si>
  <si>
    <t>Harga</t>
  </si>
  <si>
    <t>Omzet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</si>
  <si>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</si>
  <si>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</si>
  <si>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</si>
  <si>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</si>
  <si>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</si>
  <si>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</si>
  <si>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</si>
  <si>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</si>
  <si>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</si>
  <si>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</si>
  <si>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</si>
  <si>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JUMLAH</t>
  </si>
  <si>
    <t>rata2 Harga</t>
  </si>
  <si>
    <t>Omzet kab.</t>
  </si>
  <si>
    <t>POPULASI AYAM RAS PER BULAN PER KECAMATAN TAHUN 2016 (ekor)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</si>
  <si>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</si>
  <si>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</si>
  <si>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</si>
  <si>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</si>
  <si>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</si>
  <si>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</si>
  <si>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</si>
  <si>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</si>
  <si>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</si>
  <si>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</si>
  <si>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</si>
  <si>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</si>
  <si>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Jumlah th. Ini</t>
  </si>
  <si>
    <t xml:space="preserve">Jumlah Th. lalu </t>
  </si>
  <si>
    <t>DEMAK</t>
  </si>
  <si>
    <t>WONOSALAM</t>
  </si>
  <si>
    <t xml:space="preserve">DEMPET </t>
  </si>
  <si>
    <t>BONANG</t>
  </si>
  <si>
    <t>WEDUNG</t>
  </si>
  <si>
    <t>MIJEN</t>
  </si>
  <si>
    <t>GAJAH</t>
  </si>
  <si>
    <t>KARANGANYAR</t>
  </si>
  <si>
    <t>KARANGTENGAH</t>
  </si>
  <si>
    <t>GUNTUR</t>
  </si>
  <si>
    <t>SAYUNG</t>
  </si>
  <si>
    <t>KARANGAWEN</t>
  </si>
  <si>
    <t>MRANGGEN</t>
  </si>
  <si>
    <t>KEBONAGUNG</t>
  </si>
  <si>
    <t>JUMLAH TH,INI</t>
  </si>
  <si>
    <t>JUMLAH TH. LALU</t>
  </si>
  <si>
    <t>Demak, 10 Januari 2017</t>
  </si>
  <si>
    <t xml:space="preserve">KEPALA DINAS PERTANIAN </t>
  </si>
  <si>
    <t>KABUPATEN DEMAK</t>
  </si>
  <si>
    <t>Ir. WIBOWO, MM</t>
  </si>
  <si>
    <t>NIP. 19610412 198608 1 001</t>
  </si>
  <si>
    <t>LAPORAN  TRIBULAN</t>
  </si>
  <si>
    <t>DAFTAR  :  POPULASI TERNAK BESAR DAN JUMLAH PEMILIKNYA</t>
  </si>
  <si>
    <t xml:space="preserve">DAFTAR : </t>
  </si>
  <si>
    <t>POPULASI TERNAK KECIL (SELAIN BABI)</t>
  </si>
  <si>
    <t>POPULASI UNGGAS (SELAIN AYAM RAS) DAN KELINCI</t>
  </si>
  <si>
    <t>MODEL   :  C-1-A</t>
  </si>
  <si>
    <t>Bulan</t>
  </si>
  <si>
    <t>: TW II (Juni 2016)</t>
  </si>
  <si>
    <t>MODEL   :  C-1-B</t>
  </si>
  <si>
    <t>DAN JUMLAH PEMILIKNYA</t>
  </si>
  <si>
    <t xml:space="preserve">Bulan : </t>
  </si>
  <si>
    <t>MODEL   :  C-1-C</t>
  </si>
  <si>
    <t>KUDA</t>
  </si>
  <si>
    <t>SAPI (selain sapi perah)</t>
  </si>
  <si>
    <t>AYAM  SAYUR</t>
  </si>
  <si>
    <t>ITIK</t>
  </si>
  <si>
    <t>UNGGAS LAINNYA</t>
  </si>
  <si>
    <t>KELINCI</t>
  </si>
  <si>
    <t>Muda&amp;Anak</t>
  </si>
  <si>
    <t>Dewasa</t>
  </si>
  <si>
    <t>Total</t>
  </si>
  <si>
    <t xml:space="preserve">Burung Puyuh </t>
  </si>
  <si>
    <t>Entog</t>
  </si>
  <si>
    <t>Angsa</t>
  </si>
  <si>
    <t>pemilik</t>
  </si>
  <si>
    <t>(ekor)</t>
  </si>
  <si>
    <t>(entang)</t>
  </si>
  <si>
    <t>Jumlah Tribulan ini</t>
  </si>
  <si>
    <t>Jumlah tahun lalu</t>
  </si>
  <si>
    <t>Demak, Juni 2016</t>
  </si>
  <si>
    <t>Demak,</t>
  </si>
  <si>
    <t>: TW III (September 2016)</t>
  </si>
  <si>
    <t>Demak,  10 Desember 2016</t>
  </si>
  <si>
    <t>Demak, September 2016</t>
  </si>
  <si>
    <t>Demak, November 2016</t>
  </si>
  <si>
    <t>POPULASI  TERNAK</t>
  </si>
  <si>
    <t>Kabupaten : Demak  Tahun 2015</t>
  </si>
  <si>
    <t>Kabupaten : Demak sd Triwulan IV Tahun 2016</t>
  </si>
  <si>
    <t>No.</t>
  </si>
  <si>
    <t>Jenis Ternak</t>
  </si>
  <si>
    <t xml:space="preserve">Jumlah </t>
  </si>
  <si>
    <t>Anak/Muda</t>
  </si>
  <si>
    <t>Jumlah muda + dewasa</t>
  </si>
  <si>
    <t>Pemilik</t>
  </si>
  <si>
    <t>ekor</t>
  </si>
  <si>
    <t>AU</t>
  </si>
  <si>
    <t>(AU)</t>
  </si>
  <si>
    <t>Sapi Potong</t>
  </si>
  <si>
    <t>Sapi Perah</t>
  </si>
  <si>
    <t>Kerbau</t>
  </si>
  <si>
    <t>Kuda</t>
  </si>
  <si>
    <t>Kambing</t>
  </si>
  <si>
    <t>Domba</t>
  </si>
  <si>
    <t>Babi</t>
  </si>
  <si>
    <t>Ayam Ras Petelur</t>
  </si>
  <si>
    <t>Ayam Ras Pedaging</t>
  </si>
  <si>
    <t>Ayam Buras</t>
  </si>
  <si>
    <t>Itik</t>
  </si>
  <si>
    <t>Burung Puyuh</t>
  </si>
  <si>
    <t>Kelinci</t>
  </si>
  <si>
    <t>Jumlah tahun ini</t>
  </si>
  <si>
    <t>NIP.19610412 198608 1 001</t>
  </si>
  <si>
    <t>Kabupaten : Demak  Triwulan I Tahun 2016</t>
  </si>
  <si>
    <t>Kabupaten : Demak Triwulan II 2016</t>
  </si>
  <si>
    <t>Kabupaten : DEMAK  Triwulan III  2016</t>
  </si>
  <si>
    <t>Kabupaten : DEMAK   bulan Desember  2016</t>
  </si>
  <si>
    <t>DATA PEMOTONGAN TERNAK PER BULAN PER KECAMATAN</t>
  </si>
  <si>
    <t>KAMBING TAK TERCATAT</t>
  </si>
  <si>
    <t>DOMBA TAK TERCATAT</t>
  </si>
  <si>
    <t>DEMPET</t>
  </si>
  <si>
    <t>DATA PEMOTONGAN TERNAK TAHUN 2016</t>
  </si>
  <si>
    <t>JUMLAH TH.INI</t>
  </si>
  <si>
    <t>PEMOTONGAN TERNAK</t>
  </si>
  <si>
    <t>Kabupaten : DEMAK   bulan Januari</t>
  </si>
  <si>
    <t>Kabupaten : DEMAK Tahun 2016</t>
  </si>
  <si>
    <t xml:space="preserve"> Dlm RPH Pemerintah</t>
  </si>
  <si>
    <t>Di Luar RPH</t>
  </si>
  <si>
    <t>RPH Swasta</t>
  </si>
  <si>
    <t>Tidak tercatat</t>
  </si>
  <si>
    <t>Jtn</t>
  </si>
  <si>
    <t>Btn</t>
  </si>
  <si>
    <t>Unggas lain</t>
  </si>
  <si>
    <t>Jumlah ternak besar &amp; kecil</t>
  </si>
  <si>
    <t>total tahun ini</t>
  </si>
  <si>
    <t>total tahun lalu</t>
  </si>
  <si>
    <t>Demak, 10 Februari 2016</t>
  </si>
  <si>
    <t xml:space="preserve">Demak,                                             </t>
  </si>
  <si>
    <t>MyDoc/Ex/Data Ternak/Mf</t>
  </si>
  <si>
    <t xml:space="preserve">Kabupaten : DEMAK   bulan Februari </t>
  </si>
  <si>
    <t>Demak, 8 Maret  2016</t>
  </si>
  <si>
    <t>Kabupaten : DEMAK   bulan Maret</t>
  </si>
  <si>
    <t>Demak, 10 April  2016</t>
  </si>
  <si>
    <t xml:space="preserve">Kabupaten : DEMAK   bulan April </t>
  </si>
  <si>
    <t>Demak,  10 Mei 2016</t>
  </si>
  <si>
    <t xml:space="preserve">Kabupaten : DEMAK   bulan Mei </t>
  </si>
  <si>
    <t>Demak, 8 Juni  2016</t>
  </si>
  <si>
    <t xml:space="preserve">Kabupaten : DEMAK   bulan Juni </t>
  </si>
  <si>
    <t>Demak, 20 Juli  2016</t>
  </si>
  <si>
    <t>An.</t>
  </si>
  <si>
    <t>SEKRETARIS</t>
  </si>
  <si>
    <t>Ir. HARI ADI SOESILO, MSi</t>
  </si>
  <si>
    <t>NIP.19591122 198603 1 007</t>
  </si>
  <si>
    <t xml:space="preserve">Kabupaten : DEMAK   bulan Juli </t>
  </si>
  <si>
    <t>Demak, 8 Agustus  2016</t>
  </si>
  <si>
    <t>Kabupaten : DEMAK   bulan Agustus</t>
  </si>
  <si>
    <t>Demak, 20 September 2016</t>
  </si>
  <si>
    <t>Sekretaris</t>
  </si>
  <si>
    <t>Kabupaten : DEMAK   bulan September</t>
  </si>
  <si>
    <t>Demak, 20 Oktober 2016</t>
  </si>
  <si>
    <t>Kabupaten : DEMAK   bulan Oktober</t>
  </si>
  <si>
    <t>Demak, 20 November  2016</t>
  </si>
  <si>
    <t>Kabupaten : DEMAK   bulan November</t>
  </si>
  <si>
    <t>Demak, 20 Desember  2016</t>
  </si>
  <si>
    <t>Kabupaten : DEMAK   bulan Desember</t>
  </si>
  <si>
    <t>Demak, 10 Januari  2017</t>
  </si>
  <si>
    <t>REKAP PRODUKSI  DAGING PER KECAMATAN TAHUN 2016</t>
  </si>
  <si>
    <t>(dalam kg)</t>
  </si>
  <si>
    <t>DAFTAR   :  PRODUKSI  DAGING</t>
  </si>
  <si>
    <t>LAPORAN BULANAN</t>
  </si>
  <si>
    <t>Kecamatan</t>
  </si>
  <si>
    <t>Sapi</t>
  </si>
  <si>
    <t>Ayam</t>
  </si>
  <si>
    <t>Ayam Ras</t>
  </si>
  <si>
    <t>Unggas</t>
  </si>
  <si>
    <t>MODEL  :  C-7-B</t>
  </si>
  <si>
    <t>BULAN</t>
  </si>
  <si>
    <t>: Januari</t>
  </si>
  <si>
    <t>Tercatat</t>
  </si>
  <si>
    <t>Tdk.tercatat</t>
  </si>
  <si>
    <t>Sayur</t>
  </si>
  <si>
    <t>lain</t>
  </si>
  <si>
    <t>Total Tahun ini</t>
  </si>
  <si>
    <t>Total Tahun lalu</t>
  </si>
  <si>
    <t>Jumlah Bln ini</t>
  </si>
  <si>
    <t>jumlah semua</t>
  </si>
  <si>
    <t xml:space="preserve">Demak, </t>
  </si>
  <si>
    <t>Jumlah Bln lalu</t>
  </si>
  <si>
    <t>REKAP PRODUKSI  DAGING PER KECAMATAN S/D NOVEMBER 2013</t>
  </si>
  <si>
    <t>: pebruari</t>
  </si>
  <si>
    <t>REKAP PRODUKSI  DAGING</t>
  </si>
  <si>
    <t>: maret</t>
  </si>
  <si>
    <t>: Oktober 2013</t>
  </si>
  <si>
    <t>: april</t>
  </si>
  <si>
    <t>: mei</t>
  </si>
  <si>
    <t>: juni</t>
  </si>
  <si>
    <t>: juli</t>
  </si>
  <si>
    <t>: agustus</t>
  </si>
  <si>
    <t>: september</t>
  </si>
  <si>
    <t>: Oktober</t>
  </si>
  <si>
    <t>-</t>
  </si>
  <si>
    <t>Demak,  November 2016</t>
  </si>
  <si>
    <t>: Nopember</t>
  </si>
  <si>
    <t>: Desember</t>
  </si>
  <si>
    <t>PRODUKSI TELUR AYAM BURAS PER BULAN PER KECAMATAN (BUTIR) TAHUN 2016</t>
  </si>
  <si>
    <t>Jumlah (BUTIR)</t>
  </si>
  <si>
    <t>Jumlah (Kg) tahun ini</t>
  </si>
  <si>
    <t>Jumlah (Kg) tahun lalu</t>
  </si>
  <si>
    <t>JUMLAH tahun ini</t>
  </si>
  <si>
    <t>JUMLAH tahun lalu</t>
  </si>
  <si>
    <t>PRODUKSI TELUR ITIK PER BULAN PER KECAMATAN (BUTIR) TAHUN 2016</t>
  </si>
  <si>
    <t>Jumlah (butir)</t>
  </si>
  <si>
    <t>PRODUKSI TELUR BURUNG PUYUH PER BULAN PER KECAMATAN (BUTIR) TAHUN 2016</t>
  </si>
  <si>
    <t>PRODUKSI TERNAK</t>
  </si>
  <si>
    <t>Kabupaten : DEMAK  bulan Januari</t>
  </si>
  <si>
    <t>Daging</t>
  </si>
  <si>
    <t>Telur</t>
  </si>
  <si>
    <t>Susu</t>
  </si>
  <si>
    <t>(kg)</t>
  </si>
  <si>
    <t>(liter)</t>
  </si>
  <si>
    <t xml:space="preserve"> -</t>
  </si>
  <si>
    <t>Kabupaten : DEMAK  bulan Februari</t>
  </si>
  <si>
    <t>Demak,  8 Maret  2016</t>
  </si>
  <si>
    <t>Kabupaten : DEMAK  bulan Maret</t>
  </si>
  <si>
    <t>Demak,  11  April  2016</t>
  </si>
  <si>
    <t>kabupaten</t>
  </si>
  <si>
    <t>Kabupaten : DEMAK   bulan April</t>
  </si>
  <si>
    <t>propinsi</t>
  </si>
  <si>
    <t>1 Kg telur ayam ras    =  17  butir</t>
  </si>
  <si>
    <t>1 Kg telur ayam buras =  20  butir</t>
  </si>
  <si>
    <t>1 Kg telur itik             =   13 butir</t>
  </si>
  <si>
    <t>1 Kg telur br. Puyuh   =    86 butir</t>
  </si>
  <si>
    <t>Kabupaten : DEMAK  bulan Mei</t>
  </si>
  <si>
    <t>Demak,  8 Juni  2016</t>
  </si>
  <si>
    <t>Kabupaten : DEMAK  bulan Juni</t>
  </si>
  <si>
    <t>Demak,  20 Juli  2016</t>
  </si>
  <si>
    <t>Kabupaten : DEMAK  bulan Juli</t>
  </si>
  <si>
    <t>Kabupaten : DEMAK  bulan Agustus</t>
  </si>
  <si>
    <t>Demak,  20 September  2016</t>
  </si>
  <si>
    <t>Demak, 17 Oktober 2016</t>
  </si>
  <si>
    <t xml:space="preserve">Kabupaten : DEMAK   bulan Oktober </t>
  </si>
  <si>
    <t>Demak, 17 November 2016</t>
  </si>
  <si>
    <t>Demak, 17 Desember 2016</t>
  </si>
  <si>
    <t>KASUS PENYAKIT HEWAN</t>
  </si>
  <si>
    <t>Jenis Penyakit</t>
  </si>
  <si>
    <t>Jenis Hewan</t>
  </si>
  <si>
    <t>Keterangan</t>
  </si>
  <si>
    <t>Demak</t>
  </si>
  <si>
    <t>Wonosalam</t>
  </si>
  <si>
    <t>Dempet</t>
  </si>
  <si>
    <t>Bonang</t>
  </si>
  <si>
    <t>Wedung</t>
  </si>
  <si>
    <t>Mijen</t>
  </si>
  <si>
    <t>Gajah</t>
  </si>
  <si>
    <t>Karanganyar</t>
  </si>
  <si>
    <t>Karangtengah</t>
  </si>
  <si>
    <t>Guntur</t>
  </si>
  <si>
    <t>Sayung</t>
  </si>
  <si>
    <t>Karangawen</t>
  </si>
  <si>
    <t>Mranggen</t>
  </si>
  <si>
    <t>Kebonagung</t>
  </si>
  <si>
    <t>Penyakit Mulut dan Kuku (PMK)</t>
  </si>
  <si>
    <t>Ringworm</t>
  </si>
  <si>
    <t>Scabies</t>
  </si>
  <si>
    <t>kambing</t>
  </si>
  <si>
    <t>kerbau</t>
  </si>
  <si>
    <t>domba</t>
  </si>
  <si>
    <t>sapi</t>
  </si>
  <si>
    <t>kuda</t>
  </si>
  <si>
    <t>Orf</t>
  </si>
  <si>
    <t>Pink Eye</t>
  </si>
  <si>
    <t>Anthrax</t>
  </si>
  <si>
    <t>Rabies</t>
  </si>
  <si>
    <t>Salmonellosis</t>
  </si>
  <si>
    <t>Brucellosis (Brucella abortus)</t>
  </si>
  <si>
    <t>Highly &amp; Low Pathogenic AI</t>
  </si>
  <si>
    <t>Porcine Respiratory Syndrome</t>
  </si>
  <si>
    <t>Helminthiasis (cacingan)</t>
  </si>
  <si>
    <t>juni, kerbau keracunan</t>
  </si>
  <si>
    <t>Septicaemia Epizootica (SE)</t>
  </si>
  <si>
    <t>Nipah Virus Encephalitis (radang otak)</t>
  </si>
  <si>
    <t>Infectious Bovine Rhinotracheitis</t>
  </si>
  <si>
    <t>Bovine Tuberculosis</t>
  </si>
  <si>
    <t>Leptospirosis</t>
  </si>
  <si>
    <t>Brucellosis (Brucella Suis)</t>
  </si>
  <si>
    <t>Penyakit Jembarana</t>
  </si>
  <si>
    <t>Surra</t>
  </si>
  <si>
    <t>Paratuberculosis</t>
  </si>
  <si>
    <t>Toxoplasmosis</t>
  </si>
  <si>
    <t>Classical Swine Fever (CSF)</t>
  </si>
  <si>
    <t>Swine Influenza Novel (H1N1)</t>
  </si>
  <si>
    <t>Campylobacteriosis</t>
  </si>
  <si>
    <t>Cysticercosis</t>
  </si>
  <si>
    <t>Q Fever</t>
  </si>
  <si>
    <t>ND</t>
  </si>
  <si>
    <t>burung</t>
  </si>
  <si>
    <t>Defisiensi Ca</t>
  </si>
  <si>
    <t>mastitis</t>
  </si>
  <si>
    <t>PRODUKSI SUSU PER BULAN PER KECAMATAN (LITER) TAHUN 2016</t>
  </si>
  <si>
    <t>Jumlah (LITER)</t>
  </si>
  <si>
    <t>Jumlah (Liter) tahun lalu</t>
  </si>
  <si>
    <t>PRODUKSI TELUR AYAM RAS PER BULAN PER KECAMATAN (BUTIR) TAHUN 2017</t>
  </si>
  <si>
    <t>unggas</t>
  </si>
</sst>
</file>

<file path=xl/styles.xml><?xml version="1.0" encoding="utf-8"?>
<styleSheet xmlns="http://schemas.openxmlformats.org/spreadsheetml/2006/main">
  <numFmts count="3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(* #,##0.00_);_(* \(#,##0.00\);_(* &quot;-&quot;_);_(@_)"/>
    <numFmt numFmtId="183" formatCode="_(* #,##0_);_(* \(#,##0\);_(* &quot;-&quot;??_);_(@_)"/>
    <numFmt numFmtId="184" formatCode="_(* #,##0.0_);_(* \(#,##0.0\);_(* &quot;-&quot;_);_(@_)"/>
    <numFmt numFmtId="185" formatCode="#,##0.0_);\(#,##0.0\)"/>
  </numFmts>
  <fonts count="52">
    <font>
      <sz val="11"/>
      <color indexed="8"/>
      <name val="Calibri"/>
      <family val="0"/>
    </font>
    <font>
      <sz val="12"/>
      <name val="Times New Roman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"/>
      <name val="Arial Narrow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color indexed="10"/>
      <name val="Arial Narrow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9"/>
      <color rgb="FFFF0000"/>
      <name val="Arial Narrow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4" fillId="3" borderId="0" applyNumberFormat="0" applyBorder="0" applyAlignment="0" applyProtection="0"/>
    <xf numFmtId="0" fontId="2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0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7" borderId="1" applyNumberFormat="0" applyAlignment="0" applyProtection="0"/>
    <xf numFmtId="0" fontId="3" fillId="0" borderId="6" applyNumberFormat="0" applyFill="0" applyAlignment="0" applyProtection="0"/>
    <xf numFmtId="0" fontId="12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57">
    <xf numFmtId="0" fontId="0" fillId="0" borderId="0" xfId="0" applyAlignment="1">
      <alignment/>
    </xf>
    <xf numFmtId="0" fontId="0" fillId="24" borderId="0" xfId="0" applyFill="1" applyAlignment="1">
      <alignment/>
    </xf>
    <xf numFmtId="0" fontId="20" fillId="24" borderId="0" xfId="59" applyFont="1" applyFill="1" applyBorder="1">
      <alignment/>
      <protection/>
    </xf>
    <xf numFmtId="0" fontId="20" fillId="24" borderId="0" xfId="59" applyFont="1" applyFill="1" applyBorder="1" applyAlignment="1">
      <alignment horizontal="left" vertical="center"/>
      <protection/>
    </xf>
    <xf numFmtId="0" fontId="21" fillId="24" borderId="10" xfId="59" applyFont="1" applyFill="1" applyBorder="1" applyAlignment="1">
      <alignment horizontal="center" vertical="center" wrapText="1"/>
      <protection/>
    </xf>
    <xf numFmtId="0" fontId="21" fillId="25" borderId="10" xfId="59" applyFont="1" applyFill="1" applyBorder="1" applyAlignment="1">
      <alignment horizontal="left" vertical="top" wrapText="1"/>
      <protection/>
    </xf>
    <xf numFmtId="0" fontId="21" fillId="24" borderId="10" xfId="59" applyFont="1" applyFill="1" applyBorder="1" applyAlignment="1">
      <alignment horizontal="left" vertical="center" wrapText="1"/>
      <protection/>
    </xf>
    <xf numFmtId="0" fontId="21" fillId="24" borderId="10" xfId="59" applyFont="1" applyFill="1" applyBorder="1" applyAlignment="1">
      <alignment horizontal="center" vertical="top" wrapText="1"/>
      <protection/>
    </xf>
    <xf numFmtId="0" fontId="20" fillId="24" borderId="11" xfId="60" applyFont="1" applyFill="1" applyBorder="1" applyAlignment="1">
      <alignment horizontal="left" vertical="center" wrapText="1"/>
      <protection/>
    </xf>
    <xf numFmtId="0" fontId="20" fillId="24" borderId="11" xfId="60" applyFont="1" applyFill="1" applyBorder="1" applyAlignment="1">
      <alignment horizontal="center" vertical="top" wrapText="1"/>
      <protection/>
    </xf>
    <xf numFmtId="0" fontId="20" fillId="24" borderId="11" xfId="60" applyFont="1" applyFill="1" applyBorder="1" applyAlignment="1">
      <alignment vertical="top" wrapText="1"/>
      <protection/>
    </xf>
    <xf numFmtId="0" fontId="21" fillId="24" borderId="10" xfId="59" applyFont="1" applyFill="1" applyBorder="1" applyAlignment="1">
      <alignment vertical="top" wrapText="1"/>
      <protection/>
    </xf>
    <xf numFmtId="0" fontId="20" fillId="24" borderId="11" xfId="60" applyFont="1" applyFill="1" applyBorder="1" applyAlignment="1">
      <alignment wrapText="1"/>
      <protection/>
    </xf>
    <xf numFmtId="0" fontId="20" fillId="25" borderId="11" xfId="60" applyFont="1" applyFill="1" applyBorder="1" applyAlignment="1">
      <alignment vertical="top" wrapText="1"/>
      <protection/>
    </xf>
    <xf numFmtId="0" fontId="21" fillId="24" borderId="10" xfId="59" applyFont="1" applyFill="1" applyBorder="1">
      <alignment/>
      <protection/>
    </xf>
    <xf numFmtId="0" fontId="20" fillId="24" borderId="11" xfId="60" applyFont="1" applyFill="1" applyBorder="1">
      <alignment/>
      <protection/>
    </xf>
    <xf numFmtId="0" fontId="21" fillId="24" borderId="10" xfId="59" applyFont="1" applyFill="1" applyBorder="1" applyAlignment="1">
      <alignment/>
      <protection/>
    </xf>
    <xf numFmtId="0" fontId="20" fillId="24" borderId="11" xfId="60" applyFont="1" applyFill="1" applyBorder="1" applyAlignment="1">
      <alignment/>
      <protection/>
    </xf>
    <xf numFmtId="0" fontId="21" fillId="24" borderId="10" xfId="59" applyFont="1" applyFill="1" applyBorder="1" applyAlignment="1">
      <alignment horizontal="left" vertical="center"/>
      <protection/>
    </xf>
    <xf numFmtId="0" fontId="20" fillId="25" borderId="11" xfId="60" applyFont="1" applyFill="1" applyBorder="1" applyAlignment="1">
      <alignment/>
      <protection/>
    </xf>
    <xf numFmtId="0" fontId="20" fillId="24" borderId="11" xfId="60" applyFont="1" applyFill="1" applyBorder="1" applyAlignment="1">
      <alignment vertical="center" wrapText="1"/>
      <protection/>
    </xf>
    <xf numFmtId="0" fontId="8" fillId="0" borderId="0" xfId="61">
      <alignment/>
      <protection/>
    </xf>
    <xf numFmtId="0" fontId="22" fillId="0" borderId="0" xfId="61" applyFont="1" applyBorder="1">
      <alignment/>
      <protection/>
    </xf>
    <xf numFmtId="0" fontId="8" fillId="0" borderId="0" xfId="61" applyBorder="1">
      <alignment/>
      <protection/>
    </xf>
    <xf numFmtId="41" fontId="8" fillId="0" borderId="0" xfId="43" applyFont="1" applyBorder="1" applyAlignment="1">
      <alignment horizontal="center"/>
    </xf>
    <xf numFmtId="41" fontId="8" fillId="0" borderId="0" xfId="43" applyFont="1" applyBorder="1" applyAlignment="1">
      <alignment/>
    </xf>
    <xf numFmtId="0" fontId="8" fillId="0" borderId="0" xfId="61" applyFont="1">
      <alignment/>
      <protection/>
    </xf>
    <xf numFmtId="0" fontId="23" fillId="0" borderId="0" xfId="61" applyFont="1">
      <alignment/>
      <protection/>
    </xf>
    <xf numFmtId="0" fontId="8" fillId="0" borderId="12" xfId="61" applyFont="1" applyBorder="1" applyAlignment="1">
      <alignment horizontal="center"/>
      <protection/>
    </xf>
    <xf numFmtId="0" fontId="8" fillId="0" borderId="13" xfId="61" applyFont="1" applyBorder="1" applyAlignment="1">
      <alignment horizontal="center"/>
      <protection/>
    </xf>
    <xf numFmtId="0" fontId="8" fillId="0" borderId="14" xfId="61" applyFont="1" applyBorder="1" applyAlignment="1">
      <alignment horizontal="center"/>
      <protection/>
    </xf>
    <xf numFmtId="0" fontId="8" fillId="0" borderId="15" xfId="61" applyFont="1" applyBorder="1" applyAlignment="1">
      <alignment horizontal="center"/>
      <protection/>
    </xf>
    <xf numFmtId="0" fontId="8" fillId="0" borderId="16" xfId="61" applyFont="1" applyBorder="1" applyAlignment="1">
      <alignment horizontal="center"/>
      <protection/>
    </xf>
    <xf numFmtId="0" fontId="8" fillId="0" borderId="17" xfId="61" applyFont="1" applyBorder="1" applyAlignment="1">
      <alignment horizontal="center"/>
      <protection/>
    </xf>
    <xf numFmtId="0" fontId="8" fillId="0" borderId="12" xfId="61" applyFont="1" applyBorder="1">
      <alignment/>
      <protection/>
    </xf>
    <xf numFmtId="0" fontId="8" fillId="0" borderId="13" xfId="61" applyFont="1" applyBorder="1">
      <alignment/>
      <protection/>
    </xf>
    <xf numFmtId="0" fontId="8" fillId="0" borderId="14" xfId="61" applyFont="1" applyBorder="1">
      <alignment/>
      <protection/>
    </xf>
    <xf numFmtId="0" fontId="8" fillId="0" borderId="18" xfId="61" applyFont="1" applyBorder="1">
      <alignment/>
      <protection/>
    </xf>
    <xf numFmtId="0" fontId="8" fillId="0" borderId="19" xfId="61" applyFont="1" applyBorder="1">
      <alignment/>
      <protection/>
    </xf>
    <xf numFmtId="41" fontId="8" fillId="0" borderId="18" xfId="43" applyFont="1" applyBorder="1" applyAlignment="1">
      <alignment horizontal="center"/>
    </xf>
    <xf numFmtId="41" fontId="8" fillId="0" borderId="20" xfId="43" applyFont="1" applyBorder="1" applyAlignment="1">
      <alignment horizontal="center"/>
    </xf>
    <xf numFmtId="41" fontId="8" fillId="0" borderId="18" xfId="43" applyFont="1" applyBorder="1" applyAlignment="1">
      <alignment/>
    </xf>
    <xf numFmtId="0" fontId="8" fillId="0" borderId="20" xfId="61" applyFont="1" applyBorder="1">
      <alignment/>
      <protection/>
    </xf>
    <xf numFmtId="0" fontId="8" fillId="0" borderId="20" xfId="61" applyFont="1" applyBorder="1" applyAlignment="1">
      <alignment horizontal="center"/>
      <protection/>
    </xf>
    <xf numFmtId="41" fontId="8" fillId="0" borderId="20" xfId="43" applyFont="1" applyBorder="1" applyAlignment="1">
      <alignment/>
    </xf>
    <xf numFmtId="0" fontId="8" fillId="0" borderId="15" xfId="61" applyFont="1" applyBorder="1">
      <alignment/>
      <protection/>
    </xf>
    <xf numFmtId="0" fontId="8" fillId="0" borderId="16" xfId="61" applyFont="1" applyBorder="1">
      <alignment/>
      <protection/>
    </xf>
    <xf numFmtId="0" fontId="8" fillId="0" borderId="17" xfId="61" applyFont="1" applyBorder="1">
      <alignment/>
      <protection/>
    </xf>
    <xf numFmtId="41" fontId="8" fillId="0" borderId="0" xfId="61" applyNumberFormat="1" applyBorder="1">
      <alignment/>
      <protection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8" fillId="0" borderId="12" xfId="61" applyBorder="1" applyAlignment="1">
      <alignment horizontal="center"/>
      <protection/>
    </xf>
    <xf numFmtId="0" fontId="8" fillId="0" borderId="13" xfId="61" applyBorder="1" applyAlignment="1">
      <alignment horizontal="center"/>
      <protection/>
    </xf>
    <xf numFmtId="0" fontId="8" fillId="0" borderId="14" xfId="61" applyBorder="1" applyAlignment="1">
      <alignment horizontal="center"/>
      <protection/>
    </xf>
    <xf numFmtId="0" fontId="8" fillId="0" borderId="15" xfId="61" applyBorder="1" applyAlignment="1">
      <alignment horizontal="center"/>
      <protection/>
    </xf>
    <xf numFmtId="0" fontId="8" fillId="0" borderId="18" xfId="61" applyBorder="1" applyAlignment="1">
      <alignment horizontal="center"/>
      <protection/>
    </xf>
    <xf numFmtId="0" fontId="8" fillId="0" borderId="20" xfId="61" applyBorder="1" applyAlignment="1">
      <alignment horizontal="center"/>
      <protection/>
    </xf>
    <xf numFmtId="0" fontId="8" fillId="0" borderId="16" xfId="61" applyBorder="1" applyAlignment="1">
      <alignment horizontal="center"/>
      <protection/>
    </xf>
    <xf numFmtId="0" fontId="8" fillId="0" borderId="17" xfId="61" applyBorder="1" applyAlignment="1">
      <alignment horizontal="center"/>
      <protection/>
    </xf>
    <xf numFmtId="0" fontId="8" fillId="0" borderId="12" xfId="61" applyBorder="1">
      <alignment/>
      <protection/>
    </xf>
    <xf numFmtId="0" fontId="8" fillId="0" borderId="13" xfId="61" applyBorder="1">
      <alignment/>
      <protection/>
    </xf>
    <xf numFmtId="0" fontId="8" fillId="0" borderId="14" xfId="61" applyBorder="1">
      <alignment/>
      <protection/>
    </xf>
    <xf numFmtId="0" fontId="8" fillId="0" borderId="18" xfId="61" applyBorder="1">
      <alignment/>
      <protection/>
    </xf>
    <xf numFmtId="0" fontId="23" fillId="0" borderId="14" xfId="61" applyFont="1" applyBorder="1">
      <alignment/>
      <protection/>
    </xf>
    <xf numFmtId="0" fontId="8" fillId="0" borderId="19" xfId="61" applyBorder="1">
      <alignment/>
      <protection/>
    </xf>
    <xf numFmtId="41" fontId="8" fillId="0" borderId="18" xfId="43" applyFont="1" applyBorder="1" applyAlignment="1">
      <alignment/>
    </xf>
    <xf numFmtId="0" fontId="8" fillId="0" borderId="15" xfId="61" applyBorder="1">
      <alignment/>
      <protection/>
    </xf>
    <xf numFmtId="41" fontId="8" fillId="0" borderId="16" xfId="43" applyFont="1" applyBorder="1" applyAlignment="1">
      <alignment horizontal="center"/>
    </xf>
    <xf numFmtId="41" fontId="8" fillId="0" borderId="16" xfId="43" applyFont="1" applyBorder="1" applyAlignment="1">
      <alignment/>
    </xf>
    <xf numFmtId="41" fontId="8" fillId="0" borderId="17" xfId="43" applyFont="1" applyBorder="1" applyAlignment="1">
      <alignment/>
    </xf>
    <xf numFmtId="41" fontId="8" fillId="0" borderId="16" xfId="43" applyFont="1" applyBorder="1" applyAlignment="1">
      <alignment/>
    </xf>
    <xf numFmtId="0" fontId="8" fillId="0" borderId="0" xfId="61" applyFont="1" applyBorder="1">
      <alignment/>
      <protection/>
    </xf>
    <xf numFmtId="0" fontId="8" fillId="0" borderId="0" xfId="61" applyFont="1" applyFill="1">
      <alignment/>
      <protection/>
    </xf>
    <xf numFmtId="0" fontId="8" fillId="0" borderId="11" xfId="61" applyFont="1" applyBorder="1">
      <alignment/>
      <protection/>
    </xf>
    <xf numFmtId="41" fontId="8" fillId="0" borderId="21" xfId="43" applyFont="1" applyBorder="1" applyAlignment="1">
      <alignment/>
    </xf>
    <xf numFmtId="41" fontId="8" fillId="0" borderId="22" xfId="43" applyFont="1" applyBorder="1" applyAlignment="1">
      <alignment/>
    </xf>
    <xf numFmtId="41" fontId="8" fillId="0" borderId="23" xfId="43" applyFont="1" applyBorder="1" applyAlignment="1">
      <alignment/>
    </xf>
    <xf numFmtId="41" fontId="8" fillId="0" borderId="0" xfId="61" applyNumberFormat="1">
      <alignment/>
      <protection/>
    </xf>
    <xf numFmtId="0" fontId="8" fillId="0" borderId="0" xfId="61" applyFont="1" applyBorder="1" applyAlignment="1">
      <alignment horizontal="center"/>
      <protection/>
    </xf>
    <xf numFmtId="0" fontId="23" fillId="0" borderId="0" xfId="61" applyFont="1" applyBorder="1">
      <alignment/>
      <protection/>
    </xf>
    <xf numFmtId="0" fontId="24" fillId="0" borderId="0" xfId="61" applyFont="1" applyBorder="1">
      <alignment/>
      <protection/>
    </xf>
    <xf numFmtId="3" fontId="8" fillId="0" borderId="0" xfId="61" applyNumberFormat="1" applyBorder="1">
      <alignment/>
      <protection/>
    </xf>
    <xf numFmtId="0" fontId="25" fillId="0" borderId="0" xfId="61" applyFont="1" applyBorder="1">
      <alignment/>
      <protection/>
    </xf>
    <xf numFmtId="0" fontId="8" fillId="0" borderId="16" xfId="61" applyBorder="1">
      <alignment/>
      <protection/>
    </xf>
    <xf numFmtId="0" fontId="8" fillId="0" borderId="17" xfId="61" applyBorder="1">
      <alignment/>
      <protection/>
    </xf>
    <xf numFmtId="3" fontId="8" fillId="25" borderId="0" xfId="61" applyNumberFormat="1" applyFont="1" applyFill="1">
      <alignment/>
      <protection/>
    </xf>
    <xf numFmtId="3" fontId="8" fillId="0" borderId="0" xfId="61" applyNumberFormat="1">
      <alignment/>
      <protection/>
    </xf>
    <xf numFmtId="3" fontId="26" fillId="0" borderId="0" xfId="61" applyNumberFormat="1" applyFont="1">
      <alignment/>
      <protection/>
    </xf>
    <xf numFmtId="0" fontId="8" fillId="0" borderId="0" xfId="59">
      <alignment/>
      <protection/>
    </xf>
    <xf numFmtId="41" fontId="8" fillId="0" borderId="0" xfId="43" applyFont="1" applyAlignment="1">
      <alignment/>
    </xf>
    <xf numFmtId="0" fontId="27" fillId="0" borderId="0" xfId="61" applyFont="1">
      <alignment/>
      <protection/>
    </xf>
    <xf numFmtId="0" fontId="22" fillId="0" borderId="0" xfId="61" applyFont="1" applyFill="1" applyBorder="1">
      <alignment/>
      <protection/>
    </xf>
    <xf numFmtId="0" fontId="8" fillId="0" borderId="0" xfId="61" applyFill="1" applyBorder="1">
      <alignment/>
      <protection/>
    </xf>
    <xf numFmtId="41" fontId="8" fillId="0" borderId="0" xfId="43" applyFont="1" applyFill="1" applyBorder="1" applyAlignment="1">
      <alignment horizontal="center"/>
    </xf>
    <xf numFmtId="41" fontId="8" fillId="0" borderId="0" xfId="43" applyFont="1" applyFill="1" applyBorder="1" applyAlignment="1">
      <alignment/>
    </xf>
    <xf numFmtId="0" fontId="8" fillId="0" borderId="0" xfId="61" applyFill="1">
      <alignment/>
      <protection/>
    </xf>
    <xf numFmtId="0" fontId="23" fillId="0" borderId="0" xfId="61" applyFont="1" applyFill="1">
      <alignment/>
      <protection/>
    </xf>
    <xf numFmtId="0" fontId="8" fillId="0" borderId="12" xfId="61" applyFill="1" applyBorder="1" applyAlignment="1">
      <alignment horizontal="center"/>
      <protection/>
    </xf>
    <xf numFmtId="0" fontId="8" fillId="0" borderId="13" xfId="61" applyFill="1" applyBorder="1" applyAlignment="1">
      <alignment horizontal="center"/>
      <protection/>
    </xf>
    <xf numFmtId="0" fontId="8" fillId="0" borderId="14" xfId="61" applyFill="1" applyBorder="1" applyAlignment="1">
      <alignment horizontal="center"/>
      <protection/>
    </xf>
    <xf numFmtId="0" fontId="8" fillId="0" borderId="15" xfId="61" applyFill="1" applyBorder="1" applyAlignment="1">
      <alignment horizontal="center"/>
      <protection/>
    </xf>
    <xf numFmtId="0" fontId="8" fillId="0" borderId="16" xfId="61" applyFill="1" applyBorder="1" applyAlignment="1">
      <alignment horizontal="center"/>
      <protection/>
    </xf>
    <xf numFmtId="0" fontId="8" fillId="0" borderId="17" xfId="61" applyFill="1" applyBorder="1" applyAlignment="1">
      <alignment horizontal="center"/>
      <protection/>
    </xf>
    <xf numFmtId="0" fontId="8" fillId="0" borderId="12" xfId="61" applyFill="1" applyBorder="1">
      <alignment/>
      <protection/>
    </xf>
    <xf numFmtId="0" fontId="8" fillId="0" borderId="13" xfId="61" applyFill="1" applyBorder="1">
      <alignment/>
      <protection/>
    </xf>
    <xf numFmtId="0" fontId="8" fillId="0" borderId="14" xfId="61" applyFill="1" applyBorder="1">
      <alignment/>
      <protection/>
    </xf>
    <xf numFmtId="0" fontId="8" fillId="0" borderId="18" xfId="61" applyFill="1" applyBorder="1">
      <alignment/>
      <protection/>
    </xf>
    <xf numFmtId="0" fontId="23" fillId="0" borderId="14" xfId="61" applyFont="1" applyFill="1" applyBorder="1">
      <alignment/>
      <protection/>
    </xf>
    <xf numFmtId="0" fontId="8" fillId="0" borderId="19" xfId="61" applyFill="1" applyBorder="1">
      <alignment/>
      <protection/>
    </xf>
    <xf numFmtId="41" fontId="8" fillId="0" borderId="20" xfId="43" applyFont="1" applyBorder="1" applyAlignment="1">
      <alignment horizontal="center" vertical="center"/>
    </xf>
    <xf numFmtId="0" fontId="8" fillId="0" borderId="15" xfId="61" applyFill="1" applyBorder="1">
      <alignment/>
      <protection/>
    </xf>
    <xf numFmtId="0" fontId="8" fillId="0" borderId="17" xfId="61" applyFill="1" applyBorder="1">
      <alignment/>
      <protection/>
    </xf>
    <xf numFmtId="0" fontId="8" fillId="0" borderId="16" xfId="61" applyFill="1" applyBorder="1">
      <alignment/>
      <protection/>
    </xf>
    <xf numFmtId="41" fontId="8" fillId="0" borderId="0" xfId="43" applyFont="1" applyBorder="1" applyAlignment="1">
      <alignment horizontal="left" vertical="top"/>
    </xf>
    <xf numFmtId="41" fontId="8" fillId="0" borderId="24" xfId="61" applyNumberFormat="1" applyBorder="1">
      <alignment/>
      <protection/>
    </xf>
    <xf numFmtId="0" fontId="23" fillId="0" borderId="0" xfId="61" applyFont="1" applyAlignment="1">
      <alignment horizontal="right"/>
      <protection/>
    </xf>
    <xf numFmtId="41" fontId="8" fillId="0" borderId="18" xfId="45" applyFont="1" applyBorder="1" applyAlignment="1">
      <alignment/>
    </xf>
    <xf numFmtId="41" fontId="8" fillId="0" borderId="20" xfId="45" applyFont="1" applyBorder="1" applyAlignment="1">
      <alignment horizontal="left"/>
    </xf>
    <xf numFmtId="41" fontId="8" fillId="0" borderId="18" xfId="45" applyFont="1" applyBorder="1" applyAlignment="1">
      <alignment/>
    </xf>
    <xf numFmtId="41" fontId="8" fillId="0" borderId="20" xfId="45" applyFont="1" applyBorder="1" applyAlignment="1">
      <alignment/>
    </xf>
    <xf numFmtId="41" fontId="8" fillId="0" borderId="18" xfId="45" applyFont="1" applyBorder="1" applyAlignment="1">
      <alignment horizontal="center"/>
    </xf>
    <xf numFmtId="41" fontId="8" fillId="0" borderId="20" xfId="45" applyFont="1" applyBorder="1" applyAlignment="1">
      <alignment horizontal="center"/>
    </xf>
    <xf numFmtId="0" fontId="8" fillId="24" borderId="19" xfId="61" applyFont="1" applyFill="1" applyBorder="1">
      <alignment/>
      <protection/>
    </xf>
    <xf numFmtId="41" fontId="8" fillId="24" borderId="18" xfId="45" applyFont="1" applyFill="1" applyBorder="1" applyAlignment="1">
      <alignment/>
    </xf>
    <xf numFmtId="41" fontId="8" fillId="24" borderId="20" xfId="45" applyFont="1" applyFill="1" applyBorder="1" applyAlignment="1">
      <alignment horizontal="left"/>
    </xf>
    <xf numFmtId="41" fontId="8" fillId="24" borderId="18" xfId="45" applyFont="1" applyFill="1" applyBorder="1" applyAlignment="1">
      <alignment/>
    </xf>
    <xf numFmtId="0" fontId="8" fillId="24" borderId="20" xfId="61" applyFont="1" applyFill="1" applyBorder="1">
      <alignment/>
      <protection/>
    </xf>
    <xf numFmtId="41" fontId="8" fillId="24" borderId="20" xfId="45" applyFont="1" applyFill="1" applyBorder="1" applyAlignment="1">
      <alignment/>
    </xf>
    <xf numFmtId="41" fontId="8" fillId="24" borderId="18" xfId="45" applyFont="1" applyFill="1" applyBorder="1" applyAlignment="1">
      <alignment horizontal="center"/>
    </xf>
    <xf numFmtId="0" fontId="8" fillId="24" borderId="20" xfId="61" applyFont="1" applyFill="1" applyBorder="1" applyAlignment="1">
      <alignment horizontal="center"/>
      <protection/>
    </xf>
    <xf numFmtId="41" fontId="8" fillId="24" borderId="20" xfId="45" applyFont="1" applyFill="1" applyBorder="1" applyAlignment="1">
      <alignment horizontal="center"/>
    </xf>
    <xf numFmtId="41" fontId="8" fillId="0" borderId="0" xfId="61" applyNumberFormat="1" applyFont="1" applyBorder="1">
      <alignment/>
      <protection/>
    </xf>
    <xf numFmtId="0" fontId="8" fillId="0" borderId="20" xfId="61" applyFont="1" applyBorder="1" applyAlignment="1">
      <alignment horizontal="right"/>
      <protection/>
    </xf>
    <xf numFmtId="41" fontId="28" fillId="0" borderId="0" xfId="43" applyFont="1" applyBorder="1" applyAlignment="1">
      <alignment horizontal="center"/>
    </xf>
    <xf numFmtId="41" fontId="28" fillId="0" borderId="0" xfId="43" applyFont="1" applyBorder="1" applyAlignment="1">
      <alignment/>
    </xf>
    <xf numFmtId="0" fontId="28" fillId="0" borderId="0" xfId="61" applyFont="1" applyBorder="1">
      <alignment/>
      <protection/>
    </xf>
    <xf numFmtId="0" fontId="28" fillId="0" borderId="0" xfId="61" applyFont="1">
      <alignment/>
      <protection/>
    </xf>
    <xf numFmtId="41" fontId="8" fillId="0" borderId="20" xfId="43" applyFont="1" applyBorder="1" applyAlignment="1">
      <alignment/>
    </xf>
    <xf numFmtId="0" fontId="8" fillId="25" borderId="19" xfId="61" applyFont="1" applyFill="1" applyBorder="1">
      <alignment/>
      <protection/>
    </xf>
    <xf numFmtId="41" fontId="8" fillId="25" borderId="18" xfId="43" applyFont="1" applyFill="1" applyBorder="1" applyAlignment="1">
      <alignment/>
    </xf>
    <xf numFmtId="41" fontId="8" fillId="25" borderId="20" xfId="43" applyFont="1" applyFill="1" applyBorder="1" applyAlignment="1">
      <alignment horizontal="left" vertical="center"/>
    </xf>
    <xf numFmtId="41" fontId="8" fillId="25" borderId="18" xfId="43" applyFont="1" applyFill="1" applyBorder="1" applyAlignment="1">
      <alignment/>
    </xf>
    <xf numFmtId="41" fontId="8" fillId="25" borderId="20" xfId="43" applyFont="1" applyFill="1" applyBorder="1" applyAlignment="1">
      <alignment horizontal="center"/>
    </xf>
    <xf numFmtId="41" fontId="8" fillId="25" borderId="20" xfId="43" applyFont="1" applyFill="1" applyBorder="1" applyAlignment="1">
      <alignment horizontal="left"/>
    </xf>
    <xf numFmtId="41" fontId="8" fillId="25" borderId="20" xfId="43" applyFont="1" applyFill="1" applyBorder="1" applyAlignment="1">
      <alignment vertical="center"/>
    </xf>
    <xf numFmtId="41" fontId="8" fillId="25" borderId="20" xfId="43" applyFont="1" applyFill="1" applyBorder="1" applyAlignment="1">
      <alignment/>
    </xf>
    <xf numFmtId="0" fontId="8" fillId="25" borderId="20" xfId="61" applyFont="1" applyFill="1" applyBorder="1" applyAlignment="1">
      <alignment horizontal="right"/>
      <protection/>
    </xf>
    <xf numFmtId="41" fontId="8" fillId="25" borderId="18" xfId="43" applyFont="1" applyFill="1" applyBorder="1" applyAlignment="1">
      <alignment horizontal="center"/>
    </xf>
    <xf numFmtId="41" fontId="8" fillId="25" borderId="20" xfId="43" applyFont="1" applyFill="1" applyBorder="1" applyAlignment="1">
      <alignment horizontal="center" vertical="center"/>
    </xf>
    <xf numFmtId="0" fontId="8" fillId="24" borderId="0" xfId="62" applyFill="1" applyAlignment="1">
      <alignment horizontal="center"/>
      <protection/>
    </xf>
    <xf numFmtId="0" fontId="22" fillId="24" borderId="0" xfId="62" applyFont="1" applyFill="1">
      <alignment/>
      <protection/>
    </xf>
    <xf numFmtId="41" fontId="8" fillId="24" borderId="0" xfId="43" applyFont="1" applyFill="1" applyAlignment="1">
      <alignment/>
    </xf>
    <xf numFmtId="0" fontId="8" fillId="24" borderId="0" xfId="62" applyFill="1" applyAlignment="1">
      <alignment vertical="top"/>
      <protection/>
    </xf>
    <xf numFmtId="0" fontId="22" fillId="24" borderId="0" xfId="62" applyFont="1" applyFill="1" applyAlignment="1">
      <alignment vertical="top"/>
      <protection/>
    </xf>
    <xf numFmtId="41" fontId="8" fillId="24" borderId="0" xfId="43" applyFont="1" applyFill="1" applyAlignment="1">
      <alignment vertical="top"/>
    </xf>
    <xf numFmtId="0" fontId="8" fillId="24" borderId="0" xfId="62" applyFill="1">
      <alignment/>
      <protection/>
    </xf>
    <xf numFmtId="182" fontId="8" fillId="24" borderId="0" xfId="43" applyNumberFormat="1" applyFont="1" applyFill="1" applyAlignment="1">
      <alignment/>
    </xf>
    <xf numFmtId="0" fontId="8" fillId="24" borderId="13" xfId="62" applyFill="1" applyBorder="1" applyAlignment="1">
      <alignment horizontal="center" vertical="top"/>
      <protection/>
    </xf>
    <xf numFmtId="0" fontId="8" fillId="24" borderId="14" xfId="62" applyFill="1" applyBorder="1" applyAlignment="1">
      <alignment horizontal="center" vertical="top"/>
      <protection/>
    </xf>
    <xf numFmtId="0" fontId="8" fillId="24" borderId="11" xfId="62" applyFill="1" applyBorder="1" applyAlignment="1">
      <alignment horizontal="center" vertical="top"/>
      <protection/>
    </xf>
    <xf numFmtId="0" fontId="29" fillId="24" borderId="13" xfId="62" applyFont="1" applyFill="1" applyBorder="1" applyAlignment="1">
      <alignment horizontal="center" vertical="top"/>
      <protection/>
    </xf>
    <xf numFmtId="0" fontId="29" fillId="25" borderId="14" xfId="62" applyFont="1" applyFill="1" applyBorder="1" applyAlignment="1">
      <alignment vertical="top"/>
      <protection/>
    </xf>
    <xf numFmtId="3" fontId="8" fillId="24" borderId="20" xfId="62" applyNumberFormat="1" applyFill="1" applyBorder="1" applyAlignment="1">
      <alignment vertical="top"/>
      <protection/>
    </xf>
    <xf numFmtId="0" fontId="29" fillId="24" borderId="18" xfId="62" applyFont="1" applyFill="1" applyBorder="1" applyAlignment="1">
      <alignment horizontal="center" vertical="top"/>
      <protection/>
    </xf>
    <xf numFmtId="0" fontId="29" fillId="25" borderId="20" xfId="62" applyFont="1" applyFill="1" applyBorder="1" applyAlignment="1">
      <alignment vertical="top"/>
      <protection/>
    </xf>
    <xf numFmtId="0" fontId="22" fillId="24" borderId="21" xfId="62" applyFont="1" applyFill="1" applyBorder="1" applyAlignment="1">
      <alignment vertical="top"/>
      <protection/>
    </xf>
    <xf numFmtId="0" fontId="22" fillId="24" borderId="22" xfId="62" applyFont="1" applyFill="1" applyBorder="1" applyAlignment="1">
      <alignment vertical="top"/>
      <protection/>
    </xf>
    <xf numFmtId="3" fontId="22" fillId="24" borderId="22" xfId="62" applyNumberFormat="1" applyFont="1" applyFill="1" applyBorder="1" applyAlignment="1">
      <alignment vertical="top"/>
      <protection/>
    </xf>
    <xf numFmtId="3" fontId="22" fillId="24" borderId="11" xfId="62" applyNumberFormat="1" applyFont="1" applyFill="1" applyBorder="1" applyAlignment="1">
      <alignment vertical="top"/>
      <protection/>
    </xf>
    <xf numFmtId="41" fontId="8" fillId="24" borderId="21" xfId="43" applyFont="1" applyFill="1" applyBorder="1" applyAlignment="1">
      <alignment vertical="top"/>
    </xf>
    <xf numFmtId="41" fontId="8" fillId="24" borderId="22" xfId="43" applyFont="1" applyFill="1" applyBorder="1" applyAlignment="1">
      <alignment horizontal="left" vertical="top"/>
    </xf>
    <xf numFmtId="41" fontId="8" fillId="24" borderId="11" xfId="43" applyFont="1" applyFill="1" applyBorder="1" applyAlignment="1">
      <alignment vertical="top"/>
    </xf>
    <xf numFmtId="41" fontId="8" fillId="24" borderId="0" xfId="43" applyFont="1" applyFill="1" applyBorder="1" applyAlignment="1">
      <alignment vertical="top"/>
    </xf>
    <xf numFmtId="41" fontId="8" fillId="24" borderId="0" xfId="43" applyFont="1" applyFill="1" applyBorder="1" applyAlignment="1">
      <alignment horizontal="left" vertical="top"/>
    </xf>
    <xf numFmtId="0" fontId="29" fillId="25" borderId="17" xfId="62" applyFont="1" applyFill="1" applyBorder="1" applyAlignment="1">
      <alignment vertical="top"/>
      <protection/>
    </xf>
    <xf numFmtId="3" fontId="8" fillId="24" borderId="11" xfId="62" applyNumberFormat="1" applyFill="1" applyBorder="1">
      <alignment/>
      <protection/>
    </xf>
    <xf numFmtId="0" fontId="22" fillId="24" borderId="11" xfId="62" applyFont="1" applyFill="1" applyBorder="1" applyAlignment="1">
      <alignment horizontal="center" vertical="top" wrapText="1"/>
      <protection/>
    </xf>
    <xf numFmtId="3" fontId="8" fillId="25" borderId="20" xfId="62" applyNumberFormat="1" applyFill="1" applyBorder="1" applyAlignment="1">
      <alignment vertical="top"/>
      <protection/>
    </xf>
    <xf numFmtId="3" fontId="8" fillId="24" borderId="19" xfId="62" applyNumberFormat="1" applyFill="1" applyBorder="1" applyAlignment="1">
      <alignment vertical="top"/>
      <protection/>
    </xf>
    <xf numFmtId="3" fontId="22" fillId="24" borderId="12" xfId="62" applyNumberFormat="1" applyFont="1" applyFill="1" applyBorder="1" applyAlignment="1">
      <alignment vertical="top"/>
      <protection/>
    </xf>
    <xf numFmtId="3" fontId="22" fillId="24" borderId="19" xfId="62" applyNumberFormat="1" applyFont="1" applyFill="1" applyBorder="1" applyAlignment="1">
      <alignment vertical="top"/>
      <protection/>
    </xf>
    <xf numFmtId="41" fontId="22" fillId="24" borderId="11" xfId="43" applyFont="1" applyFill="1" applyBorder="1" applyAlignment="1">
      <alignment vertical="top"/>
    </xf>
    <xf numFmtId="41" fontId="8" fillId="24" borderId="11" xfId="45" applyFont="1" applyFill="1" applyBorder="1" applyAlignment="1">
      <alignment vertical="top"/>
    </xf>
    <xf numFmtId="0" fontId="30" fillId="24" borderId="0" xfId="62" applyFont="1" applyFill="1">
      <alignment/>
      <protection/>
    </xf>
    <xf numFmtId="0" fontId="23" fillId="24" borderId="0" xfId="62" applyFont="1" applyFill="1">
      <alignment/>
      <protection/>
    </xf>
    <xf numFmtId="3" fontId="8" fillId="24" borderId="12" xfId="62" applyNumberFormat="1" applyFill="1" applyBorder="1" applyAlignment="1">
      <alignment vertical="top"/>
      <protection/>
    </xf>
    <xf numFmtId="41" fontId="8" fillId="24" borderId="11" xfId="43" applyFont="1" applyFill="1" applyBorder="1" applyAlignment="1">
      <alignment horizontal="center" vertical="top" wrapText="1"/>
    </xf>
    <xf numFmtId="182" fontId="8" fillId="24" borderId="0" xfId="43" applyNumberFormat="1" applyFont="1" applyFill="1" applyAlignment="1">
      <alignment horizontal="center"/>
    </xf>
    <xf numFmtId="41" fontId="8" fillId="24" borderId="12" xfId="43" applyFont="1" applyFill="1" applyBorder="1" applyAlignment="1">
      <alignment vertical="top"/>
    </xf>
    <xf numFmtId="3" fontId="8" fillId="24" borderId="0" xfId="62" applyNumberFormat="1" applyFill="1">
      <alignment/>
      <protection/>
    </xf>
    <xf numFmtId="41" fontId="8" fillId="24" borderId="19" xfId="43" applyFont="1" applyFill="1" applyBorder="1" applyAlignment="1">
      <alignment vertical="top"/>
    </xf>
    <xf numFmtId="41" fontId="8" fillId="24" borderId="15" xfId="43" applyFont="1" applyFill="1" applyBorder="1" applyAlignment="1">
      <alignment vertical="top"/>
    </xf>
    <xf numFmtId="41" fontId="22" fillId="24" borderId="0" xfId="43" applyFont="1" applyFill="1" applyAlignment="1">
      <alignment vertical="top"/>
    </xf>
    <xf numFmtId="3" fontId="22" fillId="24" borderId="0" xfId="62" applyNumberFormat="1" applyFont="1" applyFill="1">
      <alignment/>
      <protection/>
    </xf>
    <xf numFmtId="182" fontId="22" fillId="24" borderId="15" xfId="43" applyNumberFormat="1" applyFont="1" applyFill="1" applyBorder="1" applyAlignment="1">
      <alignment/>
    </xf>
    <xf numFmtId="183" fontId="8" fillId="24" borderId="0" xfId="42" applyNumberFormat="1" applyFont="1" applyFill="1" applyAlignment="1">
      <alignment/>
    </xf>
    <xf numFmtId="3" fontId="22" fillId="24" borderId="15" xfId="62" applyNumberFormat="1" applyFont="1" applyFill="1" applyBorder="1" applyAlignment="1">
      <alignment vertical="top"/>
      <protection/>
    </xf>
    <xf numFmtId="182" fontId="22" fillId="24" borderId="0" xfId="43" applyNumberFormat="1" applyFont="1" applyFill="1" applyAlignment="1">
      <alignment/>
    </xf>
    <xf numFmtId="0" fontId="27" fillId="24" borderId="13" xfId="62" applyFont="1" applyFill="1" applyBorder="1" applyAlignment="1">
      <alignment/>
      <protection/>
    </xf>
    <xf numFmtId="0" fontId="27" fillId="24" borderId="14" xfId="62" applyFont="1" applyFill="1" applyBorder="1" applyAlignment="1">
      <alignment/>
      <protection/>
    </xf>
    <xf numFmtId="0" fontId="27" fillId="24" borderId="24" xfId="62" applyFont="1" applyFill="1" applyBorder="1" applyAlignment="1">
      <alignment horizontal="center"/>
      <protection/>
    </xf>
    <xf numFmtId="0" fontId="27" fillId="24" borderId="12" xfId="62" applyFont="1" applyFill="1" applyBorder="1" applyAlignment="1">
      <alignment horizontal="center"/>
      <protection/>
    </xf>
    <xf numFmtId="0" fontId="27" fillId="24" borderId="21" xfId="62" applyFont="1" applyFill="1" applyBorder="1" applyAlignment="1">
      <alignment horizontal="center"/>
      <protection/>
    </xf>
    <xf numFmtId="0" fontId="8" fillId="24" borderId="16" xfId="62" applyFill="1" applyBorder="1">
      <alignment/>
      <protection/>
    </xf>
    <xf numFmtId="0" fontId="8" fillId="24" borderId="17" xfId="62" applyFill="1" applyBorder="1">
      <alignment/>
      <protection/>
    </xf>
    <xf numFmtId="0" fontId="8" fillId="24" borderId="25" xfId="62" applyFill="1" applyBorder="1" applyAlignment="1">
      <alignment horizontal="center"/>
      <protection/>
    </xf>
    <xf numFmtId="0" fontId="8" fillId="24" borderId="15" xfId="62" applyFill="1" applyBorder="1" applyAlignment="1">
      <alignment horizontal="center"/>
      <protection/>
    </xf>
    <xf numFmtId="0" fontId="27" fillId="24" borderId="11" xfId="62" applyFont="1" applyFill="1" applyBorder="1" applyAlignment="1">
      <alignment horizontal="center"/>
      <protection/>
    </xf>
    <xf numFmtId="0" fontId="27" fillId="24" borderId="25" xfId="62" applyFont="1" applyFill="1" applyBorder="1" applyAlignment="1">
      <alignment horizontal="center"/>
      <protection/>
    </xf>
    <xf numFmtId="0" fontId="29" fillId="24" borderId="13" xfId="62" applyFont="1" applyFill="1" applyBorder="1" applyAlignment="1">
      <alignment horizontal="center"/>
      <protection/>
    </xf>
    <xf numFmtId="0" fontId="29" fillId="24" borderId="14" xfId="62" applyFont="1" applyFill="1" applyBorder="1">
      <alignment/>
      <protection/>
    </xf>
    <xf numFmtId="41" fontId="8" fillId="24" borderId="12" xfId="46" applyFont="1" applyFill="1" applyBorder="1" applyAlignment="1">
      <alignment/>
    </xf>
    <xf numFmtId="41" fontId="8" fillId="24" borderId="19" xfId="46" applyFont="1" applyFill="1" applyBorder="1" applyAlignment="1">
      <alignment/>
    </xf>
    <xf numFmtId="0" fontId="29" fillId="24" borderId="18" xfId="62" applyFont="1" applyFill="1" applyBorder="1" applyAlignment="1">
      <alignment horizontal="center"/>
      <protection/>
    </xf>
    <xf numFmtId="0" fontId="29" fillId="24" borderId="20" xfId="62" applyFont="1" applyFill="1" applyBorder="1">
      <alignment/>
      <protection/>
    </xf>
    <xf numFmtId="41" fontId="8" fillId="24" borderId="15" xfId="46" applyFont="1" applyFill="1" applyBorder="1" applyAlignment="1">
      <alignment/>
    </xf>
    <xf numFmtId="0" fontId="29" fillId="24" borderId="21" xfId="62" applyFont="1" applyFill="1" applyBorder="1">
      <alignment/>
      <protection/>
    </xf>
    <xf numFmtId="0" fontId="29" fillId="24" borderId="22" xfId="62" applyFont="1" applyFill="1" applyBorder="1">
      <alignment/>
      <protection/>
    </xf>
    <xf numFmtId="41" fontId="8" fillId="24" borderId="11" xfId="62" applyNumberFormat="1" applyFont="1" applyFill="1" applyBorder="1">
      <alignment/>
      <protection/>
    </xf>
    <xf numFmtId="41" fontId="22" fillId="24" borderId="11" xfId="62" applyNumberFormat="1" applyFont="1" applyFill="1" applyBorder="1">
      <alignment/>
      <protection/>
    </xf>
    <xf numFmtId="0" fontId="29" fillId="24" borderId="13" xfId="62" applyFont="1" applyFill="1" applyBorder="1">
      <alignment/>
      <protection/>
    </xf>
    <xf numFmtId="41" fontId="8" fillId="24" borderId="12" xfId="62" applyNumberFormat="1" applyFont="1" applyFill="1" applyBorder="1">
      <alignment/>
      <protection/>
    </xf>
    <xf numFmtId="41" fontId="22" fillId="24" borderId="12" xfId="62" applyNumberFormat="1" applyFont="1" applyFill="1" applyBorder="1">
      <alignment/>
      <protection/>
    </xf>
    <xf numFmtId="0" fontId="29" fillId="24" borderId="26" xfId="62" applyFont="1" applyFill="1" applyBorder="1">
      <alignment/>
      <protection/>
    </xf>
    <xf numFmtId="0" fontId="29" fillId="24" borderId="27" xfId="62" applyFont="1" applyFill="1" applyBorder="1">
      <alignment/>
      <protection/>
    </xf>
    <xf numFmtId="41" fontId="8" fillId="24" borderId="28" xfId="46" applyFont="1" applyFill="1" applyBorder="1" applyAlignment="1">
      <alignment/>
    </xf>
    <xf numFmtId="41" fontId="8" fillId="24" borderId="0" xfId="62" applyNumberFormat="1" applyFill="1">
      <alignment/>
      <protection/>
    </xf>
    <xf numFmtId="0" fontId="31" fillId="24" borderId="0" xfId="62" applyFont="1" applyFill="1">
      <alignment/>
      <protection/>
    </xf>
    <xf numFmtId="0" fontId="8" fillId="24" borderId="0" xfId="62" applyFill="1" applyBorder="1" applyAlignment="1">
      <alignment/>
      <protection/>
    </xf>
    <xf numFmtId="0" fontId="8" fillId="24" borderId="0" xfId="62" applyFill="1" applyBorder="1">
      <alignment/>
      <protection/>
    </xf>
    <xf numFmtId="0" fontId="27" fillId="24" borderId="15" xfId="62" applyFont="1" applyFill="1" applyBorder="1" applyAlignment="1">
      <alignment horizontal="center"/>
      <protection/>
    </xf>
    <xf numFmtId="41" fontId="8" fillId="24" borderId="19" xfId="43" applyFont="1" applyFill="1" applyBorder="1" applyAlignment="1">
      <alignment/>
    </xf>
    <xf numFmtId="0" fontId="29" fillId="24" borderId="0" xfId="62" applyFont="1" applyFill="1" applyBorder="1" applyAlignment="1">
      <alignment horizontal="center"/>
      <protection/>
    </xf>
    <xf numFmtId="41" fontId="26" fillId="24" borderId="19" xfId="43" applyFont="1" applyFill="1" applyBorder="1" applyAlignment="1">
      <alignment/>
    </xf>
    <xf numFmtId="0" fontId="8" fillId="24" borderId="0" xfId="62" applyFont="1" applyFill="1">
      <alignment/>
      <protection/>
    </xf>
    <xf numFmtId="0" fontId="8" fillId="24" borderId="0" xfId="62" applyFont="1" applyFill="1" applyAlignment="1">
      <alignment horizontal="right"/>
      <protection/>
    </xf>
    <xf numFmtId="0" fontId="32" fillId="24" borderId="0" xfId="62" applyFont="1" applyFill="1">
      <alignment/>
      <protection/>
    </xf>
    <xf numFmtId="0" fontId="33" fillId="24" borderId="27" xfId="62" applyFont="1" applyFill="1" applyBorder="1">
      <alignment/>
      <protection/>
    </xf>
    <xf numFmtId="0" fontId="33" fillId="24" borderId="14" xfId="62" applyFont="1" applyFill="1" applyBorder="1">
      <alignment/>
      <protection/>
    </xf>
    <xf numFmtId="1" fontId="8" fillId="24" borderId="0" xfId="62" applyNumberFormat="1" applyFill="1">
      <alignment/>
      <protection/>
    </xf>
    <xf numFmtId="41" fontId="8" fillId="24" borderId="19" xfId="46" applyFont="1" applyFill="1" applyBorder="1" applyAlignment="1">
      <alignment horizontal="right"/>
    </xf>
    <xf numFmtId="41" fontId="8" fillId="24" borderId="11" xfId="43" applyNumberFormat="1" applyFont="1" applyFill="1" applyBorder="1" applyAlignment="1">
      <alignment/>
    </xf>
    <xf numFmtId="0" fontId="29" fillId="25" borderId="14" xfId="62" applyFont="1" applyFill="1" applyBorder="1">
      <alignment/>
      <protection/>
    </xf>
    <xf numFmtId="41" fontId="8" fillId="25" borderId="12" xfId="43" applyFont="1" applyFill="1" applyBorder="1" applyAlignment="1">
      <alignment/>
    </xf>
    <xf numFmtId="41" fontId="8" fillId="25" borderId="19" xfId="43" applyFont="1" applyFill="1" applyBorder="1" applyAlignment="1">
      <alignment/>
    </xf>
    <xf numFmtId="0" fontId="29" fillId="25" borderId="20" xfId="62" applyFont="1" applyFill="1" applyBorder="1">
      <alignment/>
      <protection/>
    </xf>
    <xf numFmtId="41" fontId="8" fillId="25" borderId="15" xfId="43" applyFont="1" applyFill="1" applyBorder="1" applyAlignment="1">
      <alignment/>
    </xf>
    <xf numFmtId="41" fontId="8" fillId="24" borderId="28" xfId="43" applyFont="1" applyFill="1" applyBorder="1" applyAlignment="1">
      <alignment/>
    </xf>
    <xf numFmtId="0" fontId="8" fillId="24" borderId="0" xfId="61" applyFill="1">
      <alignment/>
      <protection/>
    </xf>
    <xf numFmtId="0" fontId="22" fillId="24" borderId="0" xfId="61" applyFont="1" applyFill="1">
      <alignment/>
      <protection/>
    </xf>
    <xf numFmtId="0" fontId="8" fillId="24" borderId="0" xfId="61" applyFont="1" applyFill="1">
      <alignment/>
      <protection/>
    </xf>
    <xf numFmtId="0" fontId="8" fillId="24" borderId="12" xfId="61" applyFill="1" applyBorder="1">
      <alignment/>
      <protection/>
    </xf>
    <xf numFmtId="0" fontId="27" fillId="24" borderId="22" xfId="61" applyFont="1" applyFill="1" applyBorder="1" applyAlignment="1">
      <alignment horizontal="center"/>
      <protection/>
    </xf>
    <xf numFmtId="0" fontId="8" fillId="24" borderId="15" xfId="61" applyFill="1" applyBorder="1">
      <alignment/>
      <protection/>
    </xf>
    <xf numFmtId="0" fontId="27" fillId="24" borderId="11" xfId="61" applyFont="1" applyFill="1" applyBorder="1" applyAlignment="1">
      <alignment horizontal="center"/>
      <protection/>
    </xf>
    <xf numFmtId="0" fontId="8" fillId="24" borderId="12" xfId="61" applyFill="1" applyBorder="1" applyAlignment="1">
      <alignment horizontal="center"/>
      <protection/>
    </xf>
    <xf numFmtId="0" fontId="8" fillId="24" borderId="19" xfId="61" applyFill="1" applyBorder="1" applyAlignment="1">
      <alignment horizontal="center"/>
      <protection/>
    </xf>
    <xf numFmtId="0" fontId="8" fillId="24" borderId="19" xfId="61" applyFill="1" applyBorder="1">
      <alignment/>
      <protection/>
    </xf>
    <xf numFmtId="0" fontId="23" fillId="24" borderId="0" xfId="61" applyFont="1" applyFill="1" applyAlignment="1">
      <alignment horizontal="right"/>
      <protection/>
    </xf>
    <xf numFmtId="0" fontId="23" fillId="24" borderId="0" xfId="61" applyFont="1" applyFill="1">
      <alignment/>
      <protection/>
    </xf>
    <xf numFmtId="0" fontId="27" fillId="24" borderId="0" xfId="61" applyFont="1" applyFill="1">
      <alignment/>
      <protection/>
    </xf>
    <xf numFmtId="0" fontId="8" fillId="24" borderId="11" xfId="61" applyFill="1" applyBorder="1">
      <alignment/>
      <protection/>
    </xf>
    <xf numFmtId="0" fontId="8" fillId="24" borderId="11" xfId="61" applyFont="1" applyFill="1" applyBorder="1" applyAlignment="1">
      <alignment wrapText="1"/>
      <protection/>
    </xf>
    <xf numFmtId="41" fontId="8" fillId="24" borderId="11" xfId="43" applyFont="1" applyFill="1" applyBorder="1" applyAlignment="1">
      <alignment/>
    </xf>
    <xf numFmtId="0" fontId="22" fillId="24" borderId="19" xfId="61" applyFont="1" applyFill="1" applyBorder="1">
      <alignment/>
      <protection/>
    </xf>
    <xf numFmtId="41" fontId="22" fillId="24" borderId="19" xfId="43" applyFont="1" applyFill="1" applyBorder="1" applyAlignment="1">
      <alignment/>
    </xf>
    <xf numFmtId="41" fontId="8" fillId="24" borderId="15" xfId="43" applyFont="1" applyFill="1" applyBorder="1" applyAlignment="1">
      <alignment/>
    </xf>
    <xf numFmtId="0" fontId="25" fillId="24" borderId="0" xfId="61" applyFont="1" applyFill="1">
      <alignment/>
      <protection/>
    </xf>
    <xf numFmtId="0" fontId="24" fillId="24" borderId="0" xfId="61" applyFont="1" applyFill="1">
      <alignment/>
      <protection/>
    </xf>
    <xf numFmtId="0" fontId="8" fillId="24" borderId="0" xfId="61" applyFill="1" applyBorder="1">
      <alignment/>
      <protection/>
    </xf>
    <xf numFmtId="0" fontId="22" fillId="24" borderId="0" xfId="61" applyFont="1" applyFill="1" applyBorder="1">
      <alignment/>
      <protection/>
    </xf>
    <xf numFmtId="0" fontId="8" fillId="24" borderId="0" xfId="61" applyFont="1" applyFill="1" applyBorder="1">
      <alignment/>
      <protection/>
    </xf>
    <xf numFmtId="0" fontId="27" fillId="24" borderId="0" xfId="61" applyFont="1" applyFill="1" applyBorder="1" applyAlignment="1">
      <alignment horizontal="center"/>
      <protection/>
    </xf>
    <xf numFmtId="41" fontId="8" fillId="24" borderId="19" xfId="61" applyNumberFormat="1" applyFill="1" applyBorder="1">
      <alignment/>
      <protection/>
    </xf>
    <xf numFmtId="41" fontId="8" fillId="24" borderId="11" xfId="61" applyNumberFormat="1" applyFill="1" applyBorder="1">
      <alignment/>
      <protection/>
    </xf>
    <xf numFmtId="41" fontId="22" fillId="24" borderId="19" xfId="61" applyNumberFormat="1" applyFont="1" applyFill="1" applyBorder="1">
      <alignment/>
      <protection/>
    </xf>
    <xf numFmtId="41" fontId="8" fillId="24" borderId="19" xfId="45" applyFont="1" applyFill="1" applyBorder="1" applyAlignment="1">
      <alignment/>
    </xf>
    <xf numFmtId="184" fontId="8" fillId="24" borderId="19" xfId="43" applyNumberFormat="1" applyFont="1" applyFill="1" applyBorder="1" applyAlignment="1">
      <alignment/>
    </xf>
    <xf numFmtId="0" fontId="8" fillId="24" borderId="0" xfId="61" applyFont="1" applyFill="1" applyAlignment="1">
      <alignment horizontal="right"/>
      <protection/>
    </xf>
    <xf numFmtId="0" fontId="27" fillId="24" borderId="12" xfId="61" applyFont="1" applyFill="1" applyBorder="1" applyAlignment="1">
      <alignment horizontal="center"/>
      <protection/>
    </xf>
    <xf numFmtId="0" fontId="27" fillId="24" borderId="14" xfId="61" applyFont="1" applyFill="1" applyBorder="1" applyAlignment="1">
      <alignment horizontal="center"/>
      <protection/>
    </xf>
    <xf numFmtId="0" fontId="8" fillId="24" borderId="13" xfId="61" applyFill="1" applyBorder="1">
      <alignment/>
      <protection/>
    </xf>
    <xf numFmtId="41" fontId="8" fillId="24" borderId="12" xfId="43" applyFont="1" applyFill="1" applyBorder="1" applyAlignment="1">
      <alignment/>
    </xf>
    <xf numFmtId="41" fontId="8" fillId="24" borderId="18" xfId="43" applyFont="1" applyFill="1" applyBorder="1" applyAlignment="1">
      <alignment/>
    </xf>
    <xf numFmtId="41" fontId="8" fillId="24" borderId="12" xfId="61" applyNumberFormat="1" applyFill="1" applyBorder="1">
      <alignment/>
      <protection/>
    </xf>
    <xf numFmtId="41" fontId="8" fillId="24" borderId="20" xfId="61" applyNumberFormat="1" applyFill="1" applyBorder="1">
      <alignment/>
      <protection/>
    </xf>
    <xf numFmtId="41" fontId="8" fillId="24" borderId="0" xfId="43" applyFont="1" applyFill="1" applyBorder="1" applyAlignment="1">
      <alignment/>
    </xf>
    <xf numFmtId="41" fontId="8" fillId="24" borderId="20" xfId="43" applyFont="1" applyFill="1" applyBorder="1" applyAlignment="1">
      <alignment/>
    </xf>
    <xf numFmtId="0" fontId="8" fillId="25" borderId="19" xfId="61" applyFill="1" applyBorder="1" applyAlignment="1">
      <alignment horizontal="center"/>
      <protection/>
    </xf>
    <xf numFmtId="0" fontId="8" fillId="25" borderId="19" xfId="61" applyFill="1" applyBorder="1">
      <alignment/>
      <protection/>
    </xf>
    <xf numFmtId="41" fontId="34" fillId="24" borderId="0" xfId="43" applyFont="1" applyFill="1" applyAlignment="1">
      <alignment/>
    </xf>
    <xf numFmtId="0" fontId="8" fillId="24" borderId="0" xfId="59" applyFont="1" applyFill="1">
      <alignment/>
      <protection/>
    </xf>
    <xf numFmtId="0" fontId="8" fillId="24" borderId="0" xfId="59" applyFill="1">
      <alignment/>
      <protection/>
    </xf>
    <xf numFmtId="0" fontId="34" fillId="24" borderId="0" xfId="62" applyFont="1" applyFill="1">
      <alignment/>
      <protection/>
    </xf>
    <xf numFmtId="0" fontId="27" fillId="24" borderId="29" xfId="62" applyFont="1" applyFill="1" applyBorder="1">
      <alignment/>
      <protection/>
    </xf>
    <xf numFmtId="0" fontId="27" fillId="24" borderId="15" xfId="62" applyFont="1" applyFill="1" applyBorder="1">
      <alignment/>
      <protection/>
    </xf>
    <xf numFmtId="0" fontId="34" fillId="24" borderId="12" xfId="62" applyFont="1" applyFill="1" applyBorder="1">
      <alignment/>
      <protection/>
    </xf>
    <xf numFmtId="0" fontId="8" fillId="24" borderId="19" xfId="62" applyFont="1" applyFill="1" applyBorder="1">
      <alignment/>
      <protection/>
    </xf>
    <xf numFmtId="41" fontId="34" fillId="24" borderId="19" xfId="46" applyFont="1" applyFill="1" applyBorder="1" applyAlignment="1">
      <alignment/>
    </xf>
    <xf numFmtId="41" fontId="1" fillId="24" borderId="19" xfId="43" applyFont="1" applyFill="1" applyBorder="1" applyAlignment="1">
      <alignment/>
    </xf>
    <xf numFmtId="0" fontId="8" fillId="24" borderId="11" xfId="62" applyFont="1" applyFill="1" applyBorder="1">
      <alignment/>
      <protection/>
    </xf>
    <xf numFmtId="41" fontId="34" fillId="24" borderId="19" xfId="43" applyFont="1" applyFill="1" applyBorder="1" applyAlignment="1">
      <alignment/>
    </xf>
    <xf numFmtId="41" fontId="34" fillId="24" borderId="19" xfId="45" applyFont="1" applyFill="1" applyBorder="1" applyAlignment="1">
      <alignment/>
    </xf>
    <xf numFmtId="0" fontId="8" fillId="25" borderId="11" xfId="62" applyFont="1" applyFill="1" applyBorder="1">
      <alignment/>
      <protection/>
    </xf>
    <xf numFmtId="41" fontId="34" fillId="25" borderId="19" xfId="43" applyFont="1" applyFill="1" applyBorder="1" applyAlignment="1">
      <alignment/>
    </xf>
    <xf numFmtId="0" fontId="34" fillId="24" borderId="19" xfId="62" applyFont="1" applyFill="1" applyBorder="1">
      <alignment/>
      <protection/>
    </xf>
    <xf numFmtId="41" fontId="32" fillId="24" borderId="19" xfId="43" applyFont="1" applyFill="1" applyBorder="1" applyAlignment="1">
      <alignment/>
    </xf>
    <xf numFmtId="41" fontId="34" fillId="24" borderId="11" xfId="45" applyFont="1" applyFill="1" applyBorder="1" applyAlignment="1">
      <alignment/>
    </xf>
    <xf numFmtId="41" fontId="32" fillId="24" borderId="11" xfId="45" applyFont="1" applyFill="1" applyBorder="1" applyAlignment="1">
      <alignment/>
    </xf>
    <xf numFmtId="41" fontId="34" fillId="24" borderId="11" xfId="43" applyFont="1" applyFill="1" applyBorder="1" applyAlignment="1">
      <alignment/>
    </xf>
    <xf numFmtId="41" fontId="34" fillId="25" borderId="19" xfId="46" applyFont="1" applyFill="1" applyBorder="1" applyAlignment="1">
      <alignment/>
    </xf>
    <xf numFmtId="41" fontId="1" fillId="24" borderId="19" xfId="45" applyFont="1" applyFill="1" applyBorder="1" applyAlignment="1">
      <alignment/>
    </xf>
    <xf numFmtId="41" fontId="32" fillId="24" borderId="0" xfId="62" applyNumberFormat="1" applyFont="1" applyFill="1">
      <alignment/>
      <protection/>
    </xf>
    <xf numFmtId="41" fontId="32" fillId="24" borderId="19" xfId="45" applyFont="1" applyFill="1" applyBorder="1" applyAlignment="1">
      <alignment/>
    </xf>
    <xf numFmtId="41" fontId="32" fillId="25" borderId="19" xfId="43" applyFont="1" applyFill="1" applyBorder="1" applyAlignment="1">
      <alignment/>
    </xf>
    <xf numFmtId="41" fontId="32" fillId="24" borderId="11" xfId="43" applyFont="1" applyFill="1" applyBorder="1" applyAlignment="1">
      <alignment/>
    </xf>
    <xf numFmtId="0" fontId="8" fillId="24" borderId="0" xfId="62" applyFont="1" applyFill="1" applyBorder="1" applyAlignment="1">
      <alignment horizontal="center" vertical="center" textRotation="255"/>
      <protection/>
    </xf>
    <xf numFmtId="0" fontId="8" fillId="24" borderId="0" xfId="62" applyFont="1" applyFill="1" applyBorder="1">
      <alignment/>
      <protection/>
    </xf>
    <xf numFmtId="41" fontId="34" fillId="24" borderId="0" xfId="43" applyFont="1" applyFill="1" applyBorder="1" applyAlignment="1">
      <alignment/>
    </xf>
    <xf numFmtId="41" fontId="32" fillId="24" borderId="0" xfId="43" applyFont="1" applyFill="1" applyBorder="1" applyAlignment="1">
      <alignment/>
    </xf>
    <xf numFmtId="0" fontId="8" fillId="25" borderId="12" xfId="62" applyFont="1" applyFill="1" applyBorder="1">
      <alignment/>
      <protection/>
    </xf>
    <xf numFmtId="41" fontId="34" fillId="24" borderId="12" xfId="43" applyFont="1" applyFill="1" applyBorder="1" applyAlignment="1">
      <alignment/>
    </xf>
    <xf numFmtId="0" fontId="8" fillId="25" borderId="19" xfId="62" applyFont="1" applyFill="1" applyBorder="1">
      <alignment/>
      <protection/>
    </xf>
    <xf numFmtId="41" fontId="8" fillId="24" borderId="19" xfId="62" applyNumberFormat="1" applyFont="1" applyFill="1" applyBorder="1">
      <alignment/>
      <protection/>
    </xf>
    <xf numFmtId="41" fontId="8" fillId="24" borderId="11" xfId="43" applyFont="1" applyFill="1" applyBorder="1" applyAlignment="1">
      <alignment horizontal="left"/>
    </xf>
    <xf numFmtId="41" fontId="36" fillId="24" borderId="11" xfId="43" applyFont="1" applyFill="1" applyBorder="1" applyAlignment="1">
      <alignment/>
    </xf>
    <xf numFmtId="41" fontId="8" fillId="24" borderId="0" xfId="62" applyNumberFormat="1" applyFont="1" applyFill="1">
      <alignment/>
      <protection/>
    </xf>
    <xf numFmtId="41" fontId="8" fillId="24" borderId="0" xfId="59" applyNumberFormat="1" applyFont="1" applyFill="1">
      <alignment/>
      <protection/>
    </xf>
    <xf numFmtId="0" fontId="8" fillId="24" borderId="12" xfId="61" applyFont="1" applyFill="1" applyBorder="1" applyAlignment="1">
      <alignment horizontal="center"/>
      <protection/>
    </xf>
    <xf numFmtId="0" fontId="8" fillId="24" borderId="15" xfId="61" applyFont="1" applyFill="1" applyBorder="1" applyAlignment="1">
      <alignment horizontal="center"/>
      <protection/>
    </xf>
    <xf numFmtId="0" fontId="8" fillId="24" borderId="12" xfId="61" applyFont="1" applyFill="1" applyBorder="1">
      <alignment/>
      <protection/>
    </xf>
    <xf numFmtId="0" fontId="8" fillId="24" borderId="15" xfId="61" applyFont="1" applyFill="1" applyBorder="1">
      <alignment/>
      <protection/>
    </xf>
    <xf numFmtId="0" fontId="8" fillId="24" borderId="0" xfId="61" applyFill="1" applyBorder="1" applyAlignment="1">
      <alignment horizontal="center"/>
      <protection/>
    </xf>
    <xf numFmtId="0" fontId="8" fillId="24" borderId="15" xfId="61" applyFill="1" applyBorder="1" applyAlignment="1">
      <alignment horizontal="center"/>
      <protection/>
    </xf>
    <xf numFmtId="41" fontId="23" fillId="24" borderId="19" xfId="43" applyFont="1" applyFill="1" applyBorder="1" applyAlignment="1">
      <alignment/>
    </xf>
    <xf numFmtId="0" fontId="8" fillId="24" borderId="11" xfId="61" applyFont="1" applyFill="1" applyBorder="1">
      <alignment/>
      <protection/>
    </xf>
    <xf numFmtId="41" fontId="8" fillId="24" borderId="11" xfId="61" applyNumberFormat="1" applyFont="1" applyFill="1" applyBorder="1">
      <alignment/>
      <protection/>
    </xf>
    <xf numFmtId="41" fontId="23" fillId="24" borderId="19" xfId="61" applyNumberFormat="1" applyFont="1" applyFill="1" applyBorder="1">
      <alignment/>
      <protection/>
    </xf>
    <xf numFmtId="41" fontId="8" fillId="24" borderId="0" xfId="61" applyNumberFormat="1" applyFont="1" applyFill="1">
      <alignment/>
      <protection/>
    </xf>
    <xf numFmtId="41" fontId="8" fillId="25" borderId="19" xfId="46" applyFont="1" applyFill="1" applyBorder="1" applyAlignment="1">
      <alignment/>
    </xf>
    <xf numFmtId="41" fontId="8" fillId="25" borderId="20" xfId="46" applyFont="1" applyFill="1" applyBorder="1" applyAlignment="1">
      <alignment/>
    </xf>
    <xf numFmtId="0" fontId="8" fillId="25" borderId="15" xfId="61" applyFont="1" applyFill="1" applyBorder="1">
      <alignment/>
      <protection/>
    </xf>
    <xf numFmtId="0" fontId="27" fillId="24" borderId="13" xfId="62" applyFont="1" applyFill="1" applyBorder="1">
      <alignment/>
      <protection/>
    </xf>
    <xf numFmtId="0" fontId="27" fillId="24" borderId="14" xfId="62" applyFont="1" applyFill="1" applyBorder="1">
      <alignment/>
      <protection/>
    </xf>
    <xf numFmtId="0" fontId="27" fillId="24" borderId="18" xfId="62" applyFont="1" applyFill="1" applyBorder="1" applyAlignment="1">
      <alignment horizontal="center"/>
      <protection/>
    </xf>
    <xf numFmtId="0" fontId="27" fillId="24" borderId="20" xfId="62" applyFont="1" applyFill="1" applyBorder="1" applyAlignment="1">
      <alignment horizontal="center"/>
      <protection/>
    </xf>
    <xf numFmtId="0" fontId="27" fillId="24" borderId="16" xfId="62" applyFont="1" applyFill="1" applyBorder="1">
      <alignment/>
      <protection/>
    </xf>
    <xf numFmtId="0" fontId="27" fillId="24" borderId="17" xfId="62" applyFont="1" applyFill="1" applyBorder="1">
      <alignment/>
      <protection/>
    </xf>
    <xf numFmtId="0" fontId="27" fillId="24" borderId="20" xfId="62" applyFont="1" applyFill="1" applyBorder="1">
      <alignment/>
      <protection/>
    </xf>
    <xf numFmtId="41" fontId="30" fillId="24" borderId="19" xfId="43" applyFont="1" applyFill="1" applyBorder="1" applyAlignment="1">
      <alignment/>
    </xf>
    <xf numFmtId="41" fontId="30" fillId="24" borderId="11" xfId="43" applyFont="1" applyFill="1" applyBorder="1" applyAlignment="1">
      <alignment/>
    </xf>
    <xf numFmtId="0" fontId="27" fillId="24" borderId="22" xfId="62" applyFont="1" applyFill="1" applyBorder="1">
      <alignment/>
      <protection/>
    </xf>
    <xf numFmtId="41" fontId="30" fillId="24" borderId="12" xfId="43" applyFont="1" applyFill="1" applyBorder="1" applyAlignment="1">
      <alignment/>
    </xf>
    <xf numFmtId="0" fontId="27" fillId="24" borderId="11" xfId="62" applyFont="1" applyFill="1" applyBorder="1">
      <alignment/>
      <protection/>
    </xf>
    <xf numFmtId="41" fontId="30" fillId="24" borderId="11" xfId="46" applyFont="1" applyFill="1" applyBorder="1" applyAlignment="1">
      <alignment/>
    </xf>
    <xf numFmtId="0" fontId="27" fillId="24" borderId="0" xfId="62" applyFont="1" applyFill="1" applyBorder="1">
      <alignment/>
      <protection/>
    </xf>
    <xf numFmtId="41" fontId="30" fillId="24" borderId="0" xfId="43" applyFont="1" applyFill="1" applyBorder="1" applyAlignment="1">
      <alignment/>
    </xf>
    <xf numFmtId="0" fontId="27" fillId="25" borderId="18" xfId="62" applyFont="1" applyFill="1" applyBorder="1" applyAlignment="1">
      <alignment horizontal="center"/>
      <protection/>
    </xf>
    <xf numFmtId="0" fontId="27" fillId="25" borderId="20" xfId="62" applyFont="1" applyFill="1" applyBorder="1">
      <alignment/>
      <protection/>
    </xf>
    <xf numFmtId="0" fontId="30" fillId="25" borderId="0" xfId="62" applyFont="1" applyFill="1">
      <alignment/>
      <protection/>
    </xf>
    <xf numFmtId="41" fontId="30" fillId="25" borderId="19" xfId="43" applyFont="1" applyFill="1" applyBorder="1" applyAlignment="1">
      <alignment/>
    </xf>
    <xf numFmtId="41" fontId="30" fillId="25" borderId="11" xfId="43" applyFont="1" applyFill="1" applyBorder="1" applyAlignment="1">
      <alignment/>
    </xf>
    <xf numFmtId="0" fontId="27" fillId="25" borderId="21" xfId="62" applyFont="1" applyFill="1" applyBorder="1" applyAlignment="1">
      <alignment horizontal="center"/>
      <protection/>
    </xf>
    <xf numFmtId="0" fontId="27" fillId="25" borderId="22" xfId="62" applyFont="1" applyFill="1" applyBorder="1">
      <alignment/>
      <protection/>
    </xf>
    <xf numFmtId="41" fontId="30" fillId="25" borderId="12" xfId="43" applyFont="1" applyFill="1" applyBorder="1" applyAlignment="1">
      <alignment/>
    </xf>
    <xf numFmtId="0" fontId="8" fillId="25" borderId="0" xfId="62" applyFill="1" applyBorder="1">
      <alignment/>
      <protection/>
    </xf>
    <xf numFmtId="0" fontId="8" fillId="25" borderId="0" xfId="62" applyFill="1">
      <alignment/>
      <protection/>
    </xf>
    <xf numFmtId="0" fontId="8" fillId="25" borderId="0" xfId="62" applyFont="1" applyFill="1">
      <alignment/>
      <protection/>
    </xf>
    <xf numFmtId="0" fontId="37" fillId="24" borderId="11" xfId="62" applyFont="1" applyFill="1" applyBorder="1" applyAlignment="1">
      <alignment horizontal="center"/>
      <protection/>
    </xf>
    <xf numFmtId="0" fontId="37" fillId="24" borderId="11" xfId="62" applyFont="1" applyFill="1" applyBorder="1">
      <alignment/>
      <protection/>
    </xf>
    <xf numFmtId="0" fontId="37" fillId="24" borderId="22" xfId="62" applyFont="1" applyFill="1" applyBorder="1">
      <alignment/>
      <protection/>
    </xf>
    <xf numFmtId="0" fontId="37" fillId="24" borderId="0" xfId="62" applyFont="1" applyFill="1" applyBorder="1">
      <alignment/>
      <protection/>
    </xf>
    <xf numFmtId="0" fontId="37" fillId="25" borderId="11" xfId="62" applyFont="1" applyFill="1" applyBorder="1" applyAlignment="1">
      <alignment horizontal="center"/>
      <protection/>
    </xf>
    <xf numFmtId="41" fontId="37" fillId="24" borderId="11" xfId="43" applyFont="1" applyFill="1" applyBorder="1" applyAlignment="1">
      <alignment/>
    </xf>
    <xf numFmtId="41" fontId="37" fillId="24" borderId="11" xfId="62" applyNumberFormat="1" applyFont="1" applyFill="1" applyBorder="1">
      <alignment/>
      <protection/>
    </xf>
    <xf numFmtId="0" fontId="37" fillId="25" borderId="11" xfId="62" applyFont="1" applyFill="1" applyBorder="1">
      <alignment/>
      <protection/>
    </xf>
    <xf numFmtId="41" fontId="37" fillId="25" borderId="11" xfId="43" applyFont="1" applyFill="1" applyBorder="1" applyAlignment="1">
      <alignment/>
    </xf>
    <xf numFmtId="0" fontId="37" fillId="24" borderId="13" xfId="62" applyFont="1" applyFill="1" applyBorder="1" applyAlignment="1">
      <alignment horizontal="center"/>
      <protection/>
    </xf>
    <xf numFmtId="0" fontId="27" fillId="24" borderId="14" xfId="62" applyFont="1" applyFill="1" applyBorder="1" applyAlignment="1">
      <alignment horizontal="center"/>
      <protection/>
    </xf>
    <xf numFmtId="0" fontId="27" fillId="24" borderId="19" xfId="62" applyFont="1" applyFill="1" applyBorder="1" applyAlignment="1">
      <alignment horizontal="center"/>
      <protection/>
    </xf>
    <xf numFmtId="0" fontId="8" fillId="24" borderId="13" xfId="62" applyFill="1" applyBorder="1">
      <alignment/>
      <protection/>
    </xf>
    <xf numFmtId="0" fontId="8" fillId="24" borderId="12" xfId="62" applyFill="1" applyBorder="1">
      <alignment/>
      <protection/>
    </xf>
    <xf numFmtId="0" fontId="27" fillId="24" borderId="16" xfId="62" applyFont="1" applyFill="1" applyBorder="1" applyAlignment="1">
      <alignment horizontal="center"/>
      <protection/>
    </xf>
    <xf numFmtId="0" fontId="27" fillId="24" borderId="17" xfId="62" applyFont="1" applyFill="1" applyBorder="1" applyAlignment="1">
      <alignment horizontal="center"/>
      <protection/>
    </xf>
    <xf numFmtId="0" fontId="8" fillId="24" borderId="15" xfId="62" applyFill="1" applyBorder="1">
      <alignment/>
      <protection/>
    </xf>
    <xf numFmtId="0" fontId="8" fillId="24" borderId="11" xfId="62" applyFill="1" applyBorder="1" applyAlignment="1">
      <alignment horizontal="center"/>
      <protection/>
    </xf>
    <xf numFmtId="0" fontId="29" fillId="24" borderId="12" xfId="62" applyFont="1" applyFill="1" applyBorder="1" applyAlignment="1">
      <alignment horizontal="center"/>
      <protection/>
    </xf>
    <xf numFmtId="0" fontId="29" fillId="24" borderId="19" xfId="62" applyFont="1" applyFill="1" applyBorder="1" applyAlignment="1">
      <alignment horizontal="center"/>
      <protection/>
    </xf>
    <xf numFmtId="0" fontId="8" fillId="24" borderId="11" xfId="62" applyFill="1" applyBorder="1">
      <alignment/>
      <protection/>
    </xf>
    <xf numFmtId="0" fontId="22" fillId="24" borderId="11" xfId="62" applyFont="1" applyFill="1" applyBorder="1" applyAlignment="1">
      <alignment horizontal="center"/>
      <protection/>
    </xf>
    <xf numFmtId="3" fontId="22" fillId="24" borderId="12" xfId="62" applyNumberFormat="1" applyFont="1" applyFill="1" applyBorder="1">
      <alignment/>
      <protection/>
    </xf>
    <xf numFmtId="3" fontId="8" fillId="24" borderId="12" xfId="62" applyNumberFormat="1" applyFill="1" applyBorder="1">
      <alignment/>
      <protection/>
    </xf>
    <xf numFmtId="3" fontId="22" fillId="24" borderId="19" xfId="62" applyNumberFormat="1" applyFont="1" applyFill="1" applyBorder="1">
      <alignment/>
      <protection/>
    </xf>
    <xf numFmtId="3" fontId="8" fillId="24" borderId="19" xfId="62" applyNumberFormat="1" applyFill="1" applyBorder="1">
      <alignment/>
      <protection/>
    </xf>
    <xf numFmtId="3" fontId="8" fillId="24" borderId="19" xfId="62" applyNumberFormat="1" applyFont="1" applyFill="1" applyBorder="1">
      <alignment/>
      <protection/>
    </xf>
    <xf numFmtId="41" fontId="8" fillId="24" borderId="18" xfId="46" applyFont="1" applyFill="1" applyBorder="1" applyAlignment="1">
      <alignment/>
    </xf>
    <xf numFmtId="41" fontId="8" fillId="24" borderId="20" xfId="46" applyFont="1" applyFill="1" applyBorder="1" applyAlignment="1">
      <alignment/>
    </xf>
    <xf numFmtId="3" fontId="22" fillId="24" borderId="15" xfId="62" applyNumberFormat="1" applyFont="1" applyFill="1" applyBorder="1">
      <alignment/>
      <protection/>
    </xf>
    <xf numFmtId="3" fontId="8" fillId="24" borderId="15" xfId="62" applyNumberFormat="1" applyFill="1" applyBorder="1">
      <alignment/>
      <protection/>
    </xf>
    <xf numFmtId="3" fontId="22" fillId="24" borderId="11" xfId="62" applyNumberFormat="1" applyFont="1" applyFill="1" applyBorder="1">
      <alignment/>
      <protection/>
    </xf>
    <xf numFmtId="41" fontId="8" fillId="24" borderId="11" xfId="45" applyFont="1" applyFill="1" applyBorder="1" applyAlignment="1">
      <alignment/>
    </xf>
    <xf numFmtId="43" fontId="8" fillId="24" borderId="0" xfId="42" applyFont="1" applyFill="1" applyAlignment="1">
      <alignment/>
    </xf>
    <xf numFmtId="43" fontId="8" fillId="24" borderId="0" xfId="62" applyNumberFormat="1" applyFill="1">
      <alignment/>
      <protection/>
    </xf>
    <xf numFmtId="0" fontId="8" fillId="0" borderId="0" xfId="62" applyFill="1">
      <alignment/>
      <protection/>
    </xf>
    <xf numFmtId="0" fontId="8" fillId="0" borderId="0" xfId="62" applyFont="1" applyFill="1">
      <alignment/>
      <protection/>
    </xf>
    <xf numFmtId="0" fontId="38" fillId="0" borderId="0" xfId="62" applyFont="1" applyFill="1">
      <alignment/>
      <protection/>
    </xf>
    <xf numFmtId="0" fontId="8" fillId="0" borderId="0" xfId="62">
      <alignment/>
      <protection/>
    </xf>
    <xf numFmtId="0" fontId="39" fillId="0" borderId="0" xfId="62" applyFont="1" applyFill="1">
      <alignment/>
      <protection/>
    </xf>
    <xf numFmtId="0" fontId="34" fillId="0" borderId="0" xfId="62" applyFont="1" applyFill="1">
      <alignment/>
      <protection/>
    </xf>
    <xf numFmtId="0" fontId="38" fillId="24" borderId="11" xfId="62" applyFont="1" applyFill="1" applyBorder="1" applyAlignment="1">
      <alignment horizontal="center" vertical="center"/>
      <protection/>
    </xf>
    <xf numFmtId="0" fontId="38" fillId="24" borderId="11" xfId="62" applyFont="1" applyFill="1" applyBorder="1" applyAlignment="1">
      <alignment horizontal="center"/>
      <protection/>
    </xf>
    <xf numFmtId="0" fontId="38" fillId="24" borderId="11" xfId="62" applyFont="1" applyFill="1" applyBorder="1">
      <alignment/>
      <protection/>
    </xf>
    <xf numFmtId="41" fontId="38" fillId="24" borderId="11" xfId="43" applyFont="1" applyFill="1" applyBorder="1" applyAlignment="1">
      <alignment/>
    </xf>
    <xf numFmtId="41" fontId="38" fillId="24" borderId="11" xfId="45" applyFont="1" applyFill="1" applyBorder="1" applyAlignment="1">
      <alignment/>
    </xf>
    <xf numFmtId="0" fontId="38" fillId="25" borderId="11" xfId="62" applyFont="1" applyFill="1" applyBorder="1">
      <alignment/>
      <protection/>
    </xf>
    <xf numFmtId="41" fontId="38" fillId="25" borderId="11" xfId="45" applyFont="1" applyFill="1" applyBorder="1" applyAlignment="1">
      <alignment/>
    </xf>
    <xf numFmtId="0" fontId="8" fillId="0" borderId="0" xfId="62" applyFont="1" applyFill="1" applyAlignment="1">
      <alignment horizontal="right"/>
      <protection/>
    </xf>
    <xf numFmtId="0" fontId="22" fillId="0" borderId="0" xfId="62" applyFont="1" applyFill="1">
      <alignment/>
      <protection/>
    </xf>
    <xf numFmtId="41" fontId="38" fillId="24" borderId="11" xfId="62" applyNumberFormat="1" applyFont="1" applyFill="1" applyBorder="1">
      <alignment/>
      <protection/>
    </xf>
    <xf numFmtId="41" fontId="38" fillId="25" borderId="11" xfId="62" applyNumberFormat="1" applyFont="1" applyFill="1" applyBorder="1">
      <alignment/>
      <protection/>
    </xf>
    <xf numFmtId="0" fontId="23" fillId="0" borderId="0" xfId="62" applyFont="1" applyFill="1">
      <alignment/>
      <protection/>
    </xf>
    <xf numFmtId="0" fontId="31" fillId="0" borderId="0" xfId="62" applyFont="1" applyFill="1">
      <alignment/>
      <protection/>
    </xf>
    <xf numFmtId="41" fontId="38" fillId="0" borderId="11" xfId="62" applyNumberFormat="1" applyFont="1" applyFill="1" applyBorder="1">
      <alignment/>
      <protection/>
    </xf>
    <xf numFmtId="0" fontId="20" fillId="26" borderId="11" xfId="60" applyFont="1" applyFill="1" applyBorder="1" applyAlignment="1">
      <alignment vertical="top" wrapText="1"/>
      <protection/>
    </xf>
    <xf numFmtId="0" fontId="20" fillId="26" borderId="11" xfId="60" applyFont="1" applyFill="1" applyBorder="1" applyAlignment="1">
      <alignment/>
      <protection/>
    </xf>
    <xf numFmtId="0" fontId="20" fillId="26" borderId="11" xfId="60" applyFont="1" applyFill="1" applyBorder="1" applyAlignment="1">
      <alignment horizontal="center" wrapText="1"/>
      <protection/>
    </xf>
    <xf numFmtId="41" fontId="8" fillId="24" borderId="0" xfId="61" applyNumberFormat="1" applyFill="1">
      <alignment/>
      <protection/>
    </xf>
    <xf numFmtId="41" fontId="46" fillId="0" borderId="0" xfId="61" applyNumberFormat="1" applyFont="1">
      <alignment/>
      <protection/>
    </xf>
    <xf numFmtId="0" fontId="46" fillId="0" borderId="0" xfId="61" applyFont="1">
      <alignment/>
      <protection/>
    </xf>
    <xf numFmtId="185" fontId="8" fillId="24" borderId="0" xfId="62" applyNumberFormat="1" applyFill="1">
      <alignment/>
      <protection/>
    </xf>
    <xf numFmtId="185" fontId="47" fillId="24" borderId="0" xfId="62" applyNumberFormat="1" applyFont="1" applyFill="1">
      <alignment/>
      <protection/>
    </xf>
    <xf numFmtId="0" fontId="22" fillId="24" borderId="0" xfId="62" applyFont="1" applyFill="1" applyAlignment="1">
      <alignment vertical="top"/>
      <protection/>
    </xf>
    <xf numFmtId="41" fontId="8" fillId="24" borderId="0" xfId="43" applyFont="1" applyFill="1" applyAlignment="1">
      <alignment vertical="top"/>
    </xf>
    <xf numFmtId="0" fontId="8" fillId="24" borderId="11" xfId="62" applyFont="1" applyFill="1" applyBorder="1" applyAlignment="1">
      <alignment horizontal="center" vertical="top"/>
      <protection/>
    </xf>
    <xf numFmtId="0" fontId="22" fillId="24" borderId="11" xfId="62" applyFont="1" applyFill="1" applyBorder="1" applyAlignment="1">
      <alignment horizontal="center" vertical="top" wrapText="1"/>
      <protection/>
    </xf>
    <xf numFmtId="41" fontId="47" fillId="24" borderId="11" xfId="43" applyFont="1" applyFill="1" applyBorder="1" applyAlignment="1">
      <alignment horizontal="center" vertical="top" wrapText="1"/>
    </xf>
    <xf numFmtId="0" fontId="48" fillId="24" borderId="13" xfId="62" applyFont="1" applyFill="1" applyBorder="1" applyAlignment="1">
      <alignment horizontal="center" vertical="top"/>
      <protection/>
    </xf>
    <xf numFmtId="0" fontId="48" fillId="25" borderId="14" xfId="62" applyFont="1" applyFill="1" applyBorder="1" applyAlignment="1">
      <alignment vertical="top"/>
      <protection/>
    </xf>
    <xf numFmtId="3" fontId="47" fillId="24" borderId="20" xfId="62" applyNumberFormat="1" applyFont="1" applyFill="1" applyBorder="1" applyAlignment="1">
      <alignment vertical="top"/>
      <protection/>
    </xf>
    <xf numFmtId="3" fontId="47" fillId="27" borderId="12" xfId="62" applyNumberFormat="1" applyFont="1" applyFill="1" applyBorder="1">
      <alignment/>
      <protection/>
    </xf>
    <xf numFmtId="0" fontId="47" fillId="27" borderId="12" xfId="62" applyFont="1" applyFill="1" applyBorder="1">
      <alignment/>
      <protection/>
    </xf>
    <xf numFmtId="3" fontId="47" fillId="25" borderId="20" xfId="62" applyNumberFormat="1" applyFont="1" applyFill="1" applyBorder="1" applyAlignment="1">
      <alignment vertical="top"/>
      <protection/>
    </xf>
    <xf numFmtId="3" fontId="47" fillId="24" borderId="19" xfId="62" applyNumberFormat="1" applyFont="1" applyFill="1" applyBorder="1" applyAlignment="1">
      <alignment vertical="top"/>
      <protection/>
    </xf>
    <xf numFmtId="3" fontId="49" fillId="24" borderId="12" xfId="62" applyNumberFormat="1" applyFont="1" applyFill="1" applyBorder="1" applyAlignment="1">
      <alignment vertical="top"/>
      <protection/>
    </xf>
    <xf numFmtId="41" fontId="47" fillId="24" borderId="12" xfId="43" applyFont="1" applyFill="1" applyBorder="1" applyAlignment="1">
      <alignment vertical="top"/>
    </xf>
    <xf numFmtId="0" fontId="48" fillId="24" borderId="18" xfId="62" applyFont="1" applyFill="1" applyBorder="1" applyAlignment="1">
      <alignment horizontal="center" vertical="top"/>
      <protection/>
    </xf>
    <xf numFmtId="0" fontId="48" fillId="25" borderId="20" xfId="62" applyFont="1" applyFill="1" applyBorder="1" applyAlignment="1">
      <alignment vertical="top"/>
      <protection/>
    </xf>
    <xf numFmtId="3" fontId="47" fillId="27" borderId="19" xfId="62" applyNumberFormat="1" applyFont="1" applyFill="1" applyBorder="1">
      <alignment/>
      <protection/>
    </xf>
    <xf numFmtId="0" fontId="47" fillId="27" borderId="19" xfId="62" applyFont="1" applyFill="1" applyBorder="1">
      <alignment/>
      <protection/>
    </xf>
    <xf numFmtId="41" fontId="47" fillId="24" borderId="19" xfId="43" applyFont="1" applyFill="1" applyBorder="1" applyAlignment="1">
      <alignment vertical="top"/>
    </xf>
    <xf numFmtId="3" fontId="49" fillId="24" borderId="19" xfId="62" applyNumberFormat="1" applyFont="1" applyFill="1" applyBorder="1" applyAlignment="1">
      <alignment vertical="top"/>
      <protection/>
    </xf>
    <xf numFmtId="3" fontId="47" fillId="27" borderId="15" xfId="62" applyNumberFormat="1" applyFont="1" applyFill="1" applyBorder="1">
      <alignment/>
      <protection/>
    </xf>
    <xf numFmtId="0" fontId="47" fillId="27" borderId="15" xfId="62" applyFont="1" applyFill="1" applyBorder="1">
      <alignment/>
      <protection/>
    </xf>
    <xf numFmtId="41" fontId="47" fillId="24" borderId="15" xfId="43" applyFont="1" applyFill="1" applyBorder="1" applyAlignment="1">
      <alignment vertical="top"/>
    </xf>
    <xf numFmtId="0" fontId="49" fillId="24" borderId="21" xfId="62" applyFont="1" applyFill="1" applyBorder="1" applyAlignment="1">
      <alignment vertical="top"/>
      <protection/>
    </xf>
    <xf numFmtId="0" fontId="49" fillId="24" borderId="22" xfId="62" applyFont="1" applyFill="1" applyBorder="1" applyAlignment="1">
      <alignment vertical="top"/>
      <protection/>
    </xf>
    <xf numFmtId="3" fontId="49" fillId="24" borderId="22" xfId="62" applyNumberFormat="1" applyFont="1" applyFill="1" applyBorder="1" applyAlignment="1">
      <alignment vertical="top"/>
      <protection/>
    </xf>
    <xf numFmtId="3" fontId="49" fillId="24" borderId="11" xfId="62" applyNumberFormat="1" applyFont="1" applyFill="1" applyBorder="1" applyAlignment="1">
      <alignment vertical="top"/>
      <protection/>
    </xf>
    <xf numFmtId="41" fontId="49" fillId="24" borderId="11" xfId="43" applyFont="1" applyFill="1" applyBorder="1" applyAlignment="1">
      <alignment vertical="top"/>
    </xf>
    <xf numFmtId="41" fontId="22" fillId="24" borderId="0" xfId="43" applyFont="1" applyFill="1" applyAlignment="1">
      <alignment vertical="top"/>
    </xf>
    <xf numFmtId="41" fontId="8" fillId="24" borderId="21" xfId="43" applyFont="1" applyFill="1" applyBorder="1" applyAlignment="1">
      <alignment vertical="top"/>
    </xf>
    <xf numFmtId="41" fontId="47" fillId="24" borderId="22" xfId="43" applyFont="1" applyFill="1" applyBorder="1" applyAlignment="1">
      <alignment horizontal="left" vertical="top"/>
    </xf>
    <xf numFmtId="41" fontId="47" fillId="24" borderId="11" xfId="43" applyFont="1" applyFill="1" applyBorder="1" applyAlignment="1">
      <alignment vertical="top"/>
    </xf>
    <xf numFmtId="41" fontId="47" fillId="24" borderId="11" xfId="45" applyFont="1" applyFill="1" applyBorder="1" applyAlignment="1">
      <alignment vertical="top"/>
    </xf>
    <xf numFmtId="3" fontId="8" fillId="24" borderId="20" xfId="62" applyNumberFormat="1" applyFont="1" applyFill="1" applyBorder="1" applyAlignment="1">
      <alignment vertical="top"/>
      <protection/>
    </xf>
    <xf numFmtId="0" fontId="8" fillId="24" borderId="21" xfId="61" applyFont="1" applyFill="1" applyBorder="1" applyAlignment="1">
      <alignment horizontal="center"/>
      <protection/>
    </xf>
    <xf numFmtId="0" fontId="8" fillId="24" borderId="22" xfId="61" applyFont="1" applyFill="1" applyBorder="1" applyAlignment="1">
      <alignment horizontal="center"/>
      <protection/>
    </xf>
    <xf numFmtId="0" fontId="38" fillId="24" borderId="11" xfId="62" applyFont="1" applyFill="1" applyBorder="1" applyAlignment="1">
      <alignment horizontal="center"/>
      <protection/>
    </xf>
    <xf numFmtId="0" fontId="38" fillId="24" borderId="12" xfId="62" applyFont="1" applyFill="1" applyBorder="1" applyAlignment="1">
      <alignment horizontal="center" vertical="center" wrapText="1"/>
      <protection/>
    </xf>
    <xf numFmtId="0" fontId="38" fillId="24" borderId="15" xfId="62" applyFont="1" applyFill="1" applyBorder="1" applyAlignment="1">
      <alignment horizontal="center" vertical="center" wrapText="1"/>
      <protection/>
    </xf>
    <xf numFmtId="0" fontId="22" fillId="24" borderId="0" xfId="62" applyFont="1" applyFill="1" applyAlignment="1">
      <alignment horizontal="center"/>
      <protection/>
    </xf>
    <xf numFmtId="0" fontId="27" fillId="24" borderId="21" xfId="62" applyFont="1" applyFill="1" applyBorder="1" applyAlignment="1">
      <alignment horizontal="center"/>
      <protection/>
    </xf>
    <xf numFmtId="0" fontId="27" fillId="24" borderId="22" xfId="62" applyFont="1" applyFill="1" applyBorder="1" applyAlignment="1">
      <alignment horizontal="center"/>
      <protection/>
    </xf>
    <xf numFmtId="0" fontId="27" fillId="24" borderId="23" xfId="62" applyFont="1" applyFill="1" applyBorder="1" applyAlignment="1">
      <alignment horizontal="center"/>
      <protection/>
    </xf>
    <xf numFmtId="0" fontId="27" fillId="24" borderId="18" xfId="62" applyFont="1" applyFill="1" applyBorder="1" applyAlignment="1">
      <alignment horizontal="center"/>
      <protection/>
    </xf>
    <xf numFmtId="0" fontId="27" fillId="24" borderId="20" xfId="62" applyFont="1" applyFill="1" applyBorder="1" applyAlignment="1">
      <alignment horizontal="center"/>
      <protection/>
    </xf>
    <xf numFmtId="0" fontId="8" fillId="24" borderId="21" xfId="62" applyFill="1" applyBorder="1" applyAlignment="1">
      <alignment horizontal="center"/>
      <protection/>
    </xf>
    <xf numFmtId="0" fontId="8" fillId="24" borderId="23" xfId="62" applyFill="1" applyBorder="1" applyAlignment="1">
      <alignment horizontal="center"/>
      <protection/>
    </xf>
    <xf numFmtId="0" fontId="8" fillId="24" borderId="22" xfId="62" applyFill="1" applyBorder="1" applyAlignment="1">
      <alignment horizontal="center"/>
      <protection/>
    </xf>
    <xf numFmtId="0" fontId="8" fillId="24" borderId="0" xfId="62" applyFill="1" applyAlignment="1">
      <alignment horizontal="center"/>
      <protection/>
    </xf>
    <xf numFmtId="0" fontId="8" fillId="24" borderId="21" xfId="61" applyFont="1" applyFill="1" applyBorder="1" applyAlignment="1">
      <alignment horizontal="center"/>
      <protection/>
    </xf>
    <xf numFmtId="0" fontId="8" fillId="24" borderId="22" xfId="61" applyFont="1" applyFill="1" applyBorder="1" applyAlignment="1">
      <alignment horizontal="center"/>
      <protection/>
    </xf>
    <xf numFmtId="0" fontId="8" fillId="24" borderId="21" xfId="61" applyFill="1" applyBorder="1" applyAlignment="1">
      <alignment horizontal="center"/>
      <protection/>
    </xf>
    <xf numFmtId="0" fontId="8" fillId="24" borderId="22" xfId="61" applyFill="1" applyBorder="1" applyAlignment="1">
      <alignment horizontal="center"/>
      <protection/>
    </xf>
    <xf numFmtId="0" fontId="8" fillId="24" borderId="0" xfId="61" applyFill="1" applyBorder="1" applyAlignment="1">
      <alignment horizontal="center"/>
      <protection/>
    </xf>
    <xf numFmtId="0" fontId="8" fillId="25" borderId="20" xfId="62" applyFont="1" applyFill="1" applyBorder="1" applyAlignment="1">
      <alignment horizontal="center" vertical="center" textRotation="255"/>
      <protection/>
    </xf>
    <xf numFmtId="0" fontId="27" fillId="24" borderId="30" xfId="62" applyFont="1" applyFill="1" applyBorder="1" applyAlignment="1">
      <alignment horizontal="center"/>
      <protection/>
    </xf>
    <xf numFmtId="0" fontId="27" fillId="24" borderId="31" xfId="62" applyFont="1" applyFill="1" applyBorder="1" applyAlignment="1">
      <alignment horizontal="center"/>
      <protection/>
    </xf>
    <xf numFmtId="0" fontId="27" fillId="24" borderId="32" xfId="62" applyFont="1" applyFill="1" applyBorder="1" applyAlignment="1">
      <alignment horizontal="center"/>
      <protection/>
    </xf>
    <xf numFmtId="0" fontId="22" fillId="24" borderId="0" xfId="62" applyFont="1" applyFill="1" applyBorder="1" applyAlignment="1">
      <alignment horizontal="center"/>
      <protection/>
    </xf>
    <xf numFmtId="0" fontId="35" fillId="24" borderId="0" xfId="62" applyFont="1" applyFill="1" applyAlignment="1">
      <alignment horizontal="center"/>
      <protection/>
    </xf>
    <xf numFmtId="0" fontId="27" fillId="24" borderId="21" xfId="61" applyFont="1" applyFill="1" applyBorder="1" applyAlignment="1">
      <alignment horizontal="center"/>
      <protection/>
    </xf>
    <xf numFmtId="0" fontId="27" fillId="24" borderId="22" xfId="61" applyFont="1" applyFill="1" applyBorder="1" applyAlignment="1">
      <alignment horizontal="center"/>
      <protection/>
    </xf>
    <xf numFmtId="0" fontId="8" fillId="24" borderId="12" xfId="61" applyFont="1" applyFill="1" applyBorder="1" applyAlignment="1">
      <alignment horizontal="center" vertical="center"/>
      <protection/>
    </xf>
    <xf numFmtId="0" fontId="8" fillId="24" borderId="15" xfId="61" applyFont="1" applyFill="1" applyBorder="1" applyAlignment="1">
      <alignment horizontal="center" vertical="center"/>
      <protection/>
    </xf>
    <xf numFmtId="0" fontId="27" fillId="24" borderId="0" xfId="61" applyFont="1" applyFill="1" applyBorder="1" applyAlignment="1">
      <alignment horizontal="center"/>
      <protection/>
    </xf>
    <xf numFmtId="41" fontId="22" fillId="24" borderId="21" xfId="62" applyNumberFormat="1" applyFont="1" applyFill="1" applyBorder="1" applyAlignment="1">
      <alignment vertical="center"/>
      <protection/>
    </xf>
    <xf numFmtId="41" fontId="22" fillId="24" borderId="22" xfId="62" applyNumberFormat="1" applyFont="1" applyFill="1" applyBorder="1" applyAlignment="1">
      <alignment vertical="center"/>
      <protection/>
    </xf>
    <xf numFmtId="41" fontId="22" fillId="24" borderId="21" xfId="62" applyNumberFormat="1" applyFont="1" applyFill="1" applyBorder="1" applyAlignment="1">
      <alignment horizontal="center" vertical="center"/>
      <protection/>
    </xf>
    <xf numFmtId="41" fontId="22" fillId="24" borderId="22" xfId="62" applyNumberFormat="1" applyFont="1" applyFill="1" applyBorder="1" applyAlignment="1">
      <alignment horizontal="center" vertical="center"/>
      <protection/>
    </xf>
    <xf numFmtId="0" fontId="22" fillId="24" borderId="0" xfId="62" applyFont="1" applyFill="1" applyAlignment="1">
      <alignment horizontal="center" vertical="top"/>
      <protection/>
    </xf>
    <xf numFmtId="0" fontId="8" fillId="24" borderId="21" xfId="62" applyFill="1" applyBorder="1" applyAlignment="1">
      <alignment horizontal="center" vertical="top"/>
      <protection/>
    </xf>
    <xf numFmtId="0" fontId="8" fillId="24" borderId="22" xfId="62" applyFill="1" applyBorder="1" applyAlignment="1">
      <alignment horizontal="center" vertical="top"/>
      <protection/>
    </xf>
    <xf numFmtId="0" fontId="22" fillId="24" borderId="0" xfId="62" applyFont="1" applyFill="1" applyAlignment="1">
      <alignment horizontal="center" vertical="top"/>
      <protection/>
    </xf>
    <xf numFmtId="0" fontId="8" fillId="0" borderId="13" xfId="61" applyFont="1" applyBorder="1" applyAlignment="1">
      <alignment horizontal="center"/>
      <protection/>
    </xf>
    <xf numFmtId="0" fontId="8" fillId="0" borderId="14" xfId="61" applyFont="1" applyBorder="1" applyAlignment="1">
      <alignment horizontal="center"/>
      <protection/>
    </xf>
    <xf numFmtId="0" fontId="8" fillId="0" borderId="16" xfId="61" applyFont="1" applyBorder="1" applyAlignment="1">
      <alignment horizontal="center"/>
      <protection/>
    </xf>
    <xf numFmtId="0" fontId="8" fillId="0" borderId="17" xfId="61" applyFont="1" applyBorder="1" applyAlignment="1">
      <alignment horizontal="center"/>
      <protection/>
    </xf>
    <xf numFmtId="0" fontId="8" fillId="0" borderId="13" xfId="61" applyBorder="1" applyAlignment="1">
      <alignment horizontal="center"/>
      <protection/>
    </xf>
    <xf numFmtId="0" fontId="8" fillId="0" borderId="14" xfId="61" applyBorder="1" applyAlignment="1">
      <alignment horizontal="center"/>
      <protection/>
    </xf>
    <xf numFmtId="0" fontId="8" fillId="0" borderId="16" xfId="61" applyBorder="1" applyAlignment="1">
      <alignment horizontal="center"/>
      <protection/>
    </xf>
    <xf numFmtId="0" fontId="8" fillId="0" borderId="17" xfId="61" applyBorder="1" applyAlignment="1">
      <alignment horizontal="center"/>
      <protection/>
    </xf>
    <xf numFmtId="0" fontId="8" fillId="0" borderId="13" xfId="61" applyFill="1" applyBorder="1" applyAlignment="1">
      <alignment horizontal="center"/>
      <protection/>
    </xf>
    <xf numFmtId="0" fontId="8" fillId="0" borderId="14" xfId="61" applyFill="1" applyBorder="1" applyAlignment="1">
      <alignment horizontal="center"/>
      <protection/>
    </xf>
    <xf numFmtId="0" fontId="8" fillId="0" borderId="16" xfId="61" applyFill="1" applyBorder="1" applyAlignment="1">
      <alignment horizontal="center"/>
      <protection/>
    </xf>
    <xf numFmtId="0" fontId="8" fillId="0" borderId="17" xfId="61" applyFill="1" applyBorder="1" applyAlignment="1">
      <alignment horizontal="center"/>
      <protection/>
    </xf>
    <xf numFmtId="41" fontId="8" fillId="0" borderId="0" xfId="61" applyNumberFormat="1" applyFont="1" applyBorder="1" applyAlignment="1">
      <alignment horizontal="center"/>
      <protection/>
    </xf>
    <xf numFmtId="0" fontId="8" fillId="0" borderId="0" xfId="61" applyFont="1" applyBorder="1" applyAlignment="1">
      <alignment horizontal="center"/>
      <protection/>
    </xf>
    <xf numFmtId="41" fontId="8" fillId="0" borderId="0" xfId="43" applyFont="1" applyBorder="1" applyAlignment="1">
      <alignment horizontal="center"/>
    </xf>
    <xf numFmtId="0" fontId="8" fillId="0" borderId="18" xfId="61" applyBorder="1" applyAlignment="1">
      <alignment horizontal="center"/>
      <protection/>
    </xf>
    <xf numFmtId="0" fontId="8" fillId="0" borderId="20" xfId="61" applyBorder="1" applyAlignment="1">
      <alignment horizontal="center"/>
      <protection/>
    </xf>
    <xf numFmtId="41" fontId="8" fillId="0" borderId="18" xfId="43" applyFont="1" applyBorder="1" applyAlignment="1">
      <alignment horizontal="center"/>
    </xf>
    <xf numFmtId="41" fontId="8" fillId="0" borderId="20" xfId="43" applyFont="1" applyBorder="1" applyAlignment="1">
      <alignment horizontal="center"/>
    </xf>
    <xf numFmtId="41" fontId="8" fillId="0" borderId="11" xfId="61" applyNumberFormat="1" applyFont="1" applyBorder="1" applyAlignment="1">
      <alignment horizontal="center"/>
      <protection/>
    </xf>
    <xf numFmtId="0" fontId="8" fillId="0" borderId="11" xfId="61" applyFont="1" applyBorder="1" applyAlignment="1">
      <alignment horizontal="center"/>
      <protection/>
    </xf>
    <xf numFmtId="0" fontId="20" fillId="24" borderId="0" xfId="59" applyFont="1" applyFill="1" applyBorder="1" applyAlignment="1">
      <alignment horizontal="center" vertical="center"/>
      <protection/>
    </xf>
    <xf numFmtId="0" fontId="21" fillId="24" borderId="10" xfId="59" applyFont="1" applyFill="1" applyBorder="1" applyAlignment="1">
      <alignment horizontal="center" vertical="center" wrapText="1"/>
      <protection/>
    </xf>
    <xf numFmtId="41" fontId="8" fillId="0" borderId="0" xfId="61" applyNumberFormat="1" applyFont="1">
      <alignment/>
      <protection/>
    </xf>
    <xf numFmtId="41" fontId="50" fillId="24" borderId="19" xfId="43" applyFont="1" applyFill="1" applyBorder="1" applyAlignment="1">
      <alignment/>
    </xf>
    <xf numFmtId="41" fontId="50" fillId="24" borderId="20" xfId="43" applyFont="1" applyFill="1" applyBorder="1" applyAlignment="1">
      <alignment/>
    </xf>
    <xf numFmtId="0" fontId="0" fillId="24" borderId="0" xfId="0" applyFont="1" applyFill="1" applyAlignment="1">
      <alignment/>
    </xf>
    <xf numFmtId="0" fontId="21" fillId="28" borderId="10" xfId="59" applyFont="1" applyFill="1" applyBorder="1" applyAlignment="1">
      <alignment vertical="top" wrapText="1"/>
      <protection/>
    </xf>
    <xf numFmtId="0" fontId="20" fillId="28" borderId="11" xfId="60" applyFont="1" applyFill="1" applyBorder="1" applyAlignment="1">
      <alignment horizontal="left" vertical="center" wrapText="1"/>
      <protection/>
    </xf>
    <xf numFmtId="0" fontId="20" fillId="28" borderId="11" xfId="60" applyFont="1" applyFill="1" applyBorder="1" applyAlignment="1">
      <alignment vertical="top" wrapText="1"/>
      <protection/>
    </xf>
    <xf numFmtId="0" fontId="20" fillId="28" borderId="11" xfId="60" applyFont="1" applyFill="1" applyBorder="1" applyAlignment="1">
      <alignment wrapText="1"/>
      <protection/>
    </xf>
    <xf numFmtId="0" fontId="20" fillId="28" borderId="11" xfId="60" applyFont="1" applyFill="1" applyBorder="1" applyAlignment="1">
      <alignment horizontal="center" vertical="top" wrapText="1"/>
      <protection/>
    </xf>
    <xf numFmtId="0" fontId="21" fillId="29" borderId="10" xfId="59" applyFont="1" applyFill="1" applyBorder="1" applyAlignment="1">
      <alignment vertical="top" wrapText="1"/>
      <protection/>
    </xf>
    <xf numFmtId="0" fontId="20" fillId="29" borderId="11" xfId="60" applyFont="1" applyFill="1" applyBorder="1" applyAlignment="1">
      <alignment horizontal="left" vertical="center" wrapText="1"/>
      <protection/>
    </xf>
    <xf numFmtId="0" fontId="20" fillId="29" borderId="11" xfId="60" applyFont="1" applyFill="1" applyBorder="1" applyAlignment="1">
      <alignment vertical="top" wrapText="1"/>
      <protection/>
    </xf>
    <xf numFmtId="0" fontId="20" fillId="29" borderId="11" xfId="60" applyFont="1" applyFill="1" applyBorder="1" applyAlignment="1">
      <alignment wrapText="1"/>
      <protection/>
    </xf>
    <xf numFmtId="0" fontId="20" fillId="29" borderId="11" xfId="60" applyFont="1" applyFill="1" applyBorder="1" applyAlignment="1">
      <alignment horizontal="center" vertical="top" wrapText="1"/>
      <protection/>
    </xf>
    <xf numFmtId="0" fontId="21" fillId="29" borderId="10" xfId="59" applyFont="1" applyFill="1" applyBorder="1">
      <alignment/>
      <protection/>
    </xf>
    <xf numFmtId="0" fontId="20" fillId="29" borderId="11" xfId="60" applyFont="1" applyFill="1" applyBorder="1">
      <alignment/>
      <protection/>
    </xf>
    <xf numFmtId="0" fontId="21" fillId="30" borderId="10" xfId="59" applyFont="1" applyFill="1" applyBorder="1" applyAlignment="1">
      <alignment vertical="top" wrapText="1"/>
      <protection/>
    </xf>
    <xf numFmtId="0" fontId="20" fillId="30" borderId="11" xfId="60" applyFont="1" applyFill="1" applyBorder="1" applyAlignment="1">
      <alignment horizontal="left" vertical="center" wrapText="1"/>
      <protection/>
    </xf>
    <xf numFmtId="0" fontId="20" fillId="30" borderId="11" xfId="60" applyFont="1" applyFill="1" applyBorder="1" applyAlignment="1">
      <alignment vertical="top" wrapText="1"/>
      <protection/>
    </xf>
    <xf numFmtId="0" fontId="20" fillId="30" borderId="11" xfId="60" applyFont="1" applyFill="1" applyBorder="1" applyAlignment="1">
      <alignment wrapText="1"/>
      <protection/>
    </xf>
    <xf numFmtId="0" fontId="20" fillId="30" borderId="11" xfId="60" applyFont="1" applyFill="1" applyBorder="1" applyAlignment="1">
      <alignment horizontal="center" vertical="top" wrapText="1"/>
      <protection/>
    </xf>
    <xf numFmtId="0" fontId="21" fillId="30" borderId="10" xfId="59" applyFont="1" applyFill="1" applyBorder="1">
      <alignment/>
      <protection/>
    </xf>
    <xf numFmtId="0" fontId="20" fillId="30" borderId="11" xfId="60" applyFont="1" applyFill="1" applyBorder="1">
      <alignment/>
      <protection/>
    </xf>
    <xf numFmtId="0" fontId="21" fillId="31" borderId="10" xfId="59" applyFont="1" applyFill="1" applyBorder="1" applyAlignment="1">
      <alignment vertical="top" wrapText="1"/>
      <protection/>
    </xf>
    <xf numFmtId="0" fontId="20" fillId="31" borderId="11" xfId="60" applyFont="1" applyFill="1" applyBorder="1" applyAlignment="1">
      <alignment horizontal="left" vertical="center" wrapText="1"/>
      <protection/>
    </xf>
    <xf numFmtId="0" fontId="20" fillId="31" borderId="11" xfId="60" applyFont="1" applyFill="1" applyBorder="1" applyAlignment="1">
      <alignment vertical="top" wrapText="1"/>
      <protection/>
    </xf>
    <xf numFmtId="0" fontId="20" fillId="31" borderId="11" xfId="60" applyFont="1" applyFill="1" applyBorder="1" applyAlignment="1">
      <alignment wrapText="1"/>
      <protection/>
    </xf>
    <xf numFmtId="0" fontId="20" fillId="31" borderId="11" xfId="60" applyFont="1" applyFill="1" applyBorder="1" applyAlignment="1">
      <alignment horizontal="center" vertical="top" wrapText="1"/>
      <protection/>
    </xf>
    <xf numFmtId="0" fontId="21" fillId="31" borderId="10" xfId="59" applyFont="1" applyFill="1" applyBorder="1">
      <alignment/>
      <protection/>
    </xf>
    <xf numFmtId="0" fontId="20" fillId="31" borderId="11" xfId="60" applyFont="1" applyFill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_Data Ternak" xfId="61"/>
    <cellStyle name="Normal_POPULASI NAK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62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19.28125" style="403" bestFit="1" customWidth="1"/>
    <col min="2" max="2" width="13.140625" style="403" customWidth="1"/>
    <col min="3" max="6" width="15.7109375" style="403" customWidth="1"/>
    <col min="7" max="7" width="17.57421875" style="403" customWidth="1"/>
    <col min="8" max="8" width="15.7109375" style="403" customWidth="1"/>
    <col min="9" max="9" width="17.28125" style="403" customWidth="1"/>
    <col min="10" max="10" width="15.7109375" style="403" customWidth="1"/>
    <col min="11" max="11" width="19.140625" style="406" customWidth="1"/>
    <col min="12" max="16384" width="9.140625" style="406" customWidth="1"/>
  </cols>
  <sheetData>
    <row r="1" spans="1:11" s="403" customFormat="1" ht="18">
      <c r="A1" s="407" t="s">
        <v>0</v>
      </c>
      <c r="B1" s="407"/>
      <c r="I1" s="417"/>
      <c r="K1" s="417"/>
    </row>
    <row r="2" spans="1:10" s="404" customFormat="1" ht="15">
      <c r="A2" s="408"/>
      <c r="B2" s="408"/>
      <c r="C2" s="408"/>
      <c r="D2" s="408"/>
      <c r="E2" s="408"/>
      <c r="F2" s="408"/>
      <c r="G2" s="408"/>
      <c r="H2" s="408"/>
      <c r="I2" s="408"/>
      <c r="J2" s="408"/>
    </row>
    <row r="3" spans="1:11" s="405" customFormat="1" ht="24" customHeight="1">
      <c r="A3" s="409" t="s">
        <v>1</v>
      </c>
      <c r="B3" s="409"/>
      <c r="C3" s="467" t="s">
        <v>2</v>
      </c>
      <c r="D3" s="467"/>
      <c r="E3" s="467" t="s">
        <v>3</v>
      </c>
      <c r="F3" s="467"/>
      <c r="G3" s="467" t="s">
        <v>4</v>
      </c>
      <c r="H3" s="467"/>
      <c r="I3" s="467" t="s">
        <v>5</v>
      </c>
      <c r="J3" s="467"/>
      <c r="K3" s="468" t="s">
        <v>6</v>
      </c>
    </row>
    <row r="4" spans="1:11" s="405" customFormat="1" ht="24" customHeight="1">
      <c r="A4" s="409"/>
      <c r="B4" s="409"/>
      <c r="C4" s="410" t="s">
        <v>7</v>
      </c>
      <c r="D4" s="410" t="s">
        <v>8</v>
      </c>
      <c r="E4" s="410" t="s">
        <v>7</v>
      </c>
      <c r="F4" s="410" t="s">
        <v>8</v>
      </c>
      <c r="G4" s="410" t="s">
        <v>7</v>
      </c>
      <c r="H4" s="410" t="s">
        <v>8</v>
      </c>
      <c r="I4" s="410" t="s">
        <v>7</v>
      </c>
      <c r="J4" s="410" t="s">
        <v>8</v>
      </c>
      <c r="K4" s="469"/>
    </row>
    <row r="5" spans="1:11" s="405" customFormat="1" ht="24" customHeight="1">
      <c r="A5" s="411" t="s">
        <v>9</v>
      </c>
      <c r="B5" s="411" t="s">
        <v>10</v>
      </c>
      <c r="C5" s="412">
        <v>4</v>
      </c>
      <c r="D5" s="412">
        <v>0</v>
      </c>
      <c r="E5" s="412">
        <v>0</v>
      </c>
      <c r="F5" s="412">
        <v>0</v>
      </c>
      <c r="G5" s="412">
        <v>1267</v>
      </c>
      <c r="H5" s="412">
        <v>453</v>
      </c>
      <c r="I5" s="412">
        <v>1094</v>
      </c>
      <c r="J5" s="412">
        <v>432</v>
      </c>
      <c r="K5" s="412">
        <v>3250</v>
      </c>
    </row>
    <row r="6" spans="1:11" s="405" customFormat="1" ht="24" customHeight="1">
      <c r="A6" s="411"/>
      <c r="B6" s="411" t="s">
        <v>11</v>
      </c>
      <c r="C6" s="412">
        <v>1</v>
      </c>
      <c r="D6" s="412">
        <v>0</v>
      </c>
      <c r="E6" s="412">
        <v>0</v>
      </c>
      <c r="F6" s="412">
        <v>0</v>
      </c>
      <c r="G6" s="412">
        <v>366</v>
      </c>
      <c r="H6" s="412">
        <v>103</v>
      </c>
      <c r="I6" s="412">
        <v>453</v>
      </c>
      <c r="J6" s="412">
        <v>216</v>
      </c>
      <c r="K6" s="412">
        <v>1139</v>
      </c>
    </row>
    <row r="7" spans="1:11" s="405" customFormat="1" ht="24" customHeight="1">
      <c r="A7" s="411"/>
      <c r="B7" s="411" t="s">
        <v>12</v>
      </c>
      <c r="C7" s="412">
        <v>8600000</v>
      </c>
      <c r="D7" s="412">
        <v>0</v>
      </c>
      <c r="E7" s="412">
        <v>0</v>
      </c>
      <c r="F7" s="412">
        <v>0</v>
      </c>
      <c r="G7" s="412">
        <v>2425000</v>
      </c>
      <c r="H7" s="412">
        <v>1425000</v>
      </c>
      <c r="I7" s="412">
        <v>1825000</v>
      </c>
      <c r="J7" s="412">
        <v>1275000</v>
      </c>
      <c r="K7" s="412"/>
    </row>
    <row r="8" spans="1:11" s="405" customFormat="1" ht="24" customHeight="1">
      <c r="A8" s="411"/>
      <c r="B8" s="411" t="s">
        <v>13</v>
      </c>
      <c r="C8" s="412">
        <v>8600000</v>
      </c>
      <c r="D8" s="412">
        <v>0</v>
      </c>
      <c r="E8" s="412">
        <v>0</v>
      </c>
      <c r="F8" s="412">
        <v>0</v>
      </c>
      <c r="G8" s="412">
        <v>949450000</v>
      </c>
      <c r="H8" s="412">
        <v>140500000</v>
      </c>
      <c r="I8" s="412">
        <v>1007300000</v>
      </c>
      <c r="J8" s="412">
        <v>350200000</v>
      </c>
      <c r="K8" s="412">
        <v>2456050000</v>
      </c>
    </row>
    <row r="9" spans="1:11" s="405" customFormat="1" ht="24" customHeight="1">
      <c r="A9" s="411" t="s">
        <v>14</v>
      </c>
      <c r="B9" s="411" t="s">
        <v>10</v>
      </c>
      <c r="C9" s="413">
        <v>3</v>
      </c>
      <c r="D9" s="413">
        <v>0</v>
      </c>
      <c r="E9" s="413">
        <v>0</v>
      </c>
      <c r="F9" s="413">
        <v>0</v>
      </c>
      <c r="G9" s="413">
        <v>1127</v>
      </c>
      <c r="H9" s="413">
        <v>452</v>
      </c>
      <c r="I9" s="413">
        <v>942</v>
      </c>
      <c r="J9" s="413">
        <v>474</v>
      </c>
      <c r="K9" s="411">
        <v>2998</v>
      </c>
    </row>
    <row r="10" spans="1:11" s="405" customFormat="1" ht="24" customHeight="1">
      <c r="A10" s="411"/>
      <c r="B10" s="411" t="s">
        <v>11</v>
      </c>
      <c r="C10" s="413">
        <v>2</v>
      </c>
      <c r="D10" s="413">
        <v>0</v>
      </c>
      <c r="E10" s="413">
        <v>0</v>
      </c>
      <c r="F10" s="413">
        <v>0</v>
      </c>
      <c r="G10" s="413">
        <v>354</v>
      </c>
      <c r="H10" s="413">
        <v>105</v>
      </c>
      <c r="I10" s="413">
        <v>341</v>
      </c>
      <c r="J10" s="413">
        <v>314</v>
      </c>
      <c r="K10" s="411">
        <v>1116</v>
      </c>
    </row>
    <row r="11" spans="1:11" s="405" customFormat="1" ht="24" customHeight="1">
      <c r="A11" s="411"/>
      <c r="B11" s="411" t="s">
        <v>12</v>
      </c>
      <c r="C11" s="413">
        <v>9250000</v>
      </c>
      <c r="D11" s="413">
        <v>0</v>
      </c>
      <c r="E11" s="413">
        <v>0</v>
      </c>
      <c r="F11" s="413">
        <v>0</v>
      </c>
      <c r="G11" s="413">
        <v>2350000</v>
      </c>
      <c r="H11" s="413">
        <v>1550000</v>
      </c>
      <c r="I11" s="413">
        <v>1675000</v>
      </c>
      <c r="J11" s="413">
        <v>1037500</v>
      </c>
      <c r="K11" s="411"/>
    </row>
    <row r="12" spans="1:11" s="405" customFormat="1" ht="24" customHeight="1">
      <c r="A12" s="411"/>
      <c r="B12" s="411" t="s">
        <v>13</v>
      </c>
      <c r="C12" s="413">
        <v>18500000</v>
      </c>
      <c r="D12" s="413">
        <v>0</v>
      </c>
      <c r="E12" s="413">
        <v>0</v>
      </c>
      <c r="F12" s="413">
        <v>0</v>
      </c>
      <c r="G12" s="413">
        <v>940300000</v>
      </c>
      <c r="H12" s="413">
        <v>166500000</v>
      </c>
      <c r="I12" s="413">
        <v>736700000</v>
      </c>
      <c r="J12" s="413">
        <v>368150000</v>
      </c>
      <c r="K12" s="418">
        <v>2230150000</v>
      </c>
    </row>
    <row r="13" spans="1:11" s="405" customFormat="1" ht="24" customHeight="1">
      <c r="A13" s="411" t="s">
        <v>15</v>
      </c>
      <c r="B13" s="411" t="s">
        <v>10</v>
      </c>
      <c r="C13" s="413">
        <v>12</v>
      </c>
      <c r="D13" s="413">
        <v>0</v>
      </c>
      <c r="E13" s="413">
        <v>0</v>
      </c>
      <c r="F13" s="413">
        <v>0</v>
      </c>
      <c r="G13" s="413">
        <v>1299</v>
      </c>
      <c r="H13" s="413">
        <v>505</v>
      </c>
      <c r="I13" s="413">
        <v>1097</v>
      </c>
      <c r="J13" s="413">
        <v>481</v>
      </c>
      <c r="K13" s="411">
        <v>3394</v>
      </c>
    </row>
    <row r="14" spans="1:11" s="405" customFormat="1" ht="24" customHeight="1">
      <c r="A14" s="411"/>
      <c r="B14" s="411" t="s">
        <v>11</v>
      </c>
      <c r="C14" s="413">
        <v>9</v>
      </c>
      <c r="D14" s="413">
        <v>0</v>
      </c>
      <c r="E14" s="413">
        <v>0</v>
      </c>
      <c r="F14" s="413">
        <v>0</v>
      </c>
      <c r="G14" s="413">
        <v>333</v>
      </c>
      <c r="H14" s="413">
        <v>96</v>
      </c>
      <c r="I14" s="413">
        <v>384</v>
      </c>
      <c r="J14" s="413">
        <v>321</v>
      </c>
      <c r="K14" s="411">
        <v>1143</v>
      </c>
    </row>
    <row r="15" spans="1:11" s="405" customFormat="1" ht="24" customHeight="1">
      <c r="A15" s="411"/>
      <c r="B15" s="411" t="s">
        <v>12</v>
      </c>
      <c r="C15" s="413">
        <v>9500000</v>
      </c>
      <c r="D15" s="413">
        <v>0</v>
      </c>
      <c r="E15" s="413">
        <v>0</v>
      </c>
      <c r="F15" s="413">
        <v>0</v>
      </c>
      <c r="G15" s="413">
        <v>2375000</v>
      </c>
      <c r="H15" s="413">
        <v>1562500</v>
      </c>
      <c r="I15" s="413">
        <v>1750000</v>
      </c>
      <c r="J15" s="413">
        <v>1425000</v>
      </c>
      <c r="K15" s="411"/>
    </row>
    <row r="16" spans="1:11" s="405" customFormat="1" ht="24" customHeight="1">
      <c r="A16" s="411"/>
      <c r="B16" s="411" t="s">
        <v>13</v>
      </c>
      <c r="C16" s="413">
        <v>85500000</v>
      </c>
      <c r="D16" s="413">
        <v>0</v>
      </c>
      <c r="E16" s="413">
        <v>0</v>
      </c>
      <c r="F16" s="413">
        <v>0</v>
      </c>
      <c r="G16" s="413">
        <v>878750000</v>
      </c>
      <c r="H16" s="413">
        <v>154350000</v>
      </c>
      <c r="I16" s="413">
        <v>827400000</v>
      </c>
      <c r="J16" s="413">
        <v>520900000</v>
      </c>
      <c r="K16" s="418">
        <v>2466900000</v>
      </c>
    </row>
    <row r="17" spans="1:11" s="405" customFormat="1" ht="24" customHeight="1">
      <c r="A17" s="411" t="s">
        <v>16</v>
      </c>
      <c r="B17" s="411" t="s">
        <v>10</v>
      </c>
      <c r="C17" s="413">
        <v>14</v>
      </c>
      <c r="D17" s="413">
        <v>0</v>
      </c>
      <c r="E17" s="413">
        <v>0</v>
      </c>
      <c r="F17" s="413">
        <v>0</v>
      </c>
      <c r="G17" s="413">
        <v>1137</v>
      </c>
      <c r="H17" s="413">
        <v>571</v>
      </c>
      <c r="I17" s="413">
        <v>1089</v>
      </c>
      <c r="J17" s="413">
        <v>411</v>
      </c>
      <c r="K17" s="411">
        <v>3222</v>
      </c>
    </row>
    <row r="18" spans="1:11" s="405" customFormat="1" ht="24" customHeight="1">
      <c r="A18" s="411"/>
      <c r="B18" s="411" t="s">
        <v>11</v>
      </c>
      <c r="C18" s="413">
        <v>8</v>
      </c>
      <c r="D18" s="413">
        <v>0</v>
      </c>
      <c r="E18" s="413">
        <v>0</v>
      </c>
      <c r="F18" s="413">
        <v>0</v>
      </c>
      <c r="G18" s="413">
        <v>359</v>
      </c>
      <c r="H18" s="413">
        <v>132</v>
      </c>
      <c r="I18" s="413">
        <v>392</v>
      </c>
      <c r="J18" s="413">
        <v>190</v>
      </c>
      <c r="K18" s="411">
        <v>1081</v>
      </c>
    </row>
    <row r="19" spans="1:11" s="405" customFormat="1" ht="24" customHeight="1">
      <c r="A19" s="411"/>
      <c r="B19" s="411" t="s">
        <v>12</v>
      </c>
      <c r="C19" s="413">
        <v>9000000</v>
      </c>
      <c r="D19" s="413">
        <v>0</v>
      </c>
      <c r="E19" s="413">
        <v>0</v>
      </c>
      <c r="F19" s="413">
        <v>0</v>
      </c>
      <c r="G19" s="413">
        <v>2275000</v>
      </c>
      <c r="H19" s="413">
        <v>1500000</v>
      </c>
      <c r="I19" s="413">
        <v>1925000</v>
      </c>
      <c r="J19" s="413">
        <v>1375000</v>
      </c>
      <c r="K19" s="411"/>
    </row>
    <row r="20" spans="1:11" s="405" customFormat="1" ht="24" customHeight="1">
      <c r="A20" s="411"/>
      <c r="B20" s="411" t="s">
        <v>13</v>
      </c>
      <c r="C20" s="413">
        <v>72000000</v>
      </c>
      <c r="D20" s="413">
        <v>0</v>
      </c>
      <c r="E20" s="413">
        <v>0</v>
      </c>
      <c r="F20" s="413">
        <v>0</v>
      </c>
      <c r="G20" s="413">
        <v>940800000</v>
      </c>
      <c r="H20" s="413">
        <v>241900000</v>
      </c>
      <c r="I20" s="413">
        <v>809600000</v>
      </c>
      <c r="J20" s="413">
        <v>335000000</v>
      </c>
      <c r="K20" s="418">
        <v>2399300000</v>
      </c>
    </row>
    <row r="21" spans="1:11" s="405" customFormat="1" ht="24" customHeight="1">
      <c r="A21" s="411" t="s">
        <v>17</v>
      </c>
      <c r="B21" s="411" t="s">
        <v>10</v>
      </c>
      <c r="C21" s="413">
        <v>16</v>
      </c>
      <c r="D21" s="413">
        <v>0</v>
      </c>
      <c r="E21" s="413">
        <v>0</v>
      </c>
      <c r="F21" s="413">
        <v>0</v>
      </c>
      <c r="G21" s="413">
        <v>1165</v>
      </c>
      <c r="H21" s="413">
        <v>574</v>
      </c>
      <c r="I21" s="413">
        <v>1014</v>
      </c>
      <c r="J21" s="413">
        <v>464</v>
      </c>
      <c r="K21" s="411">
        <v>3233</v>
      </c>
    </row>
    <row r="22" spans="1:11" s="405" customFormat="1" ht="24" customHeight="1">
      <c r="A22" s="411"/>
      <c r="B22" s="411" t="s">
        <v>11</v>
      </c>
      <c r="C22" s="413">
        <v>9</v>
      </c>
      <c r="D22" s="413">
        <v>0</v>
      </c>
      <c r="E22" s="413">
        <v>0</v>
      </c>
      <c r="F22" s="413">
        <v>0</v>
      </c>
      <c r="G22" s="413">
        <v>341</v>
      </c>
      <c r="H22" s="413">
        <v>134</v>
      </c>
      <c r="I22" s="413">
        <v>360</v>
      </c>
      <c r="J22" s="413">
        <v>344</v>
      </c>
      <c r="K22" s="411">
        <v>1188</v>
      </c>
    </row>
    <row r="23" spans="1:11" s="405" customFormat="1" ht="24" customHeight="1">
      <c r="A23" s="411"/>
      <c r="B23" s="411" t="s">
        <v>12</v>
      </c>
      <c r="C23" s="413">
        <v>9500000</v>
      </c>
      <c r="D23" s="413">
        <v>0</v>
      </c>
      <c r="E23" s="413">
        <v>0</v>
      </c>
      <c r="F23" s="413">
        <v>0</v>
      </c>
      <c r="G23" s="413">
        <v>2275000</v>
      </c>
      <c r="H23" s="413">
        <v>1562500</v>
      </c>
      <c r="I23" s="413">
        <v>1900000</v>
      </c>
      <c r="J23" s="413">
        <v>1275000</v>
      </c>
      <c r="K23" s="411"/>
    </row>
    <row r="24" spans="1:11" s="405" customFormat="1" ht="24" customHeight="1">
      <c r="A24" s="411"/>
      <c r="B24" s="411" t="s">
        <v>13</v>
      </c>
      <c r="C24" s="413">
        <v>85500000</v>
      </c>
      <c r="D24" s="413">
        <v>0</v>
      </c>
      <c r="E24" s="413">
        <v>0</v>
      </c>
      <c r="F24" s="413">
        <v>0</v>
      </c>
      <c r="G24" s="413">
        <v>899400000</v>
      </c>
      <c r="H24" s="413">
        <v>281400000</v>
      </c>
      <c r="I24" s="413">
        <v>733200000</v>
      </c>
      <c r="J24" s="413">
        <v>411800000</v>
      </c>
      <c r="K24" s="418">
        <v>2411300000</v>
      </c>
    </row>
    <row r="25" spans="1:11" s="405" customFormat="1" ht="24" customHeight="1">
      <c r="A25" s="411" t="s">
        <v>18</v>
      </c>
      <c r="B25" s="411" t="s">
        <v>10</v>
      </c>
      <c r="C25" s="413">
        <v>19</v>
      </c>
      <c r="D25" s="413">
        <v>0</v>
      </c>
      <c r="E25" s="413">
        <v>0</v>
      </c>
      <c r="F25" s="413">
        <v>0</v>
      </c>
      <c r="G25" s="413">
        <v>1078</v>
      </c>
      <c r="H25" s="413">
        <v>782</v>
      </c>
      <c r="I25" s="413">
        <v>949</v>
      </c>
      <c r="J25" s="413">
        <v>439</v>
      </c>
      <c r="K25" s="411">
        <v>3267</v>
      </c>
    </row>
    <row r="26" spans="1:11" s="405" customFormat="1" ht="24" customHeight="1">
      <c r="A26" s="411"/>
      <c r="B26" s="411" t="s">
        <v>11</v>
      </c>
      <c r="C26" s="413">
        <v>9</v>
      </c>
      <c r="D26" s="413">
        <v>0</v>
      </c>
      <c r="E26" s="413">
        <v>0</v>
      </c>
      <c r="F26" s="413">
        <v>0</v>
      </c>
      <c r="G26" s="413">
        <v>294</v>
      </c>
      <c r="H26" s="413">
        <v>237</v>
      </c>
      <c r="I26" s="413">
        <v>435</v>
      </c>
      <c r="J26" s="413">
        <v>285</v>
      </c>
      <c r="K26" s="411">
        <v>1260</v>
      </c>
    </row>
    <row r="27" spans="1:11" s="405" customFormat="1" ht="24" customHeight="1">
      <c r="A27" s="411"/>
      <c r="B27" s="411" t="s">
        <v>12</v>
      </c>
      <c r="C27" s="413">
        <v>9650000</v>
      </c>
      <c r="D27" s="413">
        <v>0</v>
      </c>
      <c r="E27" s="413">
        <v>0</v>
      </c>
      <c r="F27" s="413">
        <v>0</v>
      </c>
      <c r="G27" s="413">
        <v>2300000</v>
      </c>
      <c r="H27" s="413">
        <v>1662500</v>
      </c>
      <c r="I27" s="413">
        <v>1850000</v>
      </c>
      <c r="J27" s="413">
        <v>1350000</v>
      </c>
      <c r="K27" s="411"/>
    </row>
    <row r="28" spans="1:11" s="405" customFormat="1" ht="24" customHeight="1">
      <c r="A28" s="411"/>
      <c r="B28" s="411" t="s">
        <v>13</v>
      </c>
      <c r="C28" s="413">
        <v>86850000</v>
      </c>
      <c r="D28" s="413">
        <v>0</v>
      </c>
      <c r="E28" s="413">
        <v>0</v>
      </c>
      <c r="F28" s="413">
        <v>0</v>
      </c>
      <c r="G28" s="413">
        <v>771400000</v>
      </c>
      <c r="H28" s="413">
        <v>541050000</v>
      </c>
      <c r="I28" s="413">
        <v>884000000</v>
      </c>
      <c r="J28" s="413">
        <v>363500000</v>
      </c>
      <c r="K28" s="418">
        <v>2646800000</v>
      </c>
    </row>
    <row r="29" spans="1:11" s="405" customFormat="1" ht="24" customHeight="1">
      <c r="A29" s="411" t="s">
        <v>19</v>
      </c>
      <c r="B29" s="411" t="s">
        <v>10</v>
      </c>
      <c r="C29" s="413">
        <v>21</v>
      </c>
      <c r="D29" s="413">
        <v>0</v>
      </c>
      <c r="E29" s="413">
        <v>0</v>
      </c>
      <c r="F29" s="413">
        <v>0</v>
      </c>
      <c r="G29" s="413">
        <v>771</v>
      </c>
      <c r="H29" s="413">
        <v>643</v>
      </c>
      <c r="I29" s="413">
        <v>966</v>
      </c>
      <c r="J29" s="413">
        <v>407</v>
      </c>
      <c r="K29" s="411">
        <v>2808</v>
      </c>
    </row>
    <row r="30" spans="1:11" s="405" customFormat="1" ht="24" customHeight="1">
      <c r="A30" s="411"/>
      <c r="B30" s="411" t="s">
        <v>11</v>
      </c>
      <c r="C30" s="413">
        <v>14</v>
      </c>
      <c r="D30" s="413">
        <v>0</v>
      </c>
      <c r="E30" s="413">
        <v>0</v>
      </c>
      <c r="F30" s="413">
        <v>0</v>
      </c>
      <c r="G30" s="413">
        <v>339</v>
      </c>
      <c r="H30" s="413">
        <v>452</v>
      </c>
      <c r="I30" s="413">
        <v>426</v>
      </c>
      <c r="J30" s="413">
        <v>279</v>
      </c>
      <c r="K30" s="411">
        <v>1510</v>
      </c>
    </row>
    <row r="31" spans="1:11" s="405" customFormat="1" ht="24" customHeight="1">
      <c r="A31" s="411"/>
      <c r="B31" s="411" t="s">
        <v>12</v>
      </c>
      <c r="C31" s="413">
        <v>9750000</v>
      </c>
      <c r="D31" s="413">
        <v>0</v>
      </c>
      <c r="E31" s="413">
        <v>0</v>
      </c>
      <c r="F31" s="413">
        <v>0</v>
      </c>
      <c r="G31" s="413">
        <v>2387500</v>
      </c>
      <c r="H31" s="413">
        <v>1675000</v>
      </c>
      <c r="I31" s="413">
        <v>1800000</v>
      </c>
      <c r="J31" s="413">
        <v>1362500</v>
      </c>
      <c r="K31" s="411"/>
    </row>
    <row r="32" spans="1:11" s="405" customFormat="1" ht="24" customHeight="1">
      <c r="A32" s="411"/>
      <c r="B32" s="411" t="s">
        <v>13</v>
      </c>
      <c r="C32" s="413">
        <v>136500000</v>
      </c>
      <c r="D32" s="413">
        <v>0</v>
      </c>
      <c r="E32" s="413">
        <v>0</v>
      </c>
      <c r="F32" s="413">
        <v>0</v>
      </c>
      <c r="G32" s="413">
        <v>941250000</v>
      </c>
      <c r="H32" s="413">
        <v>1056700000</v>
      </c>
      <c r="I32" s="413">
        <v>812700000</v>
      </c>
      <c r="J32" s="413">
        <v>354800000</v>
      </c>
      <c r="K32" s="418">
        <v>3301950000</v>
      </c>
    </row>
    <row r="33" spans="1:11" s="405" customFormat="1" ht="24" customHeight="1">
      <c r="A33" s="411" t="s">
        <v>20</v>
      </c>
      <c r="B33" s="411" t="s">
        <v>10</v>
      </c>
      <c r="C33" s="413">
        <v>44</v>
      </c>
      <c r="D33" s="413">
        <v>0</v>
      </c>
      <c r="E33" s="413">
        <v>0</v>
      </c>
      <c r="F33" s="413">
        <v>0</v>
      </c>
      <c r="G33" s="413">
        <v>1097</v>
      </c>
      <c r="H33" s="413">
        <v>517</v>
      </c>
      <c r="I33" s="413">
        <v>1118</v>
      </c>
      <c r="J33" s="413">
        <v>435</v>
      </c>
      <c r="K33" s="418">
        <v>3211</v>
      </c>
    </row>
    <row r="34" spans="1:11" s="405" customFormat="1" ht="24" customHeight="1">
      <c r="A34" s="411"/>
      <c r="B34" s="411" t="s">
        <v>11</v>
      </c>
      <c r="C34" s="413">
        <v>9</v>
      </c>
      <c r="D34" s="413">
        <v>0</v>
      </c>
      <c r="E34" s="413">
        <v>0</v>
      </c>
      <c r="F34" s="413">
        <v>0</v>
      </c>
      <c r="G34" s="413">
        <v>462</v>
      </c>
      <c r="H34" s="413">
        <v>166</v>
      </c>
      <c r="I34" s="413">
        <v>500</v>
      </c>
      <c r="J34" s="413">
        <v>222</v>
      </c>
      <c r="K34" s="418">
        <v>1359</v>
      </c>
    </row>
    <row r="35" spans="1:11" s="405" customFormat="1" ht="24" customHeight="1">
      <c r="A35" s="411"/>
      <c r="B35" s="411" t="s">
        <v>12</v>
      </c>
      <c r="C35" s="413">
        <v>12500000</v>
      </c>
      <c r="D35" s="413">
        <v>0</v>
      </c>
      <c r="E35" s="413">
        <v>0</v>
      </c>
      <c r="F35" s="413">
        <v>0</v>
      </c>
      <c r="G35" s="413">
        <v>2550000</v>
      </c>
      <c r="H35" s="413">
        <v>1775000</v>
      </c>
      <c r="I35" s="413">
        <v>1975000</v>
      </c>
      <c r="J35" s="413">
        <v>1175000</v>
      </c>
      <c r="K35" s="411"/>
    </row>
    <row r="36" spans="1:11" s="405" customFormat="1" ht="24" customHeight="1">
      <c r="A36" s="411"/>
      <c r="B36" s="411" t="s">
        <v>13</v>
      </c>
      <c r="C36" s="413">
        <v>112500000</v>
      </c>
      <c r="D36" s="413">
        <v>0</v>
      </c>
      <c r="E36" s="413">
        <v>0</v>
      </c>
      <c r="F36" s="413">
        <v>0</v>
      </c>
      <c r="G36" s="413">
        <v>1407900000</v>
      </c>
      <c r="H36" s="413">
        <v>354500000</v>
      </c>
      <c r="I36" s="413">
        <v>1054300000</v>
      </c>
      <c r="J36" s="413">
        <v>282500000</v>
      </c>
      <c r="K36" s="418">
        <v>3211700000</v>
      </c>
    </row>
    <row r="37" spans="1:11" s="405" customFormat="1" ht="24" customHeight="1">
      <c r="A37" s="411" t="s">
        <v>21</v>
      </c>
      <c r="B37" s="411" t="s">
        <v>10</v>
      </c>
      <c r="C37" s="413">
        <v>53</v>
      </c>
      <c r="D37" s="413">
        <v>0</v>
      </c>
      <c r="E37" s="413">
        <v>0</v>
      </c>
      <c r="F37" s="413">
        <v>0</v>
      </c>
      <c r="G37" s="413">
        <v>1496</v>
      </c>
      <c r="H37" s="413">
        <v>533</v>
      </c>
      <c r="I37" s="413">
        <v>1405</v>
      </c>
      <c r="J37" s="413">
        <v>457</v>
      </c>
      <c r="K37" s="411"/>
    </row>
    <row r="38" spans="1:11" s="405" customFormat="1" ht="24" customHeight="1">
      <c r="A38" s="411"/>
      <c r="B38" s="411" t="s">
        <v>11</v>
      </c>
      <c r="C38" s="413">
        <v>12</v>
      </c>
      <c r="D38" s="413">
        <v>0</v>
      </c>
      <c r="E38" s="413">
        <v>0</v>
      </c>
      <c r="F38" s="413">
        <v>0</v>
      </c>
      <c r="G38" s="413">
        <v>865</v>
      </c>
      <c r="H38" s="413">
        <v>171</v>
      </c>
      <c r="I38" s="413">
        <v>782</v>
      </c>
      <c r="J38" s="413">
        <v>222</v>
      </c>
      <c r="K38" s="411"/>
    </row>
    <row r="39" spans="1:11" s="405" customFormat="1" ht="24" customHeight="1">
      <c r="A39" s="411"/>
      <c r="B39" s="411" t="s">
        <v>12</v>
      </c>
      <c r="C39" s="413">
        <v>12500000</v>
      </c>
      <c r="D39" s="413">
        <v>0</v>
      </c>
      <c r="E39" s="413">
        <v>0</v>
      </c>
      <c r="F39" s="413">
        <v>0</v>
      </c>
      <c r="G39" s="413">
        <v>2862500</v>
      </c>
      <c r="H39" s="413">
        <v>1900000</v>
      </c>
      <c r="I39" s="413">
        <v>2237500</v>
      </c>
      <c r="J39" s="413">
        <v>1052500</v>
      </c>
      <c r="K39" s="411"/>
    </row>
    <row r="40" spans="1:11" s="405" customFormat="1" ht="24" customHeight="1">
      <c r="A40" s="411"/>
      <c r="B40" s="411" t="s">
        <v>13</v>
      </c>
      <c r="C40" s="413">
        <f>C38*C39</f>
        <v>150000000</v>
      </c>
      <c r="D40" s="413">
        <f>D38*D39</f>
        <v>0</v>
      </c>
      <c r="E40" s="413">
        <v>0</v>
      </c>
      <c r="F40" s="413">
        <f>F38*F39</f>
        <v>0</v>
      </c>
      <c r="G40" s="413">
        <v>2839500000</v>
      </c>
      <c r="H40" s="413">
        <v>363200000</v>
      </c>
      <c r="I40" s="413">
        <v>1912800000</v>
      </c>
      <c r="J40" s="413">
        <v>288650000</v>
      </c>
      <c r="K40" s="418">
        <f>SUM(C40:J40)</f>
        <v>5554150000</v>
      </c>
    </row>
    <row r="41" spans="1:11" s="405" customFormat="1" ht="24" customHeight="1">
      <c r="A41" s="411" t="s">
        <v>22</v>
      </c>
      <c r="B41" s="411" t="s">
        <v>10</v>
      </c>
      <c r="C41" s="413">
        <v>61</v>
      </c>
      <c r="D41" s="413">
        <v>9</v>
      </c>
      <c r="E41" s="413">
        <v>0</v>
      </c>
      <c r="F41" s="413">
        <v>0</v>
      </c>
      <c r="G41" s="413">
        <v>1100</v>
      </c>
      <c r="H41" s="413">
        <v>403</v>
      </c>
      <c r="I41" s="413">
        <v>1054</v>
      </c>
      <c r="J41" s="413">
        <v>367</v>
      </c>
      <c r="K41" s="411">
        <v>2994</v>
      </c>
    </row>
    <row r="42" spans="1:11" s="405" customFormat="1" ht="24" customHeight="1">
      <c r="A42" s="411"/>
      <c r="B42" s="411" t="s">
        <v>11</v>
      </c>
      <c r="C42" s="413">
        <v>23</v>
      </c>
      <c r="D42" s="413">
        <v>6</v>
      </c>
      <c r="E42" s="413">
        <v>0</v>
      </c>
      <c r="F42" s="413">
        <v>0</v>
      </c>
      <c r="G42" s="413">
        <v>444</v>
      </c>
      <c r="H42" s="413">
        <v>237</v>
      </c>
      <c r="I42" s="413">
        <v>428</v>
      </c>
      <c r="J42" s="413">
        <v>187</v>
      </c>
      <c r="K42" s="411">
        <v>1325</v>
      </c>
    </row>
    <row r="43" spans="1:11" s="405" customFormat="1" ht="24" customHeight="1">
      <c r="A43" s="411"/>
      <c r="B43" s="411" t="s">
        <v>12</v>
      </c>
      <c r="C43" s="413">
        <v>11500000</v>
      </c>
      <c r="D43" s="413">
        <v>2125000</v>
      </c>
      <c r="E43" s="413">
        <v>0</v>
      </c>
      <c r="F43" s="413">
        <v>0</v>
      </c>
      <c r="G43" s="413">
        <v>2250000</v>
      </c>
      <c r="H43" s="413">
        <v>1150000</v>
      </c>
      <c r="I43" s="413">
        <v>1625000</v>
      </c>
      <c r="J43" s="413">
        <v>1000000</v>
      </c>
      <c r="K43" s="411"/>
    </row>
    <row r="44" spans="1:11" s="405" customFormat="1" ht="24" customHeight="1">
      <c r="A44" s="411"/>
      <c r="B44" s="411" t="s">
        <v>13</v>
      </c>
      <c r="C44" s="413">
        <f>C42*C43</f>
        <v>264500000</v>
      </c>
      <c r="D44" s="413">
        <v>51000000</v>
      </c>
      <c r="E44" s="413">
        <f>E42*E43</f>
        <v>0</v>
      </c>
      <c r="F44" s="413">
        <v>0</v>
      </c>
      <c r="G44" s="413">
        <v>1322500000</v>
      </c>
      <c r="H44" s="413">
        <v>299200000</v>
      </c>
      <c r="I44" s="413">
        <v>683700000</v>
      </c>
      <c r="J44" s="413">
        <v>194200000</v>
      </c>
      <c r="K44" s="418">
        <f>SUM(C44:J44)</f>
        <v>2815100000</v>
      </c>
    </row>
    <row r="45" spans="1:11" s="405" customFormat="1" ht="24" customHeight="1">
      <c r="A45" s="411" t="s">
        <v>23</v>
      </c>
      <c r="B45" s="411" t="s">
        <v>10</v>
      </c>
      <c r="C45" s="413">
        <v>64</v>
      </c>
      <c r="D45" s="413">
        <v>12</v>
      </c>
      <c r="E45" s="413">
        <v>0</v>
      </c>
      <c r="F45" s="413">
        <v>0</v>
      </c>
      <c r="G45" s="413">
        <v>1002</v>
      </c>
      <c r="H45" s="413">
        <v>389</v>
      </c>
      <c r="I45" s="413">
        <v>851</v>
      </c>
      <c r="J45" s="413">
        <v>317</v>
      </c>
      <c r="K45" s="411"/>
    </row>
    <row r="46" spans="1:11" s="405" customFormat="1" ht="24" customHeight="1">
      <c r="A46" s="411"/>
      <c r="B46" s="411" t="s">
        <v>11</v>
      </c>
      <c r="C46" s="413">
        <v>26</v>
      </c>
      <c r="D46" s="413">
        <v>8</v>
      </c>
      <c r="E46" s="413">
        <v>0</v>
      </c>
      <c r="F46" s="413">
        <v>0</v>
      </c>
      <c r="G46" s="413">
        <v>381</v>
      </c>
      <c r="H46" s="413">
        <v>236</v>
      </c>
      <c r="I46" s="413">
        <v>333</v>
      </c>
      <c r="J46" s="413">
        <v>191</v>
      </c>
      <c r="K46" s="411"/>
    </row>
    <row r="47" spans="1:11" s="405" customFormat="1" ht="24" customHeight="1">
      <c r="A47" s="411"/>
      <c r="B47" s="411" t="s">
        <v>12</v>
      </c>
      <c r="C47" s="413">
        <v>10500000</v>
      </c>
      <c r="D47" s="413">
        <v>2125000</v>
      </c>
      <c r="E47" s="413">
        <v>0</v>
      </c>
      <c r="F47" s="413"/>
      <c r="G47" s="413">
        <v>2175000</v>
      </c>
      <c r="H47" s="413">
        <v>1125000</v>
      </c>
      <c r="I47" s="413">
        <v>1612500</v>
      </c>
      <c r="J47" s="413">
        <v>987500</v>
      </c>
      <c r="K47" s="411"/>
    </row>
    <row r="48" spans="1:11" s="405" customFormat="1" ht="24" customHeight="1">
      <c r="A48" s="411"/>
      <c r="B48" s="411" t="s">
        <v>13</v>
      </c>
      <c r="C48" s="413">
        <f>C46*C47</f>
        <v>273000000</v>
      </c>
      <c r="D48" s="413">
        <v>68000000</v>
      </c>
      <c r="E48" s="413">
        <f>E46*E47</f>
        <v>0</v>
      </c>
      <c r="F48" s="413">
        <f>F46*F47</f>
        <v>0</v>
      </c>
      <c r="G48" s="413">
        <v>1210300000</v>
      </c>
      <c r="H48" s="413">
        <v>298300000</v>
      </c>
      <c r="I48" s="413">
        <v>546000000</v>
      </c>
      <c r="J48" s="413">
        <v>213300000</v>
      </c>
      <c r="K48" s="418">
        <f aca="true" t="shared" si="0" ref="K48:K54">SUM(C48:J48)</f>
        <v>2608900000</v>
      </c>
    </row>
    <row r="49" spans="1:11" s="405" customFormat="1" ht="24" customHeight="1">
      <c r="A49" s="414" t="s">
        <v>24</v>
      </c>
      <c r="B49" s="414" t="s">
        <v>10</v>
      </c>
      <c r="C49" s="415">
        <v>64</v>
      </c>
      <c r="D49" s="415">
        <v>12</v>
      </c>
      <c r="E49" s="415"/>
      <c r="F49" s="415"/>
      <c r="G49" s="415">
        <v>1022</v>
      </c>
      <c r="H49" s="415">
        <v>403</v>
      </c>
      <c r="I49" s="415">
        <v>882</v>
      </c>
      <c r="J49" s="415">
        <v>332</v>
      </c>
      <c r="K49" s="414"/>
    </row>
    <row r="50" spans="1:11" s="405" customFormat="1" ht="24" customHeight="1">
      <c r="A50" s="414"/>
      <c r="B50" s="414" t="s">
        <v>11</v>
      </c>
      <c r="C50" s="415">
        <v>26</v>
      </c>
      <c r="D50" s="415">
        <v>8</v>
      </c>
      <c r="E50" s="415"/>
      <c r="F50" s="415"/>
      <c r="G50" s="415">
        <v>404</v>
      </c>
      <c r="H50" s="415">
        <v>240</v>
      </c>
      <c r="I50" s="415">
        <v>382</v>
      </c>
      <c r="J50" s="415">
        <v>190</v>
      </c>
      <c r="K50" s="414"/>
    </row>
    <row r="51" spans="1:11" s="405" customFormat="1" ht="24" customHeight="1">
      <c r="A51" s="414"/>
      <c r="B51" s="414" t="s">
        <v>12</v>
      </c>
      <c r="C51" s="415">
        <v>10500000</v>
      </c>
      <c r="D51" s="415">
        <v>8500000</v>
      </c>
      <c r="E51" s="415"/>
      <c r="F51" s="415"/>
      <c r="G51" s="415">
        <v>2375000</v>
      </c>
      <c r="H51" s="415">
        <v>1237500</v>
      </c>
      <c r="I51" s="415">
        <v>1712500</v>
      </c>
      <c r="J51" s="415">
        <v>1062500</v>
      </c>
      <c r="K51" s="414"/>
    </row>
    <row r="52" spans="1:11" s="405" customFormat="1" ht="24" customHeight="1">
      <c r="A52" s="414"/>
      <c r="B52" s="414" t="s">
        <v>13</v>
      </c>
      <c r="C52" s="415">
        <f>C50*C51</f>
        <v>273000000</v>
      </c>
      <c r="D52" s="415">
        <f>D50*D51</f>
        <v>68000000</v>
      </c>
      <c r="E52" s="415">
        <f>E50*E51</f>
        <v>0</v>
      </c>
      <c r="F52" s="415">
        <f>F50*F51</f>
        <v>0</v>
      </c>
      <c r="G52" s="415">
        <v>1277500000</v>
      </c>
      <c r="H52" s="415">
        <v>308100000</v>
      </c>
      <c r="I52" s="415">
        <v>707100000</v>
      </c>
      <c r="J52" s="415">
        <v>230200000</v>
      </c>
      <c r="K52" s="419">
        <f t="shared" si="0"/>
        <v>2863900000</v>
      </c>
    </row>
    <row r="53" spans="1:11" s="405" customFormat="1" ht="24" customHeight="1">
      <c r="A53" s="411" t="s">
        <v>25</v>
      </c>
      <c r="B53" s="411" t="s">
        <v>10</v>
      </c>
      <c r="C53" s="413">
        <f>C5+C9+C13+C17+C21+C25+C29+C33+C37+C41+C45+C49</f>
        <v>375</v>
      </c>
      <c r="D53" s="413">
        <f aca="true" t="shared" si="1" ref="D53:J53">D5+D9+D13+D17+D21+D25+D29+D33+D37+D41+D45+D49</f>
        <v>33</v>
      </c>
      <c r="E53" s="413">
        <f t="shared" si="1"/>
        <v>0</v>
      </c>
      <c r="F53" s="413">
        <f t="shared" si="1"/>
        <v>0</v>
      </c>
      <c r="G53" s="413">
        <f t="shared" si="1"/>
        <v>13561</v>
      </c>
      <c r="H53" s="413">
        <f t="shared" si="1"/>
        <v>6225</v>
      </c>
      <c r="I53" s="413">
        <f t="shared" si="1"/>
        <v>12461</v>
      </c>
      <c r="J53" s="413">
        <f t="shared" si="1"/>
        <v>5016</v>
      </c>
      <c r="K53" s="418">
        <f t="shared" si="0"/>
        <v>37671</v>
      </c>
    </row>
    <row r="54" spans="1:11" s="405" customFormat="1" ht="24" customHeight="1">
      <c r="A54" s="411"/>
      <c r="B54" s="411" t="s">
        <v>11</v>
      </c>
      <c r="C54" s="413">
        <f>C6+C10+C14+C18+C22+C26+C30+C34+C38+C42+C46+C50</f>
        <v>148</v>
      </c>
      <c r="D54" s="413">
        <f aca="true" t="shared" si="2" ref="D54:J54">D6+D10+D14+D18+D22+D26+D30+D34+D38+D42+D46+D50</f>
        <v>22</v>
      </c>
      <c r="E54" s="413">
        <f t="shared" si="2"/>
        <v>0</v>
      </c>
      <c r="F54" s="413">
        <f t="shared" si="2"/>
        <v>0</v>
      </c>
      <c r="G54" s="413">
        <f t="shared" si="2"/>
        <v>4942</v>
      </c>
      <c r="H54" s="413">
        <f t="shared" si="2"/>
        <v>2309</v>
      </c>
      <c r="I54" s="413">
        <f t="shared" si="2"/>
        <v>5216</v>
      </c>
      <c r="J54" s="413">
        <f t="shared" si="2"/>
        <v>2961</v>
      </c>
      <c r="K54" s="418">
        <f t="shared" si="0"/>
        <v>15598</v>
      </c>
    </row>
    <row r="55" spans="1:11" s="405" customFormat="1" ht="24" customHeight="1">
      <c r="A55" s="411"/>
      <c r="B55" s="411" t="s">
        <v>26</v>
      </c>
      <c r="C55" s="413">
        <f>(C7+C11+C15+C19+C23+C27+C31+C35+C39+C43+C47+C51)/1</f>
        <v>122750000</v>
      </c>
      <c r="D55" s="413">
        <f aca="true" t="shared" si="3" ref="D55:J55">(D7+D11+D15+D19+D23+D27+D31+D35+D39+D43+D47+D51)/1</f>
        <v>12750000</v>
      </c>
      <c r="E55" s="413">
        <f t="shared" si="3"/>
        <v>0</v>
      </c>
      <c r="F55" s="413">
        <f t="shared" si="3"/>
        <v>0</v>
      </c>
      <c r="G55" s="413">
        <f t="shared" si="3"/>
        <v>28600000</v>
      </c>
      <c r="H55" s="413">
        <f t="shared" si="3"/>
        <v>18125000</v>
      </c>
      <c r="I55" s="413">
        <f t="shared" si="3"/>
        <v>21887500</v>
      </c>
      <c r="J55" s="413">
        <f t="shared" si="3"/>
        <v>14377500</v>
      </c>
      <c r="K55" s="411"/>
    </row>
    <row r="56" spans="1:11" s="405" customFormat="1" ht="24" customHeight="1">
      <c r="A56" s="411"/>
      <c r="B56" s="411" t="s">
        <v>27</v>
      </c>
      <c r="C56" s="413">
        <f>C8+C12+C16+C20+C24+C28+C32+C36+C40+C44+C48+C52</f>
        <v>1566450000</v>
      </c>
      <c r="D56" s="413">
        <f aca="true" t="shared" si="4" ref="D56:K56">D8+D12+D16+D20+D24+D28+D32+D36+D40+D44+D48+D52</f>
        <v>187000000</v>
      </c>
      <c r="E56" s="413">
        <f t="shared" si="4"/>
        <v>0</v>
      </c>
      <c r="F56" s="413">
        <f t="shared" si="4"/>
        <v>0</v>
      </c>
      <c r="G56" s="413">
        <f t="shared" si="4"/>
        <v>14379050000</v>
      </c>
      <c r="H56" s="413">
        <f t="shared" si="4"/>
        <v>4205700000</v>
      </c>
      <c r="I56" s="413">
        <f t="shared" si="4"/>
        <v>10714800000</v>
      </c>
      <c r="J56" s="413">
        <f t="shared" si="4"/>
        <v>3913200000</v>
      </c>
      <c r="K56" s="413">
        <f t="shared" si="4"/>
        <v>34966200000</v>
      </c>
    </row>
    <row r="57" spans="8:10" s="404" customFormat="1" ht="15">
      <c r="H57" s="416"/>
      <c r="I57" s="420"/>
      <c r="J57" s="421"/>
    </row>
    <row r="58" spans="8:11" s="404" customFormat="1" ht="15">
      <c r="H58" s="416"/>
      <c r="I58" s="420"/>
      <c r="J58" s="421"/>
      <c r="K58" s="422">
        <f>SUM(C56:J56)</f>
        <v>34966200000</v>
      </c>
    </row>
    <row r="59" spans="9:10" s="404" customFormat="1" ht="15">
      <c r="I59" s="420"/>
      <c r="J59" s="421"/>
    </row>
    <row r="60" spans="9:10" s="404" customFormat="1" ht="15">
      <c r="I60" s="420"/>
      <c r="J60" s="421"/>
    </row>
    <row r="61" spans="9:10" s="404" customFormat="1" ht="15">
      <c r="I61" s="420"/>
      <c r="J61" s="421"/>
    </row>
    <row r="62" spans="9:10" s="404" customFormat="1" ht="15">
      <c r="I62" s="420"/>
      <c r="J62" s="421"/>
    </row>
    <row r="63" s="403" customFormat="1" ht="132" customHeight="1"/>
    <row r="64" s="403" customFormat="1" ht="12.75"/>
    <row r="65" s="403" customFormat="1" ht="12.75"/>
    <row r="66" s="403" customFormat="1" ht="12.75"/>
    <row r="67" s="403" customFormat="1" ht="12.75"/>
    <row r="68" s="403" customFormat="1" ht="12.75"/>
    <row r="69" s="403" customFormat="1" ht="12.75"/>
    <row r="70" s="403" customFormat="1" ht="86.25" customHeight="1"/>
    <row r="71" s="403" customFormat="1" ht="12.75"/>
    <row r="72" s="403" customFormat="1" ht="12.75"/>
    <row r="73" s="403" customFormat="1" ht="12.75"/>
    <row r="74" s="403" customFormat="1" ht="12.75"/>
    <row r="75" s="403" customFormat="1" ht="12.75"/>
    <row r="76" s="403" customFormat="1" ht="12.75"/>
    <row r="77" s="403" customFormat="1" ht="12.75"/>
    <row r="78" s="403" customFormat="1" ht="12.75"/>
    <row r="79" s="403" customFormat="1" ht="12.75"/>
    <row r="80" s="403" customFormat="1" ht="12.75"/>
    <row r="81" s="403" customFormat="1" ht="12.75"/>
    <row r="82" s="403" customFormat="1" ht="12.75"/>
    <row r="83" s="403" customFormat="1" ht="12.75"/>
    <row r="84" s="403" customFormat="1" ht="12.75"/>
    <row r="85" s="403" customFormat="1" ht="12.75"/>
    <row r="86" s="403" customFormat="1" ht="12.75"/>
    <row r="87" s="403" customFormat="1" ht="12.75"/>
    <row r="88" s="403" customFormat="1" ht="12.75"/>
    <row r="89" s="403" customFormat="1" ht="12.75"/>
    <row r="90" s="403" customFormat="1" ht="12.75"/>
    <row r="91" s="403" customFormat="1" ht="12.75"/>
    <row r="92" s="403" customFormat="1" ht="12.75"/>
    <row r="93" s="403" customFormat="1" ht="12.75"/>
    <row r="94" s="403" customFormat="1" ht="12.75"/>
    <row r="95" s="403" customFormat="1" ht="12.75"/>
    <row r="96" s="403" customFormat="1" ht="12.75"/>
    <row r="97" s="403" customFormat="1" ht="12.75"/>
    <row r="98" s="403" customFormat="1" ht="12.75"/>
    <row r="99" s="403" customFormat="1" ht="12.75"/>
  </sheetData>
  <sheetProtection/>
  <mergeCells count="5">
    <mergeCell ref="C3:D3"/>
    <mergeCell ref="E3:F3"/>
    <mergeCell ref="G3:H3"/>
    <mergeCell ref="I3:J3"/>
    <mergeCell ref="K3:K4"/>
  </mergeCells>
  <printOptions horizontalCentered="1" verticalCentered="1"/>
  <pageMargins left="0.9840277777777777" right="0.9840277777777777" top="0.6298611111111111" bottom="0.39305555555555555" header="0.4326388888888889" footer="0.275"/>
  <pageSetup fitToHeight="1" fitToWidth="1" horizontalDpi="600" verticalDpi="6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393"/>
  <sheetViews>
    <sheetView zoomScalePageLayoutView="0" workbookViewId="0" topLeftCell="C1">
      <selection activeCell="N21" sqref="N21"/>
    </sheetView>
  </sheetViews>
  <sheetFormatPr defaultColWidth="9.140625" defaultRowHeight="15"/>
  <cols>
    <col min="1" max="1" width="3.7109375" style="21" customWidth="1"/>
    <col min="2" max="2" width="17.421875" style="21" customWidth="1"/>
    <col min="3" max="3" width="11.57421875" style="21" bestFit="1" customWidth="1"/>
    <col min="4" max="4" width="10.421875" style="21" customWidth="1"/>
    <col min="5" max="5" width="9.8515625" style="21" customWidth="1"/>
    <col min="6" max="6" width="9.00390625" style="21" customWidth="1"/>
    <col min="7" max="7" width="9.8515625" style="21" customWidth="1"/>
    <col min="8" max="8" width="9.7109375" style="21" customWidth="1"/>
    <col min="9" max="9" width="10.421875" style="21" customWidth="1"/>
    <col min="10" max="10" width="4.57421875" style="21" customWidth="1"/>
    <col min="11" max="11" width="21.140625" style="21" customWidth="1"/>
    <col min="12" max="12" width="11.421875" style="21" customWidth="1"/>
    <col min="13" max="13" width="10.140625" style="21" customWidth="1"/>
    <col min="14" max="15" width="11.57421875" style="21" bestFit="1" customWidth="1"/>
    <col min="16" max="16" width="9.28125" style="21" bestFit="1" customWidth="1"/>
    <col min="17" max="17" width="9.140625" style="21" customWidth="1"/>
    <col min="18" max="18" width="10.28125" style="21" bestFit="1" customWidth="1"/>
    <col min="19" max="16384" width="9.140625" style="21" customWidth="1"/>
  </cols>
  <sheetData>
    <row r="1" spans="1:8" ht="12.75">
      <c r="A1" s="22" t="s">
        <v>226</v>
      </c>
      <c r="B1" s="23"/>
      <c r="C1" s="518"/>
      <c r="D1" s="518"/>
      <c r="E1" s="25"/>
      <c r="F1" s="23"/>
      <c r="G1" s="25"/>
      <c r="H1" s="23"/>
    </row>
    <row r="2" spans="1:18" ht="12.75">
      <c r="A2" s="23"/>
      <c r="B2" s="23"/>
      <c r="C2" s="25"/>
      <c r="D2" s="23"/>
      <c r="E2" s="25"/>
      <c r="F2" s="23"/>
      <c r="G2" s="518"/>
      <c r="H2" s="518"/>
      <c r="J2" s="22" t="s">
        <v>226</v>
      </c>
      <c r="K2" s="71"/>
      <c r="L2" s="24"/>
      <c r="M2" s="24"/>
      <c r="N2" s="25"/>
      <c r="O2" s="71"/>
      <c r="P2" s="25"/>
      <c r="Q2" s="71"/>
      <c r="R2" s="26"/>
    </row>
    <row r="3" spans="1:18" ht="12.75">
      <c r="A3" s="26" t="s">
        <v>227</v>
      </c>
      <c r="H3" s="27"/>
      <c r="I3" s="27"/>
      <c r="J3" s="71"/>
      <c r="K3" s="71"/>
      <c r="L3" s="25"/>
      <c r="M3" s="71"/>
      <c r="N3" s="25"/>
      <c r="O3" s="71"/>
      <c r="P3" s="24"/>
      <c r="Q3" s="24"/>
      <c r="R3" s="26"/>
    </row>
    <row r="4" spans="8:18" ht="12.75">
      <c r="H4" s="27"/>
      <c r="I4" s="27"/>
      <c r="J4" s="72" t="s">
        <v>138</v>
      </c>
      <c r="K4" s="26"/>
      <c r="L4" s="26"/>
      <c r="M4" s="26"/>
      <c r="N4" s="26"/>
      <c r="O4" s="26"/>
      <c r="P4" s="26"/>
      <c r="Q4" s="26"/>
      <c r="R4" s="26"/>
    </row>
    <row r="5" spans="1:18" ht="12.75">
      <c r="A5" s="28" t="s">
        <v>102</v>
      </c>
      <c r="B5" s="28" t="s">
        <v>103</v>
      </c>
      <c r="C5" s="504" t="s">
        <v>228</v>
      </c>
      <c r="D5" s="505"/>
      <c r="E5" s="504" t="s">
        <v>229</v>
      </c>
      <c r="F5" s="505"/>
      <c r="G5" s="504" t="s">
        <v>230</v>
      </c>
      <c r="H5" s="505"/>
      <c r="I5" s="27"/>
      <c r="J5" s="26"/>
      <c r="K5" s="26"/>
      <c r="L5" s="26"/>
      <c r="M5" s="26"/>
      <c r="N5" s="26"/>
      <c r="O5" s="26"/>
      <c r="P5" s="26"/>
      <c r="Q5" s="26"/>
      <c r="R5" s="26"/>
    </row>
    <row r="6" spans="1:18" ht="12.75">
      <c r="A6" s="31"/>
      <c r="B6" s="31"/>
      <c r="C6" s="506" t="s">
        <v>231</v>
      </c>
      <c r="D6" s="507"/>
      <c r="E6" s="506" t="s">
        <v>231</v>
      </c>
      <c r="F6" s="507"/>
      <c r="G6" s="506" t="s">
        <v>232</v>
      </c>
      <c r="H6" s="507"/>
      <c r="I6" s="27"/>
      <c r="J6" s="28" t="s">
        <v>102</v>
      </c>
      <c r="K6" s="28" t="s">
        <v>103</v>
      </c>
      <c r="L6" s="504" t="s">
        <v>228</v>
      </c>
      <c r="M6" s="505"/>
      <c r="N6" s="504" t="s">
        <v>229</v>
      </c>
      <c r="O6" s="505"/>
      <c r="P6" s="504" t="s">
        <v>230</v>
      </c>
      <c r="Q6" s="505"/>
      <c r="R6" s="26"/>
    </row>
    <row r="7" spans="1:18" ht="12.75">
      <c r="A7" s="34"/>
      <c r="B7" s="34"/>
      <c r="C7" s="29"/>
      <c r="D7" s="30"/>
      <c r="E7" s="35"/>
      <c r="F7" s="36"/>
      <c r="G7" s="37"/>
      <c r="H7" s="36"/>
      <c r="I7" s="27"/>
      <c r="J7" s="31"/>
      <c r="K7" s="31"/>
      <c r="L7" s="506" t="s">
        <v>231</v>
      </c>
      <c r="M7" s="507"/>
      <c r="N7" s="506" t="s">
        <v>231</v>
      </c>
      <c r="O7" s="507"/>
      <c r="P7" s="506" t="s">
        <v>232</v>
      </c>
      <c r="Q7" s="507"/>
      <c r="R7" s="26"/>
    </row>
    <row r="8" spans="1:18" ht="12.75">
      <c r="A8" s="38">
        <v>1</v>
      </c>
      <c r="B8" s="38" t="s">
        <v>111</v>
      </c>
      <c r="C8" s="39">
        <v>4356</v>
      </c>
      <c r="D8" s="40"/>
      <c r="E8" s="41"/>
      <c r="F8" s="42" t="s">
        <v>233</v>
      </c>
      <c r="G8" s="41"/>
      <c r="H8" s="42" t="s">
        <v>233</v>
      </c>
      <c r="J8" s="34"/>
      <c r="K8" s="34"/>
      <c r="L8" s="29"/>
      <c r="M8" s="30"/>
      <c r="N8" s="35"/>
      <c r="O8" s="36"/>
      <c r="P8" s="37"/>
      <c r="Q8" s="36"/>
      <c r="R8" s="26"/>
    </row>
    <row r="9" spans="1:18" ht="12.75">
      <c r="A9" s="38">
        <v>2</v>
      </c>
      <c r="B9" s="38" t="s">
        <v>112</v>
      </c>
      <c r="C9" s="39"/>
      <c r="D9" s="43" t="s">
        <v>233</v>
      </c>
      <c r="E9" s="41"/>
      <c r="F9" s="42" t="s">
        <v>233</v>
      </c>
      <c r="G9" s="39"/>
      <c r="H9" s="44">
        <v>155</v>
      </c>
      <c r="J9" s="38">
        <v>1</v>
      </c>
      <c r="K9" s="38" t="s">
        <v>111</v>
      </c>
      <c r="L9" s="521">
        <f>C8+C39+C70+C101+C132+C174+C206+C240+C272+C306+C338+C370</f>
        <v>238709</v>
      </c>
      <c r="M9" s="522"/>
      <c r="N9" s="41"/>
      <c r="O9" s="42" t="s">
        <v>233</v>
      </c>
      <c r="P9" s="41"/>
      <c r="Q9" s="42" t="s">
        <v>233</v>
      </c>
      <c r="R9" s="26"/>
    </row>
    <row r="10" spans="1:18" ht="12.75">
      <c r="A10" s="38">
        <v>3</v>
      </c>
      <c r="B10" s="38" t="s">
        <v>113</v>
      </c>
      <c r="C10" s="39">
        <v>26800</v>
      </c>
      <c r="D10" s="40"/>
      <c r="E10" s="41"/>
      <c r="F10" s="42" t="s">
        <v>233</v>
      </c>
      <c r="G10" s="41"/>
      <c r="H10" s="42" t="s">
        <v>233</v>
      </c>
      <c r="J10" s="38">
        <v>2</v>
      </c>
      <c r="K10" s="38" t="s">
        <v>112</v>
      </c>
      <c r="L10" s="521">
        <f aca="true" t="shared" si="0" ref="L10:L20">C9+C40+C71+C102+C133+C175+C207+C241+C273+C307+C339+C371</f>
        <v>0</v>
      </c>
      <c r="M10" s="522"/>
      <c r="N10" s="41"/>
      <c r="O10" s="42" t="s">
        <v>233</v>
      </c>
      <c r="P10" s="521">
        <f>H9+H40+H71+H102+H133+H175+H207+H241+H273+H307+H339+H371</f>
        <v>1737</v>
      </c>
      <c r="Q10" s="522"/>
      <c r="R10" s="26"/>
    </row>
    <row r="11" spans="1:18" ht="12.75">
      <c r="A11" s="38">
        <v>4</v>
      </c>
      <c r="B11" s="38" t="s">
        <v>114</v>
      </c>
      <c r="C11" s="39"/>
      <c r="D11" s="43" t="s">
        <v>233</v>
      </c>
      <c r="E11" s="41"/>
      <c r="F11" s="42" t="s">
        <v>233</v>
      </c>
      <c r="G11" s="41"/>
      <c r="H11" s="42" t="s">
        <v>233</v>
      </c>
      <c r="J11" s="38">
        <v>3</v>
      </c>
      <c r="K11" s="38" t="s">
        <v>113</v>
      </c>
      <c r="L11" s="521">
        <f>C10+C41+C72+C103+C134+C176+C208+C242+C274+C308+C340+C372</f>
        <v>464080</v>
      </c>
      <c r="M11" s="522"/>
      <c r="N11" s="41"/>
      <c r="O11" s="42" t="s">
        <v>233</v>
      </c>
      <c r="P11" s="41"/>
      <c r="Q11" s="42" t="s">
        <v>233</v>
      </c>
      <c r="R11" s="26"/>
    </row>
    <row r="12" spans="1:18" ht="12.75">
      <c r="A12" s="38">
        <v>5</v>
      </c>
      <c r="B12" s="38" t="s">
        <v>115</v>
      </c>
      <c r="C12" s="39">
        <v>12870</v>
      </c>
      <c r="D12" s="40"/>
      <c r="E12" s="41"/>
      <c r="F12" s="42" t="s">
        <v>233</v>
      </c>
      <c r="G12" s="41"/>
      <c r="H12" s="42" t="s">
        <v>233</v>
      </c>
      <c r="J12" s="38">
        <v>4</v>
      </c>
      <c r="K12" s="38" t="s">
        <v>114</v>
      </c>
      <c r="L12" s="521">
        <f t="shared" si="0"/>
        <v>0</v>
      </c>
      <c r="M12" s="522"/>
      <c r="N12" s="41"/>
      <c r="O12" s="42" t="s">
        <v>233</v>
      </c>
      <c r="P12" s="41"/>
      <c r="Q12" s="42" t="s">
        <v>233</v>
      </c>
      <c r="R12" s="26"/>
    </row>
    <row r="13" spans="1:18" ht="12.75">
      <c r="A13" s="38">
        <v>6</v>
      </c>
      <c r="B13" s="38" t="s">
        <v>116</v>
      </c>
      <c r="C13" s="39">
        <v>11505</v>
      </c>
      <c r="D13" s="40"/>
      <c r="E13" s="41"/>
      <c r="F13" s="42" t="s">
        <v>233</v>
      </c>
      <c r="G13" s="41"/>
      <c r="H13" s="42" t="s">
        <v>233</v>
      </c>
      <c r="J13" s="38">
        <v>5</v>
      </c>
      <c r="K13" s="38" t="s">
        <v>115</v>
      </c>
      <c r="L13" s="521">
        <f t="shared" si="0"/>
        <v>354523</v>
      </c>
      <c r="M13" s="522"/>
      <c r="N13" s="41"/>
      <c r="O13" s="42" t="s">
        <v>233</v>
      </c>
      <c r="P13" s="41"/>
      <c r="Q13" s="42" t="s">
        <v>233</v>
      </c>
      <c r="R13" s="26"/>
    </row>
    <row r="14" spans="1:18" ht="12.75">
      <c r="A14" s="38">
        <v>7</v>
      </c>
      <c r="B14" s="38" t="s">
        <v>117</v>
      </c>
      <c r="C14" s="39"/>
      <c r="D14" s="43" t="s">
        <v>233</v>
      </c>
      <c r="E14" s="41"/>
      <c r="F14" s="42" t="s">
        <v>233</v>
      </c>
      <c r="G14" s="41"/>
      <c r="H14" s="42" t="s">
        <v>233</v>
      </c>
      <c r="J14" s="38">
        <v>6</v>
      </c>
      <c r="K14" s="38" t="s">
        <v>116</v>
      </c>
      <c r="L14" s="521">
        <f t="shared" si="0"/>
        <v>253981</v>
      </c>
      <c r="M14" s="522"/>
      <c r="N14" s="41"/>
      <c r="O14" s="42" t="s">
        <v>233</v>
      </c>
      <c r="P14" s="41"/>
      <c r="Q14" s="42" t="s">
        <v>233</v>
      </c>
      <c r="R14" s="26"/>
    </row>
    <row r="15" spans="1:18" ht="12.75">
      <c r="A15" s="38">
        <v>8</v>
      </c>
      <c r="B15" s="38" t="s">
        <v>118</v>
      </c>
      <c r="C15" s="39"/>
      <c r="D15" s="43" t="s">
        <v>233</v>
      </c>
      <c r="E15" s="39">
        <v>96000</v>
      </c>
      <c r="F15" s="40"/>
      <c r="G15" s="41"/>
      <c r="H15" s="42" t="s">
        <v>233</v>
      </c>
      <c r="J15" s="38">
        <v>7</v>
      </c>
      <c r="K15" s="38" t="s">
        <v>117</v>
      </c>
      <c r="L15" s="521">
        <f t="shared" si="0"/>
        <v>0</v>
      </c>
      <c r="M15" s="522"/>
      <c r="N15" s="41"/>
      <c r="O15" s="42" t="s">
        <v>233</v>
      </c>
      <c r="P15" s="41"/>
      <c r="Q15" s="42" t="s">
        <v>233</v>
      </c>
      <c r="R15" s="26"/>
    </row>
    <row r="16" spans="1:18" ht="12.75">
      <c r="A16" s="38">
        <v>9</v>
      </c>
      <c r="B16" s="38" t="s">
        <v>119</v>
      </c>
      <c r="C16" s="39">
        <v>794300</v>
      </c>
      <c r="D16" s="40"/>
      <c r="E16" s="41"/>
      <c r="F16" s="42" t="s">
        <v>233</v>
      </c>
      <c r="G16" s="41"/>
      <c r="H16" s="42" t="s">
        <v>233</v>
      </c>
      <c r="J16" s="38">
        <v>8</v>
      </c>
      <c r="K16" s="38" t="s">
        <v>118</v>
      </c>
      <c r="L16" s="521">
        <f t="shared" si="0"/>
        <v>0</v>
      </c>
      <c r="M16" s="522"/>
      <c r="N16" s="65">
        <f>E15+E46+E77+E108+E139+E181+E213+E247+E279+E313+E345+E377</f>
        <v>582000</v>
      </c>
      <c r="O16" s="44"/>
      <c r="P16" s="41"/>
      <c r="Q16" s="42" t="s">
        <v>233</v>
      </c>
      <c r="R16" s="527">
        <f>N16+N18</f>
        <v>1559138.097104</v>
      </c>
    </row>
    <row r="17" spans="1:18" ht="12.75">
      <c r="A17" s="38">
        <v>10</v>
      </c>
      <c r="B17" s="38" t="s">
        <v>120</v>
      </c>
      <c r="C17" s="39">
        <v>63625</v>
      </c>
      <c r="D17" s="40"/>
      <c r="E17" s="39">
        <v>87897.75</v>
      </c>
      <c r="F17" s="40"/>
      <c r="G17" s="41"/>
      <c r="H17" s="42" t="s">
        <v>233</v>
      </c>
      <c r="J17" s="38">
        <v>9</v>
      </c>
      <c r="K17" s="38" t="s">
        <v>119</v>
      </c>
      <c r="L17" s="521">
        <f t="shared" si="0"/>
        <v>9822350</v>
      </c>
      <c r="M17" s="522"/>
      <c r="N17" s="41"/>
      <c r="O17" s="42" t="s">
        <v>233</v>
      </c>
      <c r="P17" s="41"/>
      <c r="Q17" s="42" t="s">
        <v>233</v>
      </c>
      <c r="R17" s="26"/>
    </row>
    <row r="18" spans="1:18" ht="12.75">
      <c r="A18" s="38">
        <v>11</v>
      </c>
      <c r="B18" s="38" t="s">
        <v>121</v>
      </c>
      <c r="C18" s="39">
        <v>9980</v>
      </c>
      <c r="D18" s="40"/>
      <c r="E18" s="39">
        <v>160208.07692307694</v>
      </c>
      <c r="F18" s="40"/>
      <c r="G18" s="41"/>
      <c r="H18" s="42" t="s">
        <v>233</v>
      </c>
      <c r="J18" s="38">
        <v>10</v>
      </c>
      <c r="K18" s="38" t="s">
        <v>120</v>
      </c>
      <c r="L18" s="521">
        <f t="shared" si="0"/>
        <v>707319</v>
      </c>
      <c r="M18" s="522"/>
      <c r="N18" s="65">
        <f>E17+E48+E79+E110+E141+E183+E215+E249+E281+E315+E347+E379</f>
        <v>977138.097104</v>
      </c>
      <c r="O18" s="44"/>
      <c r="P18" s="41"/>
      <c r="Q18" s="42" t="s">
        <v>233</v>
      </c>
      <c r="R18" s="26"/>
    </row>
    <row r="19" spans="1:18" ht="12.75">
      <c r="A19" s="38">
        <v>12</v>
      </c>
      <c r="B19" s="38" t="s">
        <v>145</v>
      </c>
      <c r="C19" s="39">
        <v>2420</v>
      </c>
      <c r="D19" s="40"/>
      <c r="E19" s="39"/>
      <c r="F19" s="40">
        <v>0</v>
      </c>
      <c r="G19" s="41"/>
      <c r="H19" s="42" t="s">
        <v>233</v>
      </c>
      <c r="J19" s="38">
        <v>11</v>
      </c>
      <c r="K19" s="38" t="s">
        <v>121</v>
      </c>
      <c r="L19" s="521">
        <f t="shared" si="0"/>
        <v>108536</v>
      </c>
      <c r="M19" s="522"/>
      <c r="N19" s="65">
        <f>E18+E49+E80+E111+E142+E184+E216+E250+E282+E316+E348+E380</f>
        <v>1742593.5384615385</v>
      </c>
      <c r="O19" s="44"/>
      <c r="P19" s="41"/>
      <c r="Q19" s="42" t="s">
        <v>233</v>
      </c>
      <c r="R19" s="26"/>
    </row>
    <row r="20" spans="1:18" ht="12.75">
      <c r="A20" s="38">
        <v>13</v>
      </c>
      <c r="B20" s="38" t="s">
        <v>122</v>
      </c>
      <c r="C20" s="39"/>
      <c r="D20" s="43">
        <v>0</v>
      </c>
      <c r="E20" s="39">
        <v>32852.09302325582</v>
      </c>
      <c r="F20" s="40"/>
      <c r="G20" s="41"/>
      <c r="H20" s="42"/>
      <c r="J20" s="38">
        <v>12</v>
      </c>
      <c r="K20" s="38" t="s">
        <v>145</v>
      </c>
      <c r="L20" s="521">
        <f t="shared" si="0"/>
        <v>31464</v>
      </c>
      <c r="M20" s="522"/>
      <c r="N20" s="39"/>
      <c r="O20" s="40">
        <v>0</v>
      </c>
      <c r="P20" s="41"/>
      <c r="Q20" s="42" t="s">
        <v>233</v>
      </c>
      <c r="R20" s="26"/>
    </row>
    <row r="21" spans="1:18" ht="12.75">
      <c r="A21" s="45"/>
      <c r="B21" s="45"/>
      <c r="C21" s="32"/>
      <c r="D21" s="33"/>
      <c r="E21" s="46"/>
      <c r="F21" s="47"/>
      <c r="G21" s="46"/>
      <c r="H21" s="47"/>
      <c r="J21" s="38">
        <v>13</v>
      </c>
      <c r="K21" s="38" t="s">
        <v>122</v>
      </c>
      <c r="L21" s="521">
        <f>C20+C51+C82+C113+C144+C186+C218+C252+C284+C318</f>
        <v>0</v>
      </c>
      <c r="M21" s="522"/>
      <c r="N21" s="65">
        <f>E20+E51+E82+E113+E144+E186+E218+E252+E284+E318+E350+E382</f>
        <v>391292.04651162797</v>
      </c>
      <c r="O21" s="44"/>
      <c r="P21" s="41"/>
      <c r="Q21" s="42"/>
      <c r="R21" s="26"/>
    </row>
    <row r="22" spans="1:18" ht="12.75">
      <c r="A22" s="23"/>
      <c r="B22" s="23"/>
      <c r="C22" s="48">
        <f>SUM(C8:C21)</f>
        <v>925856</v>
      </c>
      <c r="D22" s="48">
        <f>SUM(D8:D21)</f>
        <v>0</v>
      </c>
      <c r="E22" s="48">
        <f>SUM(E8:E21)</f>
        <v>376957.91994633275</v>
      </c>
      <c r="F22" s="23">
        <f>SUM(F8:F21)</f>
        <v>0</v>
      </c>
      <c r="G22" s="23"/>
      <c r="H22" s="23">
        <f>SUM(H8:H21)</f>
        <v>155</v>
      </c>
      <c r="J22" s="45"/>
      <c r="K22" s="45"/>
      <c r="L22" s="32"/>
      <c r="M22" s="33"/>
      <c r="N22" s="46"/>
      <c r="O22" s="47"/>
      <c r="P22" s="46"/>
      <c r="Q22" s="47"/>
      <c r="R22" s="26"/>
    </row>
    <row r="23" spans="6:18" ht="12.75">
      <c r="F23" s="26" t="s">
        <v>149</v>
      </c>
      <c r="J23" s="73"/>
      <c r="K23" s="73" t="s">
        <v>124</v>
      </c>
      <c r="L23" s="523">
        <f>SUM(L9:M22)</f>
        <v>11980962</v>
      </c>
      <c r="M23" s="524"/>
      <c r="N23" s="523">
        <f>SUM(N9:O22)</f>
        <v>3693023.6820771666</v>
      </c>
      <c r="O23" s="524"/>
      <c r="P23" s="523">
        <f>SUM(P9:Q22)</f>
        <v>1737</v>
      </c>
      <c r="Q23" s="524"/>
      <c r="R23" s="26"/>
    </row>
    <row r="24" spans="6:18" ht="12.75">
      <c r="F24" s="27"/>
      <c r="J24" s="74"/>
      <c r="K24" s="75" t="s">
        <v>92</v>
      </c>
      <c r="L24" s="74">
        <v>10337395</v>
      </c>
      <c r="M24" s="75"/>
      <c r="N24" s="74">
        <v>4801058.071337839</v>
      </c>
      <c r="O24" s="75"/>
      <c r="P24" s="76">
        <v>1835</v>
      </c>
      <c r="Q24" s="75"/>
      <c r="R24" s="26"/>
    </row>
    <row r="25" spans="6:18" ht="12.75">
      <c r="F25" s="27" t="s">
        <v>60</v>
      </c>
      <c r="J25" s="26"/>
      <c r="K25" s="26"/>
      <c r="L25" s="518"/>
      <c r="M25" s="518"/>
      <c r="P25" s="26"/>
      <c r="Q25" s="26"/>
      <c r="R25" s="26"/>
    </row>
    <row r="26" spans="6:18" ht="12.75">
      <c r="F26" s="27" t="s">
        <v>61</v>
      </c>
      <c r="J26" s="26"/>
      <c r="K26" s="26"/>
      <c r="L26" s="427">
        <f>SUM(L17:M18)</f>
        <v>10529669</v>
      </c>
      <c r="M26" s="428"/>
      <c r="N26" s="427">
        <f>SUM(N16+N18)</f>
        <v>1559138.097104</v>
      </c>
      <c r="O26" s="27" t="s">
        <v>94</v>
      </c>
      <c r="P26" s="26"/>
      <c r="Q26" s="26"/>
      <c r="R26" s="26"/>
    </row>
    <row r="27" spans="6:18" ht="12.75">
      <c r="F27" s="27"/>
      <c r="J27" s="26"/>
      <c r="K27" s="26"/>
      <c r="L27" s="26"/>
      <c r="M27" s="26"/>
      <c r="O27" s="27"/>
      <c r="P27" s="27"/>
      <c r="Q27" s="26"/>
      <c r="R27" s="26"/>
    </row>
    <row r="28" spans="6:18" ht="12.75">
      <c r="F28" s="27"/>
      <c r="J28" s="26"/>
      <c r="K28" s="26"/>
      <c r="L28" s="26"/>
      <c r="M28" s="26"/>
      <c r="O28" s="27" t="s">
        <v>60</v>
      </c>
      <c r="P28" s="27"/>
      <c r="Q28" s="26"/>
      <c r="R28" s="26"/>
    </row>
    <row r="29" spans="6:18" ht="12.75">
      <c r="F29" s="27"/>
      <c r="J29" s="26"/>
      <c r="K29" s="26"/>
      <c r="L29" s="26"/>
      <c r="M29" s="26"/>
      <c r="O29" s="27" t="s">
        <v>61</v>
      </c>
      <c r="P29" s="27"/>
      <c r="Q29" s="26"/>
      <c r="R29" s="26"/>
    </row>
    <row r="30" spans="6:18" ht="12.75">
      <c r="F30" s="49" t="s">
        <v>62</v>
      </c>
      <c r="G30" s="50"/>
      <c r="J30" s="26"/>
      <c r="K30" s="26"/>
      <c r="L30" s="26"/>
      <c r="M30" s="26"/>
      <c r="O30" s="27"/>
      <c r="P30" s="27"/>
      <c r="Q30" s="26"/>
      <c r="R30" s="26"/>
    </row>
    <row r="31" spans="6:18" ht="12.75">
      <c r="F31" s="27" t="s">
        <v>125</v>
      </c>
      <c r="J31" s="26"/>
      <c r="K31" s="26"/>
      <c r="L31" s="26"/>
      <c r="M31" s="26"/>
      <c r="O31" s="27"/>
      <c r="P31" s="49"/>
      <c r="Q31" s="50"/>
      <c r="R31" s="26"/>
    </row>
    <row r="32" spans="1:18" ht="12.75">
      <c r="A32" s="23" t="s">
        <v>226</v>
      </c>
      <c r="B32" s="23"/>
      <c r="C32" s="518"/>
      <c r="D32" s="518"/>
      <c r="E32" s="25"/>
      <c r="F32" s="23"/>
      <c r="G32" s="25"/>
      <c r="H32" s="23"/>
      <c r="J32" s="26"/>
      <c r="K32" s="26"/>
      <c r="L32" s="26"/>
      <c r="M32" s="26"/>
      <c r="O32" s="49" t="s">
        <v>62</v>
      </c>
      <c r="P32" s="27"/>
      <c r="Q32" s="26"/>
      <c r="R32" s="26"/>
    </row>
    <row r="33" spans="1:18" ht="12.75">
      <c r="A33" s="23"/>
      <c r="B33" s="23"/>
      <c r="C33" s="25"/>
      <c r="D33" s="23"/>
      <c r="E33" s="25"/>
      <c r="F33" s="23"/>
      <c r="G33" s="518"/>
      <c r="H33" s="518"/>
      <c r="J33" s="26"/>
      <c r="K33" s="26"/>
      <c r="L33" s="26"/>
      <c r="M33" s="26"/>
      <c r="O33" s="27" t="s">
        <v>125</v>
      </c>
      <c r="P33" s="49"/>
      <c r="Q33" s="50"/>
      <c r="R33" s="26"/>
    </row>
    <row r="34" spans="1:16" ht="12.75">
      <c r="A34" s="26" t="s">
        <v>234</v>
      </c>
      <c r="H34" s="27"/>
      <c r="I34" s="27"/>
      <c r="P34" s="27"/>
    </row>
    <row r="35" spans="8:19" ht="12.75">
      <c r="H35" s="27"/>
      <c r="I35" s="27"/>
      <c r="J35" s="22"/>
      <c r="K35" s="71"/>
      <c r="L35" s="24"/>
      <c r="M35" s="24"/>
      <c r="N35" s="25"/>
      <c r="O35" s="71"/>
      <c r="P35" s="25"/>
      <c r="Q35" s="71"/>
      <c r="R35" s="23"/>
      <c r="S35" s="23"/>
    </row>
    <row r="36" spans="1:19" ht="12.75">
      <c r="A36" s="51" t="s">
        <v>102</v>
      </c>
      <c r="B36" s="51" t="s">
        <v>103</v>
      </c>
      <c r="C36" s="508" t="s">
        <v>228</v>
      </c>
      <c r="D36" s="509"/>
      <c r="E36" s="508" t="s">
        <v>229</v>
      </c>
      <c r="F36" s="509"/>
      <c r="G36" s="508" t="s">
        <v>230</v>
      </c>
      <c r="H36" s="509"/>
      <c r="I36" s="27"/>
      <c r="J36" s="71"/>
      <c r="K36" s="71"/>
      <c r="L36" s="25"/>
      <c r="M36" s="71"/>
      <c r="N36" s="25"/>
      <c r="O36" s="71"/>
      <c r="P36" s="24"/>
      <c r="Q36" s="24"/>
      <c r="R36" s="23"/>
      <c r="S36" s="23"/>
    </row>
    <row r="37" spans="1:19" ht="12.75">
      <c r="A37" s="54"/>
      <c r="B37" s="54"/>
      <c r="C37" s="519" t="s">
        <v>231</v>
      </c>
      <c r="D37" s="520"/>
      <c r="E37" s="510" t="s">
        <v>231</v>
      </c>
      <c r="F37" s="511"/>
      <c r="G37" s="510" t="s">
        <v>232</v>
      </c>
      <c r="H37" s="511"/>
      <c r="I37" s="27"/>
      <c r="J37" s="71"/>
      <c r="K37" s="71"/>
      <c r="L37" s="71"/>
      <c r="M37" s="71"/>
      <c r="N37" s="71"/>
      <c r="O37" s="71"/>
      <c r="P37" s="71"/>
      <c r="Q37" s="71"/>
      <c r="R37" s="23"/>
      <c r="S37" s="23"/>
    </row>
    <row r="38" spans="1:19" ht="12.75">
      <c r="A38" s="59"/>
      <c r="B38" s="59"/>
      <c r="C38" s="60"/>
      <c r="D38" s="61"/>
      <c r="E38" s="60"/>
      <c r="F38" s="61"/>
      <c r="G38" s="62"/>
      <c r="H38" s="63"/>
      <c r="I38" s="27"/>
      <c r="J38" s="71"/>
      <c r="K38" s="71"/>
      <c r="L38" s="71"/>
      <c r="M38" s="71"/>
      <c r="N38" s="71"/>
      <c r="O38" s="71"/>
      <c r="P38" s="71"/>
      <c r="Q38" s="71"/>
      <c r="R38" s="81"/>
      <c r="S38" s="23"/>
    </row>
    <row r="39" spans="1:19" ht="12.75">
      <c r="A39" s="64">
        <v>1</v>
      </c>
      <c r="B39" s="64" t="s">
        <v>111</v>
      </c>
      <c r="C39" s="65">
        <v>4950</v>
      </c>
      <c r="D39" s="44"/>
      <c r="E39" s="41"/>
      <c r="F39" s="42" t="s">
        <v>233</v>
      </c>
      <c r="G39" s="41"/>
      <c r="H39" s="42" t="s">
        <v>233</v>
      </c>
      <c r="I39" s="77"/>
      <c r="J39" s="78"/>
      <c r="K39" s="78"/>
      <c r="L39" s="517"/>
      <c r="M39" s="517"/>
      <c r="N39" s="517"/>
      <c r="O39" s="517"/>
      <c r="P39" s="517"/>
      <c r="Q39" s="517"/>
      <c r="R39" s="81"/>
      <c r="S39" s="23"/>
    </row>
    <row r="40" spans="1:19" ht="12.75">
      <c r="A40" s="64">
        <v>2</v>
      </c>
      <c r="B40" s="64" t="s">
        <v>112</v>
      </c>
      <c r="C40" s="65"/>
      <c r="D40" s="44" t="s">
        <v>233</v>
      </c>
      <c r="E40" s="41"/>
      <c r="F40" s="42" t="s">
        <v>233</v>
      </c>
      <c r="G40" s="41"/>
      <c r="H40" s="42">
        <v>145</v>
      </c>
      <c r="I40" s="77"/>
      <c r="J40" s="78"/>
      <c r="K40" s="78"/>
      <c r="L40" s="517"/>
      <c r="M40" s="517"/>
      <c r="N40" s="517"/>
      <c r="O40" s="517"/>
      <c r="P40" s="517"/>
      <c r="Q40" s="517"/>
      <c r="R40" s="81"/>
      <c r="S40" s="23"/>
    </row>
    <row r="41" spans="1:19" ht="12.75">
      <c r="A41" s="64">
        <v>3</v>
      </c>
      <c r="B41" s="64" t="s">
        <v>113</v>
      </c>
      <c r="C41" s="39">
        <v>27800</v>
      </c>
      <c r="D41" s="43"/>
      <c r="E41" s="41"/>
      <c r="F41" s="42" t="s">
        <v>233</v>
      </c>
      <c r="G41" s="39"/>
      <c r="H41" s="44" t="s">
        <v>233</v>
      </c>
      <c r="I41" s="77"/>
      <c r="J41" s="71"/>
      <c r="K41" s="71"/>
      <c r="L41" s="78"/>
      <c r="M41" s="78"/>
      <c r="N41" s="71"/>
      <c r="O41" s="71"/>
      <c r="P41" s="71"/>
      <c r="Q41" s="71"/>
      <c r="R41" s="81"/>
      <c r="S41" s="23"/>
    </row>
    <row r="42" spans="1:19" ht="12.75">
      <c r="A42" s="64">
        <v>4</v>
      </c>
      <c r="B42" s="64" t="s">
        <v>114</v>
      </c>
      <c r="C42" s="65"/>
      <c r="D42" s="44" t="s">
        <v>233</v>
      </c>
      <c r="E42" s="41"/>
      <c r="F42" s="42" t="s">
        <v>233</v>
      </c>
      <c r="G42" s="41"/>
      <c r="H42" s="42" t="s">
        <v>233</v>
      </c>
      <c r="J42" s="71"/>
      <c r="K42" s="71"/>
      <c r="L42" s="518"/>
      <c r="M42" s="518"/>
      <c r="N42" s="518"/>
      <c r="O42" s="518"/>
      <c r="P42" s="518"/>
      <c r="Q42" s="518"/>
      <c r="R42" s="81"/>
      <c r="S42" s="23"/>
    </row>
    <row r="43" spans="1:19" ht="12.75">
      <c r="A43" s="64">
        <v>5</v>
      </c>
      <c r="B43" s="64" t="s">
        <v>115</v>
      </c>
      <c r="C43" s="39">
        <v>17030</v>
      </c>
      <c r="D43" s="43"/>
      <c r="E43" s="41"/>
      <c r="F43" s="42" t="s">
        <v>233</v>
      </c>
      <c r="G43" s="41"/>
      <c r="H43" s="42" t="s">
        <v>233</v>
      </c>
      <c r="I43" s="77"/>
      <c r="J43" s="71"/>
      <c r="K43" s="71"/>
      <c r="L43" s="518"/>
      <c r="M43" s="518"/>
      <c r="N43" s="518"/>
      <c r="O43" s="518"/>
      <c r="P43" s="518"/>
      <c r="Q43" s="518"/>
      <c r="R43" s="81"/>
      <c r="S43" s="23"/>
    </row>
    <row r="44" spans="1:19" ht="12.75">
      <c r="A44" s="64">
        <v>6</v>
      </c>
      <c r="B44" s="64" t="s">
        <v>116</v>
      </c>
      <c r="C44" s="65">
        <v>13065</v>
      </c>
      <c r="D44" s="44"/>
      <c r="E44" s="41"/>
      <c r="F44" s="42" t="s">
        <v>233</v>
      </c>
      <c r="G44" s="41"/>
      <c r="H44" s="42" t="s">
        <v>233</v>
      </c>
      <c r="I44" s="77"/>
      <c r="J44" s="71"/>
      <c r="K44" s="71"/>
      <c r="L44" s="518"/>
      <c r="M44" s="518"/>
      <c r="N44" s="518"/>
      <c r="O44" s="518"/>
      <c r="P44" s="25"/>
      <c r="Q44" s="71"/>
      <c r="R44" s="81"/>
      <c r="S44" s="23"/>
    </row>
    <row r="45" spans="1:19" ht="12.75">
      <c r="A45" s="64">
        <v>7</v>
      </c>
      <c r="B45" s="64" t="s">
        <v>117</v>
      </c>
      <c r="C45" s="65"/>
      <c r="D45" s="44" t="s">
        <v>233</v>
      </c>
      <c r="E45" s="41"/>
      <c r="F45" s="42" t="s">
        <v>233</v>
      </c>
      <c r="G45" s="41"/>
      <c r="H45" s="42" t="s">
        <v>233</v>
      </c>
      <c r="J45" s="71"/>
      <c r="K45" s="71"/>
      <c r="L45" s="518"/>
      <c r="M45" s="518"/>
      <c r="N45" s="518"/>
      <c r="O45" s="518"/>
      <c r="P45" s="25"/>
      <c r="Q45" s="71"/>
      <c r="R45" s="81"/>
      <c r="S45" s="23"/>
    </row>
    <row r="46" spans="1:19" ht="12.75">
      <c r="A46" s="64">
        <v>8</v>
      </c>
      <c r="B46" s="64" t="s">
        <v>118</v>
      </c>
      <c r="C46" s="39"/>
      <c r="D46" s="43" t="s">
        <v>233</v>
      </c>
      <c r="E46" s="41">
        <v>90000</v>
      </c>
      <c r="F46" s="42"/>
      <c r="G46" s="41"/>
      <c r="H46" s="42" t="s">
        <v>233</v>
      </c>
      <c r="I46" s="77"/>
      <c r="J46" s="71"/>
      <c r="K46" s="71"/>
      <c r="L46" s="518"/>
      <c r="M46" s="518"/>
      <c r="N46" s="518"/>
      <c r="O46" s="518"/>
      <c r="P46" s="25"/>
      <c r="Q46" s="71"/>
      <c r="R46" s="81"/>
      <c r="S46" s="23"/>
    </row>
    <row r="47" spans="1:19" ht="12.75">
      <c r="A47" s="64">
        <v>9</v>
      </c>
      <c r="B47" s="64" t="s">
        <v>119</v>
      </c>
      <c r="C47" s="39">
        <v>773000</v>
      </c>
      <c r="D47" s="43"/>
      <c r="E47" s="65"/>
      <c r="F47" s="44" t="s">
        <v>233</v>
      </c>
      <c r="G47" s="41"/>
      <c r="H47" s="42" t="s">
        <v>233</v>
      </c>
      <c r="I47" s="77"/>
      <c r="J47" s="71"/>
      <c r="K47" s="71"/>
      <c r="L47" s="518"/>
      <c r="M47" s="518"/>
      <c r="N47" s="518"/>
      <c r="O47" s="518"/>
      <c r="P47" s="25"/>
      <c r="Q47" s="71"/>
      <c r="R47" s="81"/>
      <c r="S47" s="23"/>
    </row>
    <row r="48" spans="1:19" ht="12.75">
      <c r="A48" s="64">
        <v>10</v>
      </c>
      <c r="B48" s="64" t="s">
        <v>120</v>
      </c>
      <c r="C48" s="65">
        <v>63756</v>
      </c>
      <c r="D48" s="44"/>
      <c r="E48" s="41">
        <v>88077.25</v>
      </c>
      <c r="F48" s="42"/>
      <c r="G48" s="41"/>
      <c r="H48" s="42" t="s">
        <v>233</v>
      </c>
      <c r="I48" s="77"/>
      <c r="J48" s="71"/>
      <c r="K48" s="71"/>
      <c r="L48" s="518"/>
      <c r="M48" s="518"/>
      <c r="N48" s="518"/>
      <c r="O48" s="518"/>
      <c r="P48" s="25"/>
      <c r="Q48" s="71"/>
      <c r="R48" s="81"/>
      <c r="S48" s="23"/>
    </row>
    <row r="49" spans="1:19" ht="12.75">
      <c r="A49" s="64">
        <v>11</v>
      </c>
      <c r="B49" s="64" t="s">
        <v>121</v>
      </c>
      <c r="C49" s="65">
        <v>9717</v>
      </c>
      <c r="D49" s="44"/>
      <c r="E49" s="65">
        <v>155989.46153846153</v>
      </c>
      <c r="F49" s="44"/>
      <c r="G49" s="41"/>
      <c r="H49" s="42" t="s">
        <v>233</v>
      </c>
      <c r="I49" s="77"/>
      <c r="J49" s="71"/>
      <c r="K49" s="71"/>
      <c r="L49" s="518"/>
      <c r="M49" s="518"/>
      <c r="N49" s="518"/>
      <c r="O49" s="518"/>
      <c r="P49" s="25"/>
      <c r="Q49" s="71"/>
      <c r="R49" s="81"/>
      <c r="S49" s="23"/>
    </row>
    <row r="50" spans="1:19" ht="12.75">
      <c r="A50" s="64">
        <v>12</v>
      </c>
      <c r="B50" s="64" t="s">
        <v>145</v>
      </c>
      <c r="C50" s="65">
        <v>2420</v>
      </c>
      <c r="D50" s="44"/>
      <c r="E50" s="65"/>
      <c r="F50" s="44">
        <v>0</v>
      </c>
      <c r="G50" s="41"/>
      <c r="H50" s="42" t="s">
        <v>233</v>
      </c>
      <c r="I50" s="77"/>
      <c r="J50" s="71"/>
      <c r="K50" s="71"/>
      <c r="L50" s="518"/>
      <c r="M50" s="518"/>
      <c r="N50" s="518"/>
      <c r="O50" s="518"/>
      <c r="P50" s="25"/>
      <c r="Q50" s="71"/>
      <c r="R50" s="81"/>
      <c r="S50" s="23"/>
    </row>
    <row r="51" spans="1:19" ht="12.75">
      <c r="A51" s="64">
        <v>13</v>
      </c>
      <c r="B51" s="64" t="s">
        <v>122</v>
      </c>
      <c r="C51" s="65"/>
      <c r="D51" s="44">
        <v>0</v>
      </c>
      <c r="E51" s="39">
        <v>33027.90697674418</v>
      </c>
      <c r="F51" s="40"/>
      <c r="G51" s="41"/>
      <c r="H51" s="42"/>
      <c r="I51" s="77"/>
      <c r="J51" s="71"/>
      <c r="K51" s="71"/>
      <c r="L51" s="518"/>
      <c r="M51" s="518"/>
      <c r="N51" s="518"/>
      <c r="O51" s="518"/>
      <c r="P51" s="25"/>
      <c r="Q51" s="71"/>
      <c r="R51" s="81"/>
      <c r="S51" s="23"/>
    </row>
    <row r="52" spans="1:19" ht="12.75">
      <c r="A52" s="66"/>
      <c r="B52" s="66"/>
      <c r="C52" s="67"/>
      <c r="D52" s="33"/>
      <c r="E52" s="68"/>
      <c r="F52" s="69"/>
      <c r="G52" s="70"/>
      <c r="H52" s="47"/>
      <c r="J52" s="71"/>
      <c r="K52" s="71"/>
      <c r="L52" s="518"/>
      <c r="M52" s="518"/>
      <c r="N52" s="518"/>
      <c r="O52" s="518"/>
      <c r="P52" s="25"/>
      <c r="Q52" s="71"/>
      <c r="R52" s="81"/>
      <c r="S52" s="23"/>
    </row>
    <row r="53" spans="1:19" ht="12.75">
      <c r="A53" s="23"/>
      <c r="B53" s="23"/>
      <c r="C53" s="48">
        <f>SUM(C47:C52)</f>
        <v>848893</v>
      </c>
      <c r="D53" s="48">
        <f>SUM(D39:D52)</f>
        <v>0</v>
      </c>
      <c r="E53" s="48">
        <f>SUM(E39:E52)</f>
        <v>367094.6185152057</v>
      </c>
      <c r="F53" s="23"/>
      <c r="G53" s="48">
        <f>SUM(G39:G52)</f>
        <v>0</v>
      </c>
      <c r="H53" s="23">
        <f>SUM(H39:H52)</f>
        <v>145</v>
      </c>
      <c r="I53" s="77"/>
      <c r="J53" s="71"/>
      <c r="K53" s="71"/>
      <c r="L53" s="518"/>
      <c r="M53" s="518"/>
      <c r="N53" s="518"/>
      <c r="O53" s="518"/>
      <c r="P53" s="25"/>
      <c r="Q53" s="71"/>
      <c r="R53" s="81"/>
      <c r="S53" s="23"/>
    </row>
    <row r="54" spans="6:19" ht="12.75">
      <c r="F54" s="27" t="s">
        <v>235</v>
      </c>
      <c r="J54" s="71"/>
      <c r="K54" s="71"/>
      <c r="L54" s="518"/>
      <c r="M54" s="518"/>
      <c r="N54" s="518"/>
      <c r="O54" s="518"/>
      <c r="P54" s="25"/>
      <c r="Q54" s="71"/>
      <c r="R54" s="81"/>
      <c r="S54" s="23"/>
    </row>
    <row r="55" spans="6:19" ht="12.75">
      <c r="F55" s="27"/>
      <c r="J55" s="71"/>
      <c r="K55" s="71"/>
      <c r="L55" s="78"/>
      <c r="M55" s="78"/>
      <c r="N55" s="71"/>
      <c r="O55" s="71"/>
      <c r="P55" s="71"/>
      <c r="Q55" s="71"/>
      <c r="R55" s="81"/>
      <c r="S55" s="23"/>
    </row>
    <row r="56" spans="6:19" ht="12.75">
      <c r="F56" s="27" t="s">
        <v>60</v>
      </c>
      <c r="J56" s="71"/>
      <c r="K56" s="71"/>
      <c r="L56" s="516"/>
      <c r="M56" s="517"/>
      <c r="N56" s="516"/>
      <c r="O56" s="517"/>
      <c r="P56" s="516"/>
      <c r="Q56" s="517"/>
      <c r="R56" s="81"/>
      <c r="S56" s="23"/>
    </row>
    <row r="57" spans="6:19" ht="12.75">
      <c r="F57" s="27" t="s">
        <v>61</v>
      </c>
      <c r="J57" s="71"/>
      <c r="K57" s="71"/>
      <c r="L57" s="71"/>
      <c r="M57" s="71"/>
      <c r="N57" s="71"/>
      <c r="O57" s="71"/>
      <c r="P57" s="71"/>
      <c r="Q57" s="71"/>
      <c r="R57" s="81"/>
      <c r="S57" s="23"/>
    </row>
    <row r="58" spans="6:19" ht="12.75">
      <c r="F58" s="27"/>
      <c r="J58" s="71"/>
      <c r="K58" s="71"/>
      <c r="L58" s="518"/>
      <c r="M58" s="518"/>
      <c r="N58" s="23"/>
      <c r="O58" s="71"/>
      <c r="P58" s="71"/>
      <c r="Q58" s="71"/>
      <c r="R58" s="81"/>
      <c r="S58" s="23"/>
    </row>
    <row r="59" spans="6:19" ht="12.75">
      <c r="F59" s="27"/>
      <c r="J59" s="71"/>
      <c r="K59" s="71"/>
      <c r="L59" s="71"/>
      <c r="M59" s="71"/>
      <c r="N59" s="23"/>
      <c r="O59" s="79"/>
      <c r="P59" s="71"/>
      <c r="Q59" s="71"/>
      <c r="R59" s="81"/>
      <c r="S59" s="23"/>
    </row>
    <row r="60" spans="6:19" ht="12.75">
      <c r="F60" s="49" t="s">
        <v>62</v>
      </c>
      <c r="G60" s="50"/>
      <c r="J60" s="71"/>
      <c r="K60" s="71"/>
      <c r="L60" s="71"/>
      <c r="M60" s="71"/>
      <c r="N60" s="23"/>
      <c r="O60" s="79"/>
      <c r="P60" s="79"/>
      <c r="Q60" s="71"/>
      <c r="R60" s="81"/>
      <c r="S60" s="23"/>
    </row>
    <row r="61" spans="6:19" ht="12.75">
      <c r="F61" s="27" t="s">
        <v>125</v>
      </c>
      <c r="J61" s="71"/>
      <c r="K61" s="71"/>
      <c r="L61" s="71"/>
      <c r="M61" s="71"/>
      <c r="N61" s="23"/>
      <c r="O61" s="79"/>
      <c r="P61" s="79"/>
      <c r="Q61" s="71"/>
      <c r="R61" s="81"/>
      <c r="S61" s="23"/>
    </row>
    <row r="62" spans="10:19" ht="12.75">
      <c r="J62" s="71"/>
      <c r="K62" s="71"/>
      <c r="L62" s="71"/>
      <c r="M62" s="71"/>
      <c r="N62" s="23"/>
      <c r="O62" s="79"/>
      <c r="P62" s="79"/>
      <c r="Q62" s="71"/>
      <c r="R62" s="81"/>
      <c r="S62" s="23"/>
    </row>
    <row r="63" spans="1:19" ht="12.75">
      <c r="A63" s="23" t="s">
        <v>226</v>
      </c>
      <c r="B63" s="23"/>
      <c r="C63" s="24"/>
      <c r="D63" s="24"/>
      <c r="E63" s="25"/>
      <c r="F63" s="23"/>
      <c r="G63" s="25"/>
      <c r="H63" s="23"/>
      <c r="J63" s="71"/>
      <c r="K63" s="71"/>
      <c r="L63" s="71"/>
      <c r="M63" s="71"/>
      <c r="N63" s="23"/>
      <c r="O63" s="79"/>
      <c r="P63" s="79"/>
      <c r="Q63" s="71"/>
      <c r="R63" s="81"/>
      <c r="S63" s="23"/>
    </row>
    <row r="64" spans="1:19" ht="12.75">
      <c r="A64" s="23"/>
      <c r="B64" s="23"/>
      <c r="C64" s="25"/>
      <c r="D64" s="23"/>
      <c r="E64" s="25"/>
      <c r="F64" s="23"/>
      <c r="G64" s="24"/>
      <c r="H64" s="24"/>
      <c r="J64" s="71"/>
      <c r="K64" s="71"/>
      <c r="L64" s="71"/>
      <c r="M64" s="71"/>
      <c r="N64" s="23"/>
      <c r="O64" s="79"/>
      <c r="P64" s="80"/>
      <c r="Q64" s="82"/>
      <c r="R64" s="81"/>
      <c r="S64" s="23"/>
    </row>
    <row r="65" spans="1:19" ht="12.75">
      <c r="A65" s="26" t="s">
        <v>236</v>
      </c>
      <c r="H65" s="27"/>
      <c r="I65" s="27"/>
      <c r="J65" s="71"/>
      <c r="K65" s="71"/>
      <c r="L65" s="71"/>
      <c r="M65" s="71"/>
      <c r="N65" s="23"/>
      <c r="O65" s="80"/>
      <c r="P65" s="79"/>
      <c r="Q65" s="71"/>
      <c r="R65" s="81"/>
      <c r="S65" s="23"/>
    </row>
    <row r="66" spans="8:19" ht="12.75">
      <c r="H66" s="27"/>
      <c r="I66" s="27"/>
      <c r="J66" s="71"/>
      <c r="K66" s="71"/>
      <c r="L66" s="71"/>
      <c r="M66" s="71"/>
      <c r="N66" s="23"/>
      <c r="O66" s="79"/>
      <c r="P66" s="80"/>
      <c r="Q66" s="82"/>
      <c r="R66" s="23"/>
      <c r="S66" s="23"/>
    </row>
    <row r="67" spans="1:19" ht="12.75">
      <c r="A67" s="51" t="s">
        <v>102</v>
      </c>
      <c r="B67" s="51" t="s">
        <v>103</v>
      </c>
      <c r="C67" s="52" t="s">
        <v>228</v>
      </c>
      <c r="D67" s="53"/>
      <c r="E67" s="52" t="s">
        <v>229</v>
      </c>
      <c r="F67" s="53"/>
      <c r="G67" s="52" t="s">
        <v>230</v>
      </c>
      <c r="H67" s="53"/>
      <c r="I67" s="27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9" ht="12.75">
      <c r="A68" s="54"/>
      <c r="B68" s="54"/>
      <c r="C68" s="55" t="s">
        <v>231</v>
      </c>
      <c r="D68" s="56"/>
      <c r="E68" s="57" t="s">
        <v>231</v>
      </c>
      <c r="F68" s="58"/>
      <c r="G68" s="57" t="s">
        <v>232</v>
      </c>
      <c r="H68" s="58"/>
      <c r="I68" s="27"/>
    </row>
    <row r="69" spans="1:9" ht="12.75">
      <c r="A69" s="59"/>
      <c r="B69" s="59"/>
      <c r="C69" s="52"/>
      <c r="D69" s="53"/>
      <c r="E69" s="60"/>
      <c r="F69" s="61"/>
      <c r="G69" s="62"/>
      <c r="H69" s="63"/>
      <c r="I69" s="27"/>
    </row>
    <row r="70" spans="1:9" ht="12.75">
      <c r="A70" s="64">
        <v>1</v>
      </c>
      <c r="B70" s="64" t="s">
        <v>111</v>
      </c>
      <c r="C70" s="65">
        <v>4950</v>
      </c>
      <c r="D70" s="44"/>
      <c r="E70" s="41"/>
      <c r="F70" s="42" t="s">
        <v>233</v>
      </c>
      <c r="G70" s="41"/>
      <c r="H70" s="42" t="s">
        <v>233</v>
      </c>
      <c r="I70" s="77"/>
    </row>
    <row r="71" spans="1:9" ht="12.75">
      <c r="A71" s="64">
        <v>2</v>
      </c>
      <c r="B71" s="64" t="s">
        <v>112</v>
      </c>
      <c r="C71" s="65"/>
      <c r="D71" s="44" t="s">
        <v>233</v>
      </c>
      <c r="E71" s="41"/>
      <c r="F71" s="42" t="s">
        <v>233</v>
      </c>
      <c r="G71" s="41"/>
      <c r="H71" s="42">
        <v>155</v>
      </c>
      <c r="I71" s="77"/>
    </row>
    <row r="72" spans="1:9" ht="12.75">
      <c r="A72" s="64">
        <v>3</v>
      </c>
      <c r="B72" s="64" t="s">
        <v>113</v>
      </c>
      <c r="C72" s="39">
        <v>27200</v>
      </c>
      <c r="D72" s="43"/>
      <c r="E72" s="41"/>
      <c r="F72" s="42" t="s">
        <v>233</v>
      </c>
      <c r="G72" s="39"/>
      <c r="H72" s="44" t="s">
        <v>233</v>
      </c>
      <c r="I72" s="77"/>
    </row>
    <row r="73" spans="1:8" ht="12.75">
      <c r="A73" s="64">
        <v>4</v>
      </c>
      <c r="B73" s="64" t="s">
        <v>114</v>
      </c>
      <c r="C73" s="65"/>
      <c r="D73" s="44" t="s">
        <v>233</v>
      </c>
      <c r="E73" s="41"/>
      <c r="F73" s="42" t="s">
        <v>233</v>
      </c>
      <c r="G73" s="41"/>
      <c r="H73" s="42" t="s">
        <v>233</v>
      </c>
    </row>
    <row r="74" spans="1:9" ht="12.75">
      <c r="A74" s="64">
        <v>5</v>
      </c>
      <c r="B74" s="64" t="s">
        <v>115</v>
      </c>
      <c r="C74" s="39">
        <v>15795</v>
      </c>
      <c r="D74" s="43"/>
      <c r="E74" s="41"/>
      <c r="F74" s="42" t="s">
        <v>233</v>
      </c>
      <c r="G74" s="41"/>
      <c r="H74" s="42" t="s">
        <v>233</v>
      </c>
      <c r="I74" s="77"/>
    </row>
    <row r="75" spans="1:9" ht="12.75">
      <c r="A75" s="64">
        <v>6</v>
      </c>
      <c r="B75" s="64" t="s">
        <v>116</v>
      </c>
      <c r="C75" s="65">
        <v>11960</v>
      </c>
      <c r="D75" s="44"/>
      <c r="E75" s="41"/>
      <c r="F75" s="42" t="s">
        <v>233</v>
      </c>
      <c r="G75" s="41"/>
      <c r="H75" s="42" t="s">
        <v>233</v>
      </c>
      <c r="I75" s="77"/>
    </row>
    <row r="76" spans="1:8" ht="12.75">
      <c r="A76" s="64">
        <v>7</v>
      </c>
      <c r="B76" s="64" t="s">
        <v>117</v>
      </c>
      <c r="C76" s="65"/>
      <c r="D76" s="44" t="s">
        <v>233</v>
      </c>
      <c r="E76" s="41"/>
      <c r="F76" s="42" t="s">
        <v>233</v>
      </c>
      <c r="G76" s="41"/>
      <c r="H76" s="42" t="s">
        <v>233</v>
      </c>
    </row>
    <row r="77" spans="1:9" ht="12.75">
      <c r="A77" s="64">
        <v>8</v>
      </c>
      <c r="B77" s="64" t="s">
        <v>118</v>
      </c>
      <c r="C77" s="39"/>
      <c r="D77" s="43" t="s">
        <v>233</v>
      </c>
      <c r="E77" s="41">
        <v>78000</v>
      </c>
      <c r="F77" s="42"/>
      <c r="G77" s="41"/>
      <c r="H77" s="42" t="s">
        <v>233</v>
      </c>
      <c r="I77" s="77"/>
    </row>
    <row r="78" spans="1:9" ht="12.75">
      <c r="A78" s="64">
        <v>9</v>
      </c>
      <c r="B78" s="64" t="s">
        <v>119</v>
      </c>
      <c r="C78" s="39">
        <v>836800</v>
      </c>
      <c r="D78" s="43"/>
      <c r="E78" s="65"/>
      <c r="F78" s="44" t="s">
        <v>233</v>
      </c>
      <c r="G78" s="41"/>
      <c r="H78" s="42" t="s">
        <v>233</v>
      </c>
      <c r="I78" s="77"/>
    </row>
    <row r="79" spans="1:9" ht="12.75">
      <c r="A79" s="64">
        <v>10</v>
      </c>
      <c r="B79" s="64" t="s">
        <v>120</v>
      </c>
      <c r="C79" s="65">
        <v>63899</v>
      </c>
      <c r="D79" s="44"/>
      <c r="E79" s="41">
        <v>88273.75</v>
      </c>
      <c r="F79" s="42"/>
      <c r="G79" s="41"/>
      <c r="H79" s="42" t="s">
        <v>233</v>
      </c>
      <c r="I79" s="77"/>
    </row>
    <row r="80" spans="1:9" ht="12.75">
      <c r="A80" s="64">
        <v>11</v>
      </c>
      <c r="B80" s="64" t="s">
        <v>121</v>
      </c>
      <c r="C80" s="65">
        <v>9725</v>
      </c>
      <c r="D80" s="44"/>
      <c r="E80" s="65">
        <v>156140.46153846153</v>
      </c>
      <c r="F80" s="44"/>
      <c r="G80" s="41"/>
      <c r="H80" s="42" t="s">
        <v>233</v>
      </c>
      <c r="I80" s="77"/>
    </row>
    <row r="81" spans="1:9" ht="12.75">
      <c r="A81" s="64">
        <v>12</v>
      </c>
      <c r="B81" s="64" t="s">
        <v>145</v>
      </c>
      <c r="C81" s="65">
        <v>2432</v>
      </c>
      <c r="D81" s="44"/>
      <c r="E81" s="65"/>
      <c r="F81" s="44">
        <v>0</v>
      </c>
      <c r="G81" s="41"/>
      <c r="H81" s="42" t="s">
        <v>233</v>
      </c>
      <c r="I81" s="77"/>
    </row>
    <row r="82" spans="1:9" ht="12.75">
      <c r="A82" s="64">
        <v>13</v>
      </c>
      <c r="B82" s="64" t="s">
        <v>122</v>
      </c>
      <c r="C82" s="65"/>
      <c r="D82" s="44">
        <v>0</v>
      </c>
      <c r="E82" s="39">
        <v>33990.6976744186</v>
      </c>
      <c r="F82" s="40"/>
      <c r="G82" s="41"/>
      <c r="H82" s="42"/>
      <c r="I82" s="77"/>
    </row>
    <row r="83" spans="1:8" ht="12.75">
      <c r="A83" s="66"/>
      <c r="B83" s="66"/>
      <c r="C83" s="57"/>
      <c r="D83" s="58"/>
      <c r="E83" s="83"/>
      <c r="F83" s="84"/>
      <c r="G83" s="83"/>
      <c r="H83" s="84"/>
    </row>
    <row r="84" spans="1:9" ht="12.75">
      <c r="A84" s="23"/>
      <c r="B84" s="23"/>
      <c r="C84" s="48">
        <f aca="true" t="shared" si="1" ref="C84:H84">SUM(C70:C83)</f>
        <v>972761</v>
      </c>
      <c r="D84" s="48">
        <f t="shared" si="1"/>
        <v>0</v>
      </c>
      <c r="E84" s="48">
        <f t="shared" si="1"/>
        <v>356404.9092128801</v>
      </c>
      <c r="F84" s="23"/>
      <c r="G84" s="48">
        <f t="shared" si="1"/>
        <v>0</v>
      </c>
      <c r="H84" s="23">
        <f t="shared" si="1"/>
        <v>155</v>
      </c>
      <c r="I84" s="77"/>
    </row>
    <row r="85" ht="12.75">
      <c r="F85" s="27" t="s">
        <v>237</v>
      </c>
    </row>
    <row r="86" ht="12.75">
      <c r="F86" s="27"/>
    </row>
    <row r="87" ht="12.75">
      <c r="F87" s="27" t="s">
        <v>60</v>
      </c>
    </row>
    <row r="88" ht="12.75">
      <c r="F88" s="27" t="s">
        <v>61</v>
      </c>
    </row>
    <row r="89" spans="6:14" ht="12.75">
      <c r="F89" s="27"/>
      <c r="K89" s="85" t="s">
        <v>238</v>
      </c>
      <c r="L89" s="86"/>
      <c r="M89" s="86"/>
      <c r="N89" s="86"/>
    </row>
    <row r="90" spans="6:14" ht="12.75">
      <c r="F90" s="27"/>
      <c r="K90" s="87" t="s">
        <v>118</v>
      </c>
      <c r="L90" s="86">
        <v>15</v>
      </c>
      <c r="M90" s="86"/>
      <c r="N90" s="86"/>
    </row>
    <row r="91" spans="6:14" ht="12.75">
      <c r="F91" s="49" t="s">
        <v>62</v>
      </c>
      <c r="G91" s="50"/>
      <c r="K91" s="87" t="s">
        <v>120</v>
      </c>
      <c r="L91" s="86">
        <v>24</v>
      </c>
      <c r="M91" s="86"/>
      <c r="N91" s="86"/>
    </row>
    <row r="92" spans="6:14" ht="12.75">
      <c r="F92" s="27" t="s">
        <v>125</v>
      </c>
      <c r="K92" s="87" t="s">
        <v>121</v>
      </c>
      <c r="L92" s="86">
        <v>14</v>
      </c>
      <c r="M92" s="86"/>
      <c r="N92" s="86"/>
    </row>
    <row r="93" spans="1:14" ht="12.75">
      <c r="A93" s="22"/>
      <c r="B93" s="22"/>
      <c r="C93" s="22"/>
      <c r="D93" s="22"/>
      <c r="E93" s="23"/>
      <c r="F93" s="23"/>
      <c r="G93" s="27"/>
      <c r="K93" s="87" t="s">
        <v>122</v>
      </c>
      <c r="L93" s="86">
        <v>90</v>
      </c>
      <c r="M93" s="86"/>
      <c r="N93" s="86"/>
    </row>
    <row r="94" spans="1:14" ht="12.75">
      <c r="A94" s="22" t="s">
        <v>226</v>
      </c>
      <c r="B94" s="23"/>
      <c r="C94" s="24"/>
      <c r="D94" s="24"/>
      <c r="E94" s="25"/>
      <c r="F94" s="23"/>
      <c r="G94" s="25"/>
      <c r="H94" s="23"/>
      <c r="M94" s="86"/>
      <c r="N94" s="86"/>
    </row>
    <row r="95" spans="1:14" ht="12.75">
      <c r="A95" s="23"/>
      <c r="B95" s="23"/>
      <c r="C95" s="25"/>
      <c r="D95" s="23"/>
      <c r="E95" s="25"/>
      <c r="F95" s="23"/>
      <c r="G95" s="24"/>
      <c r="H95" s="24"/>
      <c r="L95" s="86"/>
      <c r="M95" s="86"/>
      <c r="N95" s="86"/>
    </row>
    <row r="96" spans="1:14" ht="12.75">
      <c r="A96" s="26" t="s">
        <v>239</v>
      </c>
      <c r="H96" s="27"/>
      <c r="I96" s="27"/>
      <c r="K96" s="86"/>
      <c r="L96" s="86"/>
      <c r="M96" s="86"/>
      <c r="N96" s="86"/>
    </row>
    <row r="97" spans="8:14" ht="12.75">
      <c r="H97" s="27"/>
      <c r="I97" s="27"/>
      <c r="K97" s="85" t="s">
        <v>240</v>
      </c>
      <c r="L97" s="86"/>
      <c r="M97" s="86"/>
      <c r="N97" s="86"/>
    </row>
    <row r="98" spans="1:14" ht="12.75">
      <c r="A98" s="51" t="s">
        <v>102</v>
      </c>
      <c r="B98" s="51" t="s">
        <v>103</v>
      </c>
      <c r="C98" s="508" t="s">
        <v>228</v>
      </c>
      <c r="D98" s="509"/>
      <c r="E98" s="508" t="s">
        <v>229</v>
      </c>
      <c r="F98" s="509"/>
      <c r="G98" s="508" t="s">
        <v>230</v>
      </c>
      <c r="H98" s="509"/>
      <c r="I98" s="27"/>
      <c r="K98" s="88" t="s">
        <v>241</v>
      </c>
      <c r="L98" s="86">
        <v>17</v>
      </c>
      <c r="M98" s="86"/>
      <c r="N98" s="86"/>
    </row>
    <row r="99" spans="1:12" ht="12.75">
      <c r="A99" s="54"/>
      <c r="B99" s="54"/>
      <c r="C99" s="510" t="s">
        <v>231</v>
      </c>
      <c r="D99" s="511"/>
      <c r="E99" s="510" t="s">
        <v>231</v>
      </c>
      <c r="F99" s="511"/>
      <c r="G99" s="510" t="s">
        <v>232</v>
      </c>
      <c r="H99" s="511"/>
      <c r="I99" s="27"/>
      <c r="K99" s="88" t="s">
        <v>242</v>
      </c>
      <c r="L99" s="21">
        <v>20</v>
      </c>
    </row>
    <row r="100" spans="1:12" ht="12.75">
      <c r="A100" s="59"/>
      <c r="B100" s="59"/>
      <c r="C100" s="52"/>
      <c r="D100" s="53"/>
      <c r="E100" s="60"/>
      <c r="F100" s="61"/>
      <c r="G100" s="62"/>
      <c r="H100" s="63"/>
      <c r="I100" s="27"/>
      <c r="K100" s="88" t="s">
        <v>243</v>
      </c>
      <c r="L100" s="21">
        <v>13</v>
      </c>
    </row>
    <row r="101" spans="1:12" ht="12.75">
      <c r="A101" s="64">
        <v>1</v>
      </c>
      <c r="B101" s="64" t="s">
        <v>111</v>
      </c>
      <c r="C101" s="65">
        <v>4950</v>
      </c>
      <c r="D101" s="44"/>
      <c r="E101" s="41"/>
      <c r="F101" s="42" t="s">
        <v>233</v>
      </c>
      <c r="G101" s="41"/>
      <c r="H101" s="42" t="s">
        <v>233</v>
      </c>
      <c r="I101" s="77"/>
      <c r="K101" s="88" t="s">
        <v>244</v>
      </c>
      <c r="L101" s="21">
        <v>86</v>
      </c>
    </row>
    <row r="102" spans="1:9" ht="12.75">
      <c r="A102" s="64">
        <v>2</v>
      </c>
      <c r="B102" s="64" t="s">
        <v>112</v>
      </c>
      <c r="C102" s="65"/>
      <c r="D102" s="44" t="s">
        <v>233</v>
      </c>
      <c r="E102" s="41"/>
      <c r="F102" s="42" t="s">
        <v>233</v>
      </c>
      <c r="G102" s="41"/>
      <c r="H102" s="42">
        <v>150</v>
      </c>
      <c r="I102" s="77"/>
    </row>
    <row r="103" spans="1:9" ht="12.75">
      <c r="A103" s="64">
        <v>3</v>
      </c>
      <c r="B103" s="64" t="s">
        <v>113</v>
      </c>
      <c r="C103" s="39">
        <v>29200</v>
      </c>
      <c r="D103" s="43"/>
      <c r="E103" s="41"/>
      <c r="F103" s="42" t="s">
        <v>233</v>
      </c>
      <c r="G103" s="39"/>
      <c r="H103" s="44" t="s">
        <v>233</v>
      </c>
      <c r="I103" s="77"/>
    </row>
    <row r="104" spans="1:8" ht="12.75">
      <c r="A104" s="64">
        <v>4</v>
      </c>
      <c r="B104" s="64" t="s">
        <v>114</v>
      </c>
      <c r="C104" s="65"/>
      <c r="D104" s="44" t="s">
        <v>233</v>
      </c>
      <c r="E104" s="41"/>
      <c r="F104" s="42" t="s">
        <v>233</v>
      </c>
      <c r="G104" s="41"/>
      <c r="H104" s="42" t="s">
        <v>233</v>
      </c>
    </row>
    <row r="105" spans="1:9" ht="12.75">
      <c r="A105" s="64">
        <v>5</v>
      </c>
      <c r="B105" s="64" t="s">
        <v>115</v>
      </c>
      <c r="C105" s="39">
        <v>14495</v>
      </c>
      <c r="D105" s="43"/>
      <c r="E105" s="41"/>
      <c r="F105" s="42" t="s">
        <v>233</v>
      </c>
      <c r="G105" s="41"/>
      <c r="H105" s="42" t="s">
        <v>233</v>
      </c>
      <c r="I105" s="77"/>
    </row>
    <row r="106" spans="1:9" ht="12.75">
      <c r="A106" s="64">
        <v>6</v>
      </c>
      <c r="B106" s="64" t="s">
        <v>116</v>
      </c>
      <c r="C106" s="65">
        <v>12220</v>
      </c>
      <c r="D106" s="44"/>
      <c r="E106" s="41"/>
      <c r="F106" s="42" t="s">
        <v>233</v>
      </c>
      <c r="G106" s="41"/>
      <c r="H106" s="42" t="s">
        <v>233</v>
      </c>
      <c r="I106" s="77"/>
    </row>
    <row r="107" spans="1:8" ht="12.75">
      <c r="A107" s="64">
        <v>7</v>
      </c>
      <c r="B107" s="64" t="s">
        <v>117</v>
      </c>
      <c r="C107" s="65"/>
      <c r="D107" s="44" t="s">
        <v>233</v>
      </c>
      <c r="E107" s="41"/>
      <c r="F107" s="42" t="s">
        <v>233</v>
      </c>
      <c r="G107" s="41"/>
      <c r="H107" s="42" t="s">
        <v>233</v>
      </c>
    </row>
    <row r="108" spans="1:9" ht="12.75">
      <c r="A108" s="64">
        <v>8</v>
      </c>
      <c r="B108" s="64" t="s">
        <v>118</v>
      </c>
      <c r="C108" s="39"/>
      <c r="D108" s="43" t="s">
        <v>233</v>
      </c>
      <c r="E108" s="41">
        <v>60000</v>
      </c>
      <c r="F108" s="42"/>
      <c r="G108" s="41"/>
      <c r="H108" s="42" t="s">
        <v>233</v>
      </c>
      <c r="I108" s="77"/>
    </row>
    <row r="109" spans="1:9" ht="12.75">
      <c r="A109" s="64">
        <v>9</v>
      </c>
      <c r="B109" s="64" t="s">
        <v>119</v>
      </c>
      <c r="C109" s="39">
        <v>847300</v>
      </c>
      <c r="D109" s="43"/>
      <c r="E109" s="65"/>
      <c r="F109" s="44" t="s">
        <v>233</v>
      </c>
      <c r="G109" s="41"/>
      <c r="H109" s="42" t="s">
        <v>233</v>
      </c>
      <c r="I109" s="77"/>
    </row>
    <row r="110" spans="1:9" ht="12.75">
      <c r="A110" s="64">
        <v>10</v>
      </c>
      <c r="B110" s="64" t="s">
        <v>120</v>
      </c>
      <c r="C110" s="65">
        <v>63986</v>
      </c>
      <c r="D110" s="44"/>
      <c r="E110" s="41">
        <v>88395.45</v>
      </c>
      <c r="F110" s="42"/>
      <c r="G110" s="41"/>
      <c r="H110" s="42" t="s">
        <v>233</v>
      </c>
      <c r="I110" s="77"/>
    </row>
    <row r="111" spans="1:9" ht="12.75">
      <c r="A111" s="64">
        <v>11</v>
      </c>
      <c r="B111" s="64" t="s">
        <v>121</v>
      </c>
      <c r="C111" s="65">
        <v>9700</v>
      </c>
      <c r="D111" s="44"/>
      <c r="E111" s="65">
        <v>155730.76923076922</v>
      </c>
      <c r="F111" s="44"/>
      <c r="G111" s="41"/>
      <c r="H111" s="42" t="s">
        <v>233</v>
      </c>
      <c r="I111" s="77"/>
    </row>
    <row r="112" spans="1:9" ht="12.75">
      <c r="A112" s="64">
        <v>12</v>
      </c>
      <c r="B112" s="64" t="s">
        <v>145</v>
      </c>
      <c r="C112" s="65">
        <v>2445</v>
      </c>
      <c r="D112" s="44"/>
      <c r="E112" s="65"/>
      <c r="F112" s="44">
        <v>0</v>
      </c>
      <c r="G112" s="41"/>
      <c r="H112" s="42" t="s">
        <v>233</v>
      </c>
      <c r="I112" s="77"/>
    </row>
    <row r="113" spans="1:9" ht="12.75">
      <c r="A113" s="64">
        <v>13</v>
      </c>
      <c r="B113" s="64" t="s">
        <v>122</v>
      </c>
      <c r="C113" s="65"/>
      <c r="D113" s="44">
        <v>0</v>
      </c>
      <c r="E113" s="39">
        <v>33991.53488372093</v>
      </c>
      <c r="F113" s="40"/>
      <c r="G113" s="41"/>
      <c r="H113" s="42"/>
      <c r="I113" s="77"/>
    </row>
    <row r="114" spans="1:8" ht="12.75">
      <c r="A114" s="66"/>
      <c r="B114" s="66"/>
      <c r="C114" s="57"/>
      <c r="D114" s="58"/>
      <c r="E114" s="83"/>
      <c r="F114" s="84"/>
      <c r="G114" s="83"/>
      <c r="H114" s="84"/>
    </row>
    <row r="115" spans="1:9" ht="12.75">
      <c r="A115" s="23"/>
      <c r="B115" s="23"/>
      <c r="C115" s="48">
        <f aca="true" t="shared" si="2" ref="C115:H115">SUM(C101:C114)</f>
        <v>984296</v>
      </c>
      <c r="D115" s="23"/>
      <c r="E115" s="48">
        <f t="shared" si="2"/>
        <v>338117.7541144901</v>
      </c>
      <c r="F115" s="23"/>
      <c r="G115" s="48">
        <f t="shared" si="2"/>
        <v>0</v>
      </c>
      <c r="H115" s="23">
        <f t="shared" si="2"/>
        <v>150</v>
      </c>
      <c r="I115" s="77"/>
    </row>
    <row r="116" ht="12.75">
      <c r="F116" s="27" t="s">
        <v>157</v>
      </c>
    </row>
    <row r="117" ht="12.75">
      <c r="F117" s="27"/>
    </row>
    <row r="118" ht="12.75">
      <c r="F118" s="27" t="s">
        <v>60</v>
      </c>
    </row>
    <row r="119" ht="12.75">
      <c r="F119" s="27" t="s">
        <v>61</v>
      </c>
    </row>
    <row r="120" ht="12.75">
      <c r="F120" s="27"/>
    </row>
    <row r="121" ht="12.75">
      <c r="F121" s="27"/>
    </row>
    <row r="122" spans="6:7" ht="12.75">
      <c r="F122" s="49" t="s">
        <v>62</v>
      </c>
      <c r="G122" s="50"/>
    </row>
    <row r="123" ht="12.75">
      <c r="F123" s="27" t="s">
        <v>125</v>
      </c>
    </row>
    <row r="124" spans="1:7" ht="12.75">
      <c r="A124" s="22"/>
      <c r="B124" s="22"/>
      <c r="C124" s="22"/>
      <c r="D124" s="22"/>
      <c r="E124" s="23"/>
      <c r="F124" s="23"/>
      <c r="G124" s="27"/>
    </row>
    <row r="125" spans="1:8" ht="12.75">
      <c r="A125" s="22" t="s">
        <v>226</v>
      </c>
      <c r="B125" s="23"/>
      <c r="C125" s="24"/>
      <c r="D125" s="24"/>
      <c r="E125" s="25"/>
      <c r="F125" s="23"/>
      <c r="G125" s="25"/>
      <c r="H125" s="23"/>
    </row>
    <row r="126" spans="1:8" ht="12.75">
      <c r="A126" s="23"/>
      <c r="B126" s="23"/>
      <c r="C126" s="25"/>
      <c r="D126" s="23"/>
      <c r="E126" s="25"/>
      <c r="F126" s="23"/>
      <c r="G126" s="24"/>
      <c r="H126" s="24"/>
    </row>
    <row r="127" spans="1:9" ht="12.75">
      <c r="A127" s="26" t="s">
        <v>245</v>
      </c>
      <c r="H127" s="27"/>
      <c r="I127" s="27"/>
    </row>
    <row r="128" spans="8:9" ht="12.75">
      <c r="H128" s="27"/>
      <c r="I128" s="27"/>
    </row>
    <row r="129" spans="1:9" ht="12.75">
      <c r="A129" s="51" t="s">
        <v>102</v>
      </c>
      <c r="B129" s="51" t="s">
        <v>103</v>
      </c>
      <c r="C129" s="508" t="s">
        <v>228</v>
      </c>
      <c r="D129" s="509"/>
      <c r="E129" s="508" t="s">
        <v>229</v>
      </c>
      <c r="F129" s="509"/>
      <c r="G129" s="508" t="s">
        <v>230</v>
      </c>
      <c r="H129" s="509"/>
      <c r="I129" s="27"/>
    </row>
    <row r="130" spans="1:9" ht="12.75">
      <c r="A130" s="54"/>
      <c r="B130" s="54"/>
      <c r="C130" s="510" t="s">
        <v>231</v>
      </c>
      <c r="D130" s="511"/>
      <c r="E130" s="510" t="s">
        <v>231</v>
      </c>
      <c r="F130" s="511"/>
      <c r="G130" s="510" t="s">
        <v>232</v>
      </c>
      <c r="H130" s="511"/>
      <c r="I130" s="27"/>
    </row>
    <row r="131" spans="1:9" ht="12.75">
      <c r="A131" s="59"/>
      <c r="B131" s="59"/>
      <c r="C131" s="52"/>
      <c r="D131" s="53"/>
      <c r="E131" s="60"/>
      <c r="F131" s="61"/>
      <c r="G131" s="62"/>
      <c r="H131" s="63"/>
      <c r="I131" s="27"/>
    </row>
    <row r="132" spans="1:9" ht="12.75">
      <c r="A132" s="64">
        <v>1</v>
      </c>
      <c r="B132" s="64" t="s">
        <v>111</v>
      </c>
      <c r="C132" s="65">
        <v>8712</v>
      </c>
      <c r="D132" s="44"/>
      <c r="E132" s="41"/>
      <c r="F132" s="42" t="s">
        <v>233</v>
      </c>
      <c r="G132" s="41"/>
      <c r="H132" s="42" t="s">
        <v>233</v>
      </c>
      <c r="I132" s="77"/>
    </row>
    <row r="133" spans="1:9" ht="12.75">
      <c r="A133" s="64">
        <v>2</v>
      </c>
      <c r="B133" s="64" t="s">
        <v>112</v>
      </c>
      <c r="C133" s="65"/>
      <c r="D133" s="44" t="s">
        <v>233</v>
      </c>
      <c r="E133" s="41"/>
      <c r="F133" s="42" t="s">
        <v>233</v>
      </c>
      <c r="G133" s="41"/>
      <c r="H133" s="42">
        <v>155</v>
      </c>
      <c r="I133" s="77"/>
    </row>
    <row r="134" spans="1:9" ht="12.75">
      <c r="A134" s="64">
        <v>3</v>
      </c>
      <c r="B134" s="64" t="s">
        <v>113</v>
      </c>
      <c r="C134" s="39">
        <v>30800</v>
      </c>
      <c r="D134" s="43"/>
      <c r="E134" s="41"/>
      <c r="F134" s="42" t="s">
        <v>233</v>
      </c>
      <c r="G134" s="39"/>
      <c r="H134" s="44" t="s">
        <v>233</v>
      </c>
      <c r="I134" s="77"/>
    </row>
    <row r="135" spans="1:8" ht="12.75">
      <c r="A135" s="64">
        <v>4</v>
      </c>
      <c r="B135" s="64" t="s">
        <v>114</v>
      </c>
      <c r="C135" s="65"/>
      <c r="D135" s="44" t="s">
        <v>233</v>
      </c>
      <c r="E135" s="41"/>
      <c r="F135" s="42" t="s">
        <v>233</v>
      </c>
      <c r="G135" s="41"/>
      <c r="H135" s="42" t="s">
        <v>233</v>
      </c>
    </row>
    <row r="136" spans="1:9" ht="12.75">
      <c r="A136" s="64">
        <v>5</v>
      </c>
      <c r="B136" s="64" t="s">
        <v>115</v>
      </c>
      <c r="C136" s="39">
        <v>15925</v>
      </c>
      <c r="D136" s="43"/>
      <c r="E136" s="41"/>
      <c r="F136" s="42" t="s">
        <v>233</v>
      </c>
      <c r="G136" s="41"/>
      <c r="H136" s="42" t="s">
        <v>233</v>
      </c>
      <c r="I136" s="77"/>
    </row>
    <row r="137" spans="1:9" ht="12.75">
      <c r="A137" s="64">
        <v>6</v>
      </c>
      <c r="B137" s="64" t="s">
        <v>116</v>
      </c>
      <c r="C137" s="65">
        <v>13910</v>
      </c>
      <c r="D137" s="44"/>
      <c r="E137" s="41"/>
      <c r="F137" s="42" t="s">
        <v>233</v>
      </c>
      <c r="G137" s="41"/>
      <c r="H137" s="42" t="s">
        <v>233</v>
      </c>
      <c r="I137" s="77"/>
    </row>
    <row r="138" spans="1:8" ht="12.75">
      <c r="A138" s="64">
        <v>7</v>
      </c>
      <c r="B138" s="64" t="s">
        <v>117</v>
      </c>
      <c r="C138" s="65"/>
      <c r="D138" s="44" t="s">
        <v>233</v>
      </c>
      <c r="E138" s="41"/>
      <c r="F138" s="42" t="s">
        <v>233</v>
      </c>
      <c r="G138" s="41"/>
      <c r="H138" s="42" t="s">
        <v>233</v>
      </c>
    </row>
    <row r="139" spans="1:9" ht="12.75">
      <c r="A139" s="64">
        <v>8</v>
      </c>
      <c r="B139" s="64" t="s">
        <v>118</v>
      </c>
      <c r="C139" s="39"/>
      <c r="D139" s="43" t="s">
        <v>233</v>
      </c>
      <c r="E139" s="41">
        <v>48000</v>
      </c>
      <c r="F139" s="42"/>
      <c r="G139" s="41"/>
      <c r="H139" s="42" t="s">
        <v>233</v>
      </c>
      <c r="I139" s="77"/>
    </row>
    <row r="140" spans="1:9" ht="12.75">
      <c r="A140" s="64">
        <v>9</v>
      </c>
      <c r="B140" s="64" t="s">
        <v>119</v>
      </c>
      <c r="C140" s="39">
        <v>856250</v>
      </c>
      <c r="D140" s="43"/>
      <c r="E140" s="65"/>
      <c r="F140" s="44" t="s">
        <v>233</v>
      </c>
      <c r="G140" s="41"/>
      <c r="H140" s="42" t="s">
        <v>233</v>
      </c>
      <c r="I140" s="77"/>
    </row>
    <row r="141" spans="1:9" ht="12.75">
      <c r="A141" s="64">
        <v>10</v>
      </c>
      <c r="B141" s="64" t="s">
        <v>120</v>
      </c>
      <c r="C141" s="65">
        <v>64133</v>
      </c>
      <c r="D141" s="44"/>
      <c r="E141" s="41">
        <v>88597.9</v>
      </c>
      <c r="F141" s="42"/>
      <c r="G141" s="41"/>
      <c r="H141" s="42" t="s">
        <v>233</v>
      </c>
      <c r="I141" s="77"/>
    </row>
    <row r="142" spans="1:9" ht="12.75">
      <c r="A142" s="64">
        <v>11</v>
      </c>
      <c r="B142" s="64" t="s">
        <v>121</v>
      </c>
      <c r="C142" s="65">
        <v>9709</v>
      </c>
      <c r="D142" s="44"/>
      <c r="E142" s="65">
        <v>155900.07692307694</v>
      </c>
      <c r="F142" s="44"/>
      <c r="G142" s="41"/>
      <c r="H142" s="42" t="s">
        <v>233</v>
      </c>
      <c r="I142" s="77"/>
    </row>
    <row r="143" spans="1:9" ht="12.75">
      <c r="A143" s="64">
        <v>12</v>
      </c>
      <c r="B143" s="64" t="s">
        <v>145</v>
      </c>
      <c r="C143" s="65">
        <v>7270</v>
      </c>
      <c r="D143" s="44"/>
      <c r="E143" s="65"/>
      <c r="F143" s="44">
        <v>0</v>
      </c>
      <c r="G143" s="41"/>
      <c r="H143" s="42" t="s">
        <v>233</v>
      </c>
      <c r="I143" s="77"/>
    </row>
    <row r="144" spans="1:9" ht="12.75">
      <c r="A144" s="64">
        <v>13</v>
      </c>
      <c r="B144" s="64" t="s">
        <v>122</v>
      </c>
      <c r="C144" s="65"/>
      <c r="D144" s="44">
        <v>0</v>
      </c>
      <c r="E144" s="39">
        <v>33985.46511627907</v>
      </c>
      <c r="F144" s="40"/>
      <c r="G144" s="41"/>
      <c r="H144" s="42"/>
      <c r="I144" s="77"/>
    </row>
    <row r="145" spans="1:8" ht="12.75">
      <c r="A145" s="66"/>
      <c r="B145" s="66"/>
      <c r="C145" s="57"/>
      <c r="D145" s="58"/>
      <c r="E145" s="83"/>
      <c r="F145" s="84"/>
      <c r="G145" s="83"/>
      <c r="H145" s="84"/>
    </row>
    <row r="146" spans="1:9" ht="12.75">
      <c r="A146" s="23"/>
      <c r="B146" s="23"/>
      <c r="C146" s="48">
        <f>SUM(C140:C145)</f>
        <v>937362</v>
      </c>
      <c r="D146" s="48">
        <f>SUM(D132:D145)</f>
        <v>0</v>
      </c>
      <c r="E146" s="48">
        <f>SUM(E132:E145)</f>
        <v>326483.442039356</v>
      </c>
      <c r="F146" s="23"/>
      <c r="G146" s="48">
        <f>SUM(G132:G145)</f>
        <v>0</v>
      </c>
      <c r="H146" s="23">
        <f>SUM(H132:H145)</f>
        <v>155</v>
      </c>
      <c r="I146" s="77"/>
    </row>
    <row r="147" ht="12.75">
      <c r="F147" s="27" t="s">
        <v>246</v>
      </c>
    </row>
    <row r="148" spans="2:6" ht="12.75">
      <c r="B148" s="89"/>
      <c r="C148" s="89"/>
      <c r="D148" s="89"/>
      <c r="F148" s="27"/>
    </row>
    <row r="149" spans="2:6" ht="12.75">
      <c r="B149" s="89"/>
      <c r="C149" s="89"/>
      <c r="D149" s="89"/>
      <c r="F149" s="27" t="s">
        <v>60</v>
      </c>
    </row>
    <row r="150" spans="2:6" ht="12.75">
      <c r="B150" s="89"/>
      <c r="C150" s="89"/>
      <c r="D150" s="89"/>
      <c r="F150" s="27" t="s">
        <v>61</v>
      </c>
    </row>
    <row r="151" spans="2:6" ht="12.75">
      <c r="B151" s="89"/>
      <c r="C151" s="89"/>
      <c r="D151" s="89"/>
      <c r="F151" s="27"/>
    </row>
    <row r="152" spans="2:6" ht="12.75">
      <c r="B152" s="89"/>
      <c r="C152" s="89"/>
      <c r="D152" s="89"/>
      <c r="F152" s="27"/>
    </row>
    <row r="153" spans="2:7" ht="12.75">
      <c r="B153" s="89"/>
      <c r="C153" s="89"/>
      <c r="D153" s="89"/>
      <c r="F153" s="49" t="s">
        <v>62</v>
      </c>
      <c r="G153" s="50"/>
    </row>
    <row r="154" ht="12.75">
      <c r="F154" s="27" t="s">
        <v>125</v>
      </c>
    </row>
    <row r="155" spans="1:6" ht="12.75">
      <c r="A155" s="90"/>
      <c r="F155" s="27"/>
    </row>
    <row r="156" spans="1:6" ht="0.75" customHeight="1">
      <c r="A156" s="90"/>
      <c r="F156" s="27"/>
    </row>
    <row r="157" spans="1:6" ht="12.75" hidden="1">
      <c r="A157" s="90"/>
      <c r="F157" s="27"/>
    </row>
    <row r="158" spans="1:6" ht="12.75" hidden="1">
      <c r="A158" s="90"/>
      <c r="F158" s="27"/>
    </row>
    <row r="159" spans="1:6" ht="12.75" hidden="1">
      <c r="A159" s="90"/>
      <c r="F159" s="27"/>
    </row>
    <row r="160" spans="1:6" ht="12.75" hidden="1">
      <c r="A160" s="90"/>
      <c r="F160" s="27"/>
    </row>
    <row r="161" spans="1:6" ht="12.75" hidden="1">
      <c r="A161" s="90"/>
      <c r="F161" s="27"/>
    </row>
    <row r="162" spans="1:6" ht="12.75" hidden="1">
      <c r="A162" s="90"/>
      <c r="F162" s="27"/>
    </row>
    <row r="163" spans="1:6" ht="12.75" hidden="1">
      <c r="A163" s="90"/>
      <c r="F163" s="27"/>
    </row>
    <row r="164" spans="1:6" ht="12.75" hidden="1">
      <c r="A164" s="90"/>
      <c r="F164" s="27"/>
    </row>
    <row r="165" spans="1:6" ht="12.75" hidden="1">
      <c r="A165" s="90"/>
      <c r="F165" s="27"/>
    </row>
    <row r="166" spans="1:7" ht="12.75" hidden="1">
      <c r="A166" s="22"/>
      <c r="B166" s="22"/>
      <c r="C166" s="22"/>
      <c r="D166" s="22"/>
      <c r="E166" s="23"/>
      <c r="F166" s="23"/>
      <c r="G166" s="27"/>
    </row>
    <row r="167" spans="1:8" ht="12.75">
      <c r="A167" s="91" t="s">
        <v>226</v>
      </c>
      <c r="B167" s="92"/>
      <c r="C167" s="93"/>
      <c r="D167" s="93"/>
      <c r="E167" s="94"/>
      <c r="F167" s="92"/>
      <c r="G167" s="94"/>
      <c r="H167" s="92"/>
    </row>
    <row r="168" spans="1:8" ht="12.75">
      <c r="A168" s="92"/>
      <c r="B168" s="92"/>
      <c r="C168" s="94"/>
      <c r="D168" s="92"/>
      <c r="E168" s="94"/>
      <c r="F168" s="92"/>
      <c r="G168" s="93"/>
      <c r="H168" s="93"/>
    </row>
    <row r="169" spans="1:9" ht="12.75">
      <c r="A169" s="72" t="s">
        <v>247</v>
      </c>
      <c r="B169" s="95"/>
      <c r="C169" s="95"/>
      <c r="D169" s="95"/>
      <c r="E169" s="95"/>
      <c r="F169" s="95"/>
      <c r="G169" s="95"/>
      <c r="H169" s="96"/>
      <c r="I169" s="27"/>
    </row>
    <row r="170" spans="1:9" ht="12.75">
      <c r="A170" s="95"/>
      <c r="B170" s="95"/>
      <c r="C170" s="95"/>
      <c r="D170" s="95"/>
      <c r="E170" s="95"/>
      <c r="F170" s="95"/>
      <c r="G170" s="95"/>
      <c r="H170" s="96"/>
      <c r="I170" s="27"/>
    </row>
    <row r="171" spans="1:9" ht="12.75">
      <c r="A171" s="97" t="s">
        <v>102</v>
      </c>
      <c r="B171" s="97" t="s">
        <v>103</v>
      </c>
      <c r="C171" s="512" t="s">
        <v>228</v>
      </c>
      <c r="D171" s="513"/>
      <c r="E171" s="512" t="s">
        <v>229</v>
      </c>
      <c r="F171" s="513"/>
      <c r="G171" s="512" t="s">
        <v>230</v>
      </c>
      <c r="H171" s="513"/>
      <c r="I171" s="27"/>
    </row>
    <row r="172" spans="1:9" ht="12.75">
      <c r="A172" s="100"/>
      <c r="B172" s="100"/>
      <c r="C172" s="514" t="s">
        <v>231</v>
      </c>
      <c r="D172" s="515"/>
      <c r="E172" s="514" t="s">
        <v>231</v>
      </c>
      <c r="F172" s="515"/>
      <c r="G172" s="514" t="s">
        <v>232</v>
      </c>
      <c r="H172" s="515"/>
      <c r="I172" s="27"/>
    </row>
    <row r="173" spans="1:9" ht="12.75">
      <c r="A173" s="103"/>
      <c r="B173" s="103"/>
      <c r="C173" s="98"/>
      <c r="D173" s="99"/>
      <c r="E173" s="104"/>
      <c r="F173" s="105"/>
      <c r="G173" s="106"/>
      <c r="H173" s="107"/>
      <c r="I173" s="27"/>
    </row>
    <row r="174" spans="1:8" ht="12.75">
      <c r="A174" s="108">
        <v>1</v>
      </c>
      <c r="B174" s="108" t="s">
        <v>111</v>
      </c>
      <c r="C174" s="65">
        <v>6138</v>
      </c>
      <c r="D174" s="44"/>
      <c r="E174" s="41"/>
      <c r="F174" s="42" t="s">
        <v>233</v>
      </c>
      <c r="G174" s="41"/>
      <c r="H174" s="42" t="s">
        <v>233</v>
      </c>
    </row>
    <row r="175" spans="1:8" ht="12.75">
      <c r="A175" s="108">
        <v>2</v>
      </c>
      <c r="B175" s="108" t="s">
        <v>112</v>
      </c>
      <c r="C175" s="65"/>
      <c r="D175" s="44" t="s">
        <v>233</v>
      </c>
      <c r="E175" s="41"/>
      <c r="F175" s="42" t="s">
        <v>233</v>
      </c>
      <c r="G175" s="41"/>
      <c r="H175" s="42">
        <v>150</v>
      </c>
    </row>
    <row r="176" spans="1:8" ht="12.75">
      <c r="A176" s="108">
        <v>3</v>
      </c>
      <c r="B176" s="108" t="s">
        <v>113</v>
      </c>
      <c r="C176" s="39">
        <v>26600</v>
      </c>
      <c r="D176" s="43"/>
      <c r="E176" s="41"/>
      <c r="F176" s="42" t="s">
        <v>233</v>
      </c>
      <c r="G176" s="39"/>
      <c r="H176" s="44" t="s">
        <v>233</v>
      </c>
    </row>
    <row r="177" spans="1:8" ht="12.75">
      <c r="A177" s="108">
        <v>4</v>
      </c>
      <c r="B177" s="108" t="s">
        <v>114</v>
      </c>
      <c r="C177" s="65"/>
      <c r="D177" s="44" t="s">
        <v>233</v>
      </c>
      <c r="E177" s="41"/>
      <c r="F177" s="42" t="s">
        <v>233</v>
      </c>
      <c r="G177" s="41"/>
      <c r="H177" s="42" t="s">
        <v>233</v>
      </c>
    </row>
    <row r="178" spans="1:8" ht="12.75">
      <c r="A178" s="108">
        <v>5</v>
      </c>
      <c r="B178" s="108" t="s">
        <v>115</v>
      </c>
      <c r="C178" s="39">
        <v>18980</v>
      </c>
      <c r="D178" s="43"/>
      <c r="E178" s="41"/>
      <c r="F178" s="42" t="s">
        <v>233</v>
      </c>
      <c r="G178" s="41"/>
      <c r="H178" s="42" t="s">
        <v>233</v>
      </c>
    </row>
    <row r="179" spans="1:8" ht="12.75">
      <c r="A179" s="108">
        <v>6</v>
      </c>
      <c r="B179" s="108" t="s">
        <v>116</v>
      </c>
      <c r="C179" s="65">
        <v>14820</v>
      </c>
      <c r="D179" s="44"/>
      <c r="E179" s="41"/>
      <c r="F179" s="42" t="s">
        <v>233</v>
      </c>
      <c r="G179" s="41"/>
      <c r="H179" s="42" t="s">
        <v>233</v>
      </c>
    </row>
    <row r="180" spans="1:8" ht="12.75">
      <c r="A180" s="108">
        <v>7</v>
      </c>
      <c r="B180" s="108" t="s">
        <v>117</v>
      </c>
      <c r="C180" s="65"/>
      <c r="D180" s="44" t="s">
        <v>233</v>
      </c>
      <c r="E180" s="41"/>
      <c r="F180" s="42" t="s">
        <v>233</v>
      </c>
      <c r="G180" s="41"/>
      <c r="H180" s="42" t="s">
        <v>233</v>
      </c>
    </row>
    <row r="181" spans="1:8" ht="12.75">
      <c r="A181" s="108">
        <v>8</v>
      </c>
      <c r="B181" s="108" t="s">
        <v>118</v>
      </c>
      <c r="C181" s="39"/>
      <c r="D181" s="43" t="s">
        <v>233</v>
      </c>
      <c r="E181" s="41">
        <v>48000</v>
      </c>
      <c r="F181" s="42"/>
      <c r="G181" s="41"/>
      <c r="H181" s="42" t="s">
        <v>233</v>
      </c>
    </row>
    <row r="182" spans="1:8" ht="12.75">
      <c r="A182" s="108">
        <v>9</v>
      </c>
      <c r="B182" s="108" t="s">
        <v>119</v>
      </c>
      <c r="C182" s="39">
        <v>922800</v>
      </c>
      <c r="D182" s="43"/>
      <c r="E182" s="65"/>
      <c r="F182" s="44" t="s">
        <v>233</v>
      </c>
      <c r="G182" s="41"/>
      <c r="H182" s="42" t="s">
        <v>233</v>
      </c>
    </row>
    <row r="183" spans="1:8" ht="12.75">
      <c r="A183" s="108">
        <v>10</v>
      </c>
      <c r="B183" s="108" t="s">
        <v>120</v>
      </c>
      <c r="C183" s="65">
        <v>64189</v>
      </c>
      <c r="D183" s="44"/>
      <c r="E183" s="41">
        <v>88676</v>
      </c>
      <c r="F183" s="42"/>
      <c r="G183" s="41"/>
      <c r="H183" s="42" t="s">
        <v>233</v>
      </c>
    </row>
    <row r="184" spans="1:8" ht="12.75">
      <c r="A184" s="108">
        <v>11</v>
      </c>
      <c r="B184" s="108" t="s">
        <v>121</v>
      </c>
      <c r="C184" s="65">
        <v>9604</v>
      </c>
      <c r="D184" s="44"/>
      <c r="E184" s="65">
        <v>154202.61538461538</v>
      </c>
      <c r="F184" s="44"/>
      <c r="G184" s="41"/>
      <c r="H184" s="42" t="s">
        <v>233</v>
      </c>
    </row>
    <row r="185" spans="1:8" ht="12.75">
      <c r="A185" s="108">
        <v>12</v>
      </c>
      <c r="B185" s="108" t="s">
        <v>145</v>
      </c>
      <c r="C185" s="65">
        <v>2419</v>
      </c>
      <c r="D185" s="44"/>
      <c r="E185" s="65"/>
      <c r="F185" s="44">
        <v>0</v>
      </c>
      <c r="G185" s="41"/>
      <c r="H185" s="42" t="s">
        <v>233</v>
      </c>
    </row>
    <row r="186" spans="1:8" ht="12.75">
      <c r="A186" s="108">
        <v>13</v>
      </c>
      <c r="B186" s="108" t="s">
        <v>122</v>
      </c>
      <c r="C186" s="65"/>
      <c r="D186" s="109">
        <v>0</v>
      </c>
      <c r="E186" s="39">
        <v>36994.186046511626</v>
      </c>
      <c r="F186" s="40"/>
      <c r="G186" s="41"/>
      <c r="H186" s="42"/>
    </row>
    <row r="187" spans="1:8" ht="12.75">
      <c r="A187" s="110"/>
      <c r="B187" s="110"/>
      <c r="C187" s="101"/>
      <c r="D187" s="102"/>
      <c r="E187" s="106"/>
      <c r="F187" s="111"/>
      <c r="G187" s="112"/>
      <c r="H187" s="111"/>
    </row>
    <row r="188" spans="1:8" ht="12.75">
      <c r="A188" s="23"/>
      <c r="B188" s="23"/>
      <c r="C188" s="48">
        <f>SUM(C174:C185)</f>
        <v>1065550</v>
      </c>
      <c r="D188" s="113">
        <v>0</v>
      </c>
      <c r="E188" s="114">
        <f>SUM(E181:E186)</f>
        <v>327872.801431127</v>
      </c>
      <c r="F188" s="23"/>
      <c r="G188" s="23"/>
      <c r="H188" s="42">
        <f>SUM(H174:H187)</f>
        <v>150</v>
      </c>
    </row>
    <row r="189" spans="1:8" ht="12.75">
      <c r="A189" s="23"/>
      <c r="B189" s="23"/>
      <c r="C189" s="23"/>
      <c r="D189" s="23"/>
      <c r="E189" s="23"/>
      <c r="F189" s="23"/>
      <c r="G189" s="23"/>
      <c r="H189" s="23"/>
    </row>
    <row r="190" ht="12.75">
      <c r="G190" s="27" t="s">
        <v>248</v>
      </c>
    </row>
    <row r="191" ht="12.75">
      <c r="G191" s="27"/>
    </row>
    <row r="192" spans="6:7" ht="12.75">
      <c r="F192" s="115" t="s">
        <v>162</v>
      </c>
      <c r="G192" s="27" t="s">
        <v>60</v>
      </c>
    </row>
    <row r="193" spans="6:7" ht="12.75">
      <c r="F193" s="27"/>
      <c r="G193" s="27" t="s">
        <v>61</v>
      </c>
    </row>
    <row r="194" spans="6:7" ht="12.75">
      <c r="F194" s="27"/>
      <c r="G194" s="27" t="s">
        <v>163</v>
      </c>
    </row>
    <row r="195" spans="6:7" ht="12.75">
      <c r="F195" s="27"/>
      <c r="G195" s="27"/>
    </row>
    <row r="196" spans="6:7" ht="12.75">
      <c r="F196" s="27"/>
      <c r="G196" s="49"/>
    </row>
    <row r="197" spans="6:7" ht="12.75">
      <c r="F197" s="27"/>
      <c r="G197" s="27"/>
    </row>
    <row r="198" spans="6:7" ht="12.75">
      <c r="F198" s="27"/>
      <c r="G198" s="49" t="s">
        <v>164</v>
      </c>
    </row>
    <row r="199" spans="6:7" ht="12.75">
      <c r="F199" s="27"/>
      <c r="G199" s="27" t="s">
        <v>165</v>
      </c>
    </row>
    <row r="200" spans="1:8" ht="12.75">
      <c r="A200" s="23"/>
      <c r="B200" s="23"/>
      <c r="C200" s="25"/>
      <c r="D200" s="23"/>
      <c r="E200" s="25"/>
      <c r="F200" s="23"/>
      <c r="G200" s="24"/>
      <c r="H200" s="24"/>
    </row>
    <row r="201" spans="1:9" ht="12.75">
      <c r="A201" s="26" t="s">
        <v>249</v>
      </c>
      <c r="H201" s="27"/>
      <c r="I201" s="27"/>
    </row>
    <row r="202" spans="8:9" ht="12.75">
      <c r="H202" s="27"/>
      <c r="I202" s="27"/>
    </row>
    <row r="203" spans="1:9" ht="12.75">
      <c r="A203" s="51" t="s">
        <v>102</v>
      </c>
      <c r="B203" s="51" t="s">
        <v>103</v>
      </c>
      <c r="C203" s="508" t="s">
        <v>228</v>
      </c>
      <c r="D203" s="509"/>
      <c r="E203" s="508" t="s">
        <v>229</v>
      </c>
      <c r="F203" s="509"/>
      <c r="G203" s="508" t="s">
        <v>230</v>
      </c>
      <c r="H203" s="509"/>
      <c r="I203" s="27"/>
    </row>
    <row r="204" spans="1:9" ht="12.75">
      <c r="A204" s="54"/>
      <c r="B204" s="54"/>
      <c r="C204" s="510" t="s">
        <v>231</v>
      </c>
      <c r="D204" s="511"/>
      <c r="E204" s="510" t="s">
        <v>231</v>
      </c>
      <c r="F204" s="511"/>
      <c r="G204" s="510" t="s">
        <v>232</v>
      </c>
      <c r="H204" s="511"/>
      <c r="I204" s="27"/>
    </row>
    <row r="205" spans="1:9" ht="12.75">
      <c r="A205" s="59"/>
      <c r="B205" s="59"/>
      <c r="C205" s="52"/>
      <c r="D205" s="53"/>
      <c r="E205" s="60"/>
      <c r="F205" s="61"/>
      <c r="G205" s="62"/>
      <c r="H205" s="63"/>
      <c r="I205" s="27"/>
    </row>
    <row r="206" spans="1:8" ht="12.75">
      <c r="A206" s="64">
        <v>1</v>
      </c>
      <c r="B206" s="64" t="s">
        <v>111</v>
      </c>
      <c r="C206" s="116">
        <v>17226</v>
      </c>
      <c r="D206" s="117"/>
      <c r="E206" s="118"/>
      <c r="F206" s="42" t="s">
        <v>233</v>
      </c>
      <c r="G206" s="118"/>
      <c r="H206" s="42" t="s">
        <v>233</v>
      </c>
    </row>
    <row r="207" spans="1:8" ht="12.75">
      <c r="A207" s="64">
        <v>2</v>
      </c>
      <c r="B207" s="64" t="s">
        <v>112</v>
      </c>
      <c r="C207" s="116"/>
      <c r="D207" s="119" t="s">
        <v>233</v>
      </c>
      <c r="E207" s="118"/>
      <c r="F207" s="42" t="s">
        <v>233</v>
      </c>
      <c r="G207" s="118"/>
      <c r="H207" s="42">
        <v>155</v>
      </c>
    </row>
    <row r="208" spans="1:8" ht="12.75">
      <c r="A208" s="64">
        <v>3</v>
      </c>
      <c r="B208" s="64" t="s">
        <v>113</v>
      </c>
      <c r="C208" s="120">
        <v>52280</v>
      </c>
      <c r="D208" s="43"/>
      <c r="E208" s="118"/>
      <c r="F208" s="42" t="s">
        <v>233</v>
      </c>
      <c r="G208" s="120"/>
      <c r="H208" s="119" t="s">
        <v>233</v>
      </c>
    </row>
    <row r="209" spans="1:8" ht="12.75">
      <c r="A209" s="64">
        <v>4</v>
      </c>
      <c r="B209" s="64" t="s">
        <v>114</v>
      </c>
      <c r="C209" s="116"/>
      <c r="D209" s="119" t="s">
        <v>233</v>
      </c>
      <c r="E209" s="118"/>
      <c r="F209" s="42" t="s">
        <v>233</v>
      </c>
      <c r="G209" s="118"/>
      <c r="H209" s="42" t="s">
        <v>233</v>
      </c>
    </row>
    <row r="210" spans="1:8" ht="12.75">
      <c r="A210" s="64">
        <v>5</v>
      </c>
      <c r="B210" s="64" t="s">
        <v>115</v>
      </c>
      <c r="C210" s="120">
        <v>20020</v>
      </c>
      <c r="D210" s="43"/>
      <c r="E210" s="118"/>
      <c r="F210" s="42" t="s">
        <v>233</v>
      </c>
      <c r="G210" s="118"/>
      <c r="H210" s="42" t="s">
        <v>233</v>
      </c>
    </row>
    <row r="211" spans="1:8" ht="12.75">
      <c r="A211" s="64">
        <v>6</v>
      </c>
      <c r="B211" s="64" t="s">
        <v>116</v>
      </c>
      <c r="C211" s="116">
        <v>14690</v>
      </c>
      <c r="D211" s="119"/>
      <c r="E211" s="118"/>
      <c r="F211" s="42" t="s">
        <v>233</v>
      </c>
      <c r="G211" s="118"/>
      <c r="H211" s="42" t="s">
        <v>233</v>
      </c>
    </row>
    <row r="212" spans="1:8" ht="12.75">
      <c r="A212" s="64">
        <v>7</v>
      </c>
      <c r="B212" s="64" t="s">
        <v>117</v>
      </c>
      <c r="C212" s="116"/>
      <c r="D212" s="119" t="s">
        <v>233</v>
      </c>
      <c r="E212" s="118"/>
      <c r="F212" s="42" t="s">
        <v>233</v>
      </c>
      <c r="G212" s="118"/>
      <c r="H212" s="42" t="s">
        <v>233</v>
      </c>
    </row>
    <row r="213" spans="1:8" ht="12.75">
      <c r="A213" s="64">
        <v>8</v>
      </c>
      <c r="B213" s="64" t="s">
        <v>118</v>
      </c>
      <c r="C213" s="120"/>
      <c r="D213" s="43" t="s">
        <v>233</v>
      </c>
      <c r="E213" s="118">
        <v>48000</v>
      </c>
      <c r="F213" s="42"/>
      <c r="G213" s="118"/>
      <c r="H213" s="42" t="s">
        <v>233</v>
      </c>
    </row>
    <row r="214" spans="1:8" ht="12.75">
      <c r="A214" s="64">
        <v>9</v>
      </c>
      <c r="B214" s="64" t="s">
        <v>119</v>
      </c>
      <c r="C214" s="120">
        <v>833800</v>
      </c>
      <c r="D214" s="43"/>
      <c r="E214" s="116"/>
      <c r="F214" s="119" t="s">
        <v>233</v>
      </c>
      <c r="G214" s="118"/>
      <c r="H214" s="42" t="s">
        <v>233</v>
      </c>
    </row>
    <row r="215" spans="1:8" ht="12.75">
      <c r="A215" s="64">
        <v>10</v>
      </c>
      <c r="B215" s="64" t="s">
        <v>120</v>
      </c>
      <c r="C215" s="116">
        <v>64173</v>
      </c>
      <c r="D215" s="119"/>
      <c r="E215" s="118">
        <v>88653.44710399999</v>
      </c>
      <c r="F215" s="42"/>
      <c r="G215" s="118"/>
      <c r="H215" s="42" t="s">
        <v>233</v>
      </c>
    </row>
    <row r="216" spans="1:8" ht="12.75">
      <c r="A216" s="64">
        <v>11</v>
      </c>
      <c r="B216" s="64" t="s">
        <v>121</v>
      </c>
      <c r="C216" s="116">
        <v>9593</v>
      </c>
      <c r="D216" s="119"/>
      <c r="E216" s="116">
        <v>154032.53846153847</v>
      </c>
      <c r="F216" s="119"/>
      <c r="G216" s="118"/>
      <c r="H216" s="42" t="s">
        <v>233</v>
      </c>
    </row>
    <row r="217" spans="1:8" ht="12.75">
      <c r="A217" s="64">
        <v>12</v>
      </c>
      <c r="B217" s="64" t="s">
        <v>145</v>
      </c>
      <c r="C217" s="116">
        <v>2312</v>
      </c>
      <c r="D217" s="119"/>
      <c r="E217" s="116"/>
      <c r="F217" s="44">
        <v>0</v>
      </c>
      <c r="G217" s="118"/>
      <c r="H217" s="42" t="s">
        <v>233</v>
      </c>
    </row>
    <row r="218" spans="1:8" ht="12.75">
      <c r="A218" s="64">
        <v>13</v>
      </c>
      <c r="B218" s="64" t="s">
        <v>122</v>
      </c>
      <c r="C218" s="116"/>
      <c r="D218" s="44">
        <v>0</v>
      </c>
      <c r="E218" s="120">
        <v>37510.95348837209</v>
      </c>
      <c r="F218" s="121"/>
      <c r="G218" s="118"/>
      <c r="H218" s="42"/>
    </row>
    <row r="219" spans="1:8" ht="12.75">
      <c r="A219" s="66"/>
      <c r="B219" s="66"/>
      <c r="C219" s="57"/>
      <c r="D219" s="58"/>
      <c r="E219" s="83"/>
      <c r="F219" s="84"/>
      <c r="G219" s="83"/>
      <c r="H219" s="84"/>
    </row>
    <row r="220" spans="1:8" ht="12.75">
      <c r="A220" s="23"/>
      <c r="B220" s="23"/>
      <c r="C220" s="48">
        <f>SUM(C206:C217)</f>
        <v>1014094</v>
      </c>
      <c r="D220" s="48"/>
      <c r="E220" s="48">
        <f>SUM(E213:E218)</f>
        <v>328196.93905391055</v>
      </c>
      <c r="F220" s="48"/>
      <c r="G220" s="23"/>
      <c r="H220" s="23">
        <f>SUM(H206:H218)</f>
        <v>155</v>
      </c>
    </row>
    <row r="221" spans="1:8" ht="12.75">
      <c r="A221" s="23"/>
      <c r="B221" s="23"/>
      <c r="C221" s="23"/>
      <c r="D221" s="23"/>
      <c r="E221" s="23"/>
      <c r="F221" s="23"/>
      <c r="G221" s="23"/>
      <c r="H221" s="23"/>
    </row>
    <row r="222" ht="12.75">
      <c r="G222" s="27" t="s">
        <v>248</v>
      </c>
    </row>
    <row r="223" ht="12.75">
      <c r="G223" s="27"/>
    </row>
    <row r="224" spans="6:7" ht="12.75">
      <c r="F224" s="115" t="s">
        <v>162</v>
      </c>
      <c r="G224" s="27" t="s">
        <v>60</v>
      </c>
    </row>
    <row r="225" spans="6:7" ht="12.75">
      <c r="F225" s="27"/>
      <c r="G225" s="27" t="s">
        <v>61</v>
      </c>
    </row>
    <row r="226" spans="6:7" ht="12.75">
      <c r="F226" s="27"/>
      <c r="G226" s="27" t="s">
        <v>163</v>
      </c>
    </row>
    <row r="227" spans="6:7" ht="12.75">
      <c r="F227" s="27"/>
      <c r="G227" s="27"/>
    </row>
    <row r="228" spans="6:7" ht="12.75">
      <c r="F228" s="27"/>
      <c r="G228" s="49"/>
    </row>
    <row r="229" spans="6:7" ht="12.75">
      <c r="F229" s="27"/>
      <c r="G229" s="27"/>
    </row>
    <row r="230" spans="6:7" ht="12.75">
      <c r="F230" s="27"/>
      <c r="G230" s="49" t="s">
        <v>164</v>
      </c>
    </row>
    <row r="231" spans="6:7" ht="12.75">
      <c r="F231" s="27"/>
      <c r="G231" s="27" t="s">
        <v>165</v>
      </c>
    </row>
    <row r="232" spans="1:8" ht="12.75">
      <c r="A232" s="22"/>
      <c r="B232" s="22"/>
      <c r="C232" s="22"/>
      <c r="D232" s="22"/>
      <c r="E232" s="23"/>
      <c r="F232" s="23"/>
      <c r="G232" s="24"/>
      <c r="H232" s="24"/>
    </row>
    <row r="233" spans="1:8" ht="12.75">
      <c r="A233" s="22" t="s">
        <v>226</v>
      </c>
      <c r="B233" s="23"/>
      <c r="C233" s="24"/>
      <c r="D233" s="24"/>
      <c r="E233" s="25"/>
      <c r="F233" s="23"/>
      <c r="G233" s="25"/>
      <c r="H233" s="23"/>
    </row>
    <row r="234" spans="1:8" ht="12.75">
      <c r="A234" s="23"/>
      <c r="B234" s="23"/>
      <c r="C234" s="25"/>
      <c r="D234" s="23"/>
      <c r="E234" s="25"/>
      <c r="F234" s="23"/>
      <c r="G234" s="24"/>
      <c r="H234" s="24"/>
    </row>
    <row r="235" spans="1:9" ht="12.75">
      <c r="A235" s="26" t="s">
        <v>250</v>
      </c>
      <c r="H235" s="27"/>
      <c r="I235" s="27"/>
    </row>
    <row r="236" spans="8:9" ht="12.75">
      <c r="H236" s="27"/>
      <c r="I236" s="27"/>
    </row>
    <row r="237" spans="1:9" ht="12.75">
      <c r="A237" s="51" t="s">
        <v>102</v>
      </c>
      <c r="B237" s="51" t="s">
        <v>103</v>
      </c>
      <c r="C237" s="508" t="s">
        <v>228</v>
      </c>
      <c r="D237" s="509"/>
      <c r="E237" s="508" t="s">
        <v>229</v>
      </c>
      <c r="F237" s="509"/>
      <c r="G237" s="508" t="s">
        <v>230</v>
      </c>
      <c r="H237" s="509"/>
      <c r="I237" s="27"/>
    </row>
    <row r="238" spans="1:9" ht="12.75">
      <c r="A238" s="54"/>
      <c r="B238" s="54"/>
      <c r="C238" s="510" t="s">
        <v>231</v>
      </c>
      <c r="D238" s="511"/>
      <c r="E238" s="510" t="s">
        <v>231</v>
      </c>
      <c r="F238" s="511"/>
      <c r="G238" s="510" t="s">
        <v>232</v>
      </c>
      <c r="H238" s="511"/>
      <c r="I238" s="27"/>
    </row>
    <row r="239" spans="1:9" ht="12.75">
      <c r="A239" s="59"/>
      <c r="B239" s="59"/>
      <c r="C239" s="52"/>
      <c r="D239" s="53"/>
      <c r="E239" s="60"/>
      <c r="F239" s="61"/>
      <c r="G239" s="62"/>
      <c r="H239" s="63"/>
      <c r="I239" s="27"/>
    </row>
    <row r="240" spans="1:8" ht="12.75">
      <c r="A240" s="64">
        <v>1</v>
      </c>
      <c r="B240" s="64" t="s">
        <v>111</v>
      </c>
      <c r="C240" s="116">
        <v>73181</v>
      </c>
      <c r="D240" s="117"/>
      <c r="E240" s="118"/>
      <c r="F240" s="42" t="s">
        <v>233</v>
      </c>
      <c r="G240" s="118"/>
      <c r="H240" s="42" t="s">
        <v>233</v>
      </c>
    </row>
    <row r="241" spans="1:8" ht="12.75">
      <c r="A241" s="64">
        <v>2</v>
      </c>
      <c r="B241" s="64" t="s">
        <v>112</v>
      </c>
      <c r="C241" s="116"/>
      <c r="D241" s="119" t="s">
        <v>233</v>
      </c>
      <c r="E241" s="118"/>
      <c r="F241" s="42" t="s">
        <v>233</v>
      </c>
      <c r="G241" s="118"/>
      <c r="H241" s="42">
        <v>155</v>
      </c>
    </row>
    <row r="242" spans="1:8" ht="12.75">
      <c r="A242" s="64">
        <v>3</v>
      </c>
      <c r="B242" s="64" t="s">
        <v>113</v>
      </c>
      <c r="C242" s="120">
        <v>83200</v>
      </c>
      <c r="D242" s="43"/>
      <c r="E242" s="118"/>
      <c r="F242" s="42" t="s">
        <v>233</v>
      </c>
      <c r="G242" s="120"/>
      <c r="H242" s="119" t="s">
        <v>233</v>
      </c>
    </row>
    <row r="243" spans="1:8" ht="12.75">
      <c r="A243" s="64">
        <v>4</v>
      </c>
      <c r="B243" s="64" t="s">
        <v>114</v>
      </c>
      <c r="C243" s="116"/>
      <c r="D243" s="119" t="s">
        <v>233</v>
      </c>
      <c r="E243" s="118"/>
      <c r="F243" s="42" t="s">
        <v>233</v>
      </c>
      <c r="G243" s="118"/>
      <c r="H243" s="42" t="s">
        <v>233</v>
      </c>
    </row>
    <row r="244" spans="1:8" ht="12.75">
      <c r="A244" s="64">
        <v>5</v>
      </c>
      <c r="B244" s="64" t="s">
        <v>115</v>
      </c>
      <c r="C244" s="120">
        <v>130195</v>
      </c>
      <c r="D244" s="43"/>
      <c r="E244" s="118"/>
      <c r="F244" s="42" t="s">
        <v>233</v>
      </c>
      <c r="G244" s="118"/>
      <c r="H244" s="42" t="s">
        <v>233</v>
      </c>
    </row>
    <row r="245" spans="1:8" ht="12.75">
      <c r="A245" s="64">
        <v>6</v>
      </c>
      <c r="B245" s="64" t="s">
        <v>116</v>
      </c>
      <c r="C245" s="116">
        <v>107965</v>
      </c>
      <c r="D245" s="119"/>
      <c r="E245" s="118"/>
      <c r="F245" s="42" t="s">
        <v>233</v>
      </c>
      <c r="G245" s="118"/>
      <c r="H245" s="42" t="s">
        <v>233</v>
      </c>
    </row>
    <row r="246" spans="1:8" ht="12.75">
      <c r="A246" s="64">
        <v>7</v>
      </c>
      <c r="B246" s="64" t="s">
        <v>117</v>
      </c>
      <c r="C246" s="116"/>
      <c r="D246" s="119" t="s">
        <v>233</v>
      </c>
      <c r="E246" s="118"/>
      <c r="F246" s="42" t="s">
        <v>233</v>
      </c>
      <c r="G246" s="118"/>
      <c r="H246" s="42" t="s">
        <v>233</v>
      </c>
    </row>
    <row r="247" spans="1:8" ht="12.75">
      <c r="A247" s="64">
        <v>8</v>
      </c>
      <c r="B247" s="64" t="s">
        <v>118</v>
      </c>
      <c r="C247" s="120"/>
      <c r="D247" s="43" t="s">
        <v>233</v>
      </c>
      <c r="E247" s="118">
        <v>30000</v>
      </c>
      <c r="F247" s="42"/>
      <c r="G247" s="118"/>
      <c r="H247" s="42" t="s">
        <v>233</v>
      </c>
    </row>
    <row r="248" spans="1:8" ht="12.75">
      <c r="A248" s="64">
        <v>9</v>
      </c>
      <c r="B248" s="64" t="s">
        <v>119</v>
      </c>
      <c r="C248" s="120">
        <v>1031800</v>
      </c>
      <c r="D248" s="43"/>
      <c r="E248" s="116"/>
      <c r="F248" s="119" t="s">
        <v>233</v>
      </c>
      <c r="G248" s="118"/>
      <c r="H248" s="42" t="s">
        <v>233</v>
      </c>
    </row>
    <row r="249" spans="1:8" ht="12.75">
      <c r="A249" s="64">
        <v>10</v>
      </c>
      <c r="B249" s="64" t="s">
        <v>120</v>
      </c>
      <c r="C249" s="116">
        <v>64505</v>
      </c>
      <c r="D249" s="119"/>
      <c r="E249" s="118">
        <v>89110.65</v>
      </c>
      <c r="F249" s="42"/>
      <c r="G249" s="118"/>
      <c r="H249" s="42" t="s">
        <v>233</v>
      </c>
    </row>
    <row r="250" spans="1:8" ht="12.75">
      <c r="A250" s="64">
        <v>11</v>
      </c>
      <c r="B250" s="64" t="s">
        <v>121</v>
      </c>
      <c r="C250" s="116">
        <v>10010</v>
      </c>
      <c r="D250" s="119"/>
      <c r="E250" s="116">
        <v>160722.84615384616</v>
      </c>
      <c r="F250" s="119"/>
      <c r="G250" s="118"/>
      <c r="H250" s="42" t="s">
        <v>233</v>
      </c>
    </row>
    <row r="251" spans="1:8" ht="12.75">
      <c r="A251" s="64">
        <v>12</v>
      </c>
      <c r="B251" s="64" t="s">
        <v>145</v>
      </c>
      <c r="C251" s="116">
        <v>2453</v>
      </c>
      <c r="D251" s="119"/>
      <c r="E251" s="116"/>
      <c r="F251" s="119">
        <v>0</v>
      </c>
      <c r="G251" s="118"/>
      <c r="H251" s="42" t="s">
        <v>233</v>
      </c>
    </row>
    <row r="252" spans="1:8" ht="12.75">
      <c r="A252" s="64">
        <v>13</v>
      </c>
      <c r="B252" s="64" t="s">
        <v>122</v>
      </c>
      <c r="C252" s="116"/>
      <c r="D252" s="119">
        <v>0</v>
      </c>
      <c r="E252" s="120">
        <v>37412.79069767442</v>
      </c>
      <c r="F252" s="121"/>
      <c r="G252" s="118"/>
      <c r="H252" s="42"/>
    </row>
    <row r="253" spans="1:8" ht="12.75">
      <c r="A253" s="66"/>
      <c r="B253" s="66"/>
      <c r="C253" s="57"/>
      <c r="D253" s="58"/>
      <c r="E253" s="83"/>
      <c r="F253" s="84"/>
      <c r="G253" s="83"/>
      <c r="H253" s="84"/>
    </row>
    <row r="254" spans="1:8" ht="12.75">
      <c r="A254" s="23"/>
      <c r="B254" s="23"/>
      <c r="C254" s="48">
        <f aca="true" t="shared" si="3" ref="C254:H254">SUM(C240:C252)</f>
        <v>1503309</v>
      </c>
      <c r="D254" s="23"/>
      <c r="E254" s="48">
        <f t="shared" si="3"/>
        <v>317246.2868515206</v>
      </c>
      <c r="F254" s="23"/>
      <c r="G254" s="23"/>
      <c r="H254" s="23">
        <f t="shared" si="3"/>
        <v>155</v>
      </c>
    </row>
    <row r="255" spans="1:8" ht="12.75">
      <c r="A255" s="23"/>
      <c r="B255" s="23"/>
      <c r="C255" s="23"/>
      <c r="D255" s="23"/>
      <c r="E255" s="23"/>
      <c r="F255" s="23"/>
      <c r="G255" s="23"/>
      <c r="H255" s="23"/>
    </row>
    <row r="256" ht="12.75">
      <c r="G256" s="27" t="s">
        <v>251</v>
      </c>
    </row>
    <row r="257" ht="12.75">
      <c r="G257" s="27"/>
    </row>
    <row r="258" spans="6:7" ht="12.75">
      <c r="F258" s="115" t="s">
        <v>162</v>
      </c>
      <c r="G258" s="27" t="s">
        <v>60</v>
      </c>
    </row>
    <row r="259" spans="6:7" ht="12.75">
      <c r="F259" s="27"/>
      <c r="G259" s="27" t="s">
        <v>61</v>
      </c>
    </row>
    <row r="260" spans="6:7" ht="12.75">
      <c r="F260" s="27"/>
      <c r="G260" s="27" t="s">
        <v>163</v>
      </c>
    </row>
    <row r="261" spans="6:7" ht="12.75">
      <c r="F261" s="27"/>
      <c r="G261" s="27"/>
    </row>
    <row r="262" spans="6:7" ht="12.75">
      <c r="F262" s="27"/>
      <c r="G262" s="49"/>
    </row>
    <row r="263" spans="6:7" ht="12.75">
      <c r="F263" s="27"/>
      <c r="G263" s="27"/>
    </row>
    <row r="264" spans="1:7" ht="12.75">
      <c r="A264" s="22"/>
      <c r="B264" s="22"/>
      <c r="C264" s="22"/>
      <c r="D264" s="22"/>
      <c r="E264" s="71"/>
      <c r="F264" s="27"/>
      <c r="G264" s="49" t="s">
        <v>164</v>
      </c>
    </row>
    <row r="265" spans="1:7" ht="12.75">
      <c r="A265" s="22" t="s">
        <v>226</v>
      </c>
      <c r="B265" s="71"/>
      <c r="C265" s="24"/>
      <c r="D265" s="24"/>
      <c r="E265" s="25"/>
      <c r="F265" s="27"/>
      <c r="G265" s="27" t="s">
        <v>165</v>
      </c>
    </row>
    <row r="266" spans="1:8" ht="12.75">
      <c r="A266" s="71"/>
      <c r="B266" s="71"/>
      <c r="C266" s="25"/>
      <c r="D266" s="71"/>
      <c r="E266" s="25"/>
      <c r="F266" s="23"/>
      <c r="G266" s="24"/>
      <c r="H266" s="24"/>
    </row>
    <row r="267" spans="1:9" ht="12.75">
      <c r="A267" s="26" t="s">
        <v>171</v>
      </c>
      <c r="B267" s="26"/>
      <c r="C267" s="26"/>
      <c r="D267" s="26"/>
      <c r="E267" s="26"/>
      <c r="F267" s="26"/>
      <c r="G267" s="26"/>
      <c r="H267" s="26"/>
      <c r="I267" s="26"/>
    </row>
    <row r="268" spans="1:9" ht="12.75">
      <c r="A268" s="26"/>
      <c r="B268" s="26"/>
      <c r="C268" s="26"/>
      <c r="D268" s="26"/>
      <c r="E268" s="26"/>
      <c r="F268" s="26"/>
      <c r="G268" s="26"/>
      <c r="H268" s="26"/>
      <c r="I268" s="26"/>
    </row>
    <row r="269" spans="1:9" ht="12.75">
      <c r="A269" s="28" t="s">
        <v>102</v>
      </c>
      <c r="B269" s="28" t="s">
        <v>103</v>
      </c>
      <c r="C269" s="504" t="s">
        <v>228</v>
      </c>
      <c r="D269" s="505"/>
      <c r="E269" s="504" t="s">
        <v>229</v>
      </c>
      <c r="F269" s="505"/>
      <c r="G269" s="504" t="s">
        <v>230</v>
      </c>
      <c r="H269" s="505"/>
      <c r="I269" s="26"/>
    </row>
    <row r="270" spans="1:9" ht="12.75">
      <c r="A270" s="31"/>
      <c r="B270" s="31"/>
      <c r="C270" s="506" t="s">
        <v>231</v>
      </c>
      <c r="D270" s="507"/>
      <c r="E270" s="506" t="s">
        <v>231</v>
      </c>
      <c r="F270" s="507"/>
      <c r="G270" s="506" t="s">
        <v>232</v>
      </c>
      <c r="H270" s="507"/>
      <c r="I270" s="26"/>
    </row>
    <row r="271" spans="1:9" ht="12.75">
      <c r="A271" s="34"/>
      <c r="B271" s="34"/>
      <c r="C271" s="29"/>
      <c r="D271" s="30"/>
      <c r="E271" s="35"/>
      <c r="F271" s="36"/>
      <c r="G271" s="37"/>
      <c r="H271" s="36"/>
      <c r="I271" s="26"/>
    </row>
    <row r="272" spans="1:9" ht="12.75">
      <c r="A272" s="122">
        <v>1</v>
      </c>
      <c r="B272" s="122" t="s">
        <v>111</v>
      </c>
      <c r="C272" s="123">
        <v>108306</v>
      </c>
      <c r="D272" s="124"/>
      <c r="E272" s="125"/>
      <c r="F272" s="126" t="s">
        <v>233</v>
      </c>
      <c r="G272" s="125"/>
      <c r="H272" s="126" t="s">
        <v>233</v>
      </c>
      <c r="I272" s="26"/>
    </row>
    <row r="273" spans="1:9" ht="12.75">
      <c r="A273" s="122">
        <v>2</v>
      </c>
      <c r="B273" s="122" t="s">
        <v>112</v>
      </c>
      <c r="C273" s="123"/>
      <c r="D273" s="127" t="s">
        <v>233</v>
      </c>
      <c r="E273" s="125"/>
      <c r="F273" s="126" t="s">
        <v>233</v>
      </c>
      <c r="G273" s="125"/>
      <c r="H273" s="126">
        <v>150</v>
      </c>
      <c r="I273" s="26"/>
    </row>
    <row r="274" spans="1:9" ht="12.75">
      <c r="A274" s="122">
        <v>3</v>
      </c>
      <c r="B274" s="122" t="s">
        <v>113</v>
      </c>
      <c r="C274" s="128">
        <v>121400</v>
      </c>
      <c r="D274" s="129"/>
      <c r="E274" s="125"/>
      <c r="F274" s="126" t="s">
        <v>233</v>
      </c>
      <c r="G274" s="128"/>
      <c r="H274" s="127" t="s">
        <v>233</v>
      </c>
      <c r="I274" s="26"/>
    </row>
    <row r="275" spans="1:9" ht="12.75">
      <c r="A275" s="122">
        <v>4</v>
      </c>
      <c r="B275" s="122" t="s">
        <v>114</v>
      </c>
      <c r="C275" s="123"/>
      <c r="D275" s="127" t="s">
        <v>233</v>
      </c>
      <c r="E275" s="125"/>
      <c r="F275" s="126" t="s">
        <v>233</v>
      </c>
      <c r="G275" s="125"/>
      <c r="H275" s="126" t="s">
        <v>233</v>
      </c>
      <c r="I275" s="26"/>
    </row>
    <row r="276" spans="1:9" ht="12.75">
      <c r="A276" s="122">
        <v>5</v>
      </c>
      <c r="B276" s="122" t="s">
        <v>115</v>
      </c>
      <c r="C276" s="128">
        <v>86268</v>
      </c>
      <c r="D276" s="129"/>
      <c r="E276" s="125"/>
      <c r="F276" s="126" t="s">
        <v>233</v>
      </c>
      <c r="G276" s="125"/>
      <c r="H276" s="126" t="s">
        <v>233</v>
      </c>
      <c r="I276" s="26"/>
    </row>
    <row r="277" spans="1:9" ht="12.75">
      <c r="A277" s="122">
        <v>6</v>
      </c>
      <c r="B277" s="122" t="s">
        <v>116</v>
      </c>
      <c r="C277" s="123">
        <v>33956</v>
      </c>
      <c r="D277" s="127"/>
      <c r="E277" s="125"/>
      <c r="F277" s="126" t="s">
        <v>233</v>
      </c>
      <c r="G277" s="125"/>
      <c r="H277" s="126" t="s">
        <v>233</v>
      </c>
      <c r="I277" s="26"/>
    </row>
    <row r="278" spans="1:9" ht="12.75">
      <c r="A278" s="122">
        <v>7</v>
      </c>
      <c r="B278" s="122" t="s">
        <v>117</v>
      </c>
      <c r="C278" s="123"/>
      <c r="D278" s="127" t="s">
        <v>233</v>
      </c>
      <c r="E278" s="125"/>
      <c r="F278" s="126" t="s">
        <v>233</v>
      </c>
      <c r="G278" s="125"/>
      <c r="H278" s="126" t="s">
        <v>233</v>
      </c>
      <c r="I278" s="26"/>
    </row>
    <row r="279" spans="1:9" ht="12.75">
      <c r="A279" s="122">
        <v>8</v>
      </c>
      <c r="B279" s="122" t="s">
        <v>118</v>
      </c>
      <c r="C279" s="128"/>
      <c r="D279" s="43" t="s">
        <v>233</v>
      </c>
      <c r="E279" s="125">
        <v>30000</v>
      </c>
      <c r="F279" s="126"/>
      <c r="G279" s="125"/>
      <c r="H279" s="126" t="s">
        <v>233</v>
      </c>
      <c r="I279" s="26"/>
    </row>
    <row r="280" spans="1:9" ht="12.75">
      <c r="A280" s="122">
        <v>9</v>
      </c>
      <c r="B280" s="122" t="s">
        <v>119</v>
      </c>
      <c r="C280" s="128">
        <v>899100</v>
      </c>
      <c r="D280" s="129"/>
      <c r="E280" s="123"/>
      <c r="F280" s="127" t="s">
        <v>233</v>
      </c>
      <c r="G280" s="125"/>
      <c r="H280" s="126" t="s">
        <v>233</v>
      </c>
      <c r="I280" s="26"/>
    </row>
    <row r="281" spans="1:9" ht="12.75">
      <c r="A281" s="122">
        <v>10</v>
      </c>
      <c r="B281" s="122" t="s">
        <v>120</v>
      </c>
      <c r="C281" s="123">
        <v>64407</v>
      </c>
      <c r="D281" s="127"/>
      <c r="E281" s="125">
        <v>88975.65</v>
      </c>
      <c r="F281" s="126"/>
      <c r="G281" s="125"/>
      <c r="H281" s="126" t="s">
        <v>233</v>
      </c>
      <c r="I281" s="26"/>
    </row>
    <row r="282" spans="1:9" ht="12.75">
      <c r="A282" s="122">
        <v>11</v>
      </c>
      <c r="B282" s="122" t="s">
        <v>121</v>
      </c>
      <c r="C282" s="123">
        <v>9766</v>
      </c>
      <c r="D282" s="127"/>
      <c r="E282" s="123">
        <v>156798.61538461538</v>
      </c>
      <c r="F282" s="127"/>
      <c r="G282" s="125"/>
      <c r="H282" s="126" t="s">
        <v>233</v>
      </c>
      <c r="I282" s="26"/>
    </row>
    <row r="283" spans="1:9" ht="12.75">
      <c r="A283" s="122">
        <v>12</v>
      </c>
      <c r="B283" s="122" t="s">
        <v>145</v>
      </c>
      <c r="C283" s="123">
        <v>2429</v>
      </c>
      <c r="D283" s="127"/>
      <c r="E283" s="123"/>
      <c r="F283" s="127">
        <v>0</v>
      </c>
      <c r="G283" s="125"/>
      <c r="H283" s="126" t="s">
        <v>233</v>
      </c>
      <c r="I283" s="26"/>
    </row>
    <row r="284" spans="1:9" ht="12.75">
      <c r="A284" s="122">
        <v>13</v>
      </c>
      <c r="B284" s="122" t="s">
        <v>122</v>
      </c>
      <c r="C284" s="123"/>
      <c r="D284" s="127">
        <v>0</v>
      </c>
      <c r="E284" s="128">
        <v>37308.13953488372</v>
      </c>
      <c r="F284" s="130"/>
      <c r="G284" s="125"/>
      <c r="H284" s="126"/>
      <c r="I284" s="26"/>
    </row>
    <row r="285" spans="1:9" ht="12.75">
      <c r="A285" s="45"/>
      <c r="B285" s="45"/>
      <c r="C285" s="32"/>
      <c r="D285" s="33"/>
      <c r="E285" s="46"/>
      <c r="F285" s="47"/>
      <c r="G285" s="46"/>
      <c r="H285" s="47"/>
      <c r="I285" s="26"/>
    </row>
    <row r="286" spans="1:9" ht="12.75">
      <c r="A286" s="71"/>
      <c r="B286" s="71"/>
      <c r="C286" s="131">
        <f aca="true" t="shared" si="4" ref="C286:H286">SUM(C272:C284)</f>
        <v>1325632</v>
      </c>
      <c r="D286" s="71"/>
      <c r="E286" s="131">
        <f t="shared" si="4"/>
        <v>313082.4049194991</v>
      </c>
      <c r="F286" s="71"/>
      <c r="G286" s="71"/>
      <c r="H286" s="71">
        <f t="shared" si="4"/>
        <v>150</v>
      </c>
      <c r="I286" s="26"/>
    </row>
    <row r="287" spans="1:9" ht="12.75">
      <c r="A287" s="71"/>
      <c r="B287" s="71"/>
      <c r="C287" s="71"/>
      <c r="D287" s="71"/>
      <c r="E287" s="71"/>
      <c r="F287" s="71"/>
      <c r="G287" s="71"/>
      <c r="H287" s="71"/>
      <c r="I287" s="26"/>
    </row>
    <row r="288" spans="1:9" ht="12.75">
      <c r="A288" s="26"/>
      <c r="B288" s="26"/>
      <c r="C288" s="26"/>
      <c r="D288" s="26"/>
      <c r="E288" s="26"/>
      <c r="G288" s="26" t="s">
        <v>252</v>
      </c>
      <c r="H288" s="26"/>
      <c r="I288" s="26"/>
    </row>
    <row r="289" spans="1:9" ht="12.75">
      <c r="A289" s="26"/>
      <c r="B289" s="26"/>
      <c r="C289" s="26"/>
      <c r="D289" s="26"/>
      <c r="E289" s="26"/>
      <c r="H289" s="26"/>
      <c r="I289" s="26"/>
    </row>
    <row r="290" spans="1:9" ht="12.75">
      <c r="A290" s="26"/>
      <c r="B290" s="26"/>
      <c r="C290" s="26"/>
      <c r="D290" s="26"/>
      <c r="E290" s="26"/>
      <c r="F290" s="115"/>
      <c r="G290" s="27" t="s">
        <v>60</v>
      </c>
      <c r="H290" s="26"/>
      <c r="I290" s="26"/>
    </row>
    <row r="291" spans="1:9" ht="12.75">
      <c r="A291" s="26"/>
      <c r="B291" s="26"/>
      <c r="C291" s="26"/>
      <c r="D291" s="26"/>
      <c r="E291" s="26"/>
      <c r="F291" s="27"/>
      <c r="G291" s="27" t="s">
        <v>61</v>
      </c>
      <c r="H291" s="26"/>
      <c r="I291" s="26"/>
    </row>
    <row r="292" spans="1:9" ht="12.75">
      <c r="A292" s="26"/>
      <c r="B292" s="26"/>
      <c r="C292" s="26"/>
      <c r="D292" s="26"/>
      <c r="E292" s="26"/>
      <c r="F292" s="27"/>
      <c r="G292" s="27"/>
      <c r="H292" s="26"/>
      <c r="I292" s="26"/>
    </row>
    <row r="293" spans="1:9" ht="12.75">
      <c r="A293" s="26"/>
      <c r="B293" s="26"/>
      <c r="C293" s="26"/>
      <c r="D293" s="26"/>
      <c r="E293" s="26"/>
      <c r="F293" s="27"/>
      <c r="G293" s="27"/>
      <c r="H293" s="26"/>
      <c r="I293" s="26"/>
    </row>
    <row r="294" spans="1:9" ht="12.75">
      <c r="A294" s="26"/>
      <c r="B294" s="26"/>
      <c r="C294" s="26"/>
      <c r="D294" s="26"/>
      <c r="E294" s="26"/>
      <c r="F294" s="27"/>
      <c r="G294" s="49"/>
      <c r="H294" s="50"/>
      <c r="I294" s="26"/>
    </row>
    <row r="295" spans="1:9" ht="12.75">
      <c r="A295" s="26"/>
      <c r="B295" s="26"/>
      <c r="C295" s="26"/>
      <c r="D295" s="26"/>
      <c r="E295" s="26"/>
      <c r="F295" s="27"/>
      <c r="G295" s="27"/>
      <c r="H295" s="26"/>
      <c r="I295" s="26"/>
    </row>
    <row r="296" spans="1:9" ht="12.75">
      <c r="A296" s="26"/>
      <c r="B296" s="26"/>
      <c r="C296" s="26"/>
      <c r="D296" s="26"/>
      <c r="E296" s="26"/>
      <c r="F296" s="27"/>
      <c r="G296" s="49" t="s">
        <v>62</v>
      </c>
      <c r="H296" s="50"/>
      <c r="I296" s="26"/>
    </row>
    <row r="297" ht="12.75">
      <c r="G297" s="27" t="s">
        <v>125</v>
      </c>
    </row>
    <row r="299" spans="1:9" ht="12.75">
      <c r="A299" s="22" t="s">
        <v>226</v>
      </c>
      <c r="B299" s="71"/>
      <c r="C299" s="24"/>
      <c r="D299" s="24"/>
      <c r="E299" s="25"/>
      <c r="F299" s="71"/>
      <c r="G299" s="25"/>
      <c r="H299" s="71"/>
      <c r="I299" s="26"/>
    </row>
    <row r="300" spans="1:9" ht="12.75">
      <c r="A300" s="71"/>
      <c r="B300" s="71"/>
      <c r="C300" s="25"/>
      <c r="D300" s="71"/>
      <c r="E300" s="25"/>
      <c r="F300" s="71"/>
      <c r="G300" s="24"/>
      <c r="H300" s="24"/>
      <c r="I300" s="26"/>
    </row>
    <row r="301" spans="1:9" ht="12.75">
      <c r="A301" s="26" t="s">
        <v>253</v>
      </c>
      <c r="B301" s="26"/>
      <c r="C301" s="26"/>
      <c r="D301" s="26"/>
      <c r="E301" s="26"/>
      <c r="F301" s="26"/>
      <c r="G301" s="26"/>
      <c r="H301" s="26"/>
      <c r="I301" s="26"/>
    </row>
    <row r="302" spans="1:9" ht="12.75">
      <c r="A302" s="26"/>
      <c r="B302" s="26"/>
      <c r="C302" s="26"/>
      <c r="D302" s="26"/>
      <c r="E302" s="26"/>
      <c r="F302" s="26"/>
      <c r="G302" s="26"/>
      <c r="H302" s="26"/>
      <c r="I302" s="26"/>
    </row>
    <row r="303" spans="1:9" ht="12.75">
      <c r="A303" s="28" t="s">
        <v>102</v>
      </c>
      <c r="B303" s="28" t="s">
        <v>103</v>
      </c>
      <c r="C303" s="504" t="s">
        <v>228</v>
      </c>
      <c r="D303" s="505"/>
      <c r="E303" s="504" t="s">
        <v>229</v>
      </c>
      <c r="F303" s="505"/>
      <c r="G303" s="504" t="s">
        <v>230</v>
      </c>
      <c r="H303" s="505"/>
      <c r="I303" s="26"/>
    </row>
    <row r="304" spans="1:9" ht="12.75">
      <c r="A304" s="31"/>
      <c r="B304" s="31"/>
      <c r="C304" s="506" t="s">
        <v>231</v>
      </c>
      <c r="D304" s="507"/>
      <c r="E304" s="506" t="s">
        <v>231</v>
      </c>
      <c r="F304" s="507"/>
      <c r="G304" s="506" t="s">
        <v>232</v>
      </c>
      <c r="H304" s="507"/>
      <c r="I304" s="26"/>
    </row>
    <row r="305" spans="1:9" ht="12.75">
      <c r="A305" s="34"/>
      <c r="B305" s="34"/>
      <c r="C305" s="29"/>
      <c r="D305" s="30"/>
      <c r="E305" s="35"/>
      <c r="F305" s="36"/>
      <c r="G305" s="37"/>
      <c r="H305" s="36"/>
      <c r="I305" s="26"/>
    </row>
    <row r="306" spans="1:9" ht="12.75">
      <c r="A306" s="38">
        <v>1</v>
      </c>
      <c r="B306" s="38" t="s">
        <v>111</v>
      </c>
      <c r="C306" s="65">
        <v>3366</v>
      </c>
      <c r="D306" s="44"/>
      <c r="E306" s="41"/>
      <c r="F306" s="42" t="s">
        <v>233</v>
      </c>
      <c r="G306" s="41"/>
      <c r="H306" s="42" t="s">
        <v>233</v>
      </c>
      <c r="I306" s="26"/>
    </row>
    <row r="307" spans="1:9" ht="12.75">
      <c r="A307" s="38">
        <v>2</v>
      </c>
      <c r="B307" s="38" t="s">
        <v>112</v>
      </c>
      <c r="C307" s="65"/>
      <c r="D307" s="44" t="s">
        <v>233</v>
      </c>
      <c r="E307" s="41"/>
      <c r="F307" s="42" t="s">
        <v>233</v>
      </c>
      <c r="G307" s="41"/>
      <c r="H307" s="42">
        <v>155</v>
      </c>
      <c r="I307" s="26"/>
    </row>
    <row r="308" spans="1:9" ht="12.75">
      <c r="A308" s="38">
        <v>3</v>
      </c>
      <c r="B308" s="38" t="s">
        <v>113</v>
      </c>
      <c r="C308" s="39">
        <v>22400</v>
      </c>
      <c r="D308" s="43"/>
      <c r="E308" s="41"/>
      <c r="F308" s="42" t="s">
        <v>233</v>
      </c>
      <c r="G308" s="39"/>
      <c r="H308" s="44" t="s">
        <v>233</v>
      </c>
      <c r="I308" s="26"/>
    </row>
    <row r="309" spans="1:9" ht="12.75">
      <c r="A309" s="38">
        <v>4</v>
      </c>
      <c r="B309" s="38" t="s">
        <v>114</v>
      </c>
      <c r="C309" s="65"/>
      <c r="D309" s="44" t="s">
        <v>233</v>
      </c>
      <c r="E309" s="41"/>
      <c r="F309" s="42" t="s">
        <v>233</v>
      </c>
      <c r="G309" s="41"/>
      <c r="H309" s="42" t="s">
        <v>233</v>
      </c>
      <c r="I309" s="26"/>
    </row>
    <row r="310" spans="1:9" ht="12.75">
      <c r="A310" s="38">
        <v>5</v>
      </c>
      <c r="B310" s="38" t="s">
        <v>115</v>
      </c>
      <c r="C310" s="39">
        <v>13910</v>
      </c>
      <c r="D310" s="43"/>
      <c r="E310" s="41"/>
      <c r="F310" s="42" t="s">
        <v>233</v>
      </c>
      <c r="G310" s="41"/>
      <c r="H310" s="42" t="s">
        <v>233</v>
      </c>
      <c r="I310" s="26"/>
    </row>
    <row r="311" spans="1:9" ht="12.75">
      <c r="A311" s="38">
        <v>6</v>
      </c>
      <c r="B311" s="38" t="s">
        <v>116</v>
      </c>
      <c r="C311" s="65">
        <v>11310</v>
      </c>
      <c r="D311" s="44"/>
      <c r="E311" s="41"/>
      <c r="F311" s="42" t="s">
        <v>233</v>
      </c>
      <c r="G311" s="41"/>
      <c r="H311" s="42" t="s">
        <v>233</v>
      </c>
      <c r="I311" s="26"/>
    </row>
    <row r="312" spans="1:9" ht="12.75">
      <c r="A312" s="38">
        <v>7</v>
      </c>
      <c r="B312" s="38" t="s">
        <v>117</v>
      </c>
      <c r="C312" s="65"/>
      <c r="D312" s="44" t="s">
        <v>233</v>
      </c>
      <c r="E312" s="41"/>
      <c r="F312" s="42" t="s">
        <v>233</v>
      </c>
      <c r="G312" s="41"/>
      <c r="H312" s="42" t="s">
        <v>233</v>
      </c>
      <c r="I312" s="26"/>
    </row>
    <row r="313" spans="1:9" ht="12.75">
      <c r="A313" s="38">
        <v>8</v>
      </c>
      <c r="B313" s="38" t="s">
        <v>118</v>
      </c>
      <c r="C313" s="39"/>
      <c r="D313" s="43" t="s">
        <v>233</v>
      </c>
      <c r="E313" s="41">
        <v>30000</v>
      </c>
      <c r="F313" s="132"/>
      <c r="G313" s="41"/>
      <c r="H313" s="42" t="s">
        <v>233</v>
      </c>
      <c r="I313" s="26"/>
    </row>
    <row r="314" spans="1:9" ht="12.75">
      <c r="A314" s="38">
        <v>9</v>
      </c>
      <c r="B314" s="38" t="s">
        <v>119</v>
      </c>
      <c r="C314" s="39">
        <v>1037300</v>
      </c>
      <c r="D314" s="43"/>
      <c r="E314" s="65"/>
      <c r="F314" s="44" t="s">
        <v>233</v>
      </c>
      <c r="G314" s="41"/>
      <c r="H314" s="42" t="s">
        <v>233</v>
      </c>
      <c r="I314" s="26"/>
    </row>
    <row r="315" spans="1:9" ht="12.75">
      <c r="A315" s="38">
        <v>10</v>
      </c>
      <c r="B315" s="38" t="s">
        <v>120</v>
      </c>
      <c r="C315" s="65">
        <v>65324</v>
      </c>
      <c r="D315" s="44"/>
      <c r="E315" s="41">
        <v>90241.25</v>
      </c>
      <c r="F315" s="42"/>
      <c r="G315" s="41"/>
      <c r="H315" s="42" t="s">
        <v>233</v>
      </c>
      <c r="I315" s="26"/>
    </row>
    <row r="316" spans="1:9" ht="12.75">
      <c r="A316" s="38">
        <v>11</v>
      </c>
      <c r="B316" s="38" t="s">
        <v>121</v>
      </c>
      <c r="C316" s="65">
        <v>10939</v>
      </c>
      <c r="D316" s="44"/>
      <c r="E316" s="65">
        <v>175653.07692307694</v>
      </c>
      <c r="F316" s="44"/>
      <c r="G316" s="41"/>
      <c r="H316" s="42" t="s">
        <v>233</v>
      </c>
      <c r="I316" s="26"/>
    </row>
    <row r="317" spans="1:9" ht="12.75">
      <c r="A317" s="38">
        <v>12</v>
      </c>
      <c r="B317" s="38" t="s">
        <v>145</v>
      </c>
      <c r="C317" s="65">
        <v>2433</v>
      </c>
      <c r="D317" s="44"/>
      <c r="E317" s="65"/>
      <c r="F317" s="44">
        <v>0</v>
      </c>
      <c r="G317" s="41"/>
      <c r="H317" s="42" t="s">
        <v>233</v>
      </c>
      <c r="I317" s="26"/>
    </row>
    <row r="318" spans="1:9" ht="12.75">
      <c r="A318" s="38">
        <v>13</v>
      </c>
      <c r="B318" s="38" t="s">
        <v>122</v>
      </c>
      <c r="C318" s="65"/>
      <c r="D318" s="44">
        <v>0</v>
      </c>
      <c r="E318" s="39">
        <v>37266.27906976744</v>
      </c>
      <c r="F318" s="40"/>
      <c r="G318" s="41"/>
      <c r="H318" s="42"/>
      <c r="I318" s="26"/>
    </row>
    <row r="319" spans="1:9" ht="12.75">
      <c r="A319" s="45"/>
      <c r="B319" s="45"/>
      <c r="C319" s="32"/>
      <c r="D319" s="33"/>
      <c r="E319" s="46"/>
      <c r="F319" s="47"/>
      <c r="G319" s="46"/>
      <c r="H319" s="47"/>
      <c r="I319" s="26"/>
    </row>
    <row r="320" spans="1:9" ht="12.75">
      <c r="A320" s="71"/>
      <c r="B320" s="71"/>
      <c r="C320" s="131">
        <f aca="true" t="shared" si="5" ref="C320:H320">SUM(C306:C318)</f>
        <v>1166982</v>
      </c>
      <c r="D320" s="71"/>
      <c r="E320" s="131">
        <f t="shared" si="5"/>
        <v>333160.6059928444</v>
      </c>
      <c r="F320" s="71"/>
      <c r="G320" s="71"/>
      <c r="H320" s="71">
        <f t="shared" si="5"/>
        <v>155</v>
      </c>
      <c r="I320" s="26"/>
    </row>
    <row r="321" spans="1:9" ht="12.75">
      <c r="A321" s="71"/>
      <c r="B321" s="71"/>
      <c r="C321" s="71"/>
      <c r="D321" s="71"/>
      <c r="E321" s="71"/>
      <c r="F321" s="71"/>
      <c r="G321" s="26" t="s">
        <v>254</v>
      </c>
      <c r="H321" s="26"/>
      <c r="I321" s="26"/>
    </row>
    <row r="322" spans="1:9" ht="12.75">
      <c r="A322" s="26"/>
      <c r="B322" s="26"/>
      <c r="C322" s="26"/>
      <c r="D322" s="26"/>
      <c r="E322" s="26"/>
      <c r="H322" s="26"/>
      <c r="I322" s="26"/>
    </row>
    <row r="323" spans="1:9" ht="12.75">
      <c r="A323" s="26"/>
      <c r="B323" s="26"/>
      <c r="C323" s="26"/>
      <c r="D323" s="26"/>
      <c r="E323" s="26"/>
      <c r="G323" s="27" t="s">
        <v>60</v>
      </c>
      <c r="H323" s="26"/>
      <c r="I323" s="26"/>
    </row>
    <row r="324" spans="1:9" ht="12.75">
      <c r="A324" s="26"/>
      <c r="B324" s="26"/>
      <c r="C324" s="26"/>
      <c r="D324" s="26"/>
      <c r="E324" s="26"/>
      <c r="F324" s="115"/>
      <c r="G324" s="27" t="s">
        <v>61</v>
      </c>
      <c r="H324" s="26"/>
      <c r="I324" s="26"/>
    </row>
    <row r="325" spans="1:9" ht="12.75">
      <c r="A325" s="26"/>
      <c r="B325" s="26"/>
      <c r="C325" s="26"/>
      <c r="D325" s="26"/>
      <c r="E325" s="26"/>
      <c r="F325" s="27"/>
      <c r="G325" s="27"/>
      <c r="H325" s="26"/>
      <c r="I325" s="26"/>
    </row>
    <row r="326" spans="1:9" ht="12.75">
      <c r="A326" s="26"/>
      <c r="B326" s="26"/>
      <c r="C326" s="26"/>
      <c r="D326" s="26"/>
      <c r="E326" s="26"/>
      <c r="F326" s="27"/>
      <c r="G326" s="27"/>
      <c r="H326" s="26"/>
      <c r="I326" s="26"/>
    </row>
    <row r="327" spans="1:9" ht="12.75">
      <c r="A327" s="26"/>
      <c r="B327" s="26"/>
      <c r="C327" s="26"/>
      <c r="D327" s="26"/>
      <c r="E327" s="26"/>
      <c r="F327" s="27"/>
      <c r="G327" s="49"/>
      <c r="H327" s="50"/>
      <c r="I327" s="26"/>
    </row>
    <row r="328" spans="1:9" ht="12.75">
      <c r="A328" s="26"/>
      <c r="B328" s="26"/>
      <c r="C328" s="26"/>
      <c r="D328" s="26"/>
      <c r="E328" s="26"/>
      <c r="F328" s="27"/>
      <c r="G328" s="27"/>
      <c r="H328" s="26"/>
      <c r="I328" s="26"/>
    </row>
    <row r="329" spans="1:9" ht="12.75">
      <c r="A329" s="26"/>
      <c r="B329" s="26"/>
      <c r="C329" s="26"/>
      <c r="D329" s="26"/>
      <c r="E329" s="26"/>
      <c r="F329" s="27"/>
      <c r="G329" s="49" t="s">
        <v>62</v>
      </c>
      <c r="H329" s="50"/>
      <c r="I329" s="26"/>
    </row>
    <row r="330" spans="1:7" ht="12.75">
      <c r="A330" s="26"/>
      <c r="B330" s="26"/>
      <c r="C330" s="26"/>
      <c r="D330" s="26"/>
      <c r="E330" s="26"/>
      <c r="F330" s="27"/>
      <c r="G330" s="27" t="s">
        <v>125</v>
      </c>
    </row>
    <row r="331" spans="1:8" ht="12.75">
      <c r="A331" s="22" t="s">
        <v>226</v>
      </c>
      <c r="B331" s="71"/>
      <c r="C331" s="133"/>
      <c r="D331" s="133"/>
      <c r="E331" s="25"/>
      <c r="F331" s="71"/>
      <c r="G331" s="25"/>
      <c r="H331" s="71"/>
    </row>
    <row r="332" spans="1:6" ht="12.75">
      <c r="A332" s="71"/>
      <c r="B332" s="71"/>
      <c r="C332" s="134"/>
      <c r="D332" s="135"/>
      <c r="E332" s="25"/>
      <c r="F332" s="71"/>
    </row>
    <row r="333" spans="1:8" ht="12.75">
      <c r="A333" s="26" t="s">
        <v>175</v>
      </c>
      <c r="B333" s="26"/>
      <c r="C333" s="136"/>
      <c r="D333" s="136"/>
      <c r="E333" s="26"/>
      <c r="F333" s="26"/>
      <c r="G333" s="26"/>
      <c r="H333" s="26"/>
    </row>
    <row r="334" spans="1:8" ht="12.75">
      <c r="A334" s="26"/>
      <c r="B334" s="26"/>
      <c r="C334" s="26"/>
      <c r="D334" s="26"/>
      <c r="E334" s="26"/>
      <c r="F334" s="26"/>
      <c r="G334" s="26"/>
      <c r="H334" s="26"/>
    </row>
    <row r="335" spans="1:8" ht="12.75">
      <c r="A335" s="28" t="s">
        <v>102</v>
      </c>
      <c r="B335" s="28" t="s">
        <v>103</v>
      </c>
      <c r="C335" s="504" t="s">
        <v>228</v>
      </c>
      <c r="D335" s="505"/>
      <c r="E335" s="504" t="s">
        <v>229</v>
      </c>
      <c r="F335" s="505"/>
      <c r="G335" s="504" t="s">
        <v>230</v>
      </c>
      <c r="H335" s="505"/>
    </row>
    <row r="336" spans="1:8" ht="12.75">
      <c r="A336" s="31"/>
      <c r="B336" s="31"/>
      <c r="C336" s="506" t="s">
        <v>231</v>
      </c>
      <c r="D336" s="507"/>
      <c r="E336" s="506" t="s">
        <v>231</v>
      </c>
      <c r="F336" s="507"/>
      <c r="G336" s="506" t="s">
        <v>232</v>
      </c>
      <c r="H336" s="507"/>
    </row>
    <row r="337" spans="1:8" ht="12.75">
      <c r="A337" s="34"/>
      <c r="B337" s="34"/>
      <c r="C337" s="29"/>
      <c r="D337" s="30"/>
      <c r="E337" s="35"/>
      <c r="F337" s="36"/>
      <c r="G337" s="37"/>
      <c r="H337" s="36"/>
    </row>
    <row r="338" spans="1:8" ht="12.75">
      <c r="A338" s="38">
        <v>1</v>
      </c>
      <c r="B338" s="38" t="s">
        <v>111</v>
      </c>
      <c r="C338" s="65">
        <v>2574</v>
      </c>
      <c r="D338" s="44"/>
      <c r="E338" s="41"/>
      <c r="F338" s="42" t="s">
        <v>233</v>
      </c>
      <c r="G338" s="41"/>
      <c r="H338" s="42" t="s">
        <v>233</v>
      </c>
    </row>
    <row r="339" spans="1:8" ht="12.75">
      <c r="A339" s="38">
        <v>2</v>
      </c>
      <c r="B339" s="38" t="s">
        <v>112</v>
      </c>
      <c r="C339" s="65"/>
      <c r="D339" s="44" t="s">
        <v>233</v>
      </c>
      <c r="E339" s="41"/>
      <c r="F339" s="42" t="s">
        <v>233</v>
      </c>
      <c r="G339" s="41"/>
      <c r="H339" s="42">
        <v>150</v>
      </c>
    </row>
    <row r="340" spans="1:8" ht="12.75">
      <c r="A340" s="38">
        <v>3</v>
      </c>
      <c r="B340" s="38" t="s">
        <v>113</v>
      </c>
      <c r="C340" s="39">
        <v>16400</v>
      </c>
      <c r="D340" s="40"/>
      <c r="E340" s="41"/>
      <c r="F340" s="42" t="s">
        <v>233</v>
      </c>
      <c r="G340" s="39"/>
      <c r="H340" s="42" t="s">
        <v>233</v>
      </c>
    </row>
    <row r="341" spans="1:8" ht="12.75">
      <c r="A341" s="38">
        <v>4</v>
      </c>
      <c r="B341" s="38" t="s">
        <v>114</v>
      </c>
      <c r="C341" s="65"/>
      <c r="D341" s="44" t="s">
        <v>233</v>
      </c>
      <c r="E341" s="41"/>
      <c r="F341" s="42" t="s">
        <v>233</v>
      </c>
      <c r="G341" s="41"/>
      <c r="H341" s="42" t="s">
        <v>233</v>
      </c>
    </row>
    <row r="342" spans="1:8" ht="12.75">
      <c r="A342" s="38">
        <v>5</v>
      </c>
      <c r="B342" s="38" t="s">
        <v>115</v>
      </c>
      <c r="C342" s="39">
        <v>9035</v>
      </c>
      <c r="D342" s="40"/>
      <c r="E342" s="41"/>
      <c r="F342" s="42" t="s">
        <v>233</v>
      </c>
      <c r="G342" s="41"/>
      <c r="H342" s="42" t="s">
        <v>233</v>
      </c>
    </row>
    <row r="343" spans="1:8" ht="12.75">
      <c r="A343" s="38">
        <v>6</v>
      </c>
      <c r="B343" s="38" t="s">
        <v>116</v>
      </c>
      <c r="C343" s="65">
        <v>8580</v>
      </c>
      <c r="D343" s="44"/>
      <c r="E343" s="41"/>
      <c r="F343" s="42" t="s">
        <v>233</v>
      </c>
      <c r="G343" s="41"/>
      <c r="H343" s="42" t="s">
        <v>233</v>
      </c>
    </row>
    <row r="344" spans="1:8" ht="12.75">
      <c r="A344" s="38">
        <v>7</v>
      </c>
      <c r="B344" s="38" t="s">
        <v>117</v>
      </c>
      <c r="C344" s="65"/>
      <c r="D344" s="44" t="s">
        <v>233</v>
      </c>
      <c r="E344" s="41"/>
      <c r="F344" s="42" t="s">
        <v>233</v>
      </c>
      <c r="G344" s="41"/>
      <c r="H344" s="42" t="s">
        <v>233</v>
      </c>
    </row>
    <row r="345" spans="1:8" ht="12.75">
      <c r="A345" s="38">
        <v>8</v>
      </c>
      <c r="B345" s="38" t="s">
        <v>118</v>
      </c>
      <c r="C345" s="39"/>
      <c r="D345" s="43" t="s">
        <v>233</v>
      </c>
      <c r="E345" s="41">
        <v>24000</v>
      </c>
      <c r="F345" s="137"/>
      <c r="G345" s="41"/>
      <c r="H345" s="42" t="s">
        <v>233</v>
      </c>
    </row>
    <row r="346" spans="1:8" ht="12.75">
      <c r="A346" s="38">
        <v>9</v>
      </c>
      <c r="B346" s="38" t="s">
        <v>119</v>
      </c>
      <c r="C346" s="39">
        <v>989900</v>
      </c>
      <c r="D346" s="44"/>
      <c r="E346" s="65"/>
      <c r="F346" s="42" t="s">
        <v>233</v>
      </c>
      <c r="G346" s="41"/>
      <c r="H346" s="42" t="s">
        <v>233</v>
      </c>
    </row>
    <row r="347" spans="1:8" ht="12.75">
      <c r="A347" s="38">
        <v>10</v>
      </c>
      <c r="B347" s="38" t="s">
        <v>120</v>
      </c>
      <c r="C347" s="65">
        <v>65322</v>
      </c>
      <c r="D347" s="44"/>
      <c r="E347" s="41">
        <v>90239</v>
      </c>
      <c r="F347" s="137"/>
      <c r="G347" s="41"/>
      <c r="H347" s="42" t="s">
        <v>233</v>
      </c>
    </row>
    <row r="348" spans="1:8" ht="12.75">
      <c r="A348" s="38">
        <v>11</v>
      </c>
      <c r="B348" s="38" t="s">
        <v>121</v>
      </c>
      <c r="C348" s="65">
        <v>9793</v>
      </c>
      <c r="D348" s="44"/>
      <c r="E348" s="65">
        <v>157215</v>
      </c>
      <c r="F348" s="44"/>
      <c r="G348" s="41"/>
      <c r="H348" s="42" t="s">
        <v>233</v>
      </c>
    </row>
    <row r="349" spans="1:8" ht="12.75">
      <c r="A349" s="38">
        <v>12</v>
      </c>
      <c r="B349" s="38" t="s">
        <v>145</v>
      </c>
      <c r="C349" s="65">
        <v>2431</v>
      </c>
      <c r="D349" s="44"/>
      <c r="E349" s="65"/>
      <c r="F349" s="44">
        <v>0</v>
      </c>
      <c r="G349" s="41"/>
      <c r="H349" s="42" t="s">
        <v>233</v>
      </c>
    </row>
    <row r="350" spans="1:8" ht="12.75">
      <c r="A350" s="38">
        <v>13</v>
      </c>
      <c r="B350" s="38" t="s">
        <v>122</v>
      </c>
      <c r="C350" s="65"/>
      <c r="D350" s="44">
        <v>0</v>
      </c>
      <c r="E350" s="39">
        <v>36952</v>
      </c>
      <c r="F350" s="40"/>
      <c r="G350" s="41"/>
      <c r="H350" s="42" t="s">
        <v>233</v>
      </c>
    </row>
    <row r="351" spans="1:8" ht="12.75">
      <c r="A351" s="45"/>
      <c r="B351" s="45"/>
      <c r="C351" s="32"/>
      <c r="D351" s="33"/>
      <c r="E351" s="46"/>
      <c r="F351" s="47"/>
      <c r="G351" s="46"/>
      <c r="H351" s="47"/>
    </row>
    <row r="352" spans="1:8" ht="12.75">
      <c r="A352" s="71"/>
      <c r="B352" s="71"/>
      <c r="C352" s="131">
        <f aca="true" t="shared" si="6" ref="C352:H352">SUM(C338:C350)</f>
        <v>1104035</v>
      </c>
      <c r="D352" s="71"/>
      <c r="E352" s="131">
        <f t="shared" si="6"/>
        <v>308406</v>
      </c>
      <c r="F352" s="71"/>
      <c r="G352" s="71"/>
      <c r="H352" s="71">
        <f t="shared" si="6"/>
        <v>150</v>
      </c>
    </row>
    <row r="353" spans="1:9" ht="12.75">
      <c r="A353" s="71"/>
      <c r="B353" s="71"/>
      <c r="C353" s="71"/>
      <c r="D353" s="71"/>
      <c r="E353" s="71"/>
      <c r="F353" s="71"/>
      <c r="G353" s="26" t="s">
        <v>255</v>
      </c>
      <c r="H353" s="26"/>
      <c r="I353" s="26"/>
    </row>
    <row r="354" spans="1:9" ht="12.75">
      <c r="A354" s="26"/>
      <c r="B354" s="26"/>
      <c r="C354" s="26"/>
      <c r="D354" s="26"/>
      <c r="E354" s="26"/>
      <c r="H354" s="26"/>
      <c r="I354" s="26"/>
    </row>
    <row r="355" spans="1:9" ht="12.75">
      <c r="A355" s="26"/>
      <c r="B355" s="26"/>
      <c r="C355" s="26"/>
      <c r="D355" s="26"/>
      <c r="E355" s="26"/>
      <c r="G355" s="27" t="s">
        <v>60</v>
      </c>
      <c r="H355" s="26"/>
      <c r="I355" s="26"/>
    </row>
    <row r="356" spans="1:9" ht="12.75">
      <c r="A356" s="26"/>
      <c r="B356" s="26"/>
      <c r="C356" s="26"/>
      <c r="D356" s="26"/>
      <c r="E356" s="26"/>
      <c r="F356" s="115"/>
      <c r="G356" s="27" t="s">
        <v>61</v>
      </c>
      <c r="H356" s="26"/>
      <c r="I356" s="26"/>
    </row>
    <row r="357" spans="1:9" ht="12.75">
      <c r="A357" s="26"/>
      <c r="B357" s="26"/>
      <c r="C357" s="26"/>
      <c r="D357" s="26"/>
      <c r="E357" s="26"/>
      <c r="F357" s="27"/>
      <c r="G357" s="27"/>
      <c r="H357" s="26"/>
      <c r="I357" s="26"/>
    </row>
    <row r="358" spans="1:9" ht="12.75">
      <c r="A358" s="26"/>
      <c r="B358" s="26"/>
      <c r="C358" s="26"/>
      <c r="D358" s="26"/>
      <c r="E358" s="26"/>
      <c r="F358" s="27"/>
      <c r="G358" s="27"/>
      <c r="H358" s="26"/>
      <c r="I358" s="26"/>
    </row>
    <row r="359" spans="1:9" ht="12.75">
      <c r="A359" s="26"/>
      <c r="B359" s="26"/>
      <c r="C359" s="26"/>
      <c r="D359" s="26"/>
      <c r="E359" s="26"/>
      <c r="F359" s="27"/>
      <c r="G359" s="49"/>
      <c r="H359" s="50"/>
      <c r="I359" s="26"/>
    </row>
    <row r="360" spans="1:9" ht="12.75">
      <c r="A360" s="26"/>
      <c r="B360" s="26"/>
      <c r="C360" s="26"/>
      <c r="D360" s="26"/>
      <c r="E360" s="26"/>
      <c r="F360" s="27"/>
      <c r="G360" s="27"/>
      <c r="H360" s="26"/>
      <c r="I360" s="26"/>
    </row>
    <row r="361" spans="1:9" ht="12.75">
      <c r="A361" s="26"/>
      <c r="B361" s="26"/>
      <c r="C361" s="26"/>
      <c r="D361" s="26"/>
      <c r="E361" s="26"/>
      <c r="F361" s="27"/>
      <c r="G361" s="49" t="s">
        <v>62</v>
      </c>
      <c r="H361" s="50"/>
      <c r="I361" s="26"/>
    </row>
    <row r="362" ht="12.75">
      <c r="G362" s="27" t="s">
        <v>125</v>
      </c>
    </row>
    <row r="363" spans="1:8" ht="12.75">
      <c r="A363" s="22" t="s">
        <v>226</v>
      </c>
      <c r="B363" s="71"/>
      <c r="C363" s="133"/>
      <c r="D363" s="133"/>
      <c r="E363" s="25"/>
      <c r="F363" s="71"/>
      <c r="G363" s="25"/>
      <c r="H363" s="71"/>
    </row>
    <row r="364" spans="1:8" ht="12.75">
      <c r="A364" s="71"/>
      <c r="B364" s="71"/>
      <c r="C364" s="134"/>
      <c r="D364" s="135"/>
      <c r="E364" s="25"/>
      <c r="F364" s="71"/>
      <c r="G364" s="24"/>
      <c r="H364" s="24"/>
    </row>
    <row r="365" spans="1:8" ht="12.75">
      <c r="A365" s="26" t="s">
        <v>177</v>
      </c>
      <c r="B365" s="26"/>
      <c r="C365" s="136"/>
      <c r="D365" s="136"/>
      <c r="E365" s="26"/>
      <c r="F365" s="26"/>
      <c r="G365" s="26"/>
      <c r="H365" s="26"/>
    </row>
    <row r="366" spans="1:8" ht="12.75">
      <c r="A366" s="26"/>
      <c r="B366" s="26"/>
      <c r="C366" s="26"/>
      <c r="D366" s="26"/>
      <c r="E366" s="26"/>
      <c r="F366" s="26"/>
      <c r="G366" s="26"/>
      <c r="H366" s="26"/>
    </row>
    <row r="367" spans="1:8" ht="12.75">
      <c r="A367" s="28" t="s">
        <v>102</v>
      </c>
      <c r="B367" s="28" t="s">
        <v>103</v>
      </c>
      <c r="C367" s="504"/>
      <c r="D367" s="505"/>
      <c r="E367" s="504"/>
      <c r="F367" s="505"/>
      <c r="G367" s="504"/>
      <c r="H367" s="505"/>
    </row>
    <row r="368" spans="1:8" ht="12.75">
      <c r="A368" s="31"/>
      <c r="B368" s="31"/>
      <c r="C368" s="506"/>
      <c r="D368" s="507"/>
      <c r="E368" s="506"/>
      <c r="F368" s="507"/>
      <c r="G368" s="506"/>
      <c r="H368" s="507"/>
    </row>
    <row r="369" spans="1:8" ht="12.75">
      <c r="A369" s="34"/>
      <c r="B369" s="34"/>
      <c r="C369" s="29"/>
      <c r="D369" s="30"/>
      <c r="E369" s="35"/>
      <c r="F369" s="36"/>
      <c r="G369" s="37"/>
      <c r="H369" s="36"/>
    </row>
    <row r="370" spans="1:8" ht="12.75">
      <c r="A370" s="138">
        <v>1</v>
      </c>
      <c r="B370" s="138" t="s">
        <v>111</v>
      </c>
      <c r="C370" s="139"/>
      <c r="D370" s="140">
        <v>3208</v>
      </c>
      <c r="E370" s="141"/>
      <c r="F370" s="142">
        <v>0</v>
      </c>
      <c r="G370" s="141"/>
      <c r="H370" s="143">
        <v>0</v>
      </c>
    </row>
    <row r="371" spans="1:8" ht="12.75">
      <c r="A371" s="138">
        <v>2</v>
      </c>
      <c r="B371" s="138" t="s">
        <v>112</v>
      </c>
      <c r="C371" s="139"/>
      <c r="D371" s="144">
        <v>0</v>
      </c>
      <c r="E371" s="141"/>
      <c r="F371" s="145">
        <v>0</v>
      </c>
      <c r="G371" s="141"/>
      <c r="H371" s="146">
        <v>62</v>
      </c>
    </row>
    <row r="372" spans="1:8" ht="12.75">
      <c r="A372" s="138">
        <v>3</v>
      </c>
      <c r="B372" s="138" t="s">
        <v>113</v>
      </c>
      <c r="C372" s="147"/>
      <c r="D372" s="140">
        <v>17000</v>
      </c>
      <c r="E372" s="141"/>
      <c r="F372" s="145">
        <v>0</v>
      </c>
      <c r="G372" s="147"/>
      <c r="H372" s="142">
        <v>0</v>
      </c>
    </row>
    <row r="373" spans="1:8" ht="12.75">
      <c r="A373" s="138">
        <v>4</v>
      </c>
      <c r="B373" s="138" t="s">
        <v>114</v>
      </c>
      <c r="C373" s="139"/>
      <c r="D373" s="144">
        <v>0</v>
      </c>
      <c r="E373" s="141"/>
      <c r="F373" s="145">
        <v>0</v>
      </c>
      <c r="G373" s="141"/>
      <c r="H373" s="148">
        <v>0</v>
      </c>
    </row>
    <row r="374" spans="1:8" ht="12.75">
      <c r="A374" s="138">
        <v>5</v>
      </c>
      <c r="B374" s="138" t="s">
        <v>115</v>
      </c>
      <c r="C374" s="147"/>
      <c r="D374" s="144">
        <v>15600</v>
      </c>
      <c r="E374" s="141"/>
      <c r="F374" s="145">
        <v>0</v>
      </c>
      <c r="G374" s="141"/>
      <c r="H374" s="142">
        <v>0</v>
      </c>
    </row>
    <row r="375" spans="1:8" ht="12.75">
      <c r="A375" s="138">
        <v>6</v>
      </c>
      <c r="B375" s="138" t="s">
        <v>116</v>
      </c>
      <c r="C375" s="139"/>
      <c r="D375" s="144">
        <v>13520</v>
      </c>
      <c r="E375" s="141"/>
      <c r="F375" s="145">
        <v>0</v>
      </c>
      <c r="G375" s="141"/>
      <c r="H375" s="142">
        <v>0</v>
      </c>
    </row>
    <row r="376" spans="1:8" ht="12.75">
      <c r="A376" s="138">
        <v>7</v>
      </c>
      <c r="B376" s="138" t="s">
        <v>117</v>
      </c>
      <c r="C376" s="139"/>
      <c r="D376" s="144">
        <v>0</v>
      </c>
      <c r="E376" s="141"/>
      <c r="F376" s="145">
        <v>0</v>
      </c>
      <c r="G376" s="141"/>
      <c r="H376" s="142">
        <v>0</v>
      </c>
    </row>
    <row r="377" spans="1:8" ht="12.75">
      <c r="A377" s="138">
        <v>8</v>
      </c>
      <c r="B377" s="138" t="s">
        <v>118</v>
      </c>
      <c r="C377" s="147"/>
      <c r="D377" s="144">
        <v>0</v>
      </c>
      <c r="E377" s="141"/>
      <c r="F377" s="145">
        <v>24000</v>
      </c>
      <c r="G377" s="141"/>
      <c r="H377" s="142">
        <v>0</v>
      </c>
    </row>
    <row r="378" spans="1:8" ht="12.75">
      <c r="A378" s="138">
        <v>9</v>
      </c>
      <c r="B378" s="138" t="s">
        <v>119</v>
      </c>
      <c r="C378" s="147"/>
      <c r="D378" s="144">
        <v>889900</v>
      </c>
      <c r="E378" s="139"/>
      <c r="F378" s="145">
        <v>0</v>
      </c>
      <c r="G378" s="141"/>
      <c r="H378" s="142">
        <v>0</v>
      </c>
    </row>
    <row r="379" spans="1:8" ht="12.75">
      <c r="A379" s="138">
        <v>10</v>
      </c>
      <c r="B379" s="138" t="s">
        <v>120</v>
      </c>
      <c r="C379" s="139"/>
      <c r="D379" s="144">
        <v>65829</v>
      </c>
      <c r="E379" s="141"/>
      <c r="F379" s="145">
        <v>90941</v>
      </c>
      <c r="G379" s="141"/>
      <c r="H379" s="142">
        <v>0</v>
      </c>
    </row>
    <row r="380" spans="1:8" ht="12.75">
      <c r="A380" s="138">
        <v>11</v>
      </c>
      <c r="B380" s="138" t="s">
        <v>121</v>
      </c>
      <c r="C380" s="139"/>
      <c r="D380" s="144">
        <v>9783</v>
      </c>
      <c r="E380" s="139"/>
      <c r="F380" s="145">
        <v>157066</v>
      </c>
      <c r="G380" s="141"/>
      <c r="H380" s="142">
        <v>0</v>
      </c>
    </row>
    <row r="381" spans="1:8" ht="12.75">
      <c r="A381" s="138">
        <v>12</v>
      </c>
      <c r="B381" s="138" t="s">
        <v>145</v>
      </c>
      <c r="C381" s="139"/>
      <c r="D381" s="144">
        <v>2446</v>
      </c>
      <c r="E381" s="139"/>
      <c r="F381" s="145">
        <v>0</v>
      </c>
      <c r="G381" s="141"/>
      <c r="H381" s="142">
        <v>0</v>
      </c>
    </row>
    <row r="382" spans="1:8" ht="12.75">
      <c r="A382" s="138">
        <v>13</v>
      </c>
      <c r="B382" s="138" t="s">
        <v>122</v>
      </c>
      <c r="C382" s="139"/>
      <c r="D382" s="144">
        <v>0</v>
      </c>
      <c r="E382" s="147"/>
      <c r="F382" s="145">
        <v>37287</v>
      </c>
      <c r="G382" s="141"/>
      <c r="H382" s="142">
        <v>0</v>
      </c>
    </row>
    <row r="383" spans="1:8" ht="12.75">
      <c r="A383" s="45"/>
      <c r="B383" s="45"/>
      <c r="C383" s="32"/>
      <c r="D383" s="33"/>
      <c r="E383" s="46"/>
      <c r="F383" s="47"/>
      <c r="G383" s="46"/>
      <c r="H383" s="47"/>
    </row>
    <row r="384" spans="1:8" ht="12.75">
      <c r="A384" s="71"/>
      <c r="B384" s="71"/>
      <c r="C384" s="131">
        <f aca="true" t="shared" si="7" ref="C384:H384">SUM(C370:C382)</f>
        <v>0</v>
      </c>
      <c r="D384" s="71"/>
      <c r="E384" s="131">
        <f t="shared" si="7"/>
        <v>0</v>
      </c>
      <c r="F384" s="71"/>
      <c r="G384" s="71"/>
      <c r="H384" s="71">
        <f t="shared" si="7"/>
        <v>62</v>
      </c>
    </row>
    <row r="385" spans="1:8" ht="12.75">
      <c r="A385" s="71"/>
      <c r="B385" s="71"/>
      <c r="C385" s="71"/>
      <c r="D385" s="71"/>
      <c r="E385" s="71"/>
      <c r="F385" s="71"/>
      <c r="G385" s="71"/>
      <c r="H385" s="71"/>
    </row>
    <row r="386" spans="1:8" ht="12.75">
      <c r="A386" s="26"/>
      <c r="B386" s="26"/>
      <c r="C386" s="26"/>
      <c r="D386" s="26"/>
      <c r="E386" s="26"/>
      <c r="G386" s="27" t="s">
        <v>178</v>
      </c>
      <c r="H386" s="26"/>
    </row>
    <row r="387" spans="1:8" ht="12.75">
      <c r="A387" s="26"/>
      <c r="B387" s="26"/>
      <c r="C387" s="26"/>
      <c r="D387" s="26"/>
      <c r="E387" s="26"/>
      <c r="G387" s="27"/>
      <c r="H387" s="26"/>
    </row>
    <row r="388" spans="1:8" ht="12.75">
      <c r="A388" s="26"/>
      <c r="B388" s="26"/>
      <c r="C388" s="26"/>
      <c r="D388" s="26"/>
      <c r="E388" s="26"/>
      <c r="F388" s="115"/>
      <c r="G388" s="27" t="s">
        <v>60</v>
      </c>
      <c r="H388" s="26"/>
    </row>
    <row r="389" spans="1:8" ht="12.75">
      <c r="A389" s="26"/>
      <c r="B389" s="26"/>
      <c r="C389" s="26"/>
      <c r="D389" s="26"/>
      <c r="E389" s="26"/>
      <c r="F389" s="27"/>
      <c r="G389" s="27" t="s">
        <v>61</v>
      </c>
      <c r="H389" s="26"/>
    </row>
    <row r="390" spans="1:8" ht="12.75">
      <c r="A390" s="26"/>
      <c r="B390" s="26"/>
      <c r="C390" s="26"/>
      <c r="D390" s="26"/>
      <c r="E390" s="26"/>
      <c r="F390" s="27"/>
      <c r="G390" s="27"/>
      <c r="H390" s="26"/>
    </row>
    <row r="391" spans="1:8" ht="12.75">
      <c r="A391" s="26"/>
      <c r="B391" s="26"/>
      <c r="C391" s="26"/>
      <c r="D391" s="26"/>
      <c r="E391" s="26"/>
      <c r="F391" s="27"/>
      <c r="G391" s="27"/>
      <c r="H391" s="26"/>
    </row>
    <row r="392" spans="1:8" ht="12.75">
      <c r="A392" s="26"/>
      <c r="B392" s="26"/>
      <c r="C392" s="26"/>
      <c r="D392" s="26"/>
      <c r="E392" s="26"/>
      <c r="F392" s="27"/>
      <c r="G392" s="49" t="s">
        <v>62</v>
      </c>
      <c r="H392" s="50"/>
    </row>
    <row r="393" spans="1:8" ht="12.75">
      <c r="A393" s="26"/>
      <c r="B393" s="26"/>
      <c r="C393" s="26"/>
      <c r="D393" s="26"/>
      <c r="E393" s="26"/>
      <c r="F393" s="27"/>
      <c r="G393" s="27" t="s">
        <v>125</v>
      </c>
      <c r="H393" s="26"/>
    </row>
  </sheetData>
  <sheetProtection/>
  <mergeCells count="132">
    <mergeCell ref="C1:D1"/>
    <mergeCell ref="G2:H2"/>
    <mergeCell ref="C5:D5"/>
    <mergeCell ref="E5:F5"/>
    <mergeCell ref="G5:H5"/>
    <mergeCell ref="C6:D6"/>
    <mergeCell ref="E6:F6"/>
    <mergeCell ref="G6:H6"/>
    <mergeCell ref="L6:M6"/>
    <mergeCell ref="N6:O6"/>
    <mergeCell ref="P6:Q6"/>
    <mergeCell ref="L7:M7"/>
    <mergeCell ref="N7:O7"/>
    <mergeCell ref="P7:Q7"/>
    <mergeCell ref="L9:M9"/>
    <mergeCell ref="L10:M10"/>
    <mergeCell ref="P10:Q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3:M23"/>
    <mergeCell ref="N23:O23"/>
    <mergeCell ref="P23:Q23"/>
    <mergeCell ref="L25:M25"/>
    <mergeCell ref="C32:D32"/>
    <mergeCell ref="G33:H33"/>
    <mergeCell ref="C36:D36"/>
    <mergeCell ref="E36:F36"/>
    <mergeCell ref="G36:H36"/>
    <mergeCell ref="C37:D37"/>
    <mergeCell ref="E37:F37"/>
    <mergeCell ref="G37:H37"/>
    <mergeCell ref="L39:M39"/>
    <mergeCell ref="N39:O39"/>
    <mergeCell ref="P39:Q39"/>
    <mergeCell ref="L40:M40"/>
    <mergeCell ref="N40:O40"/>
    <mergeCell ref="P40:Q40"/>
    <mergeCell ref="L42:M42"/>
    <mergeCell ref="N42:O42"/>
    <mergeCell ref="P42:Q42"/>
    <mergeCell ref="L43:M43"/>
    <mergeCell ref="N43:O43"/>
    <mergeCell ref="P43:Q43"/>
    <mergeCell ref="L44:M44"/>
    <mergeCell ref="N44:O44"/>
    <mergeCell ref="L45:M45"/>
    <mergeCell ref="N45:O45"/>
    <mergeCell ref="L46:M46"/>
    <mergeCell ref="N46:O46"/>
    <mergeCell ref="L47:M47"/>
    <mergeCell ref="N47:O47"/>
    <mergeCell ref="L48:M48"/>
    <mergeCell ref="N48:O48"/>
    <mergeCell ref="L49:M49"/>
    <mergeCell ref="N49:O49"/>
    <mergeCell ref="L50:M50"/>
    <mergeCell ref="N50:O50"/>
    <mergeCell ref="L51:M51"/>
    <mergeCell ref="N51:O51"/>
    <mergeCell ref="L52:M52"/>
    <mergeCell ref="N52:O52"/>
    <mergeCell ref="L53:M53"/>
    <mergeCell ref="N53:O53"/>
    <mergeCell ref="L54:M54"/>
    <mergeCell ref="N54:O54"/>
    <mergeCell ref="L56:M56"/>
    <mergeCell ref="N56:O56"/>
    <mergeCell ref="P56:Q56"/>
    <mergeCell ref="L58:M58"/>
    <mergeCell ref="C98:D98"/>
    <mergeCell ref="E98:F98"/>
    <mergeCell ref="G98:H98"/>
    <mergeCell ref="C99:D99"/>
    <mergeCell ref="E99:F99"/>
    <mergeCell ref="G99:H99"/>
    <mergeCell ref="C129:D129"/>
    <mergeCell ref="E129:F129"/>
    <mergeCell ref="G129:H129"/>
    <mergeCell ref="C130:D130"/>
    <mergeCell ref="E130:F130"/>
    <mergeCell ref="G130:H130"/>
    <mergeCell ref="C171:D171"/>
    <mergeCell ref="E171:F171"/>
    <mergeCell ref="G171:H171"/>
    <mergeCell ref="C172:D172"/>
    <mergeCell ref="E172:F172"/>
    <mergeCell ref="G172:H172"/>
    <mergeCell ref="C203:D203"/>
    <mergeCell ref="E203:F203"/>
    <mergeCell ref="G203:H203"/>
    <mergeCell ref="C204:D204"/>
    <mergeCell ref="E204:F204"/>
    <mergeCell ref="G204:H204"/>
    <mergeCell ref="C237:D237"/>
    <mergeCell ref="E237:F237"/>
    <mergeCell ref="G237:H237"/>
    <mergeCell ref="C238:D238"/>
    <mergeCell ref="E238:F238"/>
    <mergeCell ref="G238:H238"/>
    <mergeCell ref="C269:D269"/>
    <mergeCell ref="E269:F269"/>
    <mergeCell ref="G269:H269"/>
    <mergeCell ref="C270:D270"/>
    <mergeCell ref="E270:F270"/>
    <mergeCell ref="G270:H270"/>
    <mergeCell ref="C303:D303"/>
    <mergeCell ref="E303:F303"/>
    <mergeCell ref="G303:H303"/>
    <mergeCell ref="C304:D304"/>
    <mergeCell ref="E304:F304"/>
    <mergeCell ref="G304:H304"/>
    <mergeCell ref="C335:D335"/>
    <mergeCell ref="E335:F335"/>
    <mergeCell ref="G335:H335"/>
    <mergeCell ref="C336:D336"/>
    <mergeCell ref="E336:F336"/>
    <mergeCell ref="G336:H336"/>
    <mergeCell ref="C367:D367"/>
    <mergeCell ref="E367:F367"/>
    <mergeCell ref="G367:H367"/>
    <mergeCell ref="C368:D368"/>
    <mergeCell ref="E368:F368"/>
    <mergeCell ref="G368:H368"/>
  </mergeCells>
  <printOptions horizontalCentered="1"/>
  <pageMargins left="0.5902777777777778" right="0.5506944444444445" top="1.1805555555555556" bottom="0.39305555555555555" header="0.5111111111111111" footer="0.5111111111111111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W44"/>
  <sheetViews>
    <sheetView tabSelected="1" zoomScalePageLayoutView="0" workbookViewId="0" topLeftCell="G1">
      <selection activeCell="W9" sqref="W9"/>
    </sheetView>
  </sheetViews>
  <sheetFormatPr defaultColWidth="9.140625" defaultRowHeight="15"/>
  <cols>
    <col min="1" max="1" width="4.140625" style="1" customWidth="1"/>
    <col min="2" max="2" width="29.7109375" style="1" customWidth="1"/>
    <col min="3" max="3" width="15.57421875" style="1" customWidth="1"/>
    <col min="4" max="4" width="9.140625" style="1" customWidth="1"/>
    <col min="5" max="5" width="11.8515625" style="1" customWidth="1"/>
    <col min="6" max="6" width="9.7109375" style="1" customWidth="1"/>
    <col min="7" max="7" width="10.28125" style="1" customWidth="1"/>
    <col min="8" max="8" width="10.421875" style="1" customWidth="1"/>
    <col min="9" max="9" width="7.57421875" style="1" customWidth="1"/>
    <col min="10" max="10" width="8.421875" style="1" customWidth="1"/>
    <col min="11" max="11" width="14.421875" style="1" customWidth="1"/>
    <col min="12" max="12" width="15.28125" style="1" customWidth="1"/>
    <col min="13" max="13" width="8.57421875" style="1" customWidth="1"/>
    <col min="14" max="14" width="10.00390625" style="1" customWidth="1"/>
    <col min="15" max="15" width="14.140625" style="1" customWidth="1"/>
    <col min="16" max="16" width="11.8515625" style="1" customWidth="1"/>
    <col min="17" max="17" width="14.28125" style="1" customWidth="1"/>
    <col min="18" max="18" width="8.57421875" style="1" customWidth="1"/>
    <col min="19" max="19" width="12.28125" style="1" customWidth="1"/>
    <col min="20" max="16384" width="9.140625" style="1" customWidth="1"/>
  </cols>
  <sheetData>
    <row r="1" spans="1:19" ht="15">
      <c r="A1" s="525" t="s">
        <v>256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</row>
    <row r="2" spans="1:19" ht="1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 customHeight="1">
      <c r="A3" s="526" t="s">
        <v>102</v>
      </c>
      <c r="B3" s="526" t="s">
        <v>257</v>
      </c>
      <c r="C3" s="526" t="s">
        <v>258</v>
      </c>
      <c r="D3" s="526" t="s">
        <v>183</v>
      </c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 t="s">
        <v>6</v>
      </c>
      <c r="S3" s="526" t="s">
        <v>259</v>
      </c>
    </row>
    <row r="4" spans="1:19" ht="25.5">
      <c r="A4" s="526"/>
      <c r="B4" s="526"/>
      <c r="C4" s="526"/>
      <c r="D4" s="5" t="s">
        <v>260</v>
      </c>
      <c r="E4" s="5" t="s">
        <v>261</v>
      </c>
      <c r="F4" s="5" t="s">
        <v>262</v>
      </c>
      <c r="G4" s="5" t="s">
        <v>263</v>
      </c>
      <c r="H4" s="5" t="s">
        <v>264</v>
      </c>
      <c r="I4" s="5" t="s">
        <v>265</v>
      </c>
      <c r="J4" s="5" t="s">
        <v>266</v>
      </c>
      <c r="K4" s="5" t="s">
        <v>267</v>
      </c>
      <c r="L4" s="5" t="s">
        <v>268</v>
      </c>
      <c r="M4" s="5" t="s">
        <v>269</v>
      </c>
      <c r="N4" s="5" t="s">
        <v>270</v>
      </c>
      <c r="O4" s="5" t="s">
        <v>271</v>
      </c>
      <c r="P4" s="5" t="s">
        <v>272</v>
      </c>
      <c r="Q4" s="5" t="s">
        <v>273</v>
      </c>
      <c r="R4" s="526"/>
      <c r="S4" s="526"/>
    </row>
    <row r="5" spans="1:23" ht="25.5">
      <c r="A5" s="4">
        <v>1</v>
      </c>
      <c r="B5" s="6" t="s">
        <v>274</v>
      </c>
      <c r="C5" s="7"/>
      <c r="D5" s="8"/>
      <c r="E5" s="9"/>
      <c r="F5" s="10"/>
      <c r="G5" s="9"/>
      <c r="H5" s="9"/>
      <c r="I5" s="9"/>
      <c r="J5" s="9"/>
      <c r="K5" s="9"/>
      <c r="L5" s="9"/>
      <c r="M5" s="9"/>
      <c r="N5" s="9"/>
      <c r="O5" s="10"/>
      <c r="P5" s="425">
        <f>4</f>
        <v>4</v>
      </c>
      <c r="Q5" s="9"/>
      <c r="R5" s="9">
        <f>SUM(D5:Q5)</f>
        <v>4</v>
      </c>
      <c r="S5" s="9"/>
      <c r="U5" s="530" t="s">
        <v>280</v>
      </c>
      <c r="V5" s="1">
        <f>R10+R24+R27+R43+R44</f>
        <v>291</v>
      </c>
      <c r="W5" s="1">
        <f>V5/4993*100</f>
        <v>5.828159423192469</v>
      </c>
    </row>
    <row r="6" spans="1:23" ht="15">
      <c r="A6" s="4">
        <v>2</v>
      </c>
      <c r="B6" s="6" t="s">
        <v>275</v>
      </c>
      <c r="C6" s="11"/>
      <c r="D6" s="8"/>
      <c r="E6" s="10"/>
      <c r="F6" s="12"/>
      <c r="G6" s="10"/>
      <c r="H6" s="10"/>
      <c r="I6" s="10"/>
      <c r="J6" s="10"/>
      <c r="K6" s="10"/>
      <c r="L6" s="10"/>
      <c r="M6" s="10"/>
      <c r="N6" s="10"/>
      <c r="O6" s="12"/>
      <c r="P6" s="10"/>
      <c r="Q6" s="10"/>
      <c r="R6" s="9">
        <f aca="true" t="shared" si="0" ref="R6:R44">SUM(D6:Q6)</f>
        <v>0</v>
      </c>
      <c r="S6" s="10"/>
      <c r="U6" s="530" t="s">
        <v>278</v>
      </c>
      <c r="V6" s="1">
        <f>R8+R14+R22+R26</f>
        <v>15</v>
      </c>
      <c r="W6" s="1">
        <f>V6/3122*100</f>
        <v>0.4804612427930814</v>
      </c>
    </row>
    <row r="7" spans="1:23" ht="15">
      <c r="A7" s="4">
        <v>3</v>
      </c>
      <c r="B7" s="6" t="s">
        <v>276</v>
      </c>
      <c r="C7" s="543" t="s">
        <v>277</v>
      </c>
      <c r="D7" s="544"/>
      <c r="E7" s="545">
        <f>8+3</f>
        <v>11</v>
      </c>
      <c r="F7" s="546"/>
      <c r="G7" s="545">
        <f>9+5+5+13+10+3+3+5</f>
        <v>53</v>
      </c>
      <c r="H7" s="545"/>
      <c r="I7" s="545"/>
      <c r="J7" s="545"/>
      <c r="K7" s="545">
        <f>1+5+3</f>
        <v>9</v>
      </c>
      <c r="L7" s="545">
        <f>4+7+4+6+1+6+4+5</f>
        <v>37</v>
      </c>
      <c r="M7" s="545">
        <f>17+56+37+38+43+26+14+15</f>
        <v>246</v>
      </c>
      <c r="N7" s="545">
        <f>10+10+10+10+10+10</f>
        <v>60</v>
      </c>
      <c r="O7" s="546">
        <f>3+4+6+5+3+20+12+15</f>
        <v>68</v>
      </c>
      <c r="P7" s="545">
        <f>10+10+10+10+12+23+25+10+32+38+32+11+11</f>
        <v>234</v>
      </c>
      <c r="Q7" s="545"/>
      <c r="R7" s="547">
        <f t="shared" si="0"/>
        <v>718</v>
      </c>
      <c r="S7" s="10"/>
      <c r="U7" s="530" t="s">
        <v>277</v>
      </c>
      <c r="V7" s="1">
        <f>R7+R12+R16+R23+R35</f>
        <v>1188</v>
      </c>
      <c r="W7" s="1">
        <f>V7/48026*100</f>
        <v>2.4736601007787447</v>
      </c>
    </row>
    <row r="8" spans="1:23" ht="15">
      <c r="A8" s="4"/>
      <c r="B8" s="6" t="s">
        <v>276</v>
      </c>
      <c r="C8" s="536" t="s">
        <v>278</v>
      </c>
      <c r="D8" s="537"/>
      <c r="E8" s="538"/>
      <c r="F8" s="539"/>
      <c r="G8" s="538">
        <f>1+4</f>
        <v>5</v>
      </c>
      <c r="H8" s="538"/>
      <c r="I8" s="538"/>
      <c r="J8" s="538"/>
      <c r="K8" s="538"/>
      <c r="L8" s="538">
        <f>1</f>
        <v>1</v>
      </c>
      <c r="M8" s="538"/>
      <c r="N8" s="538"/>
      <c r="O8" s="539"/>
      <c r="P8" s="538"/>
      <c r="Q8" s="538"/>
      <c r="R8" s="540">
        <f t="shared" si="0"/>
        <v>6</v>
      </c>
      <c r="S8" s="10"/>
      <c r="U8" s="530" t="s">
        <v>279</v>
      </c>
      <c r="V8" s="1">
        <f>R9+R13+R15+R25</f>
        <v>226</v>
      </c>
      <c r="W8" s="1">
        <f>V8/75972*100</f>
        <v>0.29747801821723796</v>
      </c>
    </row>
    <row r="9" spans="1:23" ht="15">
      <c r="A9" s="4"/>
      <c r="B9" s="6" t="s">
        <v>276</v>
      </c>
      <c r="C9" s="550" t="s">
        <v>279</v>
      </c>
      <c r="D9" s="551"/>
      <c r="E9" s="552"/>
      <c r="F9" s="553"/>
      <c r="G9" s="552">
        <f>4</f>
        <v>4</v>
      </c>
      <c r="H9" s="552"/>
      <c r="I9" s="552"/>
      <c r="J9" s="552">
        <f>3+8+2+4+5+4+4+5+5+11+6</f>
        <v>57</v>
      </c>
      <c r="K9" s="552"/>
      <c r="L9" s="552"/>
      <c r="M9" s="552"/>
      <c r="N9" s="552"/>
      <c r="O9" s="553">
        <f>13</f>
        <v>13</v>
      </c>
      <c r="P9" s="552"/>
      <c r="Q9" s="552"/>
      <c r="R9" s="554">
        <f t="shared" si="0"/>
        <v>74</v>
      </c>
      <c r="S9" s="10"/>
      <c r="U9" s="530" t="s">
        <v>315</v>
      </c>
      <c r="V9" s="1">
        <v>66</v>
      </c>
      <c r="W9" s="1">
        <f>66/178150*100</f>
        <v>0.03704743193937693</v>
      </c>
    </row>
    <row r="10" spans="1:19" ht="15">
      <c r="A10" s="4"/>
      <c r="B10" s="6" t="s">
        <v>276</v>
      </c>
      <c r="C10" s="531" t="s">
        <v>280</v>
      </c>
      <c r="D10" s="532"/>
      <c r="E10" s="533"/>
      <c r="F10" s="534"/>
      <c r="G10" s="533"/>
      <c r="H10" s="533"/>
      <c r="I10" s="533"/>
      <c r="J10" s="533"/>
      <c r="K10" s="533">
        <f>1</f>
        <v>1</v>
      </c>
      <c r="L10" s="533">
        <f>1+1</f>
        <v>2</v>
      </c>
      <c r="M10" s="533">
        <f>3+27+19</f>
        <v>49</v>
      </c>
      <c r="N10" s="533"/>
      <c r="O10" s="534">
        <f>3+4+4</f>
        <v>11</v>
      </c>
      <c r="P10" s="533"/>
      <c r="Q10" s="533"/>
      <c r="R10" s="535">
        <f t="shared" si="0"/>
        <v>63</v>
      </c>
      <c r="S10" s="10"/>
    </row>
    <row r="11" spans="1:19" ht="15">
      <c r="A11" s="4"/>
      <c r="B11" s="6" t="s">
        <v>276</v>
      </c>
      <c r="C11" s="11" t="s">
        <v>281</v>
      </c>
      <c r="D11" s="8"/>
      <c r="E11" s="10"/>
      <c r="F11" s="12"/>
      <c r="G11" s="423">
        <f>1</f>
        <v>1</v>
      </c>
      <c r="H11" s="10"/>
      <c r="I11" s="10"/>
      <c r="J11" s="10"/>
      <c r="K11" s="10"/>
      <c r="L11" s="10"/>
      <c r="M11" s="10"/>
      <c r="N11" s="423">
        <f>1+2</f>
        <v>3</v>
      </c>
      <c r="O11" s="12"/>
      <c r="P11" s="10"/>
      <c r="Q11" s="10"/>
      <c r="R11" s="9">
        <f t="shared" si="0"/>
        <v>4</v>
      </c>
      <c r="S11" s="10"/>
    </row>
    <row r="12" spans="1:19" ht="15">
      <c r="A12" s="4">
        <v>4</v>
      </c>
      <c r="B12" s="6" t="s">
        <v>282</v>
      </c>
      <c r="C12" s="543" t="s">
        <v>277</v>
      </c>
      <c r="D12" s="544"/>
      <c r="E12" s="545"/>
      <c r="F12" s="545"/>
      <c r="G12" s="545">
        <f>2</f>
        <v>2</v>
      </c>
      <c r="H12" s="545"/>
      <c r="I12" s="545"/>
      <c r="J12" s="545"/>
      <c r="K12" s="545"/>
      <c r="L12" s="545">
        <f>2+2</f>
        <v>4</v>
      </c>
      <c r="M12" s="545">
        <f>29+17+10+8</f>
        <v>64</v>
      </c>
      <c r="N12" s="545"/>
      <c r="O12" s="545">
        <f>1+1+5+3+2+11+9+9+5+12+7</f>
        <v>65</v>
      </c>
      <c r="P12" s="545">
        <f>3+4+7+6+2+4+2+10</f>
        <v>38</v>
      </c>
      <c r="Q12" s="545"/>
      <c r="R12" s="547">
        <f t="shared" si="0"/>
        <v>173</v>
      </c>
      <c r="S12" s="10"/>
    </row>
    <row r="13" spans="1:19" ht="15">
      <c r="A13" s="4"/>
      <c r="B13" s="6" t="s">
        <v>282</v>
      </c>
      <c r="C13" s="550" t="s">
        <v>279</v>
      </c>
      <c r="D13" s="551"/>
      <c r="E13" s="552"/>
      <c r="F13" s="552"/>
      <c r="G13" s="552">
        <f>5</f>
        <v>5</v>
      </c>
      <c r="H13" s="552"/>
      <c r="I13" s="552"/>
      <c r="J13" s="552"/>
      <c r="K13" s="552"/>
      <c r="L13" s="552"/>
      <c r="M13" s="552"/>
      <c r="N13" s="552">
        <f>5</f>
        <v>5</v>
      </c>
      <c r="O13" s="552"/>
      <c r="P13" s="552"/>
      <c r="Q13" s="552"/>
      <c r="R13" s="554">
        <f t="shared" si="0"/>
        <v>10</v>
      </c>
      <c r="S13" s="10"/>
    </row>
    <row r="14" spans="1:19" ht="15">
      <c r="A14" s="4">
        <v>5</v>
      </c>
      <c r="B14" s="6" t="s">
        <v>283</v>
      </c>
      <c r="C14" s="541" t="s">
        <v>278</v>
      </c>
      <c r="D14" s="537"/>
      <c r="E14" s="542"/>
      <c r="F14" s="542"/>
      <c r="G14" s="542"/>
      <c r="H14" s="542"/>
      <c r="I14" s="542"/>
      <c r="J14" s="542"/>
      <c r="K14" s="542"/>
      <c r="L14" s="542"/>
      <c r="M14" s="542"/>
      <c r="N14" s="542"/>
      <c r="O14" s="542"/>
      <c r="P14" s="542"/>
      <c r="Q14" s="542"/>
      <c r="R14" s="540">
        <f t="shared" si="0"/>
        <v>0</v>
      </c>
      <c r="S14" s="15"/>
    </row>
    <row r="15" spans="1:19" ht="15">
      <c r="A15" s="4"/>
      <c r="B15" s="6" t="s">
        <v>283</v>
      </c>
      <c r="C15" s="555" t="s">
        <v>279</v>
      </c>
      <c r="D15" s="551"/>
      <c r="E15" s="556"/>
      <c r="F15" s="556"/>
      <c r="G15" s="556">
        <f>2+1+3+3+2</f>
        <v>11</v>
      </c>
      <c r="H15" s="556"/>
      <c r="I15" s="556"/>
      <c r="J15" s="556"/>
      <c r="K15" s="556"/>
      <c r="L15" s="556">
        <f>10+2+4</f>
        <v>16</v>
      </c>
      <c r="M15" s="556">
        <f>9</f>
        <v>9</v>
      </c>
      <c r="N15" s="556"/>
      <c r="O15" s="556"/>
      <c r="P15" s="556"/>
      <c r="Q15" s="556"/>
      <c r="R15" s="554">
        <f t="shared" si="0"/>
        <v>36</v>
      </c>
      <c r="S15" s="15"/>
    </row>
    <row r="16" spans="1:19" ht="15">
      <c r="A16" s="4"/>
      <c r="B16" s="6" t="s">
        <v>283</v>
      </c>
      <c r="C16" s="548" t="s">
        <v>277</v>
      </c>
      <c r="D16" s="544"/>
      <c r="E16" s="549"/>
      <c r="F16" s="549"/>
      <c r="G16" s="549"/>
      <c r="H16" s="549"/>
      <c r="I16" s="549"/>
      <c r="J16" s="549"/>
      <c r="K16" s="549"/>
      <c r="L16" s="549">
        <f>4+2</f>
        <v>6</v>
      </c>
      <c r="M16" s="549">
        <f>23+8+24+16+13+8+7</f>
        <v>99</v>
      </c>
      <c r="N16" s="549"/>
      <c r="O16" s="549">
        <f>5+3+3+1+1+5+5+3+2+3+9</f>
        <v>40</v>
      </c>
      <c r="P16" s="549">
        <f>4+6+12+4+4+4+6+4+4+8+6+6</f>
        <v>68</v>
      </c>
      <c r="Q16" s="549"/>
      <c r="R16" s="547">
        <f t="shared" si="0"/>
        <v>213</v>
      </c>
      <c r="S16" s="15"/>
    </row>
    <row r="17" spans="1:19" ht="15">
      <c r="A17" s="4">
        <v>6</v>
      </c>
      <c r="B17" s="6" t="s">
        <v>284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9">
        <f>6</f>
        <v>6</v>
      </c>
      <c r="N17" s="17"/>
      <c r="O17" s="17"/>
      <c r="P17" s="17"/>
      <c r="Q17" s="17"/>
      <c r="R17" s="9">
        <f t="shared" si="0"/>
        <v>6</v>
      </c>
      <c r="S17" s="17"/>
    </row>
    <row r="18" spans="1:19" ht="15">
      <c r="A18" s="4">
        <v>7</v>
      </c>
      <c r="B18" s="6" t="s">
        <v>285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9">
        <f t="shared" si="0"/>
        <v>0</v>
      </c>
      <c r="S18" s="15"/>
    </row>
    <row r="19" spans="1:19" ht="15">
      <c r="A19" s="4">
        <v>8</v>
      </c>
      <c r="B19" s="6" t="s">
        <v>286</v>
      </c>
      <c r="C19" s="1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9">
        <f t="shared" si="0"/>
        <v>0</v>
      </c>
      <c r="S19" s="10"/>
    </row>
    <row r="20" spans="1:19" ht="25.5">
      <c r="A20" s="4">
        <v>9</v>
      </c>
      <c r="B20" s="6" t="s">
        <v>287</v>
      </c>
      <c r="C20" s="11"/>
      <c r="D20" s="10"/>
      <c r="E20" s="10"/>
      <c r="F20" s="10"/>
      <c r="G20" s="13">
        <f>2+1+1+2+3</f>
        <v>9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9">
        <f t="shared" si="0"/>
        <v>9</v>
      </c>
      <c r="S20" s="20"/>
    </row>
    <row r="21" spans="1:19" ht="15">
      <c r="A21" s="4">
        <v>10</v>
      </c>
      <c r="B21" s="18" t="s">
        <v>288</v>
      </c>
      <c r="C21" s="7"/>
      <c r="D21" s="9"/>
      <c r="E21" s="9"/>
      <c r="F21" s="10"/>
      <c r="G21" s="9"/>
      <c r="H21" s="9"/>
      <c r="I21" s="9"/>
      <c r="J21" s="9"/>
      <c r="K21" s="9"/>
      <c r="L21" s="9"/>
      <c r="M21" s="9"/>
      <c r="N21" s="9"/>
      <c r="O21" s="10"/>
      <c r="P21" s="9"/>
      <c r="Q21" s="9"/>
      <c r="R21" s="9">
        <f t="shared" si="0"/>
        <v>0</v>
      </c>
      <c r="S21" s="20"/>
    </row>
    <row r="22" spans="1:19" ht="15">
      <c r="A22" s="4">
        <v>11</v>
      </c>
      <c r="B22" s="18" t="s">
        <v>289</v>
      </c>
      <c r="C22" s="536" t="s">
        <v>278</v>
      </c>
      <c r="D22" s="538"/>
      <c r="E22" s="538"/>
      <c r="F22" s="539"/>
      <c r="G22" s="538">
        <f>1</f>
        <v>1</v>
      </c>
      <c r="H22" s="538"/>
      <c r="I22" s="538"/>
      <c r="J22" s="538"/>
      <c r="K22" s="538"/>
      <c r="L22" s="538"/>
      <c r="M22" s="538"/>
      <c r="N22" s="538"/>
      <c r="O22" s="539"/>
      <c r="P22" s="538"/>
      <c r="Q22" s="538"/>
      <c r="R22" s="540">
        <f t="shared" si="0"/>
        <v>1</v>
      </c>
      <c r="S22" s="10"/>
    </row>
    <row r="23" spans="1:19" ht="15">
      <c r="A23" s="4">
        <v>12</v>
      </c>
      <c r="B23" s="18" t="s">
        <v>290</v>
      </c>
      <c r="C23" s="543" t="s">
        <v>277</v>
      </c>
      <c r="D23" s="545"/>
      <c r="E23" s="545"/>
      <c r="F23" s="546"/>
      <c r="G23" s="545">
        <f>1+2</f>
        <v>3</v>
      </c>
      <c r="H23" s="545"/>
      <c r="I23" s="545"/>
      <c r="J23" s="545"/>
      <c r="K23" s="545">
        <f>4+1+1</f>
        <v>6</v>
      </c>
      <c r="L23" s="545">
        <f>2</f>
        <v>2</v>
      </c>
      <c r="M23" s="545">
        <f>23+46</f>
        <v>69</v>
      </c>
      <c r="N23" s="545"/>
      <c r="O23" s="546"/>
      <c r="P23" s="545"/>
      <c r="Q23" s="545"/>
      <c r="R23" s="547">
        <f t="shared" si="0"/>
        <v>80</v>
      </c>
      <c r="S23" s="10"/>
    </row>
    <row r="24" spans="1:19" ht="15">
      <c r="A24" s="4"/>
      <c r="B24" s="18" t="s">
        <v>290</v>
      </c>
      <c r="C24" s="531" t="s">
        <v>280</v>
      </c>
      <c r="D24" s="533"/>
      <c r="E24" s="533"/>
      <c r="F24" s="534"/>
      <c r="G24" s="533"/>
      <c r="H24" s="533"/>
      <c r="I24" s="533"/>
      <c r="J24" s="533"/>
      <c r="K24" s="533">
        <f>2+4</f>
        <v>6</v>
      </c>
      <c r="L24" s="533">
        <f>1</f>
        <v>1</v>
      </c>
      <c r="M24" s="533">
        <f>5</f>
        <v>5</v>
      </c>
      <c r="N24" s="533"/>
      <c r="O24" s="534">
        <f>16+9+22+55+11+10+8+11+20+15+13</f>
        <v>190</v>
      </c>
      <c r="P24" s="533"/>
      <c r="Q24" s="533"/>
      <c r="R24" s="535">
        <f t="shared" si="0"/>
        <v>202</v>
      </c>
      <c r="S24" s="10"/>
    </row>
    <row r="25" spans="1:19" ht="15">
      <c r="A25" s="4"/>
      <c r="B25" s="18" t="s">
        <v>290</v>
      </c>
      <c r="C25" s="550" t="s">
        <v>279</v>
      </c>
      <c r="D25" s="552"/>
      <c r="E25" s="552">
        <f>7+3+3</f>
        <v>13</v>
      </c>
      <c r="F25" s="553"/>
      <c r="G25" s="552">
        <f>6+5+5+2+2</f>
        <v>20</v>
      </c>
      <c r="H25" s="552"/>
      <c r="I25" s="552"/>
      <c r="J25" s="552">
        <f>3+9+4+4+2+27</f>
        <v>49</v>
      </c>
      <c r="K25" s="552"/>
      <c r="L25" s="552">
        <f>6+2+9</f>
        <v>17</v>
      </c>
      <c r="M25" s="552"/>
      <c r="N25" s="552"/>
      <c r="O25" s="553">
        <f>7</f>
        <v>7</v>
      </c>
      <c r="P25" s="552"/>
      <c r="Q25" s="552"/>
      <c r="R25" s="554">
        <f t="shared" si="0"/>
        <v>106</v>
      </c>
      <c r="S25" s="10"/>
    </row>
    <row r="26" spans="1:19" ht="25.5">
      <c r="A26" s="4"/>
      <c r="B26" s="18" t="s">
        <v>290</v>
      </c>
      <c r="C26" s="536" t="s">
        <v>278</v>
      </c>
      <c r="D26" s="538"/>
      <c r="E26" s="538"/>
      <c r="F26" s="539"/>
      <c r="G26" s="538">
        <f>1</f>
        <v>1</v>
      </c>
      <c r="H26" s="538"/>
      <c r="I26" s="538"/>
      <c r="J26" s="538"/>
      <c r="K26" s="538">
        <f>2+1+2+2</f>
        <v>7</v>
      </c>
      <c r="L26" s="538"/>
      <c r="M26" s="538"/>
      <c r="N26" s="538"/>
      <c r="O26" s="539"/>
      <c r="P26" s="538"/>
      <c r="Q26" s="538"/>
      <c r="R26" s="540">
        <f t="shared" si="0"/>
        <v>8</v>
      </c>
      <c r="S26" s="10" t="s">
        <v>291</v>
      </c>
    </row>
    <row r="27" spans="1:19" ht="25.5">
      <c r="A27" s="4">
        <v>13</v>
      </c>
      <c r="B27" s="6" t="s">
        <v>292</v>
      </c>
      <c r="C27" s="531" t="s">
        <v>280</v>
      </c>
      <c r="D27" s="533"/>
      <c r="E27" s="533"/>
      <c r="F27" s="534"/>
      <c r="G27" s="533"/>
      <c r="H27" s="533"/>
      <c r="I27" s="533"/>
      <c r="J27" s="533"/>
      <c r="K27" s="533"/>
      <c r="L27" s="533"/>
      <c r="M27" s="533"/>
      <c r="N27" s="533"/>
      <c r="O27" s="534">
        <f>1</f>
        <v>1</v>
      </c>
      <c r="P27" s="533"/>
      <c r="Q27" s="533"/>
      <c r="R27" s="535">
        <f t="shared" si="0"/>
        <v>1</v>
      </c>
      <c r="S27" s="10"/>
    </row>
    <row r="28" spans="1:19" ht="25.5">
      <c r="A28" s="4">
        <v>14</v>
      </c>
      <c r="B28" s="6" t="s">
        <v>293</v>
      </c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9">
        <f t="shared" si="0"/>
        <v>0</v>
      </c>
      <c r="S28" s="10"/>
    </row>
    <row r="29" spans="1:19" ht="25.5">
      <c r="A29" s="4">
        <v>15</v>
      </c>
      <c r="B29" s="6" t="s">
        <v>294</v>
      </c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9">
        <f t="shared" si="0"/>
        <v>0</v>
      </c>
      <c r="S29" s="10"/>
    </row>
    <row r="30" spans="1:19" ht="15">
      <c r="A30" s="4">
        <v>16</v>
      </c>
      <c r="B30" s="6" t="s">
        <v>295</v>
      </c>
      <c r="C30" s="16"/>
      <c r="D30" s="17"/>
      <c r="E30" s="17"/>
      <c r="F30" s="17"/>
      <c r="G30" s="17"/>
      <c r="H30" s="17"/>
      <c r="I30" s="17"/>
      <c r="J30" s="17"/>
      <c r="K30" s="17"/>
      <c r="L30" s="424">
        <f>4</f>
        <v>4</v>
      </c>
      <c r="M30" s="17"/>
      <c r="N30" s="17"/>
      <c r="O30" s="17"/>
      <c r="P30" s="17"/>
      <c r="Q30" s="17"/>
      <c r="R30" s="9">
        <f t="shared" si="0"/>
        <v>4</v>
      </c>
      <c r="S30" s="17"/>
    </row>
    <row r="31" spans="1:19" ht="15">
      <c r="A31" s="4">
        <v>17</v>
      </c>
      <c r="B31" s="6" t="s">
        <v>296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9">
        <f t="shared" si="0"/>
        <v>0</v>
      </c>
      <c r="S31" s="15"/>
    </row>
    <row r="32" spans="1:19" ht="15">
      <c r="A32" s="4">
        <v>18</v>
      </c>
      <c r="B32" s="6" t="s">
        <v>297</v>
      </c>
      <c r="C32" s="1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9">
        <f t="shared" si="0"/>
        <v>0</v>
      </c>
      <c r="S32" s="10"/>
    </row>
    <row r="33" spans="1:19" ht="15">
      <c r="A33" s="4">
        <v>19</v>
      </c>
      <c r="B33" s="6" t="s">
        <v>298</v>
      </c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9">
        <f t="shared" si="0"/>
        <v>0</v>
      </c>
      <c r="S33" s="10"/>
    </row>
    <row r="34" spans="1:19" ht="15">
      <c r="A34" s="4">
        <v>20</v>
      </c>
      <c r="B34" s="6" t="s">
        <v>299</v>
      </c>
      <c r="C34" s="1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9">
        <f t="shared" si="0"/>
        <v>0</v>
      </c>
      <c r="S34" s="10"/>
    </row>
    <row r="35" spans="1:19" ht="15">
      <c r="A35" s="4">
        <v>21</v>
      </c>
      <c r="B35" s="18" t="s">
        <v>300</v>
      </c>
      <c r="C35" s="543" t="s">
        <v>277</v>
      </c>
      <c r="D35" s="545"/>
      <c r="E35" s="545"/>
      <c r="F35" s="545"/>
      <c r="G35" s="545"/>
      <c r="H35" s="545"/>
      <c r="I35" s="545"/>
      <c r="J35" s="545"/>
      <c r="K35" s="545"/>
      <c r="L35" s="545">
        <f>4</f>
        <v>4</v>
      </c>
      <c r="M35" s="545"/>
      <c r="N35" s="545"/>
      <c r="O35" s="545"/>
      <c r="P35" s="545"/>
      <c r="Q35" s="545"/>
      <c r="R35" s="547">
        <f t="shared" si="0"/>
        <v>4</v>
      </c>
      <c r="S35" s="545"/>
    </row>
    <row r="36" spans="1:19" ht="15">
      <c r="A36" s="4">
        <v>22</v>
      </c>
      <c r="B36" s="18" t="s">
        <v>301</v>
      </c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9">
        <f t="shared" si="0"/>
        <v>0</v>
      </c>
      <c r="S36" s="20"/>
    </row>
    <row r="37" spans="1:19" ht="15">
      <c r="A37" s="4">
        <v>23</v>
      </c>
      <c r="B37" s="6" t="s">
        <v>302</v>
      </c>
      <c r="C37" s="1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9">
        <f t="shared" si="0"/>
        <v>0</v>
      </c>
      <c r="S37" s="20"/>
    </row>
    <row r="38" spans="1:19" ht="15">
      <c r="A38" s="4">
        <v>24</v>
      </c>
      <c r="B38" s="6" t="s">
        <v>303</v>
      </c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9">
        <f t="shared" si="0"/>
        <v>0</v>
      </c>
      <c r="S38" s="20"/>
    </row>
    <row r="39" spans="1:19" ht="15">
      <c r="A39" s="4">
        <v>25</v>
      </c>
      <c r="B39" s="6" t="s">
        <v>304</v>
      </c>
      <c r="C39" s="7"/>
      <c r="D39" s="9"/>
      <c r="E39" s="9"/>
      <c r="F39" s="10"/>
      <c r="G39" s="9"/>
      <c r="H39" s="9"/>
      <c r="I39" s="9"/>
      <c r="J39" s="9"/>
      <c r="K39" s="9"/>
      <c r="L39" s="9"/>
      <c r="M39" s="9"/>
      <c r="N39" s="9"/>
      <c r="O39" s="10"/>
      <c r="P39" s="10"/>
      <c r="Q39" s="10"/>
      <c r="R39" s="9">
        <f t="shared" si="0"/>
        <v>0</v>
      </c>
      <c r="S39" s="20"/>
    </row>
    <row r="40" spans="1:19" ht="15">
      <c r="A40" s="4">
        <v>26</v>
      </c>
      <c r="B40" s="6" t="s">
        <v>305</v>
      </c>
      <c r="C40" s="11"/>
      <c r="D40" s="10"/>
      <c r="E40" s="10"/>
      <c r="F40" s="12"/>
      <c r="G40" s="10"/>
      <c r="H40" s="10"/>
      <c r="I40" s="10"/>
      <c r="J40" s="10"/>
      <c r="K40" s="10"/>
      <c r="L40" s="10"/>
      <c r="M40" s="10"/>
      <c r="N40" s="10"/>
      <c r="O40" s="12"/>
      <c r="P40" s="10"/>
      <c r="Q40" s="10"/>
      <c r="R40" s="9">
        <f t="shared" si="0"/>
        <v>0</v>
      </c>
      <c r="S40" s="10"/>
    </row>
    <row r="41" spans="1:19" ht="15">
      <c r="A41" s="4">
        <v>27</v>
      </c>
      <c r="B41" s="6" t="s">
        <v>306</v>
      </c>
      <c r="C41" s="11"/>
      <c r="D41" s="10"/>
      <c r="E41" s="10"/>
      <c r="F41" s="12"/>
      <c r="G41" s="10"/>
      <c r="H41" s="10"/>
      <c r="I41" s="10"/>
      <c r="J41" s="10"/>
      <c r="K41" s="10"/>
      <c r="L41" s="10"/>
      <c r="M41" s="10"/>
      <c r="N41" s="10"/>
      <c r="O41" s="12"/>
      <c r="P41" s="10"/>
      <c r="Q41" s="10"/>
      <c r="R41" s="9">
        <f t="shared" si="0"/>
        <v>0</v>
      </c>
      <c r="S41" s="10"/>
    </row>
    <row r="42" spans="1:19" ht="15">
      <c r="A42" s="4">
        <v>28</v>
      </c>
      <c r="B42" s="6" t="s">
        <v>307</v>
      </c>
      <c r="C42" s="11" t="s">
        <v>308</v>
      </c>
      <c r="D42" s="10"/>
      <c r="E42" s="10"/>
      <c r="F42" s="12"/>
      <c r="G42" s="10"/>
      <c r="H42" s="10"/>
      <c r="I42" s="10"/>
      <c r="J42" s="10"/>
      <c r="K42" s="10"/>
      <c r="L42" s="10"/>
      <c r="M42" s="10"/>
      <c r="N42" s="10"/>
      <c r="O42" s="12"/>
      <c r="P42" s="10"/>
      <c r="Q42" s="423">
        <v>66</v>
      </c>
      <c r="R42" s="9">
        <f t="shared" si="0"/>
        <v>66</v>
      </c>
      <c r="S42" s="10"/>
    </row>
    <row r="43" spans="1:19" ht="15">
      <c r="A43" s="4">
        <v>29</v>
      </c>
      <c r="B43" s="6" t="s">
        <v>309</v>
      </c>
      <c r="C43" s="531" t="s">
        <v>280</v>
      </c>
      <c r="D43" s="533"/>
      <c r="E43" s="533"/>
      <c r="F43" s="534"/>
      <c r="G43" s="533"/>
      <c r="H43" s="533"/>
      <c r="I43" s="533"/>
      <c r="J43" s="533"/>
      <c r="K43" s="533"/>
      <c r="L43" s="533"/>
      <c r="M43" s="533"/>
      <c r="N43" s="533"/>
      <c r="O43" s="534">
        <f>3+5+6+6+3</f>
        <v>23</v>
      </c>
      <c r="P43" s="533"/>
      <c r="Q43" s="533"/>
      <c r="R43" s="535">
        <f t="shared" si="0"/>
        <v>23</v>
      </c>
      <c r="S43" s="533"/>
    </row>
    <row r="44" spans="1:19" ht="15">
      <c r="A44" s="4">
        <v>30</v>
      </c>
      <c r="B44" s="6" t="s">
        <v>310</v>
      </c>
      <c r="C44" s="531" t="s">
        <v>280</v>
      </c>
      <c r="D44" s="533"/>
      <c r="E44" s="533"/>
      <c r="F44" s="534"/>
      <c r="G44" s="533"/>
      <c r="H44" s="533"/>
      <c r="I44" s="533"/>
      <c r="J44" s="533"/>
      <c r="K44" s="533"/>
      <c r="L44" s="533">
        <f>2</f>
        <v>2</v>
      </c>
      <c r="M44" s="533"/>
      <c r="N44" s="533"/>
      <c r="O44" s="534"/>
      <c r="P44" s="533"/>
      <c r="Q44" s="533"/>
      <c r="R44" s="535">
        <f t="shared" si="0"/>
        <v>2</v>
      </c>
      <c r="S44" s="533"/>
    </row>
  </sheetData>
  <sheetProtection/>
  <mergeCells count="7">
    <mergeCell ref="A1:S1"/>
    <mergeCell ref="D3:Q3"/>
    <mergeCell ref="A3:A4"/>
    <mergeCell ref="B3:B4"/>
    <mergeCell ref="C3:C4"/>
    <mergeCell ref="R3:R4"/>
    <mergeCell ref="S3:S4"/>
  </mergeCells>
  <printOptions/>
  <pageMargins left="0.6986111111111111" right="0.6986111111111111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28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3.7109375" style="155" customWidth="1"/>
    <col min="2" max="2" width="17.57421875" style="155" customWidth="1"/>
    <col min="3" max="14" width="10.7109375" style="155" customWidth="1"/>
    <col min="15" max="15" width="12.8515625" style="155" bestFit="1" customWidth="1"/>
    <col min="16" max="16" width="14.140625" style="155" customWidth="1"/>
    <col min="17" max="16384" width="9.140625" style="155" customWidth="1"/>
  </cols>
  <sheetData>
    <row r="1" spans="1:16" ht="12.75">
      <c r="A1" s="470" t="s">
        <v>28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</row>
    <row r="4" spans="1:16" s="149" customFormat="1" ht="12.75">
      <c r="A4" s="385"/>
      <c r="B4" s="385"/>
      <c r="C4" s="385" t="s">
        <v>29</v>
      </c>
      <c r="D4" s="385" t="s">
        <v>30</v>
      </c>
      <c r="E4" s="385" t="s">
        <v>31</v>
      </c>
      <c r="F4" s="385" t="s">
        <v>32</v>
      </c>
      <c r="G4" s="385" t="s">
        <v>33</v>
      </c>
      <c r="H4" s="385" t="s">
        <v>34</v>
      </c>
      <c r="I4" s="385" t="s">
        <v>35</v>
      </c>
      <c r="J4" s="385" t="s">
        <v>36</v>
      </c>
      <c r="K4" s="385" t="s">
        <v>37</v>
      </c>
      <c r="L4" s="385" t="s">
        <v>38</v>
      </c>
      <c r="M4" s="385" t="s">
        <v>39</v>
      </c>
      <c r="N4" s="385" t="s">
        <v>40</v>
      </c>
      <c r="O4" s="389" t="s">
        <v>41</v>
      </c>
      <c r="P4" s="385" t="s">
        <v>42</v>
      </c>
    </row>
    <row r="5" spans="1:16" ht="13.5">
      <c r="A5" s="386">
        <v>1</v>
      </c>
      <c r="B5" s="245" t="s">
        <v>43</v>
      </c>
      <c r="C5" s="212">
        <v>86000</v>
      </c>
      <c r="D5" s="212">
        <v>100000</v>
      </c>
      <c r="E5" s="212">
        <v>100000</v>
      </c>
      <c r="F5" s="212">
        <v>107000</v>
      </c>
      <c r="G5" s="212">
        <v>116000</v>
      </c>
      <c r="H5" s="212">
        <v>96000</v>
      </c>
      <c r="I5" s="212">
        <v>92000</v>
      </c>
      <c r="J5" s="212">
        <v>99000</v>
      </c>
      <c r="K5" s="212">
        <v>100000</v>
      </c>
      <c r="L5" s="212">
        <v>111000</v>
      </c>
      <c r="M5" s="212">
        <v>100000</v>
      </c>
      <c r="N5" s="339">
        <v>103000</v>
      </c>
      <c r="O5" s="390">
        <f aca="true" t="shared" si="0" ref="O5:O19">SUM(C5:N5)</f>
        <v>1210000</v>
      </c>
      <c r="P5" s="391">
        <v>956000</v>
      </c>
    </row>
    <row r="6" spans="1:16" ht="13.5">
      <c r="A6" s="387">
        <v>2</v>
      </c>
      <c r="B6" s="245" t="s">
        <v>44</v>
      </c>
      <c r="C6" s="212">
        <v>21000</v>
      </c>
      <c r="D6" s="212">
        <v>21000</v>
      </c>
      <c r="E6" s="212">
        <v>21000</v>
      </c>
      <c r="F6" s="212">
        <v>21000</v>
      </c>
      <c r="G6" s="212">
        <v>21000</v>
      </c>
      <c r="H6" s="212">
        <v>21000</v>
      </c>
      <c r="I6" s="212">
        <v>23500</v>
      </c>
      <c r="J6" s="212">
        <v>23500</v>
      </c>
      <c r="K6" s="212">
        <v>23500</v>
      </c>
      <c r="L6" s="212">
        <v>23500</v>
      </c>
      <c r="M6" s="212">
        <v>23500</v>
      </c>
      <c r="N6" s="339">
        <v>23500</v>
      </c>
      <c r="O6" s="392">
        <f t="shared" si="0"/>
        <v>267000</v>
      </c>
      <c r="P6" s="393">
        <v>230000</v>
      </c>
    </row>
    <row r="7" spans="1:16" ht="13.5">
      <c r="A7" s="387">
        <v>3</v>
      </c>
      <c r="B7" s="245" t="s">
        <v>45</v>
      </c>
      <c r="C7" s="212">
        <v>69800</v>
      </c>
      <c r="D7" s="212">
        <v>33500</v>
      </c>
      <c r="E7" s="212">
        <v>64800</v>
      </c>
      <c r="F7" s="212">
        <v>64800</v>
      </c>
      <c r="G7" s="212">
        <v>33500</v>
      </c>
      <c r="H7" s="212">
        <v>133800</v>
      </c>
      <c r="I7" s="212">
        <v>92300</v>
      </c>
      <c r="J7" s="212">
        <v>140300</v>
      </c>
      <c r="K7" s="212">
        <v>85500</v>
      </c>
      <c r="L7" s="212">
        <v>88300</v>
      </c>
      <c r="M7" s="212">
        <v>94300</v>
      </c>
      <c r="N7" s="339">
        <v>82800</v>
      </c>
      <c r="O7" s="392">
        <f t="shared" si="0"/>
        <v>983700</v>
      </c>
      <c r="P7" s="393">
        <v>669600</v>
      </c>
    </row>
    <row r="8" spans="1:16" ht="13.5">
      <c r="A8" s="387">
        <v>4</v>
      </c>
      <c r="B8" s="245" t="s">
        <v>46</v>
      </c>
      <c r="C8" s="212">
        <v>130500</v>
      </c>
      <c r="D8" s="212">
        <v>89500</v>
      </c>
      <c r="E8" s="212">
        <v>113000</v>
      </c>
      <c r="F8" s="212">
        <v>103500</v>
      </c>
      <c r="G8" s="212">
        <v>132000</v>
      </c>
      <c r="H8" s="212">
        <v>45500</v>
      </c>
      <c r="I8" s="212">
        <v>45500</v>
      </c>
      <c r="J8" s="212">
        <v>130000</v>
      </c>
      <c r="K8" s="212">
        <v>79000</v>
      </c>
      <c r="L8" s="212">
        <v>131500</v>
      </c>
      <c r="M8" s="212">
        <v>141500</v>
      </c>
      <c r="N8" s="339">
        <v>64000</v>
      </c>
      <c r="O8" s="392">
        <f t="shared" si="0"/>
        <v>1205500</v>
      </c>
      <c r="P8" s="393">
        <v>894500</v>
      </c>
    </row>
    <row r="9" spans="1:16" ht="13.5">
      <c r="A9" s="387">
        <v>5</v>
      </c>
      <c r="B9" s="245" t="s">
        <v>47</v>
      </c>
      <c r="C9" s="212">
        <v>0</v>
      </c>
      <c r="D9" s="212">
        <v>0</v>
      </c>
      <c r="E9" s="212">
        <v>0</v>
      </c>
      <c r="F9" s="212">
        <v>0</v>
      </c>
      <c r="G9" s="212">
        <v>0</v>
      </c>
      <c r="H9" s="212">
        <v>0</v>
      </c>
      <c r="I9" s="212">
        <v>0</v>
      </c>
      <c r="J9" s="212">
        <v>0</v>
      </c>
      <c r="K9" s="212">
        <v>0</v>
      </c>
      <c r="L9" s="212">
        <v>0</v>
      </c>
      <c r="M9" s="212">
        <v>0</v>
      </c>
      <c r="N9" s="339">
        <v>0</v>
      </c>
      <c r="O9" s="392">
        <f t="shared" si="0"/>
        <v>0</v>
      </c>
      <c r="P9" s="393">
        <v>0</v>
      </c>
    </row>
    <row r="10" spans="1:16" s="234" customFormat="1" ht="13.5">
      <c r="A10" s="387">
        <v>6</v>
      </c>
      <c r="B10" s="245" t="s">
        <v>48</v>
      </c>
      <c r="C10" s="212">
        <v>151500</v>
      </c>
      <c r="D10" s="212">
        <v>151500</v>
      </c>
      <c r="E10" s="212">
        <v>151500</v>
      </c>
      <c r="F10" s="212">
        <v>151500</v>
      </c>
      <c r="G10" s="212">
        <v>151500</v>
      </c>
      <c r="H10" s="212">
        <v>210000</v>
      </c>
      <c r="I10" s="212">
        <v>210000</v>
      </c>
      <c r="J10" s="212">
        <v>207000</v>
      </c>
      <c r="K10" s="212">
        <v>210000</v>
      </c>
      <c r="L10" s="212">
        <v>210000</v>
      </c>
      <c r="M10" s="212">
        <v>210000</v>
      </c>
      <c r="N10" s="339">
        <v>210000</v>
      </c>
      <c r="O10" s="392">
        <f t="shared" si="0"/>
        <v>2224500</v>
      </c>
      <c r="P10" s="394">
        <v>1818000</v>
      </c>
    </row>
    <row r="11" spans="1:16" ht="13.5">
      <c r="A11" s="387">
        <v>7</v>
      </c>
      <c r="B11" s="245" t="s">
        <v>49</v>
      </c>
      <c r="C11" s="212">
        <v>3000</v>
      </c>
      <c r="D11" s="212">
        <v>3000</v>
      </c>
      <c r="E11" s="212">
        <v>3000</v>
      </c>
      <c r="F11" s="212">
        <v>3000</v>
      </c>
      <c r="G11" s="212">
        <v>3000</v>
      </c>
      <c r="H11" s="212">
        <v>3000</v>
      </c>
      <c r="I11" s="212">
        <v>3000</v>
      </c>
      <c r="J11" s="395">
        <v>3000</v>
      </c>
      <c r="K11" s="212">
        <v>3000</v>
      </c>
      <c r="L11" s="396">
        <v>3000</v>
      </c>
      <c r="M11" s="212">
        <v>3000</v>
      </c>
      <c r="N11" s="339">
        <v>3000</v>
      </c>
      <c r="O11" s="392">
        <f t="shared" si="0"/>
        <v>36000</v>
      </c>
      <c r="P11" s="393">
        <v>29000</v>
      </c>
    </row>
    <row r="12" spans="1:16" ht="13.5">
      <c r="A12" s="387">
        <v>8</v>
      </c>
      <c r="B12" s="245" t="s">
        <v>50</v>
      </c>
      <c r="C12" s="212">
        <v>107000</v>
      </c>
      <c r="D12" s="212">
        <v>107000</v>
      </c>
      <c r="E12" s="212">
        <v>116000</v>
      </c>
      <c r="F12" s="212">
        <v>114500</v>
      </c>
      <c r="G12" s="212">
        <v>119500</v>
      </c>
      <c r="H12" s="212">
        <v>114500</v>
      </c>
      <c r="I12" s="212">
        <v>116000</v>
      </c>
      <c r="J12" s="395">
        <v>117000</v>
      </c>
      <c r="K12" s="212">
        <v>117000</v>
      </c>
      <c r="L12" s="396">
        <v>117000</v>
      </c>
      <c r="M12" s="212">
        <v>113000</v>
      </c>
      <c r="N12" s="339">
        <v>113000</v>
      </c>
      <c r="O12" s="392">
        <f t="shared" si="0"/>
        <v>1371500</v>
      </c>
      <c r="P12" s="393">
        <v>1230500</v>
      </c>
    </row>
    <row r="13" spans="1:16" ht="13.5">
      <c r="A13" s="387">
        <v>9</v>
      </c>
      <c r="B13" s="245" t="s">
        <v>51</v>
      </c>
      <c r="C13" s="212">
        <v>23000</v>
      </c>
      <c r="D13" s="212">
        <v>32000</v>
      </c>
      <c r="E13" s="212">
        <v>32000</v>
      </c>
      <c r="F13" s="212">
        <v>32000</v>
      </c>
      <c r="G13" s="212">
        <v>32000</v>
      </c>
      <c r="H13" s="212">
        <v>32000</v>
      </c>
      <c r="I13" s="212">
        <v>32000</v>
      </c>
      <c r="J13" s="395">
        <v>32000</v>
      </c>
      <c r="K13" s="212">
        <v>32000</v>
      </c>
      <c r="L13" s="396">
        <v>32000</v>
      </c>
      <c r="M13" s="212">
        <v>32000</v>
      </c>
      <c r="N13" s="339">
        <v>32000</v>
      </c>
      <c r="O13" s="392">
        <f t="shared" si="0"/>
        <v>375000</v>
      </c>
      <c r="P13" s="393">
        <v>111000</v>
      </c>
    </row>
    <row r="14" spans="1:16" ht="13.5">
      <c r="A14" s="387">
        <v>10</v>
      </c>
      <c r="B14" s="245" t="s">
        <v>52</v>
      </c>
      <c r="C14" s="212">
        <v>16000</v>
      </c>
      <c r="D14" s="212">
        <v>16000</v>
      </c>
      <c r="E14" s="212">
        <v>16000</v>
      </c>
      <c r="F14" s="212">
        <v>16000</v>
      </c>
      <c r="G14" s="212">
        <v>16000</v>
      </c>
      <c r="H14" s="212">
        <v>21000</v>
      </c>
      <c r="I14" s="212">
        <v>21000</v>
      </c>
      <c r="J14" s="212">
        <v>24000</v>
      </c>
      <c r="K14" s="212">
        <v>24000</v>
      </c>
      <c r="L14" s="212">
        <v>24000</v>
      </c>
      <c r="M14" s="212">
        <v>24000</v>
      </c>
      <c r="N14" s="339">
        <v>24000</v>
      </c>
      <c r="O14" s="392">
        <f t="shared" si="0"/>
        <v>242000</v>
      </c>
      <c r="P14" s="393">
        <v>272000</v>
      </c>
    </row>
    <row r="15" spans="1:16" ht="13.5">
      <c r="A15" s="387">
        <v>11</v>
      </c>
      <c r="B15" s="245" t="s">
        <v>53</v>
      </c>
      <c r="C15" s="212">
        <v>103000</v>
      </c>
      <c r="D15" s="212">
        <v>103000</v>
      </c>
      <c r="E15" s="212">
        <v>103000</v>
      </c>
      <c r="F15" s="212">
        <v>117000</v>
      </c>
      <c r="G15" s="212">
        <v>114750</v>
      </c>
      <c r="H15" s="212">
        <v>109000</v>
      </c>
      <c r="I15" s="212">
        <v>103000</v>
      </c>
      <c r="J15" s="212">
        <v>115000</v>
      </c>
      <c r="K15" s="212">
        <v>118000</v>
      </c>
      <c r="L15" s="212">
        <v>118000</v>
      </c>
      <c r="M15" s="212">
        <v>118000</v>
      </c>
      <c r="N15" s="339">
        <v>118000</v>
      </c>
      <c r="O15" s="392">
        <f t="shared" si="0"/>
        <v>1339750</v>
      </c>
      <c r="P15" s="393">
        <v>1236000</v>
      </c>
    </row>
    <row r="16" spans="1:16" ht="13.5">
      <c r="A16" s="387">
        <v>12</v>
      </c>
      <c r="B16" s="245" t="s">
        <v>54</v>
      </c>
      <c r="C16" s="212">
        <v>20000</v>
      </c>
      <c r="D16" s="212">
        <v>20000</v>
      </c>
      <c r="E16" s="212">
        <v>20000</v>
      </c>
      <c r="F16" s="212">
        <v>20000</v>
      </c>
      <c r="G16" s="212">
        <v>20000</v>
      </c>
      <c r="H16" s="212">
        <v>20000</v>
      </c>
      <c r="I16" s="212">
        <v>20000</v>
      </c>
      <c r="J16" s="212">
        <v>20000</v>
      </c>
      <c r="K16" s="212">
        <v>20000</v>
      </c>
      <c r="L16" s="212">
        <v>20000</v>
      </c>
      <c r="M16" s="212">
        <v>20000</v>
      </c>
      <c r="N16" s="339">
        <v>20000</v>
      </c>
      <c r="O16" s="392">
        <f t="shared" si="0"/>
        <v>240000</v>
      </c>
      <c r="P16" s="393">
        <v>0</v>
      </c>
    </row>
    <row r="17" spans="1:16" ht="13.5">
      <c r="A17" s="387">
        <v>13</v>
      </c>
      <c r="B17" s="245" t="s">
        <v>55</v>
      </c>
      <c r="C17" s="212">
        <v>19500</v>
      </c>
      <c r="D17" s="212">
        <v>50500</v>
      </c>
      <c r="E17" s="212">
        <v>50500</v>
      </c>
      <c r="F17" s="212">
        <v>51000</v>
      </c>
      <c r="G17" s="212">
        <v>51000</v>
      </c>
      <c r="H17" s="212">
        <v>61000</v>
      </c>
      <c r="I17" s="212">
        <v>61000</v>
      </c>
      <c r="J17" s="212">
        <v>66000</v>
      </c>
      <c r="K17" s="212">
        <v>66000</v>
      </c>
      <c r="L17" s="212">
        <v>91000</v>
      </c>
      <c r="M17" s="212">
        <v>96000</v>
      </c>
      <c r="N17" s="339">
        <v>96000</v>
      </c>
      <c r="O17" s="392">
        <f t="shared" si="0"/>
        <v>759500</v>
      </c>
      <c r="P17" s="393">
        <v>143000</v>
      </c>
    </row>
    <row r="18" spans="1:16" ht="13.5">
      <c r="A18" s="387">
        <v>14</v>
      </c>
      <c r="B18" s="245" t="s">
        <v>56</v>
      </c>
      <c r="C18" s="212">
        <v>64000</v>
      </c>
      <c r="D18" s="212">
        <v>66000</v>
      </c>
      <c r="E18" s="212">
        <v>66000</v>
      </c>
      <c r="F18" s="212">
        <v>66000</v>
      </c>
      <c r="G18" s="212">
        <v>66000</v>
      </c>
      <c r="H18" s="212">
        <v>76000</v>
      </c>
      <c r="I18" s="212">
        <v>34500</v>
      </c>
      <c r="J18" s="212">
        <v>75000</v>
      </c>
      <c r="K18" s="212">
        <v>41100</v>
      </c>
      <c r="L18" s="212">
        <v>88000</v>
      </c>
      <c r="M18" s="212">
        <v>20600</v>
      </c>
      <c r="N18" s="339">
        <v>88500</v>
      </c>
      <c r="O18" s="397">
        <f t="shared" si="0"/>
        <v>751700</v>
      </c>
      <c r="P18" s="398">
        <v>768000</v>
      </c>
    </row>
    <row r="19" spans="1:16" ht="12.75">
      <c r="A19" s="388"/>
      <c r="B19" s="388" t="s">
        <v>57</v>
      </c>
      <c r="C19" s="175">
        <f aca="true" t="shared" si="1" ref="C19:M19">SUM(C5:C18)</f>
        <v>814300</v>
      </c>
      <c r="D19" s="175">
        <f t="shared" si="1"/>
        <v>793000</v>
      </c>
      <c r="E19" s="175">
        <f t="shared" si="1"/>
        <v>856800</v>
      </c>
      <c r="F19" s="175">
        <f t="shared" si="1"/>
        <v>867300</v>
      </c>
      <c r="G19" s="175">
        <f t="shared" si="1"/>
        <v>876250</v>
      </c>
      <c r="H19" s="175">
        <f t="shared" si="1"/>
        <v>942800</v>
      </c>
      <c r="I19" s="175">
        <f t="shared" si="1"/>
        <v>853800</v>
      </c>
      <c r="J19" s="175">
        <f t="shared" si="1"/>
        <v>1051800</v>
      </c>
      <c r="K19" s="175">
        <f t="shared" si="1"/>
        <v>919100</v>
      </c>
      <c r="L19" s="175">
        <f t="shared" si="1"/>
        <v>1057300</v>
      </c>
      <c r="M19" s="175">
        <f t="shared" si="1"/>
        <v>995900</v>
      </c>
      <c r="N19" s="175">
        <f>SUM(N5:N18)</f>
        <v>977800</v>
      </c>
      <c r="O19" s="399">
        <f t="shared" si="0"/>
        <v>11006150</v>
      </c>
      <c r="P19" s="175"/>
    </row>
    <row r="20" spans="1:15" ht="12.75">
      <c r="A20" s="388"/>
      <c r="B20" s="388" t="s">
        <v>58</v>
      </c>
      <c r="C20" s="263">
        <v>625000</v>
      </c>
      <c r="D20" s="263">
        <v>707000</v>
      </c>
      <c r="E20" s="263">
        <v>701500</v>
      </c>
      <c r="F20" s="263">
        <v>706000</v>
      </c>
      <c r="G20" s="263">
        <v>765000</v>
      </c>
      <c r="H20" s="263">
        <v>678500</v>
      </c>
      <c r="I20" s="263">
        <v>693800</v>
      </c>
      <c r="J20" s="400">
        <v>727000</v>
      </c>
      <c r="K20" s="263">
        <v>704500</v>
      </c>
      <c r="L20" s="263">
        <v>668500</v>
      </c>
      <c r="M20" s="263">
        <v>732300</v>
      </c>
      <c r="N20" s="263">
        <v>648500</v>
      </c>
      <c r="O20" s="263">
        <v>8357600</v>
      </c>
    </row>
    <row r="22" spans="12:15" ht="12.75">
      <c r="L22" s="234" t="s">
        <v>59</v>
      </c>
      <c r="O22" s="401"/>
    </row>
    <row r="23" spans="12:15" ht="12.75">
      <c r="L23" s="234" t="s">
        <v>60</v>
      </c>
      <c r="O23" s="402"/>
    </row>
    <row r="24" ht="12.75">
      <c r="L24" s="234" t="s">
        <v>61</v>
      </c>
    </row>
    <row r="25" ht="12.75">
      <c r="L25" s="234"/>
    </row>
    <row r="26" ht="12.75">
      <c r="L26" s="234"/>
    </row>
    <row r="27" ht="12.75">
      <c r="L27" s="234" t="s">
        <v>62</v>
      </c>
    </row>
    <row r="28" ht="12.75">
      <c r="L28" s="234" t="s">
        <v>63</v>
      </c>
    </row>
  </sheetData>
  <sheetProtection/>
  <mergeCells count="1">
    <mergeCell ref="A1:P1"/>
  </mergeCells>
  <printOptions horizontalCentered="1"/>
  <pageMargins left="0.9048611111111111" right="0.7479166666666667" top="1.2201388888888889" bottom="0.2361111111111111" header="0.2361111111111111" footer="0.2361111111111111"/>
  <pageSetup fitToHeight="1" fitToWidth="1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BU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155" customWidth="1"/>
    <col min="2" max="2" width="14.28125" style="155" customWidth="1"/>
    <col min="3" max="3" width="5.421875" style="155" customWidth="1"/>
    <col min="4" max="4" width="5.8515625" style="155" customWidth="1"/>
    <col min="5" max="5" width="5.421875" style="155" customWidth="1"/>
    <col min="6" max="6" width="5.8515625" style="155" customWidth="1"/>
    <col min="7" max="7" width="5.28125" style="155" customWidth="1"/>
    <col min="8" max="9" width="5.28125" style="155" bestFit="1" customWidth="1"/>
    <col min="10" max="10" width="5.7109375" style="155" customWidth="1"/>
    <col min="11" max="12" width="6.7109375" style="155" bestFit="1" customWidth="1"/>
    <col min="13" max="13" width="5.57421875" style="155" customWidth="1"/>
    <col min="14" max="15" width="6.7109375" style="155" bestFit="1" customWidth="1"/>
    <col min="16" max="16" width="6.7109375" style="155" customWidth="1"/>
    <col min="17" max="18" width="6.7109375" style="155" bestFit="1" customWidth="1"/>
    <col min="19" max="19" width="6.57421875" style="155" customWidth="1"/>
    <col min="20" max="20" width="5.57421875" style="155" customWidth="1"/>
    <col min="21" max="21" width="5.8515625" style="155" customWidth="1"/>
    <col min="22" max="22" width="6.421875" style="155" bestFit="1" customWidth="1"/>
    <col min="23" max="23" width="7.00390625" style="155" customWidth="1"/>
    <col min="24" max="24" width="6.7109375" style="155" customWidth="1"/>
    <col min="25" max="26" width="6.8515625" style="155" bestFit="1" customWidth="1"/>
    <col min="27" max="27" width="9.140625" style="155" customWidth="1"/>
    <col min="28" max="28" width="2.7109375" style="155" customWidth="1"/>
    <col min="29" max="30" width="13.57421875" style="155" customWidth="1"/>
    <col min="31" max="31" width="8.57421875" style="155" customWidth="1"/>
    <col min="32" max="32" width="8.00390625" style="155" customWidth="1"/>
    <col min="33" max="33" width="8.7109375" style="155" customWidth="1"/>
    <col min="34" max="34" width="8.00390625" style="155" customWidth="1"/>
    <col min="35" max="35" width="8.7109375" style="155" customWidth="1"/>
    <col min="36" max="37" width="8.421875" style="155" customWidth="1"/>
    <col min="38" max="38" width="8.140625" style="155" customWidth="1"/>
    <col min="39" max="39" width="8.00390625" style="155" customWidth="1"/>
    <col min="40" max="40" width="7.7109375" style="155" bestFit="1" customWidth="1"/>
    <col min="41" max="41" width="7.28125" style="155" customWidth="1"/>
    <col min="42" max="42" width="7.7109375" style="155" customWidth="1"/>
    <col min="43" max="46" width="9.140625" style="155" customWidth="1"/>
    <col min="47" max="47" width="4.00390625" style="155" customWidth="1"/>
    <col min="48" max="48" width="11.8515625" style="155" customWidth="1"/>
    <col min="49" max="49" width="12.8515625" style="155" customWidth="1"/>
    <col min="50" max="50" width="6.57421875" style="155" bestFit="1" customWidth="1"/>
    <col min="51" max="51" width="6.7109375" style="155" customWidth="1"/>
    <col min="52" max="52" width="6.57421875" style="155" customWidth="1"/>
    <col min="53" max="56" width="6.7109375" style="155" customWidth="1"/>
    <col min="57" max="57" width="6.28125" style="155" customWidth="1"/>
    <col min="58" max="58" width="5.8515625" style="155" customWidth="1"/>
    <col min="59" max="59" width="6.140625" style="155" customWidth="1"/>
    <col min="60" max="60" width="5.57421875" style="155" customWidth="1"/>
    <col min="61" max="61" width="6.57421875" style="155" customWidth="1"/>
    <col min="62" max="62" width="6.8515625" style="155" customWidth="1"/>
    <col min="63" max="63" width="6.421875" style="155" customWidth="1"/>
    <col min="64" max="64" width="7.57421875" style="155" customWidth="1"/>
    <col min="65" max="65" width="8.28125" style="155" customWidth="1"/>
    <col min="66" max="66" width="9.00390625" style="155" customWidth="1"/>
    <col min="67" max="67" width="5.57421875" style="155" customWidth="1"/>
    <col min="68" max="68" width="6.57421875" style="155" bestFit="1" customWidth="1"/>
    <col min="69" max="69" width="6.140625" style="155" customWidth="1"/>
    <col min="70" max="70" width="5.8515625" style="155" customWidth="1"/>
    <col min="71" max="71" width="5.421875" style="155" customWidth="1"/>
    <col min="72" max="72" width="5.00390625" style="155" customWidth="1"/>
    <col min="73" max="73" width="9.140625" style="155" customWidth="1"/>
    <col min="74" max="75" width="12.421875" style="155" customWidth="1"/>
    <col min="76" max="76" width="15.28125" style="155" customWidth="1"/>
    <col min="77" max="77" width="12.00390625" style="155" customWidth="1"/>
    <col min="78" max="79" width="9.140625" style="155" customWidth="1"/>
    <col min="80" max="80" width="7.57421875" style="155" customWidth="1"/>
    <col min="81" max="81" width="17.00390625" style="155" customWidth="1"/>
    <col min="82" max="82" width="15.00390625" style="155" customWidth="1"/>
    <col min="83" max="83" width="9.140625" style="155" customWidth="1"/>
    <col min="84" max="84" width="12.7109375" style="155" customWidth="1"/>
    <col min="85" max="85" width="12.421875" style="155" customWidth="1"/>
    <col min="86" max="86" width="11.57421875" style="155" customWidth="1"/>
    <col min="87" max="87" width="9.140625" style="155" customWidth="1"/>
    <col min="88" max="88" width="15.00390625" style="155" customWidth="1"/>
    <col min="89" max="89" width="18.28125" style="155" customWidth="1"/>
    <col min="90" max="90" width="24.140625" style="155" customWidth="1"/>
    <col min="91" max="92" width="9.140625" style="155" customWidth="1"/>
    <col min="93" max="93" width="5.7109375" style="155" customWidth="1"/>
    <col min="94" max="94" width="17.28125" style="155" customWidth="1"/>
    <col min="95" max="95" width="4.7109375" style="155" customWidth="1"/>
    <col min="96" max="96" width="32.28125" style="155" customWidth="1"/>
    <col min="97" max="97" width="9.140625" style="155" customWidth="1"/>
    <col min="98" max="98" width="14.140625" style="155" customWidth="1"/>
    <col min="99" max="99" width="14.57421875" style="155" customWidth="1"/>
    <col min="100" max="100" width="12.00390625" style="155" customWidth="1"/>
    <col min="101" max="101" width="12.7109375" style="155" customWidth="1"/>
    <col min="102" max="102" width="16.140625" style="155" customWidth="1"/>
    <col min="103" max="103" width="9.7109375" style="155" customWidth="1"/>
    <col min="104" max="105" width="9.140625" style="155" customWidth="1"/>
    <col min="106" max="106" width="29.00390625" style="155" customWidth="1"/>
    <col min="107" max="107" width="24.7109375" style="155" customWidth="1"/>
    <col min="108" max="108" width="23.57421875" style="155" customWidth="1"/>
    <col min="109" max="109" width="13.28125" style="155" customWidth="1"/>
    <col min="110" max="110" width="15.00390625" style="155" customWidth="1"/>
    <col min="111" max="111" width="25.7109375" style="155" customWidth="1"/>
    <col min="112" max="16384" width="9.140625" style="155" customWidth="1"/>
  </cols>
  <sheetData>
    <row r="1" spans="1:55" ht="18" customHeight="1">
      <c r="A1" s="155" t="s">
        <v>64</v>
      </c>
      <c r="E1" s="479" t="s">
        <v>65</v>
      </c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AB1" s="155" t="s">
        <v>64</v>
      </c>
      <c r="AG1" s="155" t="s">
        <v>66</v>
      </c>
      <c r="AH1" s="155" t="s">
        <v>67</v>
      </c>
      <c r="AU1" s="155" t="s">
        <v>64</v>
      </c>
      <c r="BA1" s="155" t="s">
        <v>66</v>
      </c>
      <c r="BC1" s="155" t="s">
        <v>68</v>
      </c>
    </row>
    <row r="2" spans="1:69" ht="18" customHeight="1">
      <c r="A2" s="155" t="s">
        <v>69</v>
      </c>
      <c r="V2" s="234" t="s">
        <v>70</v>
      </c>
      <c r="W2" s="227" t="s">
        <v>71</v>
      </c>
      <c r="X2" s="234"/>
      <c r="AB2" s="155" t="s">
        <v>72</v>
      </c>
      <c r="AH2" s="155" t="s">
        <v>73</v>
      </c>
      <c r="AO2" s="234" t="s">
        <v>74</v>
      </c>
      <c r="AP2" s="227" t="s">
        <v>71</v>
      </c>
      <c r="AU2" s="155" t="s">
        <v>75</v>
      </c>
      <c r="BC2" s="155" t="s">
        <v>73</v>
      </c>
      <c r="BN2" s="234"/>
      <c r="BO2" s="234" t="s">
        <v>74</v>
      </c>
      <c r="BP2" s="227" t="s">
        <v>71</v>
      </c>
      <c r="BQ2" s="234"/>
    </row>
    <row r="3" ht="18" customHeight="1"/>
    <row r="4" spans="1:72" ht="18" customHeight="1">
      <c r="A4" s="342"/>
      <c r="B4" s="343"/>
      <c r="C4" s="471" t="s">
        <v>76</v>
      </c>
      <c r="D4" s="473"/>
      <c r="E4" s="473"/>
      <c r="F4" s="473"/>
      <c r="G4" s="473"/>
      <c r="H4" s="473"/>
      <c r="I4" s="473"/>
      <c r="J4" s="472"/>
      <c r="K4" s="471" t="s">
        <v>77</v>
      </c>
      <c r="L4" s="473"/>
      <c r="M4" s="473"/>
      <c r="N4" s="473"/>
      <c r="O4" s="473"/>
      <c r="P4" s="473"/>
      <c r="Q4" s="473"/>
      <c r="R4" s="472"/>
      <c r="S4" s="471" t="s">
        <v>3</v>
      </c>
      <c r="T4" s="473"/>
      <c r="U4" s="473"/>
      <c r="V4" s="473"/>
      <c r="W4" s="473"/>
      <c r="X4" s="473"/>
      <c r="Y4" s="473"/>
      <c r="Z4" s="472"/>
      <c r="AB4" s="342"/>
      <c r="AC4" s="343"/>
      <c r="AD4" s="471" t="s">
        <v>5</v>
      </c>
      <c r="AE4" s="473"/>
      <c r="AF4" s="473"/>
      <c r="AG4" s="473"/>
      <c r="AH4" s="473"/>
      <c r="AI4" s="473"/>
      <c r="AJ4" s="473"/>
      <c r="AK4" s="472"/>
      <c r="AL4" s="471" t="s">
        <v>4</v>
      </c>
      <c r="AM4" s="473"/>
      <c r="AN4" s="473"/>
      <c r="AO4" s="473"/>
      <c r="AP4" s="473"/>
      <c r="AQ4" s="473"/>
      <c r="AR4" s="473"/>
      <c r="AS4" s="472"/>
      <c r="AU4" s="342"/>
      <c r="AV4" s="343"/>
      <c r="AW4" s="471" t="s">
        <v>78</v>
      </c>
      <c r="AX4" s="473"/>
      <c r="AY4" s="473"/>
      <c r="AZ4" s="473"/>
      <c r="BA4" s="473"/>
      <c r="BB4" s="473"/>
      <c r="BC4" s="473"/>
      <c r="BD4" s="472"/>
      <c r="BE4" s="471" t="s">
        <v>79</v>
      </c>
      <c r="BF4" s="473"/>
      <c r="BG4" s="473"/>
      <c r="BH4" s="473"/>
      <c r="BI4" s="473"/>
      <c r="BJ4" s="473"/>
      <c r="BK4" s="473"/>
      <c r="BL4" s="472"/>
      <c r="BM4" s="476" t="s">
        <v>80</v>
      </c>
      <c r="BN4" s="477"/>
      <c r="BO4" s="477"/>
      <c r="BP4" s="478"/>
      <c r="BQ4" s="476" t="s">
        <v>81</v>
      </c>
      <c r="BR4" s="477"/>
      <c r="BS4" s="477"/>
      <c r="BT4" s="478"/>
    </row>
    <row r="5" spans="1:72" ht="18" customHeight="1">
      <c r="A5" s="474" t="s">
        <v>1</v>
      </c>
      <c r="B5" s="475"/>
      <c r="C5" s="201" t="s">
        <v>6</v>
      </c>
      <c r="D5" s="471" t="s">
        <v>82</v>
      </c>
      <c r="E5" s="472"/>
      <c r="F5" s="471" t="s">
        <v>83</v>
      </c>
      <c r="G5" s="472"/>
      <c r="H5" s="471" t="s">
        <v>6</v>
      </c>
      <c r="I5" s="473"/>
      <c r="J5" s="201" t="s">
        <v>84</v>
      </c>
      <c r="K5" s="201" t="s">
        <v>6</v>
      </c>
      <c r="L5" s="471" t="s">
        <v>82</v>
      </c>
      <c r="M5" s="472"/>
      <c r="N5" s="471" t="s">
        <v>83</v>
      </c>
      <c r="O5" s="472"/>
      <c r="P5" s="471" t="s">
        <v>6</v>
      </c>
      <c r="Q5" s="473"/>
      <c r="R5" s="201" t="s">
        <v>84</v>
      </c>
      <c r="S5" s="201" t="s">
        <v>6</v>
      </c>
      <c r="T5" s="471" t="s">
        <v>82</v>
      </c>
      <c r="U5" s="472"/>
      <c r="V5" s="471" t="s">
        <v>83</v>
      </c>
      <c r="W5" s="472"/>
      <c r="X5" s="471" t="s">
        <v>6</v>
      </c>
      <c r="Y5" s="473"/>
      <c r="Z5" s="201" t="s">
        <v>84</v>
      </c>
      <c r="AB5" s="474" t="s">
        <v>1</v>
      </c>
      <c r="AC5" s="475"/>
      <c r="AD5" s="201" t="s">
        <v>6</v>
      </c>
      <c r="AE5" s="471" t="s">
        <v>82</v>
      </c>
      <c r="AF5" s="472"/>
      <c r="AG5" s="471" t="s">
        <v>83</v>
      </c>
      <c r="AH5" s="472"/>
      <c r="AI5" s="471" t="s">
        <v>6</v>
      </c>
      <c r="AJ5" s="473"/>
      <c r="AK5" s="201" t="s">
        <v>84</v>
      </c>
      <c r="AL5" s="201" t="s">
        <v>6</v>
      </c>
      <c r="AM5" s="471" t="s">
        <v>82</v>
      </c>
      <c r="AN5" s="472"/>
      <c r="AO5" s="471" t="s">
        <v>83</v>
      </c>
      <c r="AP5" s="472"/>
      <c r="AQ5" s="471" t="s">
        <v>6</v>
      </c>
      <c r="AR5" s="473"/>
      <c r="AS5" s="201" t="s">
        <v>84</v>
      </c>
      <c r="AU5" s="474" t="s">
        <v>1</v>
      </c>
      <c r="AV5" s="475"/>
      <c r="AW5" s="201" t="s">
        <v>6</v>
      </c>
      <c r="AX5" s="471" t="s">
        <v>82</v>
      </c>
      <c r="AY5" s="472"/>
      <c r="AZ5" s="471" t="s">
        <v>83</v>
      </c>
      <c r="BA5" s="472"/>
      <c r="BB5" s="471" t="s">
        <v>6</v>
      </c>
      <c r="BC5" s="473"/>
      <c r="BD5" s="201" t="s">
        <v>84</v>
      </c>
      <c r="BE5" s="201" t="s">
        <v>6</v>
      </c>
      <c r="BF5" s="471" t="s">
        <v>82</v>
      </c>
      <c r="BG5" s="472"/>
      <c r="BH5" s="471" t="s">
        <v>83</v>
      </c>
      <c r="BI5" s="472"/>
      <c r="BJ5" s="471" t="s">
        <v>6</v>
      </c>
      <c r="BK5" s="473"/>
      <c r="BL5" s="201" t="s">
        <v>84</v>
      </c>
      <c r="BM5" s="377" t="s">
        <v>85</v>
      </c>
      <c r="BN5" s="201" t="s">
        <v>86</v>
      </c>
      <c r="BO5" s="378" t="s">
        <v>87</v>
      </c>
      <c r="BP5" s="345" t="s">
        <v>84</v>
      </c>
      <c r="BQ5" s="379" t="s">
        <v>6</v>
      </c>
      <c r="BR5" s="380"/>
      <c r="BS5" s="381"/>
      <c r="BT5" s="201" t="s">
        <v>84</v>
      </c>
    </row>
    <row r="6" spans="1:72" ht="18" customHeight="1">
      <c r="A6" s="346"/>
      <c r="B6" s="347"/>
      <c r="C6" s="230" t="s">
        <v>88</v>
      </c>
      <c r="D6" s="207" t="s">
        <v>7</v>
      </c>
      <c r="E6" s="208" t="s">
        <v>8</v>
      </c>
      <c r="F6" s="207" t="s">
        <v>7</v>
      </c>
      <c r="G6" s="208" t="s">
        <v>8</v>
      </c>
      <c r="H6" s="207" t="s">
        <v>7</v>
      </c>
      <c r="I6" s="208" t="s">
        <v>8</v>
      </c>
      <c r="J6" s="230"/>
      <c r="K6" s="230" t="s">
        <v>88</v>
      </c>
      <c r="L6" s="207" t="s">
        <v>7</v>
      </c>
      <c r="M6" s="208" t="s">
        <v>8</v>
      </c>
      <c r="N6" s="207" t="s">
        <v>7</v>
      </c>
      <c r="O6" s="208" t="s">
        <v>8</v>
      </c>
      <c r="P6" s="207" t="s">
        <v>7</v>
      </c>
      <c r="Q6" s="208" t="s">
        <v>8</v>
      </c>
      <c r="R6" s="230"/>
      <c r="S6" s="230" t="s">
        <v>88</v>
      </c>
      <c r="T6" s="207" t="s">
        <v>7</v>
      </c>
      <c r="U6" s="208" t="s">
        <v>8</v>
      </c>
      <c r="V6" s="207" t="s">
        <v>7</v>
      </c>
      <c r="W6" s="208" t="s">
        <v>8</v>
      </c>
      <c r="X6" s="207" t="s">
        <v>7</v>
      </c>
      <c r="Y6" s="208" t="s">
        <v>8</v>
      </c>
      <c r="Z6" s="230"/>
      <c r="AB6" s="346"/>
      <c r="AC6" s="347"/>
      <c r="AD6" s="230" t="s">
        <v>88</v>
      </c>
      <c r="AE6" s="207" t="s">
        <v>7</v>
      </c>
      <c r="AF6" s="208" t="s">
        <v>8</v>
      </c>
      <c r="AG6" s="207" t="s">
        <v>7</v>
      </c>
      <c r="AH6" s="208" t="s">
        <v>8</v>
      </c>
      <c r="AI6" s="207" t="s">
        <v>7</v>
      </c>
      <c r="AJ6" s="208" t="s">
        <v>8</v>
      </c>
      <c r="AK6" s="230"/>
      <c r="AL6" s="230" t="s">
        <v>88</v>
      </c>
      <c r="AM6" s="207" t="s">
        <v>7</v>
      </c>
      <c r="AN6" s="208" t="s">
        <v>8</v>
      </c>
      <c r="AO6" s="207" t="s">
        <v>7</v>
      </c>
      <c r="AP6" s="208" t="s">
        <v>8</v>
      </c>
      <c r="AQ6" s="207" t="s">
        <v>7</v>
      </c>
      <c r="AR6" s="208" t="s">
        <v>8</v>
      </c>
      <c r="AS6" s="230"/>
      <c r="AU6" s="346"/>
      <c r="AV6" s="347"/>
      <c r="AW6" s="230" t="s">
        <v>88</v>
      </c>
      <c r="AX6" s="207" t="s">
        <v>7</v>
      </c>
      <c r="AY6" s="208" t="s">
        <v>8</v>
      </c>
      <c r="AZ6" s="207" t="s">
        <v>7</v>
      </c>
      <c r="BA6" s="208" t="s">
        <v>8</v>
      </c>
      <c r="BB6" s="207" t="s">
        <v>7</v>
      </c>
      <c r="BC6" s="208" t="s">
        <v>8</v>
      </c>
      <c r="BD6" s="230"/>
      <c r="BE6" s="230" t="s">
        <v>88</v>
      </c>
      <c r="BF6" s="207" t="s">
        <v>7</v>
      </c>
      <c r="BG6" s="208" t="s">
        <v>8</v>
      </c>
      <c r="BH6" s="207" t="s">
        <v>7</v>
      </c>
      <c r="BI6" s="208" t="s">
        <v>8</v>
      </c>
      <c r="BJ6" s="207" t="s">
        <v>7</v>
      </c>
      <c r="BK6" s="208" t="s">
        <v>8</v>
      </c>
      <c r="BL6" s="230"/>
      <c r="BM6" s="382" t="s">
        <v>89</v>
      </c>
      <c r="BN6" s="230" t="s">
        <v>89</v>
      </c>
      <c r="BO6" s="383" t="s">
        <v>89</v>
      </c>
      <c r="BP6" s="383" t="s">
        <v>90</v>
      </c>
      <c r="BQ6" s="230" t="s">
        <v>88</v>
      </c>
      <c r="BR6" s="382" t="s">
        <v>7</v>
      </c>
      <c r="BS6" s="230" t="s">
        <v>8</v>
      </c>
      <c r="BT6" s="384"/>
    </row>
    <row r="7" spans="1:72" ht="18" customHeight="1">
      <c r="A7" s="344">
        <v>1</v>
      </c>
      <c r="B7" s="348" t="s">
        <v>43</v>
      </c>
      <c r="C7" s="183">
        <v>80</v>
      </c>
      <c r="D7" s="349">
        <v>0</v>
      </c>
      <c r="E7" s="349">
        <v>0</v>
      </c>
      <c r="F7" s="349">
        <v>63</v>
      </c>
      <c r="G7" s="349">
        <v>17</v>
      </c>
      <c r="H7" s="350">
        <f aca="true" t="shared" si="0" ref="H7:I20">SUM(D7+F7)</f>
        <v>63</v>
      </c>
      <c r="I7" s="350">
        <f t="shared" si="0"/>
        <v>17</v>
      </c>
      <c r="J7" s="350">
        <f>SUM(H7:I7)</f>
        <v>80</v>
      </c>
      <c r="K7" s="349">
        <v>24</v>
      </c>
      <c r="L7" s="349">
        <v>20</v>
      </c>
      <c r="M7" s="349">
        <v>25</v>
      </c>
      <c r="N7" s="349">
        <v>9</v>
      </c>
      <c r="O7" s="349">
        <v>25</v>
      </c>
      <c r="P7" s="350">
        <f aca="true" t="shared" si="1" ref="P7:Q18">SUM(L7+N7)</f>
        <v>29</v>
      </c>
      <c r="Q7" s="350">
        <f t="shared" si="1"/>
        <v>50</v>
      </c>
      <c r="R7" s="350">
        <f>SUM(P7:Q7)</f>
        <v>79</v>
      </c>
      <c r="S7" s="349">
        <v>20</v>
      </c>
      <c r="T7" s="349">
        <v>73</v>
      </c>
      <c r="U7" s="349">
        <v>55</v>
      </c>
      <c r="V7" s="349">
        <v>39</v>
      </c>
      <c r="W7" s="349">
        <v>164</v>
      </c>
      <c r="X7" s="350">
        <f aca="true" t="shared" si="2" ref="X7:Y18">SUM(T7+V7)</f>
        <v>112</v>
      </c>
      <c r="Y7" s="350">
        <f t="shared" si="2"/>
        <v>219</v>
      </c>
      <c r="Z7" s="350">
        <f>SUM(X7:Y7)</f>
        <v>331</v>
      </c>
      <c r="AB7" s="344">
        <v>1</v>
      </c>
      <c r="AC7" s="348" t="s">
        <v>43</v>
      </c>
      <c r="AD7" s="349">
        <v>1778</v>
      </c>
      <c r="AE7" s="349">
        <v>3007</v>
      </c>
      <c r="AF7" s="349">
        <v>3057</v>
      </c>
      <c r="AG7" s="349">
        <v>775</v>
      </c>
      <c r="AH7" s="349">
        <v>2274</v>
      </c>
      <c r="AI7" s="350">
        <f>SUM(AE7+AG7)</f>
        <v>3782</v>
      </c>
      <c r="AJ7" s="350">
        <f>SUM(AF7+AH7)</f>
        <v>5331</v>
      </c>
      <c r="AK7" s="350">
        <f>SUM(AI7:AJ7)</f>
        <v>9113</v>
      </c>
      <c r="AL7" s="350">
        <v>2351</v>
      </c>
      <c r="AM7" s="350">
        <v>2941</v>
      </c>
      <c r="AN7" s="350">
        <v>2575</v>
      </c>
      <c r="AO7" s="349">
        <v>1292</v>
      </c>
      <c r="AP7" s="349">
        <v>1397</v>
      </c>
      <c r="AQ7" s="350">
        <f aca="true" t="shared" si="3" ref="AQ7:AR20">SUM(AM7+AO7)</f>
        <v>4233</v>
      </c>
      <c r="AR7" s="350">
        <f t="shared" si="3"/>
        <v>3972</v>
      </c>
      <c r="AS7" s="350">
        <f>SUM(AQ7:AR7)</f>
        <v>8205</v>
      </c>
      <c r="AU7" s="368">
        <v>1</v>
      </c>
      <c r="AV7" s="369" t="s">
        <v>43</v>
      </c>
      <c r="AW7" s="373">
        <v>16779</v>
      </c>
      <c r="AX7" s="373">
        <v>6110</v>
      </c>
      <c r="AY7" s="373">
        <v>4087</v>
      </c>
      <c r="AZ7" s="373">
        <v>3921</v>
      </c>
      <c r="BA7" s="373">
        <v>2112</v>
      </c>
      <c r="BB7" s="373">
        <f aca="true" t="shared" si="4" ref="BB7:BC18">SUM(AX7+AZ7)</f>
        <v>10031</v>
      </c>
      <c r="BC7" s="373">
        <f t="shared" si="4"/>
        <v>6199</v>
      </c>
      <c r="BD7" s="373">
        <f aca="true" t="shared" si="5" ref="BD7:BD20">SUM(BB7:BC7)</f>
        <v>16230</v>
      </c>
      <c r="BE7" s="373">
        <v>71</v>
      </c>
      <c r="BF7" s="373">
        <v>2751</v>
      </c>
      <c r="BG7" s="373">
        <v>5270</v>
      </c>
      <c r="BH7" s="373">
        <v>2150</v>
      </c>
      <c r="BI7" s="373">
        <v>10575</v>
      </c>
      <c r="BJ7" s="373">
        <f aca="true" t="shared" si="6" ref="BJ7:BK16">SUM(BF7+BH7)</f>
        <v>4901</v>
      </c>
      <c r="BK7" s="373">
        <f t="shared" si="6"/>
        <v>15845</v>
      </c>
      <c r="BL7" s="373">
        <f aca="true" t="shared" si="7" ref="BL7:BL20">SUM(BJ7:BK7)</f>
        <v>20746</v>
      </c>
      <c r="BM7" s="373">
        <v>4100</v>
      </c>
      <c r="BN7" s="373">
        <v>765</v>
      </c>
      <c r="BO7" s="373">
        <v>161</v>
      </c>
      <c r="BP7" s="373">
        <f aca="true" t="shared" si="8" ref="BP7:BP20">SUM(BN7:BO7)</f>
        <v>926</v>
      </c>
      <c r="BQ7" s="373">
        <v>25</v>
      </c>
      <c r="BR7" s="373">
        <v>291</v>
      </c>
      <c r="BS7" s="373">
        <v>265</v>
      </c>
      <c r="BT7" s="373">
        <f>SUM(BR7:BS7)</f>
        <v>556</v>
      </c>
    </row>
    <row r="8" spans="1:72" ht="18" customHeight="1">
      <c r="A8" s="202">
        <v>2</v>
      </c>
      <c r="B8" s="351" t="s">
        <v>44</v>
      </c>
      <c r="C8" s="350">
        <v>40</v>
      </c>
      <c r="D8" s="350">
        <v>6</v>
      </c>
      <c r="E8" s="350">
        <v>6</v>
      </c>
      <c r="F8" s="350">
        <v>37</v>
      </c>
      <c r="G8" s="350">
        <v>20</v>
      </c>
      <c r="H8" s="350">
        <f t="shared" si="0"/>
        <v>43</v>
      </c>
      <c r="I8" s="350">
        <f t="shared" si="0"/>
        <v>26</v>
      </c>
      <c r="J8" s="350">
        <f>SUM(H8:I8)</f>
        <v>69</v>
      </c>
      <c r="K8" s="350">
        <v>54</v>
      </c>
      <c r="L8" s="350">
        <v>32</v>
      </c>
      <c r="M8" s="350">
        <v>24</v>
      </c>
      <c r="N8" s="350">
        <v>395</v>
      </c>
      <c r="O8" s="350">
        <v>47</v>
      </c>
      <c r="P8" s="350">
        <f t="shared" si="1"/>
        <v>427</v>
      </c>
      <c r="Q8" s="350">
        <f t="shared" si="1"/>
        <v>71</v>
      </c>
      <c r="R8" s="350">
        <f>SUM(P8:Q8)</f>
        <v>498</v>
      </c>
      <c r="S8" s="350">
        <v>98</v>
      </c>
      <c r="T8" s="350">
        <v>46</v>
      </c>
      <c r="U8" s="350">
        <v>39</v>
      </c>
      <c r="V8" s="350">
        <v>53</v>
      </c>
      <c r="W8" s="350">
        <v>42</v>
      </c>
      <c r="X8" s="350">
        <f t="shared" si="2"/>
        <v>99</v>
      </c>
      <c r="Y8" s="350">
        <f t="shared" si="2"/>
        <v>81</v>
      </c>
      <c r="Z8" s="350">
        <f>SUM(X8:Y8)</f>
        <v>180</v>
      </c>
      <c r="AB8" s="202">
        <v>2</v>
      </c>
      <c r="AC8" s="351" t="s">
        <v>44</v>
      </c>
      <c r="AD8" s="350">
        <v>2532</v>
      </c>
      <c r="AE8" s="350">
        <v>3449</v>
      </c>
      <c r="AF8" s="350">
        <v>4997</v>
      </c>
      <c r="AG8" s="350">
        <v>1975</v>
      </c>
      <c r="AH8" s="350">
        <v>7322</v>
      </c>
      <c r="AI8" s="350">
        <f aca="true" t="shared" si="9" ref="AI8:AJ20">SUM(AE8+AG8)</f>
        <v>5424</v>
      </c>
      <c r="AJ8" s="350">
        <f t="shared" si="9"/>
        <v>12319</v>
      </c>
      <c r="AK8" s="350">
        <f>SUM(AI8:AJ8)</f>
        <v>17743</v>
      </c>
      <c r="AL8" s="350">
        <v>334</v>
      </c>
      <c r="AM8" s="350">
        <v>494</v>
      </c>
      <c r="AN8" s="350">
        <v>743</v>
      </c>
      <c r="AO8" s="350">
        <v>474</v>
      </c>
      <c r="AP8" s="350">
        <v>904</v>
      </c>
      <c r="AQ8" s="350">
        <f t="shared" si="3"/>
        <v>968</v>
      </c>
      <c r="AR8" s="350">
        <f t="shared" si="3"/>
        <v>1647</v>
      </c>
      <c r="AS8" s="350">
        <f>SUM(AQ8:AR8)</f>
        <v>2615</v>
      </c>
      <c r="AU8" s="368">
        <v>2</v>
      </c>
      <c r="AV8" s="369" t="s">
        <v>44</v>
      </c>
      <c r="AW8" s="373">
        <v>7804</v>
      </c>
      <c r="AX8" s="373">
        <v>8029</v>
      </c>
      <c r="AY8" s="373">
        <v>64836</v>
      </c>
      <c r="AZ8" s="373">
        <v>6077</v>
      </c>
      <c r="BA8" s="373">
        <v>19748</v>
      </c>
      <c r="BB8" s="373">
        <f t="shared" si="4"/>
        <v>14106</v>
      </c>
      <c r="BC8" s="373">
        <f t="shared" si="4"/>
        <v>84584</v>
      </c>
      <c r="BD8" s="373">
        <f t="shared" si="5"/>
        <v>98690</v>
      </c>
      <c r="BE8" s="373">
        <v>3441</v>
      </c>
      <c r="BF8" s="373">
        <v>6271</v>
      </c>
      <c r="BG8" s="373">
        <v>16817</v>
      </c>
      <c r="BH8" s="373">
        <v>5523</v>
      </c>
      <c r="BI8" s="373">
        <v>10246</v>
      </c>
      <c r="BJ8" s="373">
        <f t="shared" si="6"/>
        <v>11794</v>
      </c>
      <c r="BK8" s="373">
        <f t="shared" si="6"/>
        <v>27063</v>
      </c>
      <c r="BL8" s="373">
        <f t="shared" si="7"/>
        <v>38857</v>
      </c>
      <c r="BM8" s="373">
        <v>14300</v>
      </c>
      <c r="BN8" s="373">
        <v>13411</v>
      </c>
      <c r="BO8" s="373">
        <v>785</v>
      </c>
      <c r="BP8" s="373">
        <f t="shared" si="8"/>
        <v>14196</v>
      </c>
      <c r="BQ8" s="373">
        <v>0</v>
      </c>
      <c r="BR8" s="373">
        <v>0</v>
      </c>
      <c r="BS8" s="373">
        <v>0</v>
      </c>
      <c r="BT8" s="373">
        <f>SUM(BR8:BS8)</f>
        <v>0</v>
      </c>
    </row>
    <row r="9" spans="1:72" ht="18" customHeight="1">
      <c r="A9" s="202">
        <v>3</v>
      </c>
      <c r="B9" s="351" t="s">
        <v>45</v>
      </c>
      <c r="C9" s="350">
        <v>13</v>
      </c>
      <c r="D9" s="350">
        <v>0</v>
      </c>
      <c r="E9" s="350">
        <v>0</v>
      </c>
      <c r="F9" s="350">
        <v>13</v>
      </c>
      <c r="G9" s="350">
        <v>1</v>
      </c>
      <c r="H9" s="350">
        <f t="shared" si="0"/>
        <v>13</v>
      </c>
      <c r="I9" s="350">
        <f t="shared" si="0"/>
        <v>1</v>
      </c>
      <c r="J9" s="350">
        <f>SUM(H9:I9)</f>
        <v>14</v>
      </c>
      <c r="K9" s="350">
        <v>90</v>
      </c>
      <c r="L9" s="350">
        <v>123</v>
      </c>
      <c r="M9" s="350">
        <v>61</v>
      </c>
      <c r="N9" s="350">
        <v>41</v>
      </c>
      <c r="O9" s="350">
        <v>120</v>
      </c>
      <c r="P9" s="350">
        <f t="shared" si="1"/>
        <v>164</v>
      </c>
      <c r="Q9" s="350">
        <f t="shared" si="1"/>
        <v>181</v>
      </c>
      <c r="R9" s="350">
        <f>SUM(P9:Q9)</f>
        <v>345</v>
      </c>
      <c r="S9" s="350">
        <v>98</v>
      </c>
      <c r="T9" s="350">
        <v>108</v>
      </c>
      <c r="U9" s="350">
        <v>114</v>
      </c>
      <c r="V9" s="350">
        <v>49</v>
      </c>
      <c r="W9" s="350">
        <v>128</v>
      </c>
      <c r="X9" s="350">
        <f t="shared" si="2"/>
        <v>157</v>
      </c>
      <c r="Y9" s="350">
        <f t="shared" si="2"/>
        <v>242</v>
      </c>
      <c r="Z9" s="350">
        <f>SUM(X9:Y9)</f>
        <v>399</v>
      </c>
      <c r="AB9" s="202">
        <v>3</v>
      </c>
      <c r="AC9" s="351" t="s">
        <v>45</v>
      </c>
      <c r="AD9" s="350">
        <v>749</v>
      </c>
      <c r="AE9" s="350">
        <v>2641</v>
      </c>
      <c r="AF9" s="350">
        <v>3427</v>
      </c>
      <c r="AG9" s="350">
        <v>687</v>
      </c>
      <c r="AH9" s="350">
        <v>2335</v>
      </c>
      <c r="AI9" s="350">
        <f t="shared" si="9"/>
        <v>3328</v>
      </c>
      <c r="AJ9" s="350">
        <f t="shared" si="9"/>
        <v>5762</v>
      </c>
      <c r="AK9" s="350">
        <f>SUM(AI9:AJ9)</f>
        <v>9090</v>
      </c>
      <c r="AL9" s="350">
        <v>129</v>
      </c>
      <c r="AM9" s="350">
        <v>1075</v>
      </c>
      <c r="AN9" s="350">
        <v>988</v>
      </c>
      <c r="AO9" s="350">
        <v>156</v>
      </c>
      <c r="AP9" s="350">
        <v>802</v>
      </c>
      <c r="AQ9" s="350">
        <f t="shared" si="3"/>
        <v>1231</v>
      </c>
      <c r="AR9" s="350">
        <f t="shared" si="3"/>
        <v>1790</v>
      </c>
      <c r="AS9" s="350">
        <f>SUM(AQ9:AR9)</f>
        <v>3021</v>
      </c>
      <c r="AU9" s="368">
        <v>3</v>
      </c>
      <c r="AV9" s="369" t="s">
        <v>45</v>
      </c>
      <c r="AW9" s="373">
        <v>5992</v>
      </c>
      <c r="AX9" s="373">
        <v>34670</v>
      </c>
      <c r="AY9" s="373">
        <v>33091</v>
      </c>
      <c r="AZ9" s="373">
        <v>10670</v>
      </c>
      <c r="BA9" s="373">
        <v>20047</v>
      </c>
      <c r="BB9" s="373">
        <f t="shared" si="4"/>
        <v>45340</v>
      </c>
      <c r="BC9" s="373">
        <f t="shared" si="4"/>
        <v>53138</v>
      </c>
      <c r="BD9" s="373">
        <f t="shared" si="5"/>
        <v>98478</v>
      </c>
      <c r="BE9" s="373">
        <v>77</v>
      </c>
      <c r="BF9" s="373">
        <v>6842</v>
      </c>
      <c r="BG9" s="373">
        <v>12928</v>
      </c>
      <c r="BH9" s="373">
        <v>1195</v>
      </c>
      <c r="BI9" s="373">
        <v>27159</v>
      </c>
      <c r="BJ9" s="373">
        <f t="shared" si="6"/>
        <v>8037</v>
      </c>
      <c r="BK9" s="373">
        <f t="shared" si="6"/>
        <v>40087</v>
      </c>
      <c r="BL9" s="373">
        <f t="shared" si="7"/>
        <v>48124</v>
      </c>
      <c r="BM9" s="373">
        <v>19000</v>
      </c>
      <c r="BN9" s="373">
        <v>1552</v>
      </c>
      <c r="BO9" s="373">
        <v>251</v>
      </c>
      <c r="BP9" s="373">
        <f t="shared" si="8"/>
        <v>1803</v>
      </c>
      <c r="BQ9" s="373">
        <v>19</v>
      </c>
      <c r="BR9" s="373">
        <v>45</v>
      </c>
      <c r="BS9" s="373">
        <v>111</v>
      </c>
      <c r="BT9" s="373">
        <f>SUM(BR9:BS9)</f>
        <v>156</v>
      </c>
    </row>
    <row r="10" spans="1:72" ht="18" customHeight="1">
      <c r="A10" s="202">
        <v>4</v>
      </c>
      <c r="B10" s="351" t="s">
        <v>46</v>
      </c>
      <c r="C10" s="350">
        <v>17</v>
      </c>
      <c r="D10" s="350">
        <v>2</v>
      </c>
      <c r="E10" s="350">
        <v>0</v>
      </c>
      <c r="F10" s="350">
        <v>17</v>
      </c>
      <c r="G10" s="350">
        <v>6</v>
      </c>
      <c r="H10" s="350">
        <f t="shared" si="0"/>
        <v>19</v>
      </c>
      <c r="I10" s="350">
        <f t="shared" si="0"/>
        <v>6</v>
      </c>
      <c r="J10" s="350">
        <f>SUM(H10:I10)</f>
        <v>25</v>
      </c>
      <c r="K10" s="350">
        <v>11</v>
      </c>
      <c r="L10" s="350">
        <v>5</v>
      </c>
      <c r="M10" s="350">
        <v>7</v>
      </c>
      <c r="N10" s="350">
        <v>7</v>
      </c>
      <c r="O10" s="350">
        <v>10</v>
      </c>
      <c r="P10" s="350">
        <f t="shared" si="1"/>
        <v>12</v>
      </c>
      <c r="Q10" s="350">
        <f t="shared" si="1"/>
        <v>17</v>
      </c>
      <c r="R10" s="350">
        <f>SUM(P10:Q10)</f>
        <v>29</v>
      </c>
      <c r="S10" s="350">
        <v>27</v>
      </c>
      <c r="T10" s="350">
        <v>17</v>
      </c>
      <c r="U10" s="350">
        <v>9</v>
      </c>
      <c r="V10" s="350">
        <v>10</v>
      </c>
      <c r="W10" s="350">
        <v>13</v>
      </c>
      <c r="X10" s="350">
        <f t="shared" si="2"/>
        <v>27</v>
      </c>
      <c r="Y10" s="350">
        <f t="shared" si="2"/>
        <v>22</v>
      </c>
      <c r="Z10" s="350">
        <f>SUM(X10:Y10)</f>
        <v>49</v>
      </c>
      <c r="AB10" s="202">
        <v>4</v>
      </c>
      <c r="AC10" s="351" t="s">
        <v>46</v>
      </c>
      <c r="AD10" s="350">
        <v>567</v>
      </c>
      <c r="AE10" s="350">
        <v>109</v>
      </c>
      <c r="AF10" s="350">
        <v>242</v>
      </c>
      <c r="AG10" s="350">
        <v>85</v>
      </c>
      <c r="AH10" s="350">
        <v>357</v>
      </c>
      <c r="AI10" s="350">
        <f t="shared" si="9"/>
        <v>194</v>
      </c>
      <c r="AJ10" s="350">
        <f t="shared" si="9"/>
        <v>599</v>
      </c>
      <c r="AK10" s="350">
        <f>SUM(AI10:AJ10)</f>
        <v>793</v>
      </c>
      <c r="AL10" s="350">
        <v>531</v>
      </c>
      <c r="AM10" s="350">
        <v>137</v>
      </c>
      <c r="AN10" s="350">
        <v>152</v>
      </c>
      <c r="AO10" s="350">
        <v>73</v>
      </c>
      <c r="AP10" s="350">
        <v>225</v>
      </c>
      <c r="AQ10" s="350">
        <f t="shared" si="3"/>
        <v>210</v>
      </c>
      <c r="AR10" s="350">
        <f t="shared" si="3"/>
        <v>377</v>
      </c>
      <c r="AS10" s="350">
        <f>SUM(AQ10:AR10)</f>
        <v>587</v>
      </c>
      <c r="AU10" s="368">
        <v>4</v>
      </c>
      <c r="AV10" s="369" t="s">
        <v>46</v>
      </c>
      <c r="AW10" s="373">
        <v>15473</v>
      </c>
      <c r="AX10" s="373">
        <v>24105</v>
      </c>
      <c r="AY10" s="373">
        <v>38573</v>
      </c>
      <c r="AZ10" s="373">
        <v>1723</v>
      </c>
      <c r="BA10" s="373">
        <v>14721</v>
      </c>
      <c r="BB10" s="373">
        <f t="shared" si="4"/>
        <v>25828</v>
      </c>
      <c r="BC10" s="373">
        <f t="shared" si="4"/>
        <v>53294</v>
      </c>
      <c r="BD10" s="373">
        <f t="shared" si="5"/>
        <v>79122</v>
      </c>
      <c r="BE10" s="373">
        <v>110</v>
      </c>
      <c r="BF10" s="373">
        <v>147</v>
      </c>
      <c r="BG10" s="373">
        <v>76</v>
      </c>
      <c r="BH10" s="373">
        <v>171</v>
      </c>
      <c r="BI10" s="373">
        <v>6811</v>
      </c>
      <c r="BJ10" s="373">
        <f t="shared" si="6"/>
        <v>318</v>
      </c>
      <c r="BK10" s="373">
        <f t="shared" si="6"/>
        <v>6887</v>
      </c>
      <c r="BL10" s="373">
        <f t="shared" si="7"/>
        <v>7205</v>
      </c>
      <c r="BM10" s="373">
        <v>0</v>
      </c>
      <c r="BN10" s="373">
        <v>121</v>
      </c>
      <c r="BO10" s="373">
        <v>26</v>
      </c>
      <c r="BP10" s="373">
        <f t="shared" si="8"/>
        <v>147</v>
      </c>
      <c r="BQ10" s="373">
        <v>3</v>
      </c>
      <c r="BR10" s="373">
        <v>5</v>
      </c>
      <c r="BS10" s="373">
        <v>19</v>
      </c>
      <c r="BT10" s="373">
        <f aca="true" t="shared" si="10" ref="BT10:BT20">SUM(BR10:BS10)</f>
        <v>24</v>
      </c>
    </row>
    <row r="11" spans="1:72" ht="18" customHeight="1">
      <c r="A11" s="202">
        <v>5</v>
      </c>
      <c r="B11" s="351" t="s">
        <v>47</v>
      </c>
      <c r="C11" s="350">
        <v>0</v>
      </c>
      <c r="D11" s="350">
        <v>0</v>
      </c>
      <c r="E11" s="350">
        <v>0</v>
      </c>
      <c r="F11" s="350">
        <v>0</v>
      </c>
      <c r="G11" s="350">
        <v>0</v>
      </c>
      <c r="H11" s="350">
        <f t="shared" si="0"/>
        <v>0</v>
      </c>
      <c r="I11" s="350">
        <f t="shared" si="0"/>
        <v>0</v>
      </c>
      <c r="J11" s="350">
        <f>SUM(H11:I11)</f>
        <v>0</v>
      </c>
      <c r="K11" s="350">
        <v>0</v>
      </c>
      <c r="L11" s="350">
        <v>0</v>
      </c>
      <c r="M11" s="350">
        <v>0</v>
      </c>
      <c r="N11" s="350">
        <v>0</v>
      </c>
      <c r="O11" s="350">
        <v>0</v>
      </c>
      <c r="P11" s="350">
        <f t="shared" si="1"/>
        <v>0</v>
      </c>
      <c r="Q11" s="350">
        <f t="shared" si="1"/>
        <v>0</v>
      </c>
      <c r="R11" s="350">
        <f>SUM(P11:Q11)</f>
        <v>0</v>
      </c>
      <c r="S11" s="350">
        <v>37</v>
      </c>
      <c r="T11" s="350">
        <v>61</v>
      </c>
      <c r="U11" s="350">
        <v>85</v>
      </c>
      <c r="V11" s="350">
        <v>36</v>
      </c>
      <c r="W11" s="350">
        <v>111</v>
      </c>
      <c r="X11" s="350">
        <f t="shared" si="2"/>
        <v>97</v>
      </c>
      <c r="Y11" s="350">
        <f t="shared" si="2"/>
        <v>196</v>
      </c>
      <c r="Z11" s="350">
        <f>SUM(X11:Y11)</f>
        <v>293</v>
      </c>
      <c r="AB11" s="202">
        <v>5</v>
      </c>
      <c r="AC11" s="351" t="s">
        <v>47</v>
      </c>
      <c r="AD11" s="350">
        <v>184</v>
      </c>
      <c r="AE11" s="350">
        <v>318</v>
      </c>
      <c r="AF11" s="350">
        <v>441</v>
      </c>
      <c r="AG11" s="350">
        <v>292</v>
      </c>
      <c r="AH11" s="350">
        <v>4218</v>
      </c>
      <c r="AI11" s="350">
        <f t="shared" si="9"/>
        <v>610</v>
      </c>
      <c r="AJ11" s="350">
        <f t="shared" si="9"/>
        <v>4659</v>
      </c>
      <c r="AK11" s="350">
        <f>SUM(AI11:AJ11)</f>
        <v>5269</v>
      </c>
      <c r="AL11" s="350">
        <v>431</v>
      </c>
      <c r="AM11" s="350">
        <v>433</v>
      </c>
      <c r="AN11" s="350">
        <v>517</v>
      </c>
      <c r="AO11" s="350">
        <v>321</v>
      </c>
      <c r="AP11" s="350">
        <v>632</v>
      </c>
      <c r="AQ11" s="350">
        <f t="shared" si="3"/>
        <v>754</v>
      </c>
      <c r="AR11" s="350">
        <f t="shared" si="3"/>
        <v>1149</v>
      </c>
      <c r="AS11" s="350">
        <f>SUM(AQ11:AR11)</f>
        <v>1903</v>
      </c>
      <c r="AU11" s="368">
        <v>5</v>
      </c>
      <c r="AV11" s="369" t="s">
        <v>47</v>
      </c>
      <c r="AW11" s="373">
        <v>3208</v>
      </c>
      <c r="AX11" s="373">
        <v>7766</v>
      </c>
      <c r="AY11" s="373">
        <v>14201</v>
      </c>
      <c r="AZ11" s="373">
        <v>11711</v>
      </c>
      <c r="BA11" s="373">
        <v>27141</v>
      </c>
      <c r="BB11" s="373">
        <f t="shared" si="4"/>
        <v>19477</v>
      </c>
      <c r="BC11" s="373">
        <f t="shared" si="4"/>
        <v>41342</v>
      </c>
      <c r="BD11" s="373">
        <f t="shared" si="5"/>
        <v>60819</v>
      </c>
      <c r="BE11" s="373">
        <v>301</v>
      </c>
      <c r="BF11" s="373">
        <v>1420</v>
      </c>
      <c r="BG11" s="373">
        <v>2030</v>
      </c>
      <c r="BH11" s="373">
        <v>1987</v>
      </c>
      <c r="BI11" s="373">
        <v>52705</v>
      </c>
      <c r="BJ11" s="373">
        <f t="shared" si="6"/>
        <v>3407</v>
      </c>
      <c r="BK11" s="373">
        <f t="shared" si="6"/>
        <v>54735</v>
      </c>
      <c r="BL11" s="373">
        <f t="shared" si="7"/>
        <v>58142</v>
      </c>
      <c r="BM11" s="373">
        <v>0</v>
      </c>
      <c r="BN11" s="373">
        <v>1456</v>
      </c>
      <c r="BO11" s="373">
        <v>9</v>
      </c>
      <c r="BP11" s="373">
        <f t="shared" si="8"/>
        <v>1465</v>
      </c>
      <c r="BQ11" s="373">
        <v>0</v>
      </c>
      <c r="BR11" s="373">
        <v>0</v>
      </c>
      <c r="BS11" s="373">
        <v>0</v>
      </c>
      <c r="BT11" s="373">
        <f t="shared" si="10"/>
        <v>0</v>
      </c>
    </row>
    <row r="12" spans="1:72" ht="18" customHeight="1">
      <c r="A12" s="202">
        <v>6</v>
      </c>
      <c r="B12" s="351" t="s">
        <v>48</v>
      </c>
      <c r="C12" s="350">
        <v>6</v>
      </c>
      <c r="D12" s="350">
        <v>0</v>
      </c>
      <c r="E12" s="350">
        <v>0</v>
      </c>
      <c r="F12" s="350">
        <v>7</v>
      </c>
      <c r="G12" s="350">
        <v>0</v>
      </c>
      <c r="H12" s="350">
        <f t="shared" si="0"/>
        <v>7</v>
      </c>
      <c r="I12" s="350">
        <f t="shared" si="0"/>
        <v>0</v>
      </c>
      <c r="J12" s="350">
        <f aca="true" t="shared" si="11" ref="J12:J20">SUM(H12:I12)</f>
        <v>7</v>
      </c>
      <c r="K12" s="350">
        <v>15</v>
      </c>
      <c r="L12" s="350">
        <v>12</v>
      </c>
      <c r="M12" s="350">
        <v>14</v>
      </c>
      <c r="N12" s="350">
        <v>15</v>
      </c>
      <c r="O12" s="350">
        <v>9</v>
      </c>
      <c r="P12" s="350">
        <f t="shared" si="1"/>
        <v>27</v>
      </c>
      <c r="Q12" s="350">
        <f t="shared" si="1"/>
        <v>23</v>
      </c>
      <c r="R12" s="350">
        <f aca="true" t="shared" si="12" ref="R12:R20">SUM(P12:Q12)</f>
        <v>50</v>
      </c>
      <c r="S12" s="350">
        <v>35</v>
      </c>
      <c r="T12" s="350">
        <v>49</v>
      </c>
      <c r="U12" s="350">
        <v>52</v>
      </c>
      <c r="V12" s="350">
        <v>28</v>
      </c>
      <c r="W12" s="350">
        <v>27</v>
      </c>
      <c r="X12" s="350">
        <f t="shared" si="2"/>
        <v>77</v>
      </c>
      <c r="Y12" s="350">
        <f t="shared" si="2"/>
        <v>79</v>
      </c>
      <c r="Z12" s="350">
        <f aca="true" t="shared" si="13" ref="Z12:Z20">SUM(X12:Y12)</f>
        <v>156</v>
      </c>
      <c r="AB12" s="202">
        <v>6</v>
      </c>
      <c r="AC12" s="351" t="s">
        <v>48</v>
      </c>
      <c r="AD12" s="350">
        <v>117</v>
      </c>
      <c r="AE12" s="350">
        <v>392</v>
      </c>
      <c r="AF12" s="350">
        <v>312</v>
      </c>
      <c r="AG12" s="350">
        <v>294</v>
      </c>
      <c r="AH12" s="350">
        <v>327</v>
      </c>
      <c r="AI12" s="350">
        <f t="shared" si="9"/>
        <v>686</v>
      </c>
      <c r="AJ12" s="350">
        <f t="shared" si="9"/>
        <v>639</v>
      </c>
      <c r="AK12" s="350">
        <f aca="true" t="shared" si="14" ref="AK12:AK20">SUM(AI12:AJ12)</f>
        <v>1325</v>
      </c>
      <c r="AL12" s="350">
        <v>121</v>
      </c>
      <c r="AM12" s="350">
        <v>339</v>
      </c>
      <c r="AN12" s="350">
        <v>342</v>
      </c>
      <c r="AO12" s="350">
        <v>329</v>
      </c>
      <c r="AP12" s="350">
        <v>334</v>
      </c>
      <c r="AQ12" s="350">
        <f t="shared" si="3"/>
        <v>668</v>
      </c>
      <c r="AR12" s="350">
        <f t="shared" si="3"/>
        <v>676</v>
      </c>
      <c r="AS12" s="350">
        <f aca="true" t="shared" si="15" ref="AS12:AS20">SUM(AQ12:AR12)</f>
        <v>1344</v>
      </c>
      <c r="AU12" s="368">
        <v>6</v>
      </c>
      <c r="AV12" s="369" t="s">
        <v>48</v>
      </c>
      <c r="AW12" s="373">
        <v>324</v>
      </c>
      <c r="AX12" s="373">
        <v>7521</v>
      </c>
      <c r="AY12" s="373">
        <v>7125</v>
      </c>
      <c r="AZ12" s="373">
        <v>6321</v>
      </c>
      <c r="BA12" s="373">
        <v>6137</v>
      </c>
      <c r="BB12" s="373">
        <f t="shared" si="4"/>
        <v>13842</v>
      </c>
      <c r="BC12" s="373">
        <f t="shared" si="4"/>
        <v>13262</v>
      </c>
      <c r="BD12" s="373">
        <f t="shared" si="5"/>
        <v>27104</v>
      </c>
      <c r="BE12" s="373">
        <v>25</v>
      </c>
      <c r="BF12" s="373">
        <v>750</v>
      </c>
      <c r="BG12" s="373">
        <v>1100</v>
      </c>
      <c r="BH12" s="373">
        <v>102</v>
      </c>
      <c r="BI12" s="373">
        <v>820</v>
      </c>
      <c r="BJ12" s="373">
        <f t="shared" si="6"/>
        <v>852</v>
      </c>
      <c r="BK12" s="373">
        <f t="shared" si="6"/>
        <v>1920</v>
      </c>
      <c r="BL12" s="373">
        <f t="shared" si="7"/>
        <v>2772</v>
      </c>
      <c r="BM12" s="373">
        <v>27000</v>
      </c>
      <c r="BN12" s="373">
        <v>421</v>
      </c>
      <c r="BO12" s="373">
        <v>16</v>
      </c>
      <c r="BP12" s="373">
        <f t="shared" si="8"/>
        <v>437</v>
      </c>
      <c r="BQ12" s="373">
        <v>0</v>
      </c>
      <c r="BR12" s="373">
        <v>0</v>
      </c>
      <c r="BS12" s="373">
        <v>0</v>
      </c>
      <c r="BT12" s="373">
        <f t="shared" si="10"/>
        <v>0</v>
      </c>
    </row>
    <row r="13" spans="1:72" ht="18" customHeight="1">
      <c r="A13" s="202">
        <v>7</v>
      </c>
      <c r="B13" s="351" t="s">
        <v>49</v>
      </c>
      <c r="C13" s="350">
        <v>5</v>
      </c>
      <c r="D13" s="350">
        <v>0</v>
      </c>
      <c r="E13" s="350">
        <v>0</v>
      </c>
      <c r="F13" s="350">
        <v>5</v>
      </c>
      <c r="G13" s="350">
        <v>0</v>
      </c>
      <c r="H13" s="350">
        <f t="shared" si="0"/>
        <v>5</v>
      </c>
      <c r="I13" s="350">
        <f t="shared" si="0"/>
        <v>0</v>
      </c>
      <c r="J13" s="350">
        <f t="shared" si="11"/>
        <v>5</v>
      </c>
      <c r="K13" s="350">
        <v>109</v>
      </c>
      <c r="L13" s="350">
        <v>16</v>
      </c>
      <c r="M13" s="350">
        <v>80</v>
      </c>
      <c r="N13" s="350">
        <v>111</v>
      </c>
      <c r="O13" s="350">
        <v>140</v>
      </c>
      <c r="P13" s="350">
        <f t="shared" si="1"/>
        <v>127</v>
      </c>
      <c r="Q13" s="350">
        <f t="shared" si="1"/>
        <v>220</v>
      </c>
      <c r="R13" s="350">
        <f t="shared" si="12"/>
        <v>347</v>
      </c>
      <c r="S13" s="350">
        <v>187</v>
      </c>
      <c r="T13" s="350">
        <v>179</v>
      </c>
      <c r="U13" s="350">
        <v>90</v>
      </c>
      <c r="V13" s="350">
        <v>109</v>
      </c>
      <c r="W13" s="350">
        <v>202</v>
      </c>
      <c r="X13" s="350">
        <f t="shared" si="2"/>
        <v>288</v>
      </c>
      <c r="Y13" s="350">
        <f t="shared" si="2"/>
        <v>292</v>
      </c>
      <c r="Z13" s="350">
        <f t="shared" si="13"/>
        <v>580</v>
      </c>
      <c r="AB13" s="202">
        <v>7</v>
      </c>
      <c r="AC13" s="351" t="s">
        <v>49</v>
      </c>
      <c r="AD13" s="350">
        <v>558</v>
      </c>
      <c r="AE13" s="350">
        <v>2700</v>
      </c>
      <c r="AF13" s="350">
        <v>2660</v>
      </c>
      <c r="AG13" s="350">
        <v>401</v>
      </c>
      <c r="AH13" s="350">
        <v>513</v>
      </c>
      <c r="AI13" s="350">
        <f t="shared" si="9"/>
        <v>3101</v>
      </c>
      <c r="AJ13" s="350">
        <f t="shared" si="9"/>
        <v>3173</v>
      </c>
      <c r="AK13" s="350">
        <f t="shared" si="14"/>
        <v>6274</v>
      </c>
      <c r="AL13" s="350">
        <v>299</v>
      </c>
      <c r="AM13" s="350">
        <v>2869</v>
      </c>
      <c r="AN13" s="350">
        <v>1504</v>
      </c>
      <c r="AO13" s="350">
        <v>502</v>
      </c>
      <c r="AP13" s="350">
        <v>4219</v>
      </c>
      <c r="AQ13" s="350">
        <f t="shared" si="3"/>
        <v>3371</v>
      </c>
      <c r="AR13" s="350">
        <f t="shared" si="3"/>
        <v>5723</v>
      </c>
      <c r="AS13" s="350">
        <f t="shared" si="15"/>
        <v>9094</v>
      </c>
      <c r="AU13" s="368">
        <v>7</v>
      </c>
      <c r="AV13" s="369" t="s">
        <v>49</v>
      </c>
      <c r="AW13" s="373">
        <v>16735</v>
      </c>
      <c r="AX13" s="373">
        <v>1408</v>
      </c>
      <c r="AY13" s="373">
        <v>1570</v>
      </c>
      <c r="AZ13" s="373">
        <v>5101</v>
      </c>
      <c r="BA13" s="373">
        <v>12740</v>
      </c>
      <c r="BB13" s="373">
        <f t="shared" si="4"/>
        <v>6509</v>
      </c>
      <c r="BC13" s="373">
        <f t="shared" si="4"/>
        <v>14310</v>
      </c>
      <c r="BD13" s="373">
        <f t="shared" si="5"/>
        <v>20819</v>
      </c>
      <c r="BE13" s="373">
        <v>13</v>
      </c>
      <c r="BF13" s="373">
        <v>10</v>
      </c>
      <c r="BG13" s="373">
        <v>1000</v>
      </c>
      <c r="BH13" s="373">
        <v>50</v>
      </c>
      <c r="BI13" s="373">
        <v>2000</v>
      </c>
      <c r="BJ13" s="373">
        <f t="shared" si="6"/>
        <v>60</v>
      </c>
      <c r="BK13" s="373">
        <f t="shared" si="6"/>
        <v>3000</v>
      </c>
      <c r="BL13" s="373">
        <f t="shared" si="7"/>
        <v>3060</v>
      </c>
      <c r="BM13" s="373">
        <v>250</v>
      </c>
      <c r="BN13" s="373">
        <v>13300</v>
      </c>
      <c r="BO13" s="373">
        <v>631</v>
      </c>
      <c r="BP13" s="373">
        <f t="shared" si="8"/>
        <v>13931</v>
      </c>
      <c r="BQ13" s="373">
        <v>8</v>
      </c>
      <c r="BR13" s="373">
        <v>190</v>
      </c>
      <c r="BS13" s="373">
        <v>251</v>
      </c>
      <c r="BT13" s="373">
        <f t="shared" si="10"/>
        <v>441</v>
      </c>
    </row>
    <row r="14" spans="1:72" ht="18" customHeight="1">
      <c r="A14" s="202">
        <v>8</v>
      </c>
      <c r="B14" s="351" t="s">
        <v>50</v>
      </c>
      <c r="C14" s="350">
        <v>1</v>
      </c>
      <c r="D14" s="350">
        <v>0</v>
      </c>
      <c r="E14" s="350">
        <v>0</v>
      </c>
      <c r="F14" s="350">
        <v>1</v>
      </c>
      <c r="G14" s="350">
        <v>0</v>
      </c>
      <c r="H14" s="350">
        <f t="shared" si="0"/>
        <v>1</v>
      </c>
      <c r="I14" s="350">
        <v>0</v>
      </c>
      <c r="J14" s="350">
        <f t="shared" si="11"/>
        <v>1</v>
      </c>
      <c r="K14" s="350">
        <v>129</v>
      </c>
      <c r="L14" s="350">
        <v>139</v>
      </c>
      <c r="M14" s="350">
        <v>105</v>
      </c>
      <c r="N14" s="350">
        <v>89</v>
      </c>
      <c r="O14" s="350">
        <v>94</v>
      </c>
      <c r="P14" s="350">
        <f t="shared" si="1"/>
        <v>228</v>
      </c>
      <c r="Q14" s="350">
        <f t="shared" si="1"/>
        <v>199</v>
      </c>
      <c r="R14" s="350">
        <f t="shared" si="12"/>
        <v>427</v>
      </c>
      <c r="S14" s="350">
        <v>136</v>
      </c>
      <c r="T14" s="350">
        <v>112</v>
      </c>
      <c r="U14" s="350">
        <v>156</v>
      </c>
      <c r="V14" s="350">
        <v>163</v>
      </c>
      <c r="W14" s="350">
        <v>255</v>
      </c>
      <c r="X14" s="350">
        <f t="shared" si="2"/>
        <v>275</v>
      </c>
      <c r="Y14" s="350">
        <f t="shared" si="2"/>
        <v>411</v>
      </c>
      <c r="Z14" s="350">
        <f t="shared" si="13"/>
        <v>686</v>
      </c>
      <c r="AB14" s="202">
        <v>8</v>
      </c>
      <c r="AC14" s="351" t="s">
        <v>50</v>
      </c>
      <c r="AD14" s="350">
        <v>238</v>
      </c>
      <c r="AE14" s="350">
        <v>510</v>
      </c>
      <c r="AF14" s="350">
        <v>429</v>
      </c>
      <c r="AG14" s="350">
        <v>527</v>
      </c>
      <c r="AH14" s="350">
        <v>366</v>
      </c>
      <c r="AI14" s="350">
        <f t="shared" si="9"/>
        <v>1037</v>
      </c>
      <c r="AJ14" s="350">
        <f t="shared" si="9"/>
        <v>795</v>
      </c>
      <c r="AK14" s="350">
        <f t="shared" si="14"/>
        <v>1832</v>
      </c>
      <c r="AL14" s="350">
        <v>309</v>
      </c>
      <c r="AM14" s="350">
        <v>397</v>
      </c>
      <c r="AN14" s="350">
        <v>588</v>
      </c>
      <c r="AO14" s="350">
        <v>362</v>
      </c>
      <c r="AP14" s="350">
        <v>369</v>
      </c>
      <c r="AQ14" s="350">
        <f t="shared" si="3"/>
        <v>759</v>
      </c>
      <c r="AR14" s="350">
        <f t="shared" si="3"/>
        <v>957</v>
      </c>
      <c r="AS14" s="350">
        <f t="shared" si="15"/>
        <v>1716</v>
      </c>
      <c r="AU14" s="368">
        <v>8</v>
      </c>
      <c r="AV14" s="369" t="s">
        <v>50</v>
      </c>
      <c r="AW14" s="373">
        <v>4405</v>
      </c>
      <c r="AX14" s="373">
        <v>3859</v>
      </c>
      <c r="AY14" s="373">
        <v>5415</v>
      </c>
      <c r="AZ14" s="373">
        <v>5185</v>
      </c>
      <c r="BA14" s="373">
        <v>2709</v>
      </c>
      <c r="BB14" s="373">
        <f t="shared" si="4"/>
        <v>9044</v>
      </c>
      <c r="BC14" s="373">
        <f t="shared" si="4"/>
        <v>8124</v>
      </c>
      <c r="BD14" s="373">
        <f t="shared" si="5"/>
        <v>17168</v>
      </c>
      <c r="BE14" s="373">
        <v>131</v>
      </c>
      <c r="BF14" s="373">
        <v>10</v>
      </c>
      <c r="BG14" s="373">
        <v>6000</v>
      </c>
      <c r="BH14" s="373">
        <v>10</v>
      </c>
      <c r="BI14" s="373">
        <v>16000</v>
      </c>
      <c r="BJ14" s="373">
        <f t="shared" si="6"/>
        <v>20</v>
      </c>
      <c r="BK14" s="373">
        <f t="shared" si="6"/>
        <v>22000</v>
      </c>
      <c r="BL14" s="373">
        <f t="shared" si="7"/>
        <v>22020</v>
      </c>
      <c r="BM14" s="373">
        <v>8000</v>
      </c>
      <c r="BN14" s="373">
        <v>10115</v>
      </c>
      <c r="BO14" s="373">
        <v>4417</v>
      </c>
      <c r="BP14" s="373">
        <f t="shared" si="8"/>
        <v>14532</v>
      </c>
      <c r="BQ14" s="373">
        <v>8</v>
      </c>
      <c r="BR14" s="373">
        <v>15</v>
      </c>
      <c r="BS14" s="373">
        <v>265</v>
      </c>
      <c r="BT14" s="373">
        <f t="shared" si="10"/>
        <v>280</v>
      </c>
    </row>
    <row r="15" spans="1:72" s="234" customFormat="1" ht="18" customHeight="1">
      <c r="A15" s="202">
        <v>9</v>
      </c>
      <c r="B15" s="351" t="s">
        <v>51</v>
      </c>
      <c r="C15" s="350">
        <v>52</v>
      </c>
      <c r="D15" s="350">
        <v>0</v>
      </c>
      <c r="E15" s="350">
        <v>0</v>
      </c>
      <c r="F15" s="350">
        <v>52</v>
      </c>
      <c r="G15" s="350">
        <v>0</v>
      </c>
      <c r="H15" s="350">
        <f t="shared" si="0"/>
        <v>52</v>
      </c>
      <c r="I15" s="350">
        <f t="shared" si="0"/>
        <v>0</v>
      </c>
      <c r="J15" s="350">
        <f t="shared" si="11"/>
        <v>52</v>
      </c>
      <c r="K15" s="350">
        <v>56</v>
      </c>
      <c r="L15" s="350">
        <v>23</v>
      </c>
      <c r="M15" s="350">
        <v>56</v>
      </c>
      <c r="N15" s="350">
        <v>0</v>
      </c>
      <c r="O15" s="350">
        <v>55</v>
      </c>
      <c r="P15" s="350">
        <f t="shared" si="1"/>
        <v>23</v>
      </c>
      <c r="Q15" s="350">
        <f t="shared" si="1"/>
        <v>111</v>
      </c>
      <c r="R15" s="350">
        <f t="shared" si="12"/>
        <v>134</v>
      </c>
      <c r="S15" s="350">
        <v>19</v>
      </c>
      <c r="T15" s="350">
        <v>4</v>
      </c>
      <c r="U15" s="350">
        <v>22</v>
      </c>
      <c r="V15" s="350">
        <v>4</v>
      </c>
      <c r="W15" s="350">
        <v>9</v>
      </c>
      <c r="X15" s="350">
        <f t="shared" si="2"/>
        <v>8</v>
      </c>
      <c r="Y15" s="350">
        <f t="shared" si="2"/>
        <v>31</v>
      </c>
      <c r="Z15" s="350">
        <f t="shared" si="13"/>
        <v>39</v>
      </c>
      <c r="AB15" s="202">
        <v>9</v>
      </c>
      <c r="AC15" s="351" t="s">
        <v>51</v>
      </c>
      <c r="AD15" s="350">
        <v>390</v>
      </c>
      <c r="AE15" s="350">
        <v>594</v>
      </c>
      <c r="AF15" s="350">
        <v>1252</v>
      </c>
      <c r="AG15" s="350">
        <v>156</v>
      </c>
      <c r="AH15" s="350">
        <v>1288</v>
      </c>
      <c r="AI15" s="350">
        <f t="shared" si="9"/>
        <v>750</v>
      </c>
      <c r="AJ15" s="350">
        <f t="shared" si="9"/>
        <v>2540</v>
      </c>
      <c r="AK15" s="350">
        <f t="shared" si="14"/>
        <v>3290</v>
      </c>
      <c r="AL15" s="350">
        <v>68</v>
      </c>
      <c r="AM15" s="350">
        <v>78</v>
      </c>
      <c r="AN15" s="350">
        <v>266</v>
      </c>
      <c r="AO15" s="350">
        <v>36</v>
      </c>
      <c r="AP15" s="350">
        <v>298</v>
      </c>
      <c r="AQ15" s="350">
        <f t="shared" si="3"/>
        <v>114</v>
      </c>
      <c r="AR15" s="350">
        <f t="shared" si="3"/>
        <v>564</v>
      </c>
      <c r="AS15" s="350">
        <f t="shared" si="15"/>
        <v>678</v>
      </c>
      <c r="AU15" s="368">
        <v>9</v>
      </c>
      <c r="AV15" s="369" t="s">
        <v>51</v>
      </c>
      <c r="AW15" s="373">
        <v>3330</v>
      </c>
      <c r="AX15" s="373">
        <v>1580</v>
      </c>
      <c r="AY15" s="373">
        <v>1376</v>
      </c>
      <c r="AZ15" s="373">
        <v>5778</v>
      </c>
      <c r="BA15" s="373">
        <v>5772</v>
      </c>
      <c r="BB15" s="373">
        <f t="shared" si="4"/>
        <v>7358</v>
      </c>
      <c r="BC15" s="373">
        <f t="shared" si="4"/>
        <v>7148</v>
      </c>
      <c r="BD15" s="373">
        <f t="shared" si="5"/>
        <v>14506</v>
      </c>
      <c r="BE15" s="373">
        <v>15</v>
      </c>
      <c r="BF15" s="373">
        <v>0</v>
      </c>
      <c r="BG15" s="373">
        <v>0</v>
      </c>
      <c r="BH15" s="373">
        <v>200</v>
      </c>
      <c r="BI15" s="373">
        <v>2000</v>
      </c>
      <c r="BJ15" s="373">
        <f t="shared" si="6"/>
        <v>200</v>
      </c>
      <c r="BK15" s="373">
        <f t="shared" si="6"/>
        <v>2000</v>
      </c>
      <c r="BL15" s="373">
        <f t="shared" si="7"/>
        <v>2200</v>
      </c>
      <c r="BM15" s="373">
        <v>4000</v>
      </c>
      <c r="BN15" s="373">
        <v>200</v>
      </c>
      <c r="BO15" s="373">
        <v>140</v>
      </c>
      <c r="BP15" s="373">
        <f t="shared" si="8"/>
        <v>340</v>
      </c>
      <c r="BQ15" s="373">
        <v>1</v>
      </c>
      <c r="BR15" s="373">
        <v>5</v>
      </c>
      <c r="BS15" s="373">
        <v>20</v>
      </c>
      <c r="BT15" s="373">
        <f t="shared" si="10"/>
        <v>25</v>
      </c>
    </row>
    <row r="16" spans="1:72" ht="18" customHeight="1">
      <c r="A16" s="202">
        <v>10</v>
      </c>
      <c r="B16" s="351" t="s">
        <v>52</v>
      </c>
      <c r="C16" s="350">
        <v>33</v>
      </c>
      <c r="D16" s="350">
        <v>0</v>
      </c>
      <c r="E16" s="350">
        <v>0</v>
      </c>
      <c r="F16" s="350">
        <v>36</v>
      </c>
      <c r="G16" s="350">
        <v>0</v>
      </c>
      <c r="H16" s="350">
        <f t="shared" si="0"/>
        <v>36</v>
      </c>
      <c r="I16" s="350">
        <f t="shared" si="0"/>
        <v>0</v>
      </c>
      <c r="J16" s="350">
        <f t="shared" si="11"/>
        <v>36</v>
      </c>
      <c r="K16" s="350">
        <v>204</v>
      </c>
      <c r="L16" s="350">
        <v>301</v>
      </c>
      <c r="M16" s="350">
        <v>185</v>
      </c>
      <c r="N16" s="350">
        <v>72</v>
      </c>
      <c r="O16" s="350">
        <v>243</v>
      </c>
      <c r="P16" s="350">
        <f t="shared" si="1"/>
        <v>373</v>
      </c>
      <c r="Q16" s="350">
        <f t="shared" si="1"/>
        <v>428</v>
      </c>
      <c r="R16" s="350">
        <f t="shared" si="12"/>
        <v>801</v>
      </c>
      <c r="S16" s="350">
        <v>13</v>
      </c>
      <c r="T16" s="350">
        <v>20</v>
      </c>
      <c r="U16" s="350">
        <v>98</v>
      </c>
      <c r="V16" s="350">
        <v>5</v>
      </c>
      <c r="W16" s="350">
        <v>49</v>
      </c>
      <c r="X16" s="350">
        <f t="shared" si="2"/>
        <v>25</v>
      </c>
      <c r="Y16" s="350">
        <f t="shared" si="2"/>
        <v>147</v>
      </c>
      <c r="Z16" s="350">
        <f t="shared" si="13"/>
        <v>172</v>
      </c>
      <c r="AB16" s="202">
        <v>10</v>
      </c>
      <c r="AC16" s="351" t="s">
        <v>52</v>
      </c>
      <c r="AD16" s="350">
        <v>337</v>
      </c>
      <c r="AE16" s="350">
        <v>1713</v>
      </c>
      <c r="AF16" s="350">
        <v>1488</v>
      </c>
      <c r="AG16" s="350">
        <v>652</v>
      </c>
      <c r="AH16" s="350">
        <v>1130</v>
      </c>
      <c r="AI16" s="350">
        <f t="shared" si="9"/>
        <v>2365</v>
      </c>
      <c r="AJ16" s="350">
        <f t="shared" si="9"/>
        <v>2618</v>
      </c>
      <c r="AK16" s="350">
        <f t="shared" si="14"/>
        <v>4983</v>
      </c>
      <c r="AL16" s="350">
        <v>281</v>
      </c>
      <c r="AM16" s="350">
        <v>464</v>
      </c>
      <c r="AN16" s="350">
        <v>1148</v>
      </c>
      <c r="AO16" s="350">
        <v>467</v>
      </c>
      <c r="AP16" s="350">
        <v>945</v>
      </c>
      <c r="AQ16" s="350">
        <f t="shared" si="3"/>
        <v>931</v>
      </c>
      <c r="AR16" s="350">
        <f t="shared" si="3"/>
        <v>2093</v>
      </c>
      <c r="AS16" s="350">
        <f t="shared" si="15"/>
        <v>3024</v>
      </c>
      <c r="AU16" s="368">
        <v>10</v>
      </c>
      <c r="AV16" s="369" t="s">
        <v>52</v>
      </c>
      <c r="AW16" s="373">
        <v>1296</v>
      </c>
      <c r="AX16" s="373">
        <v>4126</v>
      </c>
      <c r="AY16" s="373">
        <v>4139</v>
      </c>
      <c r="AZ16" s="373">
        <v>6496</v>
      </c>
      <c r="BA16" s="373">
        <v>7039</v>
      </c>
      <c r="BB16" s="373">
        <f t="shared" si="4"/>
        <v>10622</v>
      </c>
      <c r="BC16" s="373">
        <f t="shared" si="4"/>
        <v>11178</v>
      </c>
      <c r="BD16" s="373">
        <f t="shared" si="5"/>
        <v>21800</v>
      </c>
      <c r="BE16" s="373">
        <v>558</v>
      </c>
      <c r="BF16" s="373">
        <v>1275</v>
      </c>
      <c r="BG16" s="373">
        <v>1748</v>
      </c>
      <c r="BH16" s="373">
        <v>1126</v>
      </c>
      <c r="BI16" s="373">
        <v>4033</v>
      </c>
      <c r="BJ16" s="373">
        <f t="shared" si="6"/>
        <v>2401</v>
      </c>
      <c r="BK16" s="373">
        <f t="shared" si="6"/>
        <v>5781</v>
      </c>
      <c r="BL16" s="373">
        <f t="shared" si="7"/>
        <v>8182</v>
      </c>
      <c r="BM16" s="373">
        <v>0</v>
      </c>
      <c r="BN16" s="373">
        <v>4405</v>
      </c>
      <c r="BO16" s="373">
        <v>421</v>
      </c>
      <c r="BP16" s="373">
        <f t="shared" si="8"/>
        <v>4826</v>
      </c>
      <c r="BQ16" s="373">
        <v>14</v>
      </c>
      <c r="BR16" s="373">
        <v>598</v>
      </c>
      <c r="BS16" s="373">
        <v>871</v>
      </c>
      <c r="BT16" s="373">
        <f t="shared" si="10"/>
        <v>1469</v>
      </c>
    </row>
    <row r="17" spans="1:72" ht="18" customHeight="1">
      <c r="A17" s="202">
        <v>11</v>
      </c>
      <c r="B17" s="351" t="s">
        <v>53</v>
      </c>
      <c r="C17" s="350">
        <v>0</v>
      </c>
      <c r="D17" s="350">
        <v>0</v>
      </c>
      <c r="E17" s="350">
        <v>0</v>
      </c>
      <c r="F17" s="350">
        <v>0</v>
      </c>
      <c r="G17" s="350">
        <v>0</v>
      </c>
      <c r="H17" s="350">
        <f t="shared" si="0"/>
        <v>0</v>
      </c>
      <c r="I17" s="350">
        <f t="shared" si="0"/>
        <v>0</v>
      </c>
      <c r="J17" s="350">
        <f t="shared" si="11"/>
        <v>0</v>
      </c>
      <c r="K17" s="350">
        <v>19</v>
      </c>
      <c r="L17" s="350">
        <v>36</v>
      </c>
      <c r="M17" s="350">
        <v>5</v>
      </c>
      <c r="N17" s="350">
        <v>38</v>
      </c>
      <c r="O17" s="350">
        <v>12</v>
      </c>
      <c r="P17" s="350">
        <f t="shared" si="1"/>
        <v>74</v>
      </c>
      <c r="Q17" s="350">
        <f t="shared" si="1"/>
        <v>17</v>
      </c>
      <c r="R17" s="350">
        <f t="shared" si="12"/>
        <v>91</v>
      </c>
      <c r="S17" s="350">
        <v>13</v>
      </c>
      <c r="T17" s="350">
        <v>4</v>
      </c>
      <c r="U17" s="350">
        <v>10</v>
      </c>
      <c r="V17" s="350">
        <v>3</v>
      </c>
      <c r="W17" s="350">
        <v>41</v>
      </c>
      <c r="X17" s="350">
        <f t="shared" si="2"/>
        <v>7</v>
      </c>
      <c r="Y17" s="350">
        <f t="shared" si="2"/>
        <v>51</v>
      </c>
      <c r="Z17" s="350">
        <f t="shared" si="13"/>
        <v>58</v>
      </c>
      <c r="AB17" s="202">
        <v>11</v>
      </c>
      <c r="AC17" s="351" t="s">
        <v>53</v>
      </c>
      <c r="AD17" s="350">
        <v>741</v>
      </c>
      <c r="AE17" s="350">
        <v>456</v>
      </c>
      <c r="AF17" s="350">
        <v>338</v>
      </c>
      <c r="AG17" s="350">
        <v>658</v>
      </c>
      <c r="AH17" s="350">
        <v>787</v>
      </c>
      <c r="AI17" s="350">
        <f t="shared" si="9"/>
        <v>1114</v>
      </c>
      <c r="AJ17" s="350">
        <f t="shared" si="9"/>
        <v>1125</v>
      </c>
      <c r="AK17" s="350">
        <f t="shared" si="14"/>
        <v>2239</v>
      </c>
      <c r="AL17" s="350">
        <v>765</v>
      </c>
      <c r="AM17" s="350">
        <v>802</v>
      </c>
      <c r="AN17" s="350">
        <v>344</v>
      </c>
      <c r="AO17" s="350">
        <v>458</v>
      </c>
      <c r="AP17" s="350">
        <v>688</v>
      </c>
      <c r="AQ17" s="350">
        <f t="shared" si="3"/>
        <v>1260</v>
      </c>
      <c r="AR17" s="350">
        <f t="shared" si="3"/>
        <v>1032</v>
      </c>
      <c r="AS17" s="350">
        <f t="shared" si="15"/>
        <v>2292</v>
      </c>
      <c r="AU17" s="368">
        <v>11</v>
      </c>
      <c r="AV17" s="369" t="s">
        <v>53</v>
      </c>
      <c r="AW17" s="373">
        <v>1975</v>
      </c>
      <c r="AX17" s="373">
        <v>16594</v>
      </c>
      <c r="AY17" s="373">
        <v>17780</v>
      </c>
      <c r="AZ17" s="373">
        <v>12445</v>
      </c>
      <c r="BA17" s="373">
        <v>14183</v>
      </c>
      <c r="BB17" s="373">
        <f t="shared" si="4"/>
        <v>29039</v>
      </c>
      <c r="BC17" s="373">
        <f t="shared" si="4"/>
        <v>31963</v>
      </c>
      <c r="BD17" s="373">
        <f t="shared" si="5"/>
        <v>61002</v>
      </c>
      <c r="BE17" s="373">
        <v>0</v>
      </c>
      <c r="BF17" s="373">
        <v>0</v>
      </c>
      <c r="BG17" s="373">
        <v>0</v>
      </c>
      <c r="BH17" s="373">
        <v>0</v>
      </c>
      <c r="BI17" s="373">
        <v>0</v>
      </c>
      <c r="BJ17" s="373">
        <f aca="true" t="shared" si="16" ref="BJ17:BK20">SUM(BF17+BH17)</f>
        <v>0</v>
      </c>
      <c r="BK17" s="373">
        <f t="shared" si="16"/>
        <v>0</v>
      </c>
      <c r="BL17" s="373">
        <f t="shared" si="7"/>
        <v>0</v>
      </c>
      <c r="BM17" s="373">
        <v>0</v>
      </c>
      <c r="BN17" s="373">
        <v>2469</v>
      </c>
      <c r="BO17" s="373">
        <v>0</v>
      </c>
      <c r="BP17" s="373">
        <f t="shared" si="8"/>
        <v>2469</v>
      </c>
      <c r="BQ17" s="373">
        <v>0</v>
      </c>
      <c r="BR17" s="373">
        <v>0</v>
      </c>
      <c r="BS17" s="373">
        <v>0</v>
      </c>
      <c r="BT17" s="373">
        <f t="shared" si="10"/>
        <v>0</v>
      </c>
    </row>
    <row r="18" spans="1:72" ht="18" customHeight="1">
      <c r="A18" s="202">
        <v>12</v>
      </c>
      <c r="B18" s="351" t="s">
        <v>54</v>
      </c>
      <c r="C18" s="350">
        <v>47</v>
      </c>
      <c r="D18" s="350">
        <v>3</v>
      </c>
      <c r="E18" s="350">
        <v>3</v>
      </c>
      <c r="F18" s="350">
        <v>75</v>
      </c>
      <c r="G18" s="350">
        <v>66</v>
      </c>
      <c r="H18" s="350">
        <f t="shared" si="0"/>
        <v>78</v>
      </c>
      <c r="I18" s="350">
        <f t="shared" si="0"/>
        <v>69</v>
      </c>
      <c r="J18" s="350">
        <f t="shared" si="11"/>
        <v>147</v>
      </c>
      <c r="K18" s="350">
        <v>291</v>
      </c>
      <c r="L18" s="350">
        <v>564</v>
      </c>
      <c r="M18" s="350">
        <v>226</v>
      </c>
      <c r="N18" s="350">
        <v>453</v>
      </c>
      <c r="O18" s="350">
        <v>381</v>
      </c>
      <c r="P18" s="350">
        <f t="shared" si="1"/>
        <v>1017</v>
      </c>
      <c r="Q18" s="350">
        <f t="shared" si="1"/>
        <v>607</v>
      </c>
      <c r="R18" s="350">
        <f t="shared" si="12"/>
        <v>1624</v>
      </c>
      <c r="S18" s="350">
        <v>7</v>
      </c>
      <c r="T18" s="350">
        <v>15</v>
      </c>
      <c r="U18" s="350">
        <v>10</v>
      </c>
      <c r="V18" s="350">
        <v>2</v>
      </c>
      <c r="W18" s="350">
        <v>15</v>
      </c>
      <c r="X18" s="350">
        <f t="shared" si="2"/>
        <v>17</v>
      </c>
      <c r="Y18" s="350">
        <f t="shared" si="2"/>
        <v>25</v>
      </c>
      <c r="Z18" s="350">
        <f t="shared" si="13"/>
        <v>42</v>
      </c>
      <c r="AB18" s="202">
        <v>12</v>
      </c>
      <c r="AC18" s="351" t="s">
        <v>54</v>
      </c>
      <c r="AD18" s="350">
        <v>713</v>
      </c>
      <c r="AE18" s="350">
        <v>1235</v>
      </c>
      <c r="AF18" s="350">
        <v>1836</v>
      </c>
      <c r="AG18" s="350">
        <v>796</v>
      </c>
      <c r="AH18" s="350">
        <v>1841</v>
      </c>
      <c r="AI18" s="350">
        <f t="shared" si="9"/>
        <v>2031</v>
      </c>
      <c r="AJ18" s="350">
        <f t="shared" si="9"/>
        <v>3677</v>
      </c>
      <c r="AK18" s="350">
        <f t="shared" si="14"/>
        <v>5708</v>
      </c>
      <c r="AL18" s="350">
        <v>1832</v>
      </c>
      <c r="AM18" s="350">
        <v>1814</v>
      </c>
      <c r="AN18" s="350">
        <v>2072</v>
      </c>
      <c r="AO18" s="350">
        <v>1902</v>
      </c>
      <c r="AP18" s="350">
        <v>3058</v>
      </c>
      <c r="AQ18" s="350">
        <f t="shared" si="3"/>
        <v>3716</v>
      </c>
      <c r="AR18" s="350">
        <f t="shared" si="3"/>
        <v>5130</v>
      </c>
      <c r="AS18" s="350">
        <f t="shared" si="15"/>
        <v>8846</v>
      </c>
      <c r="AU18" s="368">
        <v>12</v>
      </c>
      <c r="AV18" s="369" t="s">
        <v>54</v>
      </c>
      <c r="AW18" s="373">
        <v>1143</v>
      </c>
      <c r="AX18" s="373">
        <v>2298</v>
      </c>
      <c r="AY18" s="373">
        <v>1936</v>
      </c>
      <c r="AZ18" s="373">
        <v>1216</v>
      </c>
      <c r="BA18" s="373">
        <v>6418</v>
      </c>
      <c r="BB18" s="373">
        <f t="shared" si="4"/>
        <v>3514</v>
      </c>
      <c r="BC18" s="373">
        <f t="shared" si="4"/>
        <v>8354</v>
      </c>
      <c r="BD18" s="373">
        <f t="shared" si="5"/>
        <v>11868</v>
      </c>
      <c r="BE18" s="373">
        <v>200</v>
      </c>
      <c r="BF18" s="373">
        <v>150</v>
      </c>
      <c r="BG18" s="373">
        <v>350</v>
      </c>
      <c r="BH18" s="373">
        <v>1200</v>
      </c>
      <c r="BI18" s="373">
        <v>800</v>
      </c>
      <c r="BJ18" s="373">
        <f t="shared" si="16"/>
        <v>1350</v>
      </c>
      <c r="BK18" s="373">
        <f>SUM(BG18+BI18)</f>
        <v>1150</v>
      </c>
      <c r="BL18" s="373">
        <f t="shared" si="7"/>
        <v>2500</v>
      </c>
      <c r="BM18" s="373">
        <v>100</v>
      </c>
      <c r="BN18" s="373">
        <v>4489</v>
      </c>
      <c r="BO18" s="373">
        <v>310</v>
      </c>
      <c r="BP18" s="373">
        <f t="shared" si="8"/>
        <v>4799</v>
      </c>
      <c r="BQ18" s="373">
        <v>4</v>
      </c>
      <c r="BR18" s="373">
        <v>11</v>
      </c>
      <c r="BS18" s="373">
        <v>78</v>
      </c>
      <c r="BT18" s="373">
        <f t="shared" si="10"/>
        <v>89</v>
      </c>
    </row>
    <row r="19" spans="1:72" ht="18" customHeight="1">
      <c r="A19" s="202">
        <v>13</v>
      </c>
      <c r="B19" s="351" t="s">
        <v>55</v>
      </c>
      <c r="C19" s="350">
        <v>81</v>
      </c>
      <c r="D19" s="350">
        <v>7</v>
      </c>
      <c r="E19" s="350">
        <v>6</v>
      </c>
      <c r="F19" s="350">
        <v>89</v>
      </c>
      <c r="G19" s="350">
        <v>10</v>
      </c>
      <c r="H19" s="350">
        <f t="shared" si="0"/>
        <v>96</v>
      </c>
      <c r="I19" s="350">
        <f t="shared" si="0"/>
        <v>16</v>
      </c>
      <c r="J19" s="350">
        <f t="shared" si="11"/>
        <v>112</v>
      </c>
      <c r="K19" s="350">
        <v>132</v>
      </c>
      <c r="L19" s="350">
        <v>138</v>
      </c>
      <c r="M19" s="350">
        <v>46</v>
      </c>
      <c r="N19" s="350">
        <v>178</v>
      </c>
      <c r="O19" s="350">
        <v>179</v>
      </c>
      <c r="P19" s="350">
        <f>SUM(L19+N19)</f>
        <v>316</v>
      </c>
      <c r="Q19" s="350">
        <f>SUM(M19+O19)</f>
        <v>225</v>
      </c>
      <c r="R19" s="350">
        <f t="shared" si="12"/>
        <v>541</v>
      </c>
      <c r="S19" s="350">
        <v>8</v>
      </c>
      <c r="T19" s="350">
        <v>26</v>
      </c>
      <c r="U19" s="350">
        <v>23</v>
      </c>
      <c r="V19" s="350">
        <v>49</v>
      </c>
      <c r="W19" s="350">
        <v>52</v>
      </c>
      <c r="X19" s="350">
        <f>SUM(T19+V19)</f>
        <v>75</v>
      </c>
      <c r="Y19" s="350">
        <f>SUM(U19+W19)</f>
        <v>75</v>
      </c>
      <c r="Z19" s="350">
        <f t="shared" si="13"/>
        <v>150</v>
      </c>
      <c r="AB19" s="202">
        <v>13</v>
      </c>
      <c r="AC19" s="351" t="s">
        <v>55</v>
      </c>
      <c r="AD19" s="350">
        <v>152</v>
      </c>
      <c r="AE19" s="350">
        <v>392</v>
      </c>
      <c r="AF19" s="350">
        <v>272</v>
      </c>
      <c r="AG19" s="350">
        <v>276</v>
      </c>
      <c r="AH19" s="350">
        <v>263</v>
      </c>
      <c r="AI19" s="350">
        <f t="shared" si="9"/>
        <v>668</v>
      </c>
      <c r="AJ19" s="350">
        <f t="shared" si="9"/>
        <v>535</v>
      </c>
      <c r="AK19" s="350">
        <f t="shared" si="14"/>
        <v>1203</v>
      </c>
      <c r="AL19" s="350">
        <v>123</v>
      </c>
      <c r="AM19" s="350">
        <v>546</v>
      </c>
      <c r="AN19" s="350">
        <v>478</v>
      </c>
      <c r="AO19" s="350">
        <v>278</v>
      </c>
      <c r="AP19" s="350">
        <v>402</v>
      </c>
      <c r="AQ19" s="350">
        <f t="shared" si="3"/>
        <v>824</v>
      </c>
      <c r="AR19" s="350">
        <f t="shared" si="3"/>
        <v>880</v>
      </c>
      <c r="AS19" s="350">
        <f t="shared" si="15"/>
        <v>1704</v>
      </c>
      <c r="AU19" s="368">
        <v>13</v>
      </c>
      <c r="AV19" s="369" t="s">
        <v>55</v>
      </c>
      <c r="AW19" s="373">
        <v>9888</v>
      </c>
      <c r="AX19" s="373">
        <v>9593</v>
      </c>
      <c r="AY19" s="373">
        <v>9427</v>
      </c>
      <c r="AZ19" s="373">
        <v>4168</v>
      </c>
      <c r="BA19" s="373">
        <v>4726</v>
      </c>
      <c r="BB19" s="373">
        <f>SUM(AX19+AZ19)</f>
        <v>13761</v>
      </c>
      <c r="BC19" s="373">
        <f>SUM(AY19+BA19)</f>
        <v>14153</v>
      </c>
      <c r="BD19" s="373">
        <f t="shared" si="5"/>
        <v>27914</v>
      </c>
      <c r="BE19" s="373">
        <v>5</v>
      </c>
      <c r="BF19" s="373">
        <v>0</v>
      </c>
      <c r="BG19" s="373">
        <v>0</v>
      </c>
      <c r="BH19" s="373">
        <v>58</v>
      </c>
      <c r="BI19" s="373">
        <v>656</v>
      </c>
      <c r="BJ19" s="373">
        <f t="shared" si="16"/>
        <v>58</v>
      </c>
      <c r="BK19" s="373">
        <f t="shared" si="16"/>
        <v>656</v>
      </c>
      <c r="BL19" s="373">
        <f t="shared" si="7"/>
        <v>714</v>
      </c>
      <c r="BM19" s="373">
        <v>0</v>
      </c>
      <c r="BN19" s="373">
        <v>326</v>
      </c>
      <c r="BO19" s="373">
        <v>53</v>
      </c>
      <c r="BP19" s="373">
        <f t="shared" si="8"/>
        <v>379</v>
      </c>
      <c r="BQ19" s="373">
        <v>3</v>
      </c>
      <c r="BR19" s="373">
        <v>16</v>
      </c>
      <c r="BS19" s="373">
        <v>46</v>
      </c>
      <c r="BT19" s="373">
        <f t="shared" si="10"/>
        <v>62</v>
      </c>
    </row>
    <row r="20" spans="1:72" ht="18" customHeight="1">
      <c r="A20" s="344">
        <v>14</v>
      </c>
      <c r="B20" s="348" t="s">
        <v>56</v>
      </c>
      <c r="C20" s="349">
        <v>2</v>
      </c>
      <c r="D20" s="349">
        <v>0</v>
      </c>
      <c r="E20" s="349">
        <v>0</v>
      </c>
      <c r="F20" s="349">
        <v>2</v>
      </c>
      <c r="G20" s="349">
        <v>0</v>
      </c>
      <c r="H20" s="352">
        <f t="shared" si="0"/>
        <v>2</v>
      </c>
      <c r="I20" s="352">
        <f t="shared" si="0"/>
        <v>0</v>
      </c>
      <c r="J20" s="352">
        <f t="shared" si="11"/>
        <v>2</v>
      </c>
      <c r="K20" s="349">
        <v>10</v>
      </c>
      <c r="L20" s="349">
        <v>9</v>
      </c>
      <c r="M20" s="349">
        <v>3</v>
      </c>
      <c r="N20" s="349">
        <v>3</v>
      </c>
      <c r="O20" s="349">
        <v>8</v>
      </c>
      <c r="P20" s="352">
        <f>SUM(L20+N20)</f>
        <v>12</v>
      </c>
      <c r="Q20" s="352">
        <f>SUM(M20+O20)</f>
        <v>11</v>
      </c>
      <c r="R20" s="352">
        <f t="shared" si="12"/>
        <v>23</v>
      </c>
      <c r="S20" s="349">
        <v>5</v>
      </c>
      <c r="T20" s="349">
        <v>5</v>
      </c>
      <c r="U20" s="349">
        <v>4</v>
      </c>
      <c r="V20" s="349">
        <v>2</v>
      </c>
      <c r="W20" s="349">
        <v>4</v>
      </c>
      <c r="X20" s="352">
        <f>SUM(T20+V20)</f>
        <v>7</v>
      </c>
      <c r="Y20" s="352">
        <f>SUM(U20+W20)</f>
        <v>8</v>
      </c>
      <c r="Z20" s="352">
        <f t="shared" si="13"/>
        <v>15</v>
      </c>
      <c r="AB20" s="344">
        <v>14</v>
      </c>
      <c r="AC20" s="348" t="s">
        <v>56</v>
      </c>
      <c r="AD20" s="349">
        <v>331</v>
      </c>
      <c r="AE20" s="349">
        <v>715</v>
      </c>
      <c r="AF20" s="349">
        <v>1535</v>
      </c>
      <c r="AG20" s="349">
        <v>370</v>
      </c>
      <c r="AH20" s="349">
        <v>2703</v>
      </c>
      <c r="AI20" s="350">
        <f t="shared" si="9"/>
        <v>1085</v>
      </c>
      <c r="AJ20" s="350">
        <f t="shared" si="9"/>
        <v>4238</v>
      </c>
      <c r="AK20" s="350">
        <f t="shared" si="14"/>
        <v>5323</v>
      </c>
      <c r="AL20" s="349">
        <v>132</v>
      </c>
      <c r="AM20" s="349">
        <v>498</v>
      </c>
      <c r="AN20" s="349">
        <v>520</v>
      </c>
      <c r="AO20" s="349">
        <v>252</v>
      </c>
      <c r="AP20" s="349">
        <v>510</v>
      </c>
      <c r="AQ20" s="350">
        <f t="shared" si="3"/>
        <v>750</v>
      </c>
      <c r="AR20" s="350">
        <f t="shared" si="3"/>
        <v>1030</v>
      </c>
      <c r="AS20" s="350">
        <f t="shared" si="15"/>
        <v>1780</v>
      </c>
      <c r="AU20" s="368">
        <v>14</v>
      </c>
      <c r="AV20" s="369" t="s">
        <v>56</v>
      </c>
      <c r="AW20" s="373">
        <v>46</v>
      </c>
      <c r="AX20" s="373">
        <v>4020</v>
      </c>
      <c r="AY20" s="373">
        <v>4550</v>
      </c>
      <c r="AZ20" s="373">
        <v>3510</v>
      </c>
      <c r="BA20" s="373">
        <v>4500</v>
      </c>
      <c r="BB20" s="373">
        <f>SUM(AX20+AZ20)</f>
        <v>7530</v>
      </c>
      <c r="BC20" s="373">
        <f>SUM(AY20+BA20)</f>
        <v>9050</v>
      </c>
      <c r="BD20" s="373">
        <f t="shared" si="5"/>
        <v>16580</v>
      </c>
      <c r="BE20" s="373">
        <v>182</v>
      </c>
      <c r="BF20" s="373">
        <v>3000</v>
      </c>
      <c r="BG20" s="373">
        <v>4500</v>
      </c>
      <c r="BH20" s="373">
        <v>2800</v>
      </c>
      <c r="BI20" s="373">
        <v>10000</v>
      </c>
      <c r="BJ20" s="373">
        <f t="shared" si="16"/>
        <v>5800</v>
      </c>
      <c r="BK20" s="373">
        <f t="shared" si="16"/>
        <v>14500</v>
      </c>
      <c r="BL20" s="373">
        <f t="shared" si="7"/>
        <v>20300</v>
      </c>
      <c r="BM20" s="373">
        <v>100000</v>
      </c>
      <c r="BN20" s="373">
        <v>200</v>
      </c>
      <c r="BO20" s="373">
        <v>14</v>
      </c>
      <c r="BP20" s="373">
        <f t="shared" si="8"/>
        <v>214</v>
      </c>
      <c r="BQ20" s="373">
        <v>10</v>
      </c>
      <c r="BR20" s="373">
        <v>140</v>
      </c>
      <c r="BS20" s="373">
        <v>340</v>
      </c>
      <c r="BT20" s="373">
        <f t="shared" si="10"/>
        <v>480</v>
      </c>
    </row>
    <row r="21" spans="1:72" ht="18" customHeight="1">
      <c r="A21" s="353" t="s">
        <v>91</v>
      </c>
      <c r="B21" s="351"/>
      <c r="C21" s="350">
        <f>SUM(C7:C20)</f>
        <v>377</v>
      </c>
      <c r="D21" s="350">
        <f aca="true" t="shared" si="17" ref="D21:Z21">SUM(D7:D20)</f>
        <v>18</v>
      </c>
      <c r="E21" s="350">
        <f t="shared" si="17"/>
        <v>15</v>
      </c>
      <c r="F21" s="350">
        <f t="shared" si="17"/>
        <v>397</v>
      </c>
      <c r="G21" s="350">
        <f t="shared" si="17"/>
        <v>120</v>
      </c>
      <c r="H21" s="350">
        <f t="shared" si="17"/>
        <v>415</v>
      </c>
      <c r="I21" s="350">
        <f t="shared" si="17"/>
        <v>135</v>
      </c>
      <c r="J21" s="350">
        <f t="shared" si="17"/>
        <v>550</v>
      </c>
      <c r="K21" s="350">
        <f t="shared" si="17"/>
        <v>1144</v>
      </c>
      <c r="L21" s="350">
        <f t="shared" si="17"/>
        <v>1418</v>
      </c>
      <c r="M21" s="350">
        <f t="shared" si="17"/>
        <v>837</v>
      </c>
      <c r="N21" s="350">
        <f t="shared" si="17"/>
        <v>1411</v>
      </c>
      <c r="O21" s="350">
        <f t="shared" si="17"/>
        <v>1323</v>
      </c>
      <c r="P21" s="350">
        <f t="shared" si="17"/>
        <v>2829</v>
      </c>
      <c r="Q21" s="350">
        <f t="shared" si="17"/>
        <v>2160</v>
      </c>
      <c r="R21" s="350">
        <f t="shared" si="17"/>
        <v>4989</v>
      </c>
      <c r="S21" s="350">
        <f t="shared" si="17"/>
        <v>703</v>
      </c>
      <c r="T21" s="350">
        <f t="shared" si="17"/>
        <v>719</v>
      </c>
      <c r="U21" s="350">
        <f t="shared" si="17"/>
        <v>767</v>
      </c>
      <c r="V21" s="350">
        <f t="shared" si="17"/>
        <v>552</v>
      </c>
      <c r="W21" s="350">
        <f t="shared" si="17"/>
        <v>1112</v>
      </c>
      <c r="X21" s="350">
        <f t="shared" si="17"/>
        <v>1271</v>
      </c>
      <c r="Y21" s="350">
        <f t="shared" si="17"/>
        <v>1879</v>
      </c>
      <c r="Z21" s="350">
        <f t="shared" si="17"/>
        <v>3150</v>
      </c>
      <c r="AB21" s="353" t="s">
        <v>91</v>
      </c>
      <c r="AC21" s="351"/>
      <c r="AD21" s="350">
        <f aca="true" t="shared" si="18" ref="AD21:AS21">SUM(AD7:AD20)</f>
        <v>9387</v>
      </c>
      <c r="AE21" s="350">
        <f t="shared" si="18"/>
        <v>18231</v>
      </c>
      <c r="AF21" s="350">
        <f t="shared" si="18"/>
        <v>22286</v>
      </c>
      <c r="AG21" s="350">
        <f t="shared" si="18"/>
        <v>7944</v>
      </c>
      <c r="AH21" s="350">
        <f t="shared" si="18"/>
        <v>25724</v>
      </c>
      <c r="AI21" s="350">
        <f t="shared" si="18"/>
        <v>26175</v>
      </c>
      <c r="AJ21" s="350">
        <f t="shared" si="18"/>
        <v>48010</v>
      </c>
      <c r="AK21" s="350">
        <f t="shared" si="18"/>
        <v>74185</v>
      </c>
      <c r="AL21" s="350">
        <f t="shared" si="18"/>
        <v>7706</v>
      </c>
      <c r="AM21" s="350">
        <f t="shared" si="18"/>
        <v>12887</v>
      </c>
      <c r="AN21" s="350">
        <f t="shared" si="18"/>
        <v>12237</v>
      </c>
      <c r="AO21" s="350">
        <f t="shared" si="18"/>
        <v>6902</v>
      </c>
      <c r="AP21" s="350">
        <f t="shared" si="18"/>
        <v>14783</v>
      </c>
      <c r="AQ21" s="350">
        <f t="shared" si="18"/>
        <v>19789</v>
      </c>
      <c r="AR21" s="350">
        <f t="shared" si="18"/>
        <v>27020</v>
      </c>
      <c r="AS21" s="350">
        <f t="shared" si="18"/>
        <v>46809</v>
      </c>
      <c r="AU21" s="369" t="s">
        <v>91</v>
      </c>
      <c r="AV21" s="370"/>
      <c r="AW21" s="374">
        <f aca="true" t="shared" si="19" ref="AW21:BT21">SUM(AW7:AW20)</f>
        <v>88398</v>
      </c>
      <c r="AX21" s="374">
        <f t="shared" si="19"/>
        <v>131679</v>
      </c>
      <c r="AY21" s="374">
        <f t="shared" si="19"/>
        <v>208106</v>
      </c>
      <c r="AZ21" s="374">
        <f t="shared" si="19"/>
        <v>84322</v>
      </c>
      <c r="BA21" s="374">
        <f t="shared" si="19"/>
        <v>147993</v>
      </c>
      <c r="BB21" s="374">
        <f t="shared" si="19"/>
        <v>216001</v>
      </c>
      <c r="BC21" s="374">
        <f t="shared" si="19"/>
        <v>356099</v>
      </c>
      <c r="BD21" s="374">
        <f t="shared" si="19"/>
        <v>572100</v>
      </c>
      <c r="BE21" s="374">
        <f t="shared" si="19"/>
        <v>5129</v>
      </c>
      <c r="BF21" s="374">
        <f t="shared" si="19"/>
        <v>22626</v>
      </c>
      <c r="BG21" s="374">
        <f t="shared" si="19"/>
        <v>51819</v>
      </c>
      <c r="BH21" s="374">
        <f t="shared" si="19"/>
        <v>16572</v>
      </c>
      <c r="BI21" s="374">
        <f t="shared" si="19"/>
        <v>143805</v>
      </c>
      <c r="BJ21" s="374">
        <f t="shared" si="19"/>
        <v>39198</v>
      </c>
      <c r="BK21" s="374">
        <f t="shared" si="19"/>
        <v>195624</v>
      </c>
      <c r="BL21" s="374">
        <f t="shared" si="19"/>
        <v>234822</v>
      </c>
      <c r="BM21" s="374">
        <f t="shared" si="19"/>
        <v>176750</v>
      </c>
      <c r="BN21" s="374">
        <f t="shared" si="19"/>
        <v>53230</v>
      </c>
      <c r="BO21" s="374">
        <f t="shared" si="19"/>
        <v>7234</v>
      </c>
      <c r="BP21" s="374">
        <f t="shared" si="19"/>
        <v>60464</v>
      </c>
      <c r="BQ21" s="374">
        <f t="shared" si="19"/>
        <v>95</v>
      </c>
      <c r="BR21" s="374">
        <f t="shared" si="19"/>
        <v>1316</v>
      </c>
      <c r="BS21" s="374">
        <f t="shared" si="19"/>
        <v>2266</v>
      </c>
      <c r="BT21" s="374">
        <f t="shared" si="19"/>
        <v>3582</v>
      </c>
    </row>
    <row r="22" spans="1:72" ht="18" customHeight="1">
      <c r="A22" s="353" t="s">
        <v>92</v>
      </c>
      <c r="B22" s="351"/>
      <c r="C22" s="354">
        <v>383</v>
      </c>
      <c r="D22" s="354">
        <v>17</v>
      </c>
      <c r="E22" s="354">
        <v>13</v>
      </c>
      <c r="F22" s="354">
        <v>407</v>
      </c>
      <c r="G22" s="354">
        <v>111</v>
      </c>
      <c r="H22" s="354">
        <v>424</v>
      </c>
      <c r="I22" s="354">
        <v>124</v>
      </c>
      <c r="J22" s="354">
        <v>548</v>
      </c>
      <c r="K22" s="354">
        <v>1153</v>
      </c>
      <c r="L22" s="354">
        <v>1383</v>
      </c>
      <c r="M22" s="354">
        <v>804</v>
      </c>
      <c r="N22" s="354">
        <v>1387</v>
      </c>
      <c r="O22" s="354">
        <v>1267</v>
      </c>
      <c r="P22" s="354">
        <v>2770</v>
      </c>
      <c r="Q22" s="354">
        <v>2071</v>
      </c>
      <c r="R22" s="354">
        <v>4841</v>
      </c>
      <c r="S22" s="354">
        <v>749</v>
      </c>
      <c r="T22" s="354">
        <v>688</v>
      </c>
      <c r="U22" s="354">
        <v>742</v>
      </c>
      <c r="V22" s="354">
        <v>561</v>
      </c>
      <c r="W22" s="354">
        <v>1074</v>
      </c>
      <c r="X22" s="354">
        <v>1249</v>
      </c>
      <c r="Y22" s="354">
        <v>1816</v>
      </c>
      <c r="Z22" s="354">
        <v>3065</v>
      </c>
      <c r="AB22" s="353" t="s">
        <v>92</v>
      </c>
      <c r="AC22" s="351"/>
      <c r="AD22" s="354">
        <v>9367</v>
      </c>
      <c r="AE22" s="354">
        <v>17792</v>
      </c>
      <c r="AF22" s="354">
        <v>21916</v>
      </c>
      <c r="AG22" s="354">
        <v>7887</v>
      </c>
      <c r="AH22" s="354">
        <v>25042</v>
      </c>
      <c r="AI22" s="354">
        <v>25679</v>
      </c>
      <c r="AJ22" s="354">
        <v>46958</v>
      </c>
      <c r="AK22" s="354">
        <v>72637</v>
      </c>
      <c r="AL22" s="354">
        <v>7697</v>
      </c>
      <c r="AM22" s="354">
        <v>12649</v>
      </c>
      <c r="AN22" s="354">
        <v>11924</v>
      </c>
      <c r="AO22" s="354">
        <v>6836</v>
      </c>
      <c r="AP22" s="354">
        <v>14613</v>
      </c>
      <c r="AQ22" s="354">
        <v>19485</v>
      </c>
      <c r="AR22" s="354">
        <v>26537</v>
      </c>
      <c r="AS22" s="354">
        <v>46022</v>
      </c>
      <c r="AU22" s="353" t="s">
        <v>92</v>
      </c>
      <c r="AV22" s="370"/>
      <c r="AW22" s="374">
        <v>87909</v>
      </c>
      <c r="AX22" s="374">
        <v>129170</v>
      </c>
      <c r="AY22" s="374">
        <v>206933</v>
      </c>
      <c r="AZ22" s="374">
        <v>78936</v>
      </c>
      <c r="BA22" s="374">
        <v>146976</v>
      </c>
      <c r="BB22" s="374">
        <v>208106</v>
      </c>
      <c r="BC22" s="374">
        <v>353909</v>
      </c>
      <c r="BD22" s="374">
        <v>562015</v>
      </c>
      <c r="BE22" s="374">
        <v>4948</v>
      </c>
      <c r="BF22" s="374">
        <v>29299</v>
      </c>
      <c r="BG22" s="374">
        <v>49177</v>
      </c>
      <c r="BH22" s="374">
        <v>14830</v>
      </c>
      <c r="BI22" s="374">
        <v>132380</v>
      </c>
      <c r="BJ22" s="374">
        <v>44129</v>
      </c>
      <c r="BK22" s="374">
        <v>181557</v>
      </c>
      <c r="BL22" s="374">
        <v>225686</v>
      </c>
      <c r="BM22" s="374">
        <v>162010</v>
      </c>
      <c r="BN22" s="374">
        <v>53105</v>
      </c>
      <c r="BO22" s="374">
        <v>6739</v>
      </c>
      <c r="BP22" s="374">
        <v>59844</v>
      </c>
      <c r="BQ22" s="374">
        <v>101</v>
      </c>
      <c r="BR22" s="374">
        <v>1358</v>
      </c>
      <c r="BS22" s="374">
        <v>2266</v>
      </c>
      <c r="BT22" s="374">
        <v>3624</v>
      </c>
    </row>
    <row r="23" spans="1:26" ht="18" customHeight="1">
      <c r="A23" s="355"/>
      <c r="B23" s="355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</row>
    <row r="24" spans="1:69" ht="18" customHeight="1">
      <c r="A24" s="355"/>
      <c r="B24" s="355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234"/>
      <c r="U24" s="234" t="s">
        <v>93</v>
      </c>
      <c r="V24" s="234"/>
      <c r="W24" s="234"/>
      <c r="X24" s="356"/>
      <c r="Y24" s="356"/>
      <c r="Z24" s="356"/>
      <c r="AO24" s="234"/>
      <c r="AP24" s="234" t="s">
        <v>93</v>
      </c>
      <c r="AQ24" s="234"/>
      <c r="AR24" s="234"/>
      <c r="AS24" s="356"/>
      <c r="AT24" s="356"/>
      <c r="AV24" s="371"/>
      <c r="AX24" s="226"/>
      <c r="BL24" s="234"/>
      <c r="BM24" s="234" t="s">
        <v>94</v>
      </c>
      <c r="BN24" s="234"/>
      <c r="BO24" s="234"/>
      <c r="BP24" s="234"/>
      <c r="BQ24" s="356"/>
    </row>
    <row r="25" spans="1:68" ht="18" customHeight="1">
      <c r="A25" s="355"/>
      <c r="B25" s="355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235"/>
      <c r="U25" s="234" t="s">
        <v>60</v>
      </c>
      <c r="V25" s="234"/>
      <c r="W25" s="234"/>
      <c r="Z25" s="356"/>
      <c r="AO25" s="235"/>
      <c r="AP25" s="234" t="s">
        <v>60</v>
      </c>
      <c r="AQ25" s="234"/>
      <c r="AR25" s="234"/>
      <c r="BI25" s="184"/>
      <c r="BL25" s="235"/>
      <c r="BM25" s="234" t="s">
        <v>60</v>
      </c>
      <c r="BN25" s="234"/>
      <c r="BO25" s="234"/>
      <c r="BP25" s="234"/>
    </row>
    <row r="26" spans="1:68" ht="18" customHeight="1">
      <c r="A26" s="355"/>
      <c r="B26" s="355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235"/>
      <c r="U26" s="234" t="s">
        <v>61</v>
      </c>
      <c r="V26" s="234"/>
      <c r="W26" s="234"/>
      <c r="Z26" s="356"/>
      <c r="AO26" s="235"/>
      <c r="AP26" s="234" t="s">
        <v>61</v>
      </c>
      <c r="AQ26" s="234"/>
      <c r="AR26" s="234"/>
      <c r="BI26" s="184"/>
      <c r="BL26" s="235"/>
      <c r="BM26" s="234" t="s">
        <v>61</v>
      </c>
      <c r="BN26" s="234"/>
      <c r="BO26" s="234"/>
      <c r="BP26" s="234"/>
    </row>
    <row r="27" spans="1:68" ht="18" customHeight="1">
      <c r="A27" s="355"/>
      <c r="B27" s="355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234"/>
      <c r="U27" s="234"/>
      <c r="V27" s="234"/>
      <c r="W27" s="234"/>
      <c r="Z27" s="356"/>
      <c r="AO27" s="234"/>
      <c r="AP27" s="234"/>
      <c r="AQ27" s="234"/>
      <c r="AR27" s="234"/>
      <c r="BI27" s="184"/>
      <c r="BL27" s="234"/>
      <c r="BM27" s="234"/>
      <c r="BN27" s="234"/>
      <c r="BO27" s="234"/>
      <c r="BP27" s="234"/>
    </row>
    <row r="28" spans="1:68" ht="18" customHeight="1">
      <c r="A28" s="355"/>
      <c r="B28" s="355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234"/>
      <c r="U28" s="234"/>
      <c r="V28" s="234"/>
      <c r="W28" s="234"/>
      <c r="Z28" s="356"/>
      <c r="AO28" s="234"/>
      <c r="AP28" s="234"/>
      <c r="AQ28" s="234"/>
      <c r="AR28" s="234"/>
      <c r="BI28" s="184"/>
      <c r="BL28" s="234"/>
      <c r="BM28" s="234"/>
      <c r="BN28" s="234"/>
      <c r="BO28" s="234"/>
      <c r="BP28" s="234"/>
    </row>
    <row r="29" spans="20:68" ht="18" customHeight="1">
      <c r="T29" s="234"/>
      <c r="U29" s="234" t="s">
        <v>62</v>
      </c>
      <c r="V29" s="234"/>
      <c r="W29" s="234"/>
      <c r="AO29" s="234"/>
      <c r="AP29" s="234" t="s">
        <v>62</v>
      </c>
      <c r="AQ29" s="234"/>
      <c r="AR29" s="234"/>
      <c r="BI29" s="184"/>
      <c r="BL29" s="234"/>
      <c r="BM29" s="234" t="s">
        <v>62</v>
      </c>
      <c r="BN29" s="234"/>
      <c r="BO29" s="234"/>
      <c r="BP29" s="234"/>
    </row>
    <row r="30" spans="20:68" ht="18" customHeight="1">
      <c r="T30" s="234"/>
      <c r="U30" s="234" t="s">
        <v>63</v>
      </c>
      <c r="V30" s="234"/>
      <c r="W30" s="234"/>
      <c r="AO30" s="234"/>
      <c r="AP30" s="234" t="s">
        <v>63</v>
      </c>
      <c r="AQ30" s="234"/>
      <c r="AR30" s="234"/>
      <c r="BI30" s="184"/>
      <c r="BL30" s="234"/>
      <c r="BM30" s="234" t="s">
        <v>63</v>
      </c>
      <c r="BN30" s="234"/>
      <c r="BO30" s="234"/>
      <c r="BP30" s="234"/>
    </row>
    <row r="31" spans="20:68" ht="18" customHeight="1">
      <c r="T31" s="234"/>
      <c r="U31" s="234" t="s">
        <v>62</v>
      </c>
      <c r="V31" s="234"/>
      <c r="W31" s="234"/>
      <c r="AO31" s="234"/>
      <c r="AP31" s="234" t="s">
        <v>62</v>
      </c>
      <c r="AQ31" s="234"/>
      <c r="AR31" s="234"/>
      <c r="BI31" s="184"/>
      <c r="BL31" s="234"/>
      <c r="BM31" s="234" t="s">
        <v>62</v>
      </c>
      <c r="BN31" s="234"/>
      <c r="BO31" s="234"/>
      <c r="BP31" s="234"/>
    </row>
    <row r="32" spans="20:68" ht="18" customHeight="1">
      <c r="T32" s="234"/>
      <c r="U32" s="234" t="s">
        <v>63</v>
      </c>
      <c r="V32" s="234"/>
      <c r="W32" s="234"/>
      <c r="AO32" s="234"/>
      <c r="AP32" s="234" t="s">
        <v>63</v>
      </c>
      <c r="AQ32" s="234"/>
      <c r="AR32" s="234"/>
      <c r="BI32" s="184"/>
      <c r="BL32" s="234"/>
      <c r="BM32" s="234" t="s">
        <v>63</v>
      </c>
      <c r="BN32" s="234"/>
      <c r="BO32" s="234"/>
      <c r="BP32" s="234"/>
    </row>
    <row r="33" spans="20:68" ht="18" customHeight="1">
      <c r="T33" s="234"/>
      <c r="U33" s="234"/>
      <c r="V33" s="234"/>
      <c r="W33" s="234"/>
      <c r="AO33" s="234"/>
      <c r="AP33" s="234"/>
      <c r="AQ33" s="234"/>
      <c r="AR33" s="234"/>
      <c r="BI33" s="184"/>
      <c r="BL33" s="234"/>
      <c r="BM33" s="234"/>
      <c r="BN33" s="234"/>
      <c r="BO33" s="234"/>
      <c r="BP33" s="234"/>
    </row>
    <row r="34" spans="1:73" ht="12.75">
      <c r="A34" s="229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</row>
    <row r="35" spans="1:49" ht="12.75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</row>
    <row r="36" spans="1:73" ht="12.75">
      <c r="A36" s="229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</row>
    <row r="37" spans="1:73" ht="12.75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</row>
    <row r="38" spans="1:56" ht="12.75">
      <c r="A38" s="155" t="s">
        <v>64</v>
      </c>
      <c r="E38" s="479" t="s">
        <v>65</v>
      </c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AA38" s="229"/>
      <c r="AC38" s="155" t="s">
        <v>64</v>
      </c>
      <c r="AH38" s="155" t="s">
        <v>66</v>
      </c>
      <c r="AI38" s="155" t="s">
        <v>67</v>
      </c>
      <c r="AU38" s="229"/>
      <c r="AV38" s="155" t="s">
        <v>64</v>
      </c>
      <c r="BB38" s="155" t="s">
        <v>66</v>
      </c>
      <c r="BD38" s="155" t="s">
        <v>68</v>
      </c>
    </row>
    <row r="39" spans="1:70" ht="15">
      <c r="A39" s="155" t="s">
        <v>69</v>
      </c>
      <c r="V39" s="234" t="s">
        <v>70</v>
      </c>
      <c r="W39" s="227" t="s">
        <v>95</v>
      </c>
      <c r="X39" s="234"/>
      <c r="AA39" s="229"/>
      <c r="AC39" s="155" t="s">
        <v>72</v>
      </c>
      <c r="AI39" s="155" t="s">
        <v>73</v>
      </c>
      <c r="AP39" s="234" t="s">
        <v>74</v>
      </c>
      <c r="AQ39" s="227" t="s">
        <v>95</v>
      </c>
      <c r="AU39" s="229"/>
      <c r="AV39" s="155" t="s">
        <v>75</v>
      </c>
      <c r="BD39" s="155" t="s">
        <v>73</v>
      </c>
      <c r="BO39" s="234"/>
      <c r="BP39" s="234" t="s">
        <v>74</v>
      </c>
      <c r="BQ39" s="227" t="s">
        <v>95</v>
      </c>
      <c r="BR39" s="234"/>
    </row>
    <row r="40" spans="27:47" ht="12.75">
      <c r="AA40" s="229"/>
      <c r="AU40" s="229"/>
    </row>
    <row r="41" spans="1:73" ht="12.75">
      <c r="A41" s="342"/>
      <c r="B41" s="343"/>
      <c r="C41" s="471" t="s">
        <v>76</v>
      </c>
      <c r="D41" s="473"/>
      <c r="E41" s="473"/>
      <c r="F41" s="473"/>
      <c r="G41" s="473"/>
      <c r="H41" s="473"/>
      <c r="I41" s="473"/>
      <c r="J41" s="472"/>
      <c r="K41" s="471" t="s">
        <v>77</v>
      </c>
      <c r="L41" s="473"/>
      <c r="M41" s="473"/>
      <c r="N41" s="473"/>
      <c r="O41" s="473"/>
      <c r="P41" s="473"/>
      <c r="Q41" s="473"/>
      <c r="R41" s="472"/>
      <c r="S41" s="471" t="s">
        <v>3</v>
      </c>
      <c r="T41" s="473"/>
      <c r="U41" s="473"/>
      <c r="V41" s="473"/>
      <c r="W41" s="473"/>
      <c r="X41" s="473"/>
      <c r="Y41" s="473"/>
      <c r="Z41" s="472"/>
      <c r="AA41" s="229"/>
      <c r="AC41" s="342"/>
      <c r="AD41" s="343"/>
      <c r="AE41" s="471" t="s">
        <v>5</v>
      </c>
      <c r="AF41" s="473"/>
      <c r="AG41" s="473"/>
      <c r="AH41" s="473"/>
      <c r="AI41" s="473"/>
      <c r="AJ41" s="473"/>
      <c r="AK41" s="473"/>
      <c r="AL41" s="472"/>
      <c r="AM41" s="471" t="s">
        <v>4</v>
      </c>
      <c r="AN41" s="473"/>
      <c r="AO41" s="473"/>
      <c r="AP41" s="473"/>
      <c r="AQ41" s="473"/>
      <c r="AR41" s="473"/>
      <c r="AS41" s="473"/>
      <c r="AT41" s="472"/>
      <c r="AU41" s="229"/>
      <c r="AV41" s="342"/>
      <c r="AW41" s="343"/>
      <c r="AX41" s="471" t="s">
        <v>78</v>
      </c>
      <c r="AY41" s="473"/>
      <c r="AZ41" s="473"/>
      <c r="BA41" s="473"/>
      <c r="BB41" s="473"/>
      <c r="BC41" s="473"/>
      <c r="BD41" s="473"/>
      <c r="BE41" s="472"/>
      <c r="BF41" s="471" t="s">
        <v>79</v>
      </c>
      <c r="BG41" s="473"/>
      <c r="BH41" s="473"/>
      <c r="BI41" s="473"/>
      <c r="BJ41" s="473"/>
      <c r="BK41" s="473"/>
      <c r="BL41" s="473"/>
      <c r="BM41" s="472"/>
      <c r="BN41" s="476" t="s">
        <v>80</v>
      </c>
      <c r="BO41" s="477"/>
      <c r="BP41" s="477"/>
      <c r="BQ41" s="478"/>
      <c r="BR41" s="476" t="s">
        <v>81</v>
      </c>
      <c r="BS41" s="477"/>
      <c r="BT41" s="477"/>
      <c r="BU41" s="478"/>
    </row>
    <row r="42" spans="1:73" ht="12.75">
      <c r="A42" s="474" t="s">
        <v>1</v>
      </c>
      <c r="B42" s="475"/>
      <c r="C42" s="201" t="s">
        <v>6</v>
      </c>
      <c r="D42" s="471" t="s">
        <v>82</v>
      </c>
      <c r="E42" s="472"/>
      <c r="F42" s="471" t="s">
        <v>83</v>
      </c>
      <c r="G42" s="472"/>
      <c r="H42" s="471" t="s">
        <v>6</v>
      </c>
      <c r="I42" s="473"/>
      <c r="J42" s="201" t="s">
        <v>84</v>
      </c>
      <c r="K42" s="201" t="s">
        <v>6</v>
      </c>
      <c r="L42" s="471" t="s">
        <v>82</v>
      </c>
      <c r="M42" s="472"/>
      <c r="N42" s="471" t="s">
        <v>83</v>
      </c>
      <c r="O42" s="472"/>
      <c r="P42" s="471" t="s">
        <v>6</v>
      </c>
      <c r="Q42" s="473"/>
      <c r="R42" s="201" t="s">
        <v>84</v>
      </c>
      <c r="S42" s="201" t="s">
        <v>6</v>
      </c>
      <c r="T42" s="471" t="s">
        <v>82</v>
      </c>
      <c r="U42" s="472"/>
      <c r="V42" s="471" t="s">
        <v>83</v>
      </c>
      <c r="W42" s="472"/>
      <c r="X42" s="471" t="s">
        <v>6</v>
      </c>
      <c r="Y42" s="473"/>
      <c r="Z42" s="201" t="s">
        <v>84</v>
      </c>
      <c r="AA42" s="229"/>
      <c r="AC42" s="474" t="s">
        <v>1</v>
      </c>
      <c r="AD42" s="475"/>
      <c r="AE42" s="201" t="s">
        <v>6</v>
      </c>
      <c r="AF42" s="471" t="s">
        <v>82</v>
      </c>
      <c r="AG42" s="472"/>
      <c r="AH42" s="471" t="s">
        <v>83</v>
      </c>
      <c r="AI42" s="472"/>
      <c r="AJ42" s="471" t="s">
        <v>6</v>
      </c>
      <c r="AK42" s="473"/>
      <c r="AL42" s="201" t="s">
        <v>84</v>
      </c>
      <c r="AM42" s="201" t="s">
        <v>6</v>
      </c>
      <c r="AN42" s="471" t="s">
        <v>82</v>
      </c>
      <c r="AO42" s="472"/>
      <c r="AP42" s="471" t="s">
        <v>83</v>
      </c>
      <c r="AQ42" s="472"/>
      <c r="AR42" s="471" t="s">
        <v>6</v>
      </c>
      <c r="AS42" s="473"/>
      <c r="AT42" s="201" t="s">
        <v>84</v>
      </c>
      <c r="AU42" s="229"/>
      <c r="AV42" s="474" t="s">
        <v>1</v>
      </c>
      <c r="AW42" s="475"/>
      <c r="AX42" s="201" t="s">
        <v>6</v>
      </c>
      <c r="AY42" s="471" t="s">
        <v>82</v>
      </c>
      <c r="AZ42" s="472"/>
      <c r="BA42" s="471" t="s">
        <v>83</v>
      </c>
      <c r="BB42" s="472"/>
      <c r="BC42" s="471" t="s">
        <v>6</v>
      </c>
      <c r="BD42" s="473"/>
      <c r="BE42" s="201" t="s">
        <v>84</v>
      </c>
      <c r="BF42" s="201" t="s">
        <v>6</v>
      </c>
      <c r="BG42" s="471" t="s">
        <v>82</v>
      </c>
      <c r="BH42" s="472"/>
      <c r="BI42" s="471" t="s">
        <v>83</v>
      </c>
      <c r="BJ42" s="472"/>
      <c r="BK42" s="471" t="s">
        <v>6</v>
      </c>
      <c r="BL42" s="473"/>
      <c r="BM42" s="201" t="s">
        <v>84</v>
      </c>
      <c r="BN42" s="377" t="s">
        <v>85</v>
      </c>
      <c r="BO42" s="201" t="s">
        <v>86</v>
      </c>
      <c r="BP42" s="378" t="s">
        <v>87</v>
      </c>
      <c r="BQ42" s="345" t="s">
        <v>84</v>
      </c>
      <c r="BR42" s="379" t="s">
        <v>6</v>
      </c>
      <c r="BS42" s="380"/>
      <c r="BT42" s="381"/>
      <c r="BU42" s="201" t="s">
        <v>84</v>
      </c>
    </row>
    <row r="43" spans="1:73" ht="12.75">
      <c r="A43" s="346"/>
      <c r="B43" s="347"/>
      <c r="C43" s="230" t="s">
        <v>88</v>
      </c>
      <c r="D43" s="207" t="s">
        <v>7</v>
      </c>
      <c r="E43" s="208" t="s">
        <v>8</v>
      </c>
      <c r="F43" s="207" t="s">
        <v>7</v>
      </c>
      <c r="G43" s="208" t="s">
        <v>8</v>
      </c>
      <c r="H43" s="207" t="s">
        <v>7</v>
      </c>
      <c r="I43" s="208" t="s">
        <v>8</v>
      </c>
      <c r="J43" s="230"/>
      <c r="K43" s="230" t="s">
        <v>88</v>
      </c>
      <c r="L43" s="207" t="s">
        <v>7</v>
      </c>
      <c r="M43" s="208" t="s">
        <v>8</v>
      </c>
      <c r="N43" s="207" t="s">
        <v>7</v>
      </c>
      <c r="O43" s="208" t="s">
        <v>8</v>
      </c>
      <c r="P43" s="207" t="s">
        <v>7</v>
      </c>
      <c r="Q43" s="208" t="s">
        <v>8</v>
      </c>
      <c r="R43" s="230"/>
      <c r="S43" s="230" t="s">
        <v>88</v>
      </c>
      <c r="T43" s="207" t="s">
        <v>7</v>
      </c>
      <c r="U43" s="208" t="s">
        <v>8</v>
      </c>
      <c r="V43" s="207" t="s">
        <v>7</v>
      </c>
      <c r="W43" s="208" t="s">
        <v>8</v>
      </c>
      <c r="X43" s="207" t="s">
        <v>7</v>
      </c>
      <c r="Y43" s="208" t="s">
        <v>8</v>
      </c>
      <c r="Z43" s="230"/>
      <c r="AA43" s="229"/>
      <c r="AC43" s="346"/>
      <c r="AD43" s="347"/>
      <c r="AE43" s="230" t="s">
        <v>88</v>
      </c>
      <c r="AF43" s="207" t="s">
        <v>7</v>
      </c>
      <c r="AG43" s="208" t="s">
        <v>8</v>
      </c>
      <c r="AH43" s="207" t="s">
        <v>7</v>
      </c>
      <c r="AI43" s="208" t="s">
        <v>8</v>
      </c>
      <c r="AJ43" s="207" t="s">
        <v>7</v>
      </c>
      <c r="AK43" s="208" t="s">
        <v>8</v>
      </c>
      <c r="AL43" s="230"/>
      <c r="AM43" s="230" t="s">
        <v>88</v>
      </c>
      <c r="AN43" s="207" t="s">
        <v>7</v>
      </c>
      <c r="AO43" s="208" t="s">
        <v>8</v>
      </c>
      <c r="AP43" s="207" t="s">
        <v>7</v>
      </c>
      <c r="AQ43" s="208" t="s">
        <v>8</v>
      </c>
      <c r="AR43" s="207" t="s">
        <v>7</v>
      </c>
      <c r="AS43" s="208" t="s">
        <v>8</v>
      </c>
      <c r="AT43" s="230"/>
      <c r="AU43" s="229"/>
      <c r="AV43" s="346"/>
      <c r="AW43" s="347"/>
      <c r="AX43" s="230" t="s">
        <v>88</v>
      </c>
      <c r="AY43" s="207" t="s">
        <v>7</v>
      </c>
      <c r="AZ43" s="208" t="s">
        <v>8</v>
      </c>
      <c r="BA43" s="207" t="s">
        <v>7</v>
      </c>
      <c r="BB43" s="208" t="s">
        <v>8</v>
      </c>
      <c r="BC43" s="207" t="s">
        <v>7</v>
      </c>
      <c r="BD43" s="208" t="s">
        <v>8</v>
      </c>
      <c r="BE43" s="230"/>
      <c r="BF43" s="230" t="s">
        <v>88</v>
      </c>
      <c r="BG43" s="207" t="s">
        <v>7</v>
      </c>
      <c r="BH43" s="208" t="s">
        <v>8</v>
      </c>
      <c r="BI43" s="207" t="s">
        <v>7</v>
      </c>
      <c r="BJ43" s="208" t="s">
        <v>8</v>
      </c>
      <c r="BK43" s="207" t="s">
        <v>7</v>
      </c>
      <c r="BL43" s="208" t="s">
        <v>8</v>
      </c>
      <c r="BM43" s="230"/>
      <c r="BN43" s="382" t="s">
        <v>89</v>
      </c>
      <c r="BO43" s="230" t="s">
        <v>89</v>
      </c>
      <c r="BP43" s="383" t="s">
        <v>89</v>
      </c>
      <c r="BQ43" s="383" t="s">
        <v>90</v>
      </c>
      <c r="BR43" s="230" t="s">
        <v>88</v>
      </c>
      <c r="BS43" s="382" t="s">
        <v>7</v>
      </c>
      <c r="BT43" s="230" t="s">
        <v>8</v>
      </c>
      <c r="BU43" s="384"/>
    </row>
    <row r="44" spans="1:73" ht="12.75">
      <c r="A44" s="357">
        <v>1</v>
      </c>
      <c r="B44" s="358" t="s">
        <v>43</v>
      </c>
      <c r="C44" s="359">
        <v>75</v>
      </c>
      <c r="D44" s="360">
        <v>0</v>
      </c>
      <c r="E44" s="360">
        <v>0</v>
      </c>
      <c r="F44" s="360">
        <v>60</v>
      </c>
      <c r="G44" s="360">
        <v>15</v>
      </c>
      <c r="H44" s="361">
        <f>SUM(D44+F44)</f>
        <v>60</v>
      </c>
      <c r="I44" s="361">
        <f>SUM(E44+G44)</f>
        <v>15</v>
      </c>
      <c r="J44" s="361">
        <f>SUM(H44:I44)</f>
        <v>75</v>
      </c>
      <c r="K44" s="360">
        <v>20</v>
      </c>
      <c r="L44" s="360">
        <v>17</v>
      </c>
      <c r="M44" s="360">
        <v>21</v>
      </c>
      <c r="N44" s="360">
        <v>5</v>
      </c>
      <c r="O44" s="360">
        <v>23</v>
      </c>
      <c r="P44" s="361">
        <f>SUM(L44+N44)</f>
        <v>22</v>
      </c>
      <c r="Q44" s="361">
        <f>SUM(M44+O44)</f>
        <v>44</v>
      </c>
      <c r="R44" s="361">
        <f>SUM(P44:Q44)</f>
        <v>66</v>
      </c>
      <c r="S44" s="360">
        <v>22</v>
      </c>
      <c r="T44" s="360">
        <v>69</v>
      </c>
      <c r="U44" s="360">
        <v>51</v>
      </c>
      <c r="V44" s="360">
        <v>31</v>
      </c>
      <c r="W44" s="360">
        <v>162</v>
      </c>
      <c r="X44" s="361">
        <f>SUM(T44+V44)</f>
        <v>100</v>
      </c>
      <c r="Y44" s="361">
        <f>SUM(U44+W44)</f>
        <v>213</v>
      </c>
      <c r="Z44" s="361">
        <f aca="true" t="shared" si="20" ref="Z44:Z50">SUM(X44:Y44)</f>
        <v>313</v>
      </c>
      <c r="AA44" s="365"/>
      <c r="AB44" s="366"/>
      <c r="AC44" s="357">
        <v>1</v>
      </c>
      <c r="AD44" s="358" t="s">
        <v>43</v>
      </c>
      <c r="AE44" s="360">
        <v>17780</v>
      </c>
      <c r="AF44" s="360">
        <v>3067</v>
      </c>
      <c r="AG44" s="360">
        <v>3099</v>
      </c>
      <c r="AH44" s="360">
        <v>762</v>
      </c>
      <c r="AI44" s="360">
        <v>2517</v>
      </c>
      <c r="AJ44" s="361">
        <f aca="true" t="shared" si="21" ref="AJ44:AK47">SUM(AF44+AH44)</f>
        <v>3829</v>
      </c>
      <c r="AK44" s="361">
        <f t="shared" si="21"/>
        <v>5616</v>
      </c>
      <c r="AL44" s="361">
        <f>SUM(AJ44:AK44)</f>
        <v>9445</v>
      </c>
      <c r="AM44" s="361">
        <v>2967</v>
      </c>
      <c r="AN44" s="361">
        <v>3007</v>
      </c>
      <c r="AO44" s="361">
        <v>2635</v>
      </c>
      <c r="AP44" s="360">
        <v>1251</v>
      </c>
      <c r="AQ44" s="360">
        <v>1381</v>
      </c>
      <c r="AR44" s="361">
        <f>SUM(AN44+AP44)</f>
        <v>4258</v>
      </c>
      <c r="AS44" s="361">
        <f>SUM(AO44+AQ44)</f>
        <v>4016</v>
      </c>
      <c r="AT44" s="361">
        <f>SUM(AR44:AS44)</f>
        <v>8274</v>
      </c>
      <c r="AU44" s="365"/>
      <c r="AV44" s="372">
        <v>1</v>
      </c>
      <c r="AW44" s="375" t="s">
        <v>43</v>
      </c>
      <c r="AX44" s="376">
        <v>16785</v>
      </c>
      <c r="AY44" s="376">
        <v>6219</v>
      </c>
      <c r="AZ44" s="376">
        <v>4172</v>
      </c>
      <c r="BA44" s="376">
        <v>3781</v>
      </c>
      <c r="BB44" s="376">
        <v>2061</v>
      </c>
      <c r="BC44" s="376">
        <f aca="true" t="shared" si="22" ref="BC44:BD47">SUM(AY44+BA44)</f>
        <v>10000</v>
      </c>
      <c r="BD44" s="376">
        <f t="shared" si="22"/>
        <v>6233</v>
      </c>
      <c r="BE44" s="376">
        <f>SUM(BC44:BD44)</f>
        <v>16233</v>
      </c>
      <c r="BF44" s="376">
        <v>70</v>
      </c>
      <c r="BG44" s="376">
        <v>1725</v>
      </c>
      <c r="BH44" s="376">
        <v>5219</v>
      </c>
      <c r="BI44" s="376">
        <v>275</v>
      </c>
      <c r="BJ44" s="376">
        <v>10551</v>
      </c>
      <c r="BK44" s="376">
        <f aca="true" t="shared" si="23" ref="BK44:BL47">SUM(BG44+BI44)</f>
        <v>2000</v>
      </c>
      <c r="BL44" s="376">
        <f t="shared" si="23"/>
        <v>15770</v>
      </c>
      <c r="BM44" s="376">
        <f aca="true" t="shared" si="24" ref="BM44:BM57">SUM(BK44:BL44)</f>
        <v>17770</v>
      </c>
      <c r="BN44" s="376">
        <v>4100</v>
      </c>
      <c r="BO44" s="376">
        <v>810</v>
      </c>
      <c r="BP44" s="376">
        <v>195</v>
      </c>
      <c r="BQ44" s="376">
        <f>SUM(BO44:BP44)</f>
        <v>1005</v>
      </c>
      <c r="BR44" s="376">
        <v>25</v>
      </c>
      <c r="BS44" s="376">
        <v>311</v>
      </c>
      <c r="BT44" s="376">
        <v>265</v>
      </c>
      <c r="BU44" s="376">
        <f>SUM(BS44:BT44)</f>
        <v>576</v>
      </c>
    </row>
    <row r="45" spans="1:73" ht="12.75">
      <c r="A45" s="362">
        <v>2</v>
      </c>
      <c r="B45" s="363" t="s">
        <v>44</v>
      </c>
      <c r="C45" s="361">
        <v>40</v>
      </c>
      <c r="D45" s="361">
        <v>7</v>
      </c>
      <c r="E45" s="361">
        <v>6</v>
      </c>
      <c r="F45" s="361">
        <v>37</v>
      </c>
      <c r="G45" s="361">
        <v>20</v>
      </c>
      <c r="H45" s="361">
        <f aca="true" t="shared" si="25" ref="H45:H57">SUM(D45+F45)</f>
        <v>44</v>
      </c>
      <c r="I45" s="361">
        <f aca="true" t="shared" si="26" ref="I45:I50">SUM(E45+G45)</f>
        <v>26</v>
      </c>
      <c r="J45" s="361">
        <f>SUM(H45:I45)</f>
        <v>70</v>
      </c>
      <c r="K45" s="361">
        <v>62</v>
      </c>
      <c r="L45" s="361">
        <v>34</v>
      </c>
      <c r="M45" s="361">
        <v>29</v>
      </c>
      <c r="N45" s="361">
        <v>337</v>
      </c>
      <c r="O45" s="361">
        <v>56</v>
      </c>
      <c r="P45" s="361">
        <f aca="true" t="shared" si="27" ref="P45:P52">SUM(L45+N45)</f>
        <v>371</v>
      </c>
      <c r="Q45" s="361">
        <f aca="true" t="shared" si="28" ref="Q45:Q52">SUM(M45+O45)</f>
        <v>85</v>
      </c>
      <c r="R45" s="361">
        <f aca="true" t="shared" si="29" ref="R45:R57">SUM(P45:Q45)</f>
        <v>456</v>
      </c>
      <c r="S45" s="361">
        <v>95</v>
      </c>
      <c r="T45" s="361">
        <v>43</v>
      </c>
      <c r="U45" s="361">
        <v>39</v>
      </c>
      <c r="V45" s="361">
        <v>38</v>
      </c>
      <c r="W45" s="361">
        <v>44</v>
      </c>
      <c r="X45" s="361">
        <f>SUM(T45+V45)</f>
        <v>81</v>
      </c>
      <c r="Y45" s="361">
        <f>SUM(U45+W45)</f>
        <v>83</v>
      </c>
      <c r="Z45" s="361">
        <f t="shared" si="20"/>
        <v>164</v>
      </c>
      <c r="AA45" s="365"/>
      <c r="AB45" s="366"/>
      <c r="AC45" s="362">
        <v>2</v>
      </c>
      <c r="AD45" s="363" t="s">
        <v>44</v>
      </c>
      <c r="AE45" s="361">
        <v>2536</v>
      </c>
      <c r="AF45" s="361">
        <v>3459</v>
      </c>
      <c r="AG45" s="361">
        <v>5049</v>
      </c>
      <c r="AH45" s="361">
        <v>1824</v>
      </c>
      <c r="AI45" s="361">
        <v>7336</v>
      </c>
      <c r="AJ45" s="361">
        <f t="shared" si="21"/>
        <v>5283</v>
      </c>
      <c r="AK45" s="361">
        <f t="shared" si="21"/>
        <v>12385</v>
      </c>
      <c r="AL45" s="361">
        <f aca="true" t="shared" si="30" ref="AL45:AL57">SUM(AJ45:AK45)</f>
        <v>17668</v>
      </c>
      <c r="AM45" s="361">
        <v>337</v>
      </c>
      <c r="AN45" s="361">
        <v>494</v>
      </c>
      <c r="AO45" s="361">
        <v>743</v>
      </c>
      <c r="AP45" s="361">
        <v>428</v>
      </c>
      <c r="AQ45" s="361">
        <v>905</v>
      </c>
      <c r="AR45" s="361">
        <f aca="true" t="shared" si="31" ref="AR45:AR52">SUM(AN45+AP45)</f>
        <v>922</v>
      </c>
      <c r="AS45" s="361">
        <f aca="true" t="shared" si="32" ref="AS45:AS52">SUM(AO45+AQ45)</f>
        <v>1648</v>
      </c>
      <c r="AT45" s="361">
        <f aca="true" t="shared" si="33" ref="AT45:AT57">SUM(AR45:AS45)</f>
        <v>2570</v>
      </c>
      <c r="AU45" s="365"/>
      <c r="AV45" s="372">
        <v>2</v>
      </c>
      <c r="AW45" s="375" t="s">
        <v>44</v>
      </c>
      <c r="AX45" s="376">
        <v>7804</v>
      </c>
      <c r="AY45" s="376">
        <v>8135</v>
      </c>
      <c r="AZ45" s="376">
        <v>64917</v>
      </c>
      <c r="BA45" s="376">
        <v>6161</v>
      </c>
      <c r="BB45" s="376">
        <v>19828</v>
      </c>
      <c r="BC45" s="376">
        <f t="shared" si="22"/>
        <v>14296</v>
      </c>
      <c r="BD45" s="376">
        <f t="shared" si="22"/>
        <v>84745</v>
      </c>
      <c r="BE45" s="376">
        <f aca="true" t="shared" si="34" ref="BE45:BE57">SUM(BC45:BD45)</f>
        <v>99041</v>
      </c>
      <c r="BF45" s="376">
        <v>3443</v>
      </c>
      <c r="BG45" s="376">
        <v>6401</v>
      </c>
      <c r="BH45" s="376">
        <v>16895</v>
      </c>
      <c r="BI45" s="376">
        <v>5633</v>
      </c>
      <c r="BJ45" s="376">
        <v>10140</v>
      </c>
      <c r="BK45" s="376">
        <f t="shared" si="23"/>
        <v>12034</v>
      </c>
      <c r="BL45" s="376">
        <f t="shared" si="23"/>
        <v>27035</v>
      </c>
      <c r="BM45" s="376">
        <f t="shared" si="24"/>
        <v>39069</v>
      </c>
      <c r="BN45" s="376">
        <v>14200</v>
      </c>
      <c r="BO45" s="376">
        <v>13481</v>
      </c>
      <c r="BP45" s="376">
        <v>791</v>
      </c>
      <c r="BQ45" s="376">
        <f aca="true" t="shared" si="35" ref="BQ45:BQ57">SUM(BO45:BP45)</f>
        <v>14272</v>
      </c>
      <c r="BR45" s="376">
        <v>0</v>
      </c>
      <c r="BS45" s="376">
        <v>0</v>
      </c>
      <c r="BT45" s="376">
        <v>0</v>
      </c>
      <c r="BU45" s="376">
        <f aca="true" t="shared" si="36" ref="BU45:BU57">SUM(BS45:BT45)</f>
        <v>0</v>
      </c>
    </row>
    <row r="46" spans="1:73" ht="12.75">
      <c r="A46" s="362">
        <v>3</v>
      </c>
      <c r="B46" s="363" t="s">
        <v>45</v>
      </c>
      <c r="C46" s="361">
        <v>13</v>
      </c>
      <c r="D46" s="361">
        <v>0</v>
      </c>
      <c r="E46" s="361">
        <v>0</v>
      </c>
      <c r="F46" s="361">
        <v>13</v>
      </c>
      <c r="G46" s="361">
        <v>1</v>
      </c>
      <c r="H46" s="361">
        <f t="shared" si="25"/>
        <v>13</v>
      </c>
      <c r="I46" s="361">
        <f t="shared" si="26"/>
        <v>1</v>
      </c>
      <c r="J46" s="361">
        <f>SUM(H46:I46)</f>
        <v>14</v>
      </c>
      <c r="K46" s="361">
        <v>94</v>
      </c>
      <c r="L46" s="361">
        <v>128</v>
      </c>
      <c r="M46" s="361">
        <v>70</v>
      </c>
      <c r="N46" s="361">
        <v>41</v>
      </c>
      <c r="O46" s="361">
        <v>121</v>
      </c>
      <c r="P46" s="361">
        <f t="shared" si="27"/>
        <v>169</v>
      </c>
      <c r="Q46" s="361">
        <f t="shared" si="28"/>
        <v>191</v>
      </c>
      <c r="R46" s="361">
        <f t="shared" si="29"/>
        <v>360</v>
      </c>
      <c r="S46" s="361">
        <v>102</v>
      </c>
      <c r="T46" s="361">
        <v>117</v>
      </c>
      <c r="U46" s="361">
        <v>120</v>
      </c>
      <c r="V46" s="361">
        <v>49</v>
      </c>
      <c r="W46" s="361">
        <v>130</v>
      </c>
      <c r="X46" s="361">
        <f aca="true" t="shared" si="37" ref="X46:X57">SUM(T46+V46)</f>
        <v>166</v>
      </c>
      <c r="Y46" s="361">
        <f aca="true" t="shared" si="38" ref="Y46:Y57">SUM(U46+W46)</f>
        <v>250</v>
      </c>
      <c r="Z46" s="361">
        <f t="shared" si="20"/>
        <v>416</v>
      </c>
      <c r="AA46" s="366"/>
      <c r="AB46" s="366"/>
      <c r="AC46" s="362">
        <v>3</v>
      </c>
      <c r="AD46" s="363" t="s">
        <v>45</v>
      </c>
      <c r="AE46" s="361">
        <v>753</v>
      </c>
      <c r="AF46" s="361">
        <v>2740</v>
      </c>
      <c r="AG46" s="361">
        <v>3552</v>
      </c>
      <c r="AH46" s="361">
        <v>703</v>
      </c>
      <c r="AI46" s="361">
        <v>2382</v>
      </c>
      <c r="AJ46" s="361">
        <f t="shared" si="21"/>
        <v>3443</v>
      </c>
      <c r="AK46" s="361">
        <f t="shared" si="21"/>
        <v>5934</v>
      </c>
      <c r="AL46" s="361">
        <f t="shared" si="30"/>
        <v>9377</v>
      </c>
      <c r="AM46" s="361">
        <v>136</v>
      </c>
      <c r="AN46" s="361">
        <v>1118</v>
      </c>
      <c r="AO46" s="361">
        <v>1026</v>
      </c>
      <c r="AP46" s="361">
        <v>163</v>
      </c>
      <c r="AQ46" s="361">
        <v>817</v>
      </c>
      <c r="AR46" s="361">
        <f t="shared" si="31"/>
        <v>1281</v>
      </c>
      <c r="AS46" s="361">
        <f t="shared" si="32"/>
        <v>1843</v>
      </c>
      <c r="AT46" s="361">
        <f t="shared" si="33"/>
        <v>3124</v>
      </c>
      <c r="AU46" s="366"/>
      <c r="AV46" s="372">
        <v>3</v>
      </c>
      <c r="AW46" s="375" t="s">
        <v>45</v>
      </c>
      <c r="AX46" s="376">
        <v>5997</v>
      </c>
      <c r="AY46" s="376">
        <v>34843</v>
      </c>
      <c r="AZ46" s="376">
        <v>33223</v>
      </c>
      <c r="BA46" s="376">
        <v>10702</v>
      </c>
      <c r="BB46" s="376">
        <v>20103</v>
      </c>
      <c r="BC46" s="376">
        <f t="shared" si="22"/>
        <v>45545</v>
      </c>
      <c r="BD46" s="376">
        <f t="shared" si="22"/>
        <v>53326</v>
      </c>
      <c r="BE46" s="376">
        <f t="shared" si="34"/>
        <v>98871</v>
      </c>
      <c r="BF46" s="376">
        <v>79</v>
      </c>
      <c r="BG46" s="376">
        <v>6842</v>
      </c>
      <c r="BH46" s="376">
        <v>13228</v>
      </c>
      <c r="BI46" s="376">
        <v>1201</v>
      </c>
      <c r="BJ46" s="376">
        <v>29600</v>
      </c>
      <c r="BK46" s="376">
        <f t="shared" si="23"/>
        <v>8043</v>
      </c>
      <c r="BL46" s="376">
        <f t="shared" si="23"/>
        <v>42828</v>
      </c>
      <c r="BM46" s="376">
        <f t="shared" si="24"/>
        <v>50871</v>
      </c>
      <c r="BN46" s="376">
        <v>19000</v>
      </c>
      <c r="BO46" s="376">
        <v>1552</v>
      </c>
      <c r="BP46" s="376">
        <v>251</v>
      </c>
      <c r="BQ46" s="376">
        <f t="shared" si="35"/>
        <v>1803</v>
      </c>
      <c r="BR46" s="376">
        <v>19</v>
      </c>
      <c r="BS46" s="376">
        <v>45</v>
      </c>
      <c r="BT46" s="376">
        <v>111</v>
      </c>
      <c r="BU46" s="376">
        <f t="shared" si="36"/>
        <v>156</v>
      </c>
    </row>
    <row r="47" spans="1:73" ht="12.75">
      <c r="A47" s="362">
        <v>4</v>
      </c>
      <c r="B47" s="363" t="s">
        <v>46</v>
      </c>
      <c r="C47" s="361">
        <v>17</v>
      </c>
      <c r="D47" s="361">
        <v>0</v>
      </c>
      <c r="E47" s="361">
        <v>0</v>
      </c>
      <c r="F47" s="361">
        <v>17</v>
      </c>
      <c r="G47" s="361">
        <v>6</v>
      </c>
      <c r="H47" s="361">
        <f t="shared" si="25"/>
        <v>17</v>
      </c>
      <c r="I47" s="361">
        <f t="shared" si="26"/>
        <v>6</v>
      </c>
      <c r="J47" s="361">
        <f>SUM(H47:I47)</f>
        <v>23</v>
      </c>
      <c r="K47" s="361">
        <v>12</v>
      </c>
      <c r="L47" s="361">
        <v>6</v>
      </c>
      <c r="M47" s="361">
        <v>9</v>
      </c>
      <c r="N47" s="361">
        <v>12</v>
      </c>
      <c r="O47" s="361">
        <v>10</v>
      </c>
      <c r="P47" s="361">
        <f t="shared" si="27"/>
        <v>18</v>
      </c>
      <c r="Q47" s="361">
        <f t="shared" si="28"/>
        <v>19</v>
      </c>
      <c r="R47" s="361">
        <f t="shared" si="29"/>
        <v>37</v>
      </c>
      <c r="S47" s="361">
        <v>28</v>
      </c>
      <c r="T47" s="361">
        <v>19</v>
      </c>
      <c r="U47" s="361">
        <v>9</v>
      </c>
      <c r="V47" s="361">
        <v>14</v>
      </c>
      <c r="W47" s="361">
        <v>15</v>
      </c>
      <c r="X47" s="361">
        <f t="shared" si="37"/>
        <v>33</v>
      </c>
      <c r="Y47" s="361">
        <f t="shared" si="38"/>
        <v>24</v>
      </c>
      <c r="Z47" s="361">
        <f t="shared" si="20"/>
        <v>57</v>
      </c>
      <c r="AA47" s="366"/>
      <c r="AB47" s="366"/>
      <c r="AC47" s="362">
        <v>4</v>
      </c>
      <c r="AD47" s="363" t="s">
        <v>46</v>
      </c>
      <c r="AE47" s="361">
        <v>572</v>
      </c>
      <c r="AF47" s="361">
        <v>135</v>
      </c>
      <c r="AG47" s="361">
        <v>256</v>
      </c>
      <c r="AH47" s="361">
        <v>123</v>
      </c>
      <c r="AI47" s="361">
        <v>367</v>
      </c>
      <c r="AJ47" s="361">
        <f t="shared" si="21"/>
        <v>258</v>
      </c>
      <c r="AK47" s="361">
        <f t="shared" si="21"/>
        <v>623</v>
      </c>
      <c r="AL47" s="361">
        <f t="shared" si="30"/>
        <v>881</v>
      </c>
      <c r="AM47" s="361">
        <v>539</v>
      </c>
      <c r="AN47" s="361">
        <v>155</v>
      </c>
      <c r="AO47" s="361">
        <v>167</v>
      </c>
      <c r="AP47" s="361">
        <v>119</v>
      </c>
      <c r="AQ47" s="361">
        <v>236</v>
      </c>
      <c r="AR47" s="361">
        <f t="shared" si="31"/>
        <v>274</v>
      </c>
      <c r="AS47" s="361">
        <f t="shared" si="32"/>
        <v>403</v>
      </c>
      <c r="AT47" s="361">
        <f t="shared" si="33"/>
        <v>677</v>
      </c>
      <c r="AU47" s="366"/>
      <c r="AV47" s="372">
        <v>4</v>
      </c>
      <c r="AW47" s="375" t="s">
        <v>46</v>
      </c>
      <c r="AX47" s="376">
        <v>15473</v>
      </c>
      <c r="AY47" s="376">
        <v>24132</v>
      </c>
      <c r="AZ47" s="376">
        <v>38531</v>
      </c>
      <c r="BA47" s="376">
        <v>1701</v>
      </c>
      <c r="BB47" s="376">
        <v>14702</v>
      </c>
      <c r="BC47" s="376">
        <f t="shared" si="22"/>
        <v>25833</v>
      </c>
      <c r="BD47" s="376">
        <f t="shared" si="22"/>
        <v>53233</v>
      </c>
      <c r="BE47" s="376">
        <f t="shared" si="34"/>
        <v>79066</v>
      </c>
      <c r="BF47" s="376">
        <v>116</v>
      </c>
      <c r="BG47" s="376">
        <v>146</v>
      </c>
      <c r="BH47" s="376">
        <v>125</v>
      </c>
      <c r="BI47" s="376">
        <v>183</v>
      </c>
      <c r="BJ47" s="376">
        <v>7073</v>
      </c>
      <c r="BK47" s="376">
        <f t="shared" si="23"/>
        <v>329</v>
      </c>
      <c r="BL47" s="376">
        <f t="shared" si="23"/>
        <v>7198</v>
      </c>
      <c r="BM47" s="376">
        <f t="shared" si="24"/>
        <v>7527</v>
      </c>
      <c r="BN47" s="376">
        <v>0</v>
      </c>
      <c r="BO47" s="376">
        <v>167</v>
      </c>
      <c r="BP47" s="376">
        <v>31</v>
      </c>
      <c r="BQ47" s="376">
        <f t="shared" si="35"/>
        <v>198</v>
      </c>
      <c r="BR47" s="376">
        <v>3</v>
      </c>
      <c r="BS47" s="376">
        <v>5</v>
      </c>
      <c r="BT47" s="376">
        <v>21</v>
      </c>
      <c r="BU47" s="376">
        <f t="shared" si="36"/>
        <v>26</v>
      </c>
    </row>
    <row r="48" spans="1:73" ht="12.75">
      <c r="A48" s="362">
        <v>5</v>
      </c>
      <c r="B48" s="363" t="s">
        <v>47</v>
      </c>
      <c r="C48" s="361">
        <v>0</v>
      </c>
      <c r="D48" s="361">
        <v>0</v>
      </c>
      <c r="E48" s="361">
        <v>0</v>
      </c>
      <c r="F48" s="361">
        <v>0</v>
      </c>
      <c r="G48" s="361">
        <v>0</v>
      </c>
      <c r="H48" s="361">
        <f t="shared" si="25"/>
        <v>0</v>
      </c>
      <c r="I48" s="361">
        <f t="shared" si="26"/>
        <v>0</v>
      </c>
      <c r="J48" s="361">
        <f>SUM(H48:I48)</f>
        <v>0</v>
      </c>
      <c r="K48" s="361">
        <v>0</v>
      </c>
      <c r="L48" s="361">
        <v>0</v>
      </c>
      <c r="M48" s="361">
        <v>0</v>
      </c>
      <c r="N48" s="361">
        <v>0</v>
      </c>
      <c r="O48" s="361">
        <v>0</v>
      </c>
      <c r="P48" s="361">
        <f aca="true" t="shared" si="39" ref="P48:Q50">SUM(L48+N48)</f>
        <v>0</v>
      </c>
      <c r="Q48" s="361">
        <f t="shared" si="39"/>
        <v>0</v>
      </c>
      <c r="R48" s="361">
        <f t="shared" si="29"/>
        <v>0</v>
      </c>
      <c r="S48" s="361">
        <v>37</v>
      </c>
      <c r="T48" s="361">
        <v>62</v>
      </c>
      <c r="U48" s="361">
        <v>86</v>
      </c>
      <c r="V48" s="361">
        <v>36</v>
      </c>
      <c r="W48" s="361">
        <v>114</v>
      </c>
      <c r="X48" s="361">
        <f aca="true" t="shared" si="40" ref="X48:Y50">SUM(T48+V48)</f>
        <v>98</v>
      </c>
      <c r="Y48" s="361">
        <f t="shared" si="40"/>
        <v>200</v>
      </c>
      <c r="Z48" s="361">
        <f t="shared" si="20"/>
        <v>298</v>
      </c>
      <c r="AA48" s="366"/>
      <c r="AB48" s="366"/>
      <c r="AC48" s="362">
        <v>5</v>
      </c>
      <c r="AD48" s="363" t="s">
        <v>47</v>
      </c>
      <c r="AE48" s="361">
        <v>187</v>
      </c>
      <c r="AF48" s="361">
        <v>324</v>
      </c>
      <c r="AG48" s="361">
        <v>451</v>
      </c>
      <c r="AH48" s="361">
        <v>303</v>
      </c>
      <c r="AI48" s="361">
        <v>4214</v>
      </c>
      <c r="AJ48" s="361">
        <f aca="true" t="shared" si="41" ref="AJ48:AK50">SUM(AF48+AH48)</f>
        <v>627</v>
      </c>
      <c r="AK48" s="361">
        <f t="shared" si="41"/>
        <v>4665</v>
      </c>
      <c r="AL48" s="361">
        <f t="shared" si="30"/>
        <v>5292</v>
      </c>
      <c r="AM48" s="361">
        <v>428</v>
      </c>
      <c r="AN48" s="361">
        <v>433</v>
      </c>
      <c r="AO48" s="361">
        <v>532</v>
      </c>
      <c r="AP48" s="361">
        <v>314</v>
      </c>
      <c r="AQ48" s="361">
        <v>642</v>
      </c>
      <c r="AR48" s="361">
        <f aca="true" t="shared" si="42" ref="AR48:AS50">SUM(AN48+AP48)</f>
        <v>747</v>
      </c>
      <c r="AS48" s="361">
        <f t="shared" si="42"/>
        <v>1174</v>
      </c>
      <c r="AT48" s="361">
        <f t="shared" si="33"/>
        <v>1921</v>
      </c>
      <c r="AU48" s="366"/>
      <c r="AV48" s="372">
        <v>5</v>
      </c>
      <c r="AW48" s="375" t="s">
        <v>47</v>
      </c>
      <c r="AX48" s="376">
        <v>3202</v>
      </c>
      <c r="AY48" s="376">
        <v>14753</v>
      </c>
      <c r="AZ48" s="376">
        <v>14199</v>
      </c>
      <c r="BA48" s="376">
        <v>11704</v>
      </c>
      <c r="BB48" s="376">
        <v>27117</v>
      </c>
      <c r="BC48" s="376">
        <f aca="true" t="shared" si="43" ref="BC48:BD50">SUM(AY48+BA48)</f>
        <v>26457</v>
      </c>
      <c r="BD48" s="376">
        <f t="shared" si="43"/>
        <v>41316</v>
      </c>
      <c r="BE48" s="376">
        <f t="shared" si="34"/>
        <v>67773</v>
      </c>
      <c r="BF48" s="376">
        <v>301</v>
      </c>
      <c r="BG48" s="376">
        <v>1348</v>
      </c>
      <c r="BH48" s="376">
        <v>2152</v>
      </c>
      <c r="BI48" s="376">
        <v>2003</v>
      </c>
      <c r="BJ48" s="376">
        <v>52738</v>
      </c>
      <c r="BK48" s="376">
        <f aca="true" t="shared" si="44" ref="BK48:BL50">SUM(BG48+BI48)</f>
        <v>3351</v>
      </c>
      <c r="BL48" s="376">
        <f t="shared" si="44"/>
        <v>54890</v>
      </c>
      <c r="BM48" s="376">
        <f t="shared" si="24"/>
        <v>58241</v>
      </c>
      <c r="BN48" s="376">
        <v>0</v>
      </c>
      <c r="BO48" s="376">
        <v>1476</v>
      </c>
      <c r="BP48" s="376">
        <v>11</v>
      </c>
      <c r="BQ48" s="376">
        <f t="shared" si="35"/>
        <v>1487</v>
      </c>
      <c r="BR48" s="376">
        <v>0</v>
      </c>
      <c r="BS48" s="376">
        <v>0</v>
      </c>
      <c r="BT48" s="376">
        <v>0</v>
      </c>
      <c r="BU48" s="376">
        <f t="shared" si="36"/>
        <v>0</v>
      </c>
    </row>
    <row r="49" spans="1:73" ht="12.75">
      <c r="A49" s="362">
        <v>6</v>
      </c>
      <c r="B49" s="363" t="s">
        <v>48</v>
      </c>
      <c r="C49" s="361">
        <v>6</v>
      </c>
      <c r="D49" s="361">
        <v>0</v>
      </c>
      <c r="E49" s="361">
        <v>0</v>
      </c>
      <c r="F49" s="361">
        <v>7</v>
      </c>
      <c r="G49" s="361">
        <v>0</v>
      </c>
      <c r="H49" s="361">
        <f t="shared" si="25"/>
        <v>7</v>
      </c>
      <c r="I49" s="361">
        <f t="shared" si="26"/>
        <v>0</v>
      </c>
      <c r="J49" s="361">
        <f aca="true" t="shared" si="45" ref="J49:J57">SUM(H49:I49)</f>
        <v>7</v>
      </c>
      <c r="K49" s="361">
        <v>8</v>
      </c>
      <c r="L49" s="361">
        <v>6</v>
      </c>
      <c r="M49" s="361">
        <v>6</v>
      </c>
      <c r="N49" s="361">
        <v>7</v>
      </c>
      <c r="O49" s="361">
        <v>3</v>
      </c>
      <c r="P49" s="361">
        <f t="shared" si="39"/>
        <v>13</v>
      </c>
      <c r="Q49" s="361">
        <f t="shared" si="39"/>
        <v>9</v>
      </c>
      <c r="R49" s="361">
        <f t="shared" si="29"/>
        <v>22</v>
      </c>
      <c r="S49" s="361">
        <v>27</v>
      </c>
      <c r="T49" s="361">
        <v>21</v>
      </c>
      <c r="U49" s="361">
        <v>47</v>
      </c>
      <c r="V49" s="361">
        <v>41</v>
      </c>
      <c r="W49" s="361">
        <v>33</v>
      </c>
      <c r="X49" s="361">
        <f t="shared" si="40"/>
        <v>62</v>
      </c>
      <c r="Y49" s="361">
        <f t="shared" si="40"/>
        <v>80</v>
      </c>
      <c r="Z49" s="361">
        <f t="shared" si="20"/>
        <v>142</v>
      </c>
      <c r="AA49" s="366"/>
      <c r="AB49" s="366"/>
      <c r="AC49" s="362">
        <v>6</v>
      </c>
      <c r="AD49" s="363" t="s">
        <v>48</v>
      </c>
      <c r="AE49" s="361">
        <v>127</v>
      </c>
      <c r="AF49" s="361">
        <v>518</v>
      </c>
      <c r="AG49" s="361">
        <v>417</v>
      </c>
      <c r="AH49" s="361">
        <v>376</v>
      </c>
      <c r="AI49" s="361">
        <v>417</v>
      </c>
      <c r="AJ49" s="361">
        <f t="shared" si="41"/>
        <v>894</v>
      </c>
      <c r="AK49" s="361">
        <f t="shared" si="41"/>
        <v>834</v>
      </c>
      <c r="AL49" s="361">
        <f t="shared" si="30"/>
        <v>1728</v>
      </c>
      <c r="AM49" s="361">
        <v>123</v>
      </c>
      <c r="AN49" s="361">
        <v>412</v>
      </c>
      <c r="AO49" s="361">
        <v>386</v>
      </c>
      <c r="AP49" s="361">
        <v>407</v>
      </c>
      <c r="AQ49" s="361">
        <v>392</v>
      </c>
      <c r="AR49" s="361">
        <f t="shared" si="42"/>
        <v>819</v>
      </c>
      <c r="AS49" s="361">
        <f t="shared" si="42"/>
        <v>778</v>
      </c>
      <c r="AT49" s="361">
        <f t="shared" si="33"/>
        <v>1597</v>
      </c>
      <c r="AU49" s="366"/>
      <c r="AV49" s="372">
        <v>6</v>
      </c>
      <c r="AW49" s="375" t="s">
        <v>48</v>
      </c>
      <c r="AX49" s="376">
        <v>327</v>
      </c>
      <c r="AY49" s="376">
        <v>7681</v>
      </c>
      <c r="AZ49" s="376">
        <v>7382</v>
      </c>
      <c r="BA49" s="376">
        <v>6971</v>
      </c>
      <c r="BB49" s="376">
        <v>6387</v>
      </c>
      <c r="BC49" s="376">
        <f t="shared" si="43"/>
        <v>14652</v>
      </c>
      <c r="BD49" s="376">
        <f t="shared" si="43"/>
        <v>13769</v>
      </c>
      <c r="BE49" s="376">
        <f t="shared" si="34"/>
        <v>28421</v>
      </c>
      <c r="BF49" s="376">
        <v>20</v>
      </c>
      <c r="BG49" s="376">
        <v>210</v>
      </c>
      <c r="BH49" s="376">
        <v>750</v>
      </c>
      <c r="BI49" s="376">
        <v>127</v>
      </c>
      <c r="BJ49" s="376">
        <v>2215</v>
      </c>
      <c r="BK49" s="376">
        <f t="shared" si="44"/>
        <v>337</v>
      </c>
      <c r="BL49" s="376">
        <f t="shared" si="44"/>
        <v>2965</v>
      </c>
      <c r="BM49" s="376">
        <f t="shared" si="24"/>
        <v>3302</v>
      </c>
      <c r="BN49" s="376">
        <v>26500</v>
      </c>
      <c r="BO49" s="376">
        <v>861</v>
      </c>
      <c r="BP49" s="376">
        <v>42</v>
      </c>
      <c r="BQ49" s="376">
        <f t="shared" si="35"/>
        <v>903</v>
      </c>
      <c r="BR49" s="376"/>
      <c r="BS49" s="376"/>
      <c r="BT49" s="376"/>
      <c r="BU49" s="376">
        <f t="shared" si="36"/>
        <v>0</v>
      </c>
    </row>
    <row r="50" spans="1:73" ht="12.75">
      <c r="A50" s="362">
        <v>7</v>
      </c>
      <c r="B50" s="363" t="s">
        <v>49</v>
      </c>
      <c r="C50" s="361">
        <v>5</v>
      </c>
      <c r="D50" s="361">
        <v>0</v>
      </c>
      <c r="E50" s="361">
        <v>0</v>
      </c>
      <c r="F50" s="361">
        <v>5</v>
      </c>
      <c r="G50" s="361">
        <v>0</v>
      </c>
      <c r="H50" s="361">
        <f t="shared" si="25"/>
        <v>5</v>
      </c>
      <c r="I50" s="361">
        <f t="shared" si="26"/>
        <v>0</v>
      </c>
      <c r="J50" s="361">
        <f t="shared" si="45"/>
        <v>5</v>
      </c>
      <c r="K50" s="361">
        <v>109</v>
      </c>
      <c r="L50" s="361">
        <v>16</v>
      </c>
      <c r="M50" s="361">
        <v>70</v>
      </c>
      <c r="N50" s="361">
        <v>107</v>
      </c>
      <c r="O50" s="361">
        <v>150</v>
      </c>
      <c r="P50" s="361">
        <f t="shared" si="39"/>
        <v>123</v>
      </c>
      <c r="Q50" s="361">
        <f t="shared" si="39"/>
        <v>220</v>
      </c>
      <c r="R50" s="361">
        <f t="shared" si="29"/>
        <v>343</v>
      </c>
      <c r="S50" s="361">
        <v>187</v>
      </c>
      <c r="T50" s="361">
        <v>179</v>
      </c>
      <c r="U50" s="361">
        <v>90</v>
      </c>
      <c r="V50" s="361">
        <v>81</v>
      </c>
      <c r="W50" s="361">
        <v>199</v>
      </c>
      <c r="X50" s="361">
        <f t="shared" si="40"/>
        <v>260</v>
      </c>
      <c r="Y50" s="361">
        <f t="shared" si="40"/>
        <v>289</v>
      </c>
      <c r="Z50" s="361">
        <f t="shared" si="20"/>
        <v>549</v>
      </c>
      <c r="AA50" s="366"/>
      <c r="AB50" s="366"/>
      <c r="AC50" s="362">
        <v>7</v>
      </c>
      <c r="AD50" s="363" t="s">
        <v>49</v>
      </c>
      <c r="AE50" s="361">
        <v>558</v>
      </c>
      <c r="AF50" s="361">
        <v>2750</v>
      </c>
      <c r="AG50" s="361">
        <v>2667</v>
      </c>
      <c r="AH50" s="361">
        <v>390</v>
      </c>
      <c r="AI50" s="361">
        <v>523</v>
      </c>
      <c r="AJ50" s="361">
        <f t="shared" si="41"/>
        <v>3140</v>
      </c>
      <c r="AK50" s="361">
        <f t="shared" si="41"/>
        <v>3190</v>
      </c>
      <c r="AL50" s="361">
        <f t="shared" si="30"/>
        <v>6330</v>
      </c>
      <c r="AM50" s="361">
        <v>299</v>
      </c>
      <c r="AN50" s="361">
        <v>2839</v>
      </c>
      <c r="AO50" s="361">
        <v>1454</v>
      </c>
      <c r="AP50" s="361">
        <v>503</v>
      </c>
      <c r="AQ50" s="361">
        <v>4725</v>
      </c>
      <c r="AR50" s="361">
        <f t="shared" si="42"/>
        <v>3342</v>
      </c>
      <c r="AS50" s="361">
        <f t="shared" si="42"/>
        <v>6179</v>
      </c>
      <c r="AT50" s="361">
        <f t="shared" si="33"/>
        <v>9521</v>
      </c>
      <c r="AU50" s="366"/>
      <c r="AV50" s="372">
        <v>7</v>
      </c>
      <c r="AW50" s="375" t="s">
        <v>49</v>
      </c>
      <c r="AX50" s="376">
        <v>16735</v>
      </c>
      <c r="AY50" s="376">
        <v>1500</v>
      </c>
      <c r="AZ50" s="376">
        <v>1691</v>
      </c>
      <c r="BA50" s="376">
        <v>5092</v>
      </c>
      <c r="BB50" s="376">
        <v>12750</v>
      </c>
      <c r="BC50" s="376">
        <f t="shared" si="43"/>
        <v>6592</v>
      </c>
      <c r="BD50" s="376">
        <f t="shared" si="43"/>
        <v>14441</v>
      </c>
      <c r="BE50" s="376">
        <f t="shared" si="34"/>
        <v>21033</v>
      </c>
      <c r="BF50" s="376">
        <v>13</v>
      </c>
      <c r="BG50" s="376">
        <v>20</v>
      </c>
      <c r="BH50" s="376">
        <v>2000</v>
      </c>
      <c r="BI50" s="376">
        <v>25</v>
      </c>
      <c r="BJ50" s="376">
        <v>1050</v>
      </c>
      <c r="BK50" s="376">
        <f t="shared" si="44"/>
        <v>45</v>
      </c>
      <c r="BL50" s="376">
        <f t="shared" si="44"/>
        <v>3050</v>
      </c>
      <c r="BM50" s="376">
        <f t="shared" si="24"/>
        <v>3095</v>
      </c>
      <c r="BN50" s="376">
        <v>250</v>
      </c>
      <c r="BO50" s="376">
        <v>13300</v>
      </c>
      <c r="BP50" s="376">
        <v>631</v>
      </c>
      <c r="BQ50" s="376">
        <f t="shared" si="35"/>
        <v>13931</v>
      </c>
      <c r="BR50" s="376">
        <v>8</v>
      </c>
      <c r="BS50" s="376">
        <v>190</v>
      </c>
      <c r="BT50" s="376">
        <v>257</v>
      </c>
      <c r="BU50" s="376">
        <f t="shared" si="36"/>
        <v>447</v>
      </c>
    </row>
    <row r="51" spans="1:73" ht="12.75">
      <c r="A51" s="362">
        <v>8</v>
      </c>
      <c r="B51" s="363" t="s">
        <v>50</v>
      </c>
      <c r="C51" s="361"/>
      <c r="D51" s="361"/>
      <c r="E51" s="361"/>
      <c r="F51" s="361"/>
      <c r="G51" s="361"/>
      <c r="H51" s="361">
        <f t="shared" si="25"/>
        <v>0</v>
      </c>
      <c r="I51" s="361">
        <v>0</v>
      </c>
      <c r="J51" s="361">
        <f t="shared" si="45"/>
        <v>0</v>
      </c>
      <c r="K51" s="361">
        <v>124</v>
      </c>
      <c r="L51" s="361">
        <v>123</v>
      </c>
      <c r="M51" s="361">
        <v>119</v>
      </c>
      <c r="N51" s="361">
        <v>102</v>
      </c>
      <c r="O51" s="361">
        <v>118</v>
      </c>
      <c r="P51" s="361">
        <f t="shared" si="27"/>
        <v>225</v>
      </c>
      <c r="Q51" s="361">
        <f t="shared" si="28"/>
        <v>237</v>
      </c>
      <c r="R51" s="361">
        <f t="shared" si="29"/>
        <v>462</v>
      </c>
      <c r="S51" s="361">
        <v>134</v>
      </c>
      <c r="T51" s="361">
        <v>127</v>
      </c>
      <c r="U51" s="361">
        <v>172</v>
      </c>
      <c r="V51" s="361">
        <v>171</v>
      </c>
      <c r="W51" s="361">
        <v>232</v>
      </c>
      <c r="X51" s="361">
        <f t="shared" si="37"/>
        <v>298</v>
      </c>
      <c r="Y51" s="361">
        <f t="shared" si="38"/>
        <v>404</v>
      </c>
      <c r="Z51" s="361">
        <f aca="true" t="shared" si="46" ref="Z51:Z57">SUM(X51:Y51)</f>
        <v>702</v>
      </c>
      <c r="AA51" s="366"/>
      <c r="AB51" s="366"/>
      <c r="AC51" s="362">
        <v>8</v>
      </c>
      <c r="AD51" s="363" t="s">
        <v>50</v>
      </c>
      <c r="AE51" s="361">
        <v>238</v>
      </c>
      <c r="AF51" s="361">
        <v>536</v>
      </c>
      <c r="AG51" s="361">
        <v>469</v>
      </c>
      <c r="AH51" s="361">
        <v>563</v>
      </c>
      <c r="AI51" s="361">
        <v>372</v>
      </c>
      <c r="AJ51" s="361">
        <f aca="true" t="shared" si="47" ref="AJ51:AJ57">SUM(AF51+AH51)</f>
        <v>1099</v>
      </c>
      <c r="AK51" s="361">
        <f aca="true" t="shared" si="48" ref="AK51:AK57">SUM(AG51+AI51)</f>
        <v>841</v>
      </c>
      <c r="AL51" s="361">
        <f t="shared" si="30"/>
        <v>1940</v>
      </c>
      <c r="AM51" s="361">
        <v>311</v>
      </c>
      <c r="AN51" s="361">
        <v>449</v>
      </c>
      <c r="AO51" s="361">
        <v>594</v>
      </c>
      <c r="AP51" s="361">
        <v>364</v>
      </c>
      <c r="AQ51" s="361">
        <v>385</v>
      </c>
      <c r="AR51" s="361">
        <f t="shared" si="31"/>
        <v>813</v>
      </c>
      <c r="AS51" s="361">
        <f t="shared" si="32"/>
        <v>979</v>
      </c>
      <c r="AT51" s="361">
        <f t="shared" si="33"/>
        <v>1792</v>
      </c>
      <c r="AU51" s="366"/>
      <c r="AV51" s="372">
        <v>8</v>
      </c>
      <c r="AW51" s="375" t="s">
        <v>50</v>
      </c>
      <c r="AX51" s="376">
        <v>4405</v>
      </c>
      <c r="AY51" s="376">
        <v>3964</v>
      </c>
      <c r="AZ51" s="376">
        <v>5531</v>
      </c>
      <c r="BA51" s="376">
        <v>5397</v>
      </c>
      <c r="BB51" s="376">
        <v>2821</v>
      </c>
      <c r="BC51" s="376">
        <f aca="true" t="shared" si="49" ref="BC51:BC57">SUM(AY51+BA51)</f>
        <v>9361</v>
      </c>
      <c r="BD51" s="376">
        <f aca="true" t="shared" si="50" ref="BD51:BD57">SUM(AZ51+BB51)</f>
        <v>8352</v>
      </c>
      <c r="BE51" s="376">
        <f t="shared" si="34"/>
        <v>17713</v>
      </c>
      <c r="BF51" s="376">
        <v>131</v>
      </c>
      <c r="BG51" s="376">
        <v>10</v>
      </c>
      <c r="BH51" s="376">
        <v>5000</v>
      </c>
      <c r="BI51" s="376">
        <v>10</v>
      </c>
      <c r="BJ51" s="376">
        <v>16000</v>
      </c>
      <c r="BK51" s="376">
        <f aca="true" t="shared" si="51" ref="BK51:BL53">SUM(BG51+BI51)</f>
        <v>20</v>
      </c>
      <c r="BL51" s="376">
        <f t="shared" si="51"/>
        <v>21000</v>
      </c>
      <c r="BM51" s="376">
        <f t="shared" si="24"/>
        <v>21020</v>
      </c>
      <c r="BN51" s="376">
        <v>5000</v>
      </c>
      <c r="BO51" s="376">
        <v>10125</v>
      </c>
      <c r="BP51" s="376">
        <v>4382</v>
      </c>
      <c r="BQ51" s="376">
        <f t="shared" si="35"/>
        <v>14507</v>
      </c>
      <c r="BR51" s="376">
        <v>8</v>
      </c>
      <c r="BS51" s="376">
        <v>15</v>
      </c>
      <c r="BT51" s="376">
        <v>279</v>
      </c>
      <c r="BU51" s="376">
        <f t="shared" si="36"/>
        <v>294</v>
      </c>
    </row>
    <row r="52" spans="1:73" ht="12.75">
      <c r="A52" s="362">
        <v>9</v>
      </c>
      <c r="B52" s="363" t="s">
        <v>51</v>
      </c>
      <c r="C52" s="361">
        <v>52</v>
      </c>
      <c r="D52" s="361">
        <v>0</v>
      </c>
      <c r="E52" s="361">
        <v>0</v>
      </c>
      <c r="F52" s="361">
        <v>52</v>
      </c>
      <c r="G52" s="361">
        <v>0</v>
      </c>
      <c r="H52" s="361">
        <f t="shared" si="25"/>
        <v>52</v>
      </c>
      <c r="I52" s="361">
        <f aca="true" t="shared" si="52" ref="I52:I57">SUM(E52+G52)</f>
        <v>0</v>
      </c>
      <c r="J52" s="361">
        <f t="shared" si="45"/>
        <v>52</v>
      </c>
      <c r="K52" s="361">
        <v>55</v>
      </c>
      <c r="L52" s="361">
        <v>20</v>
      </c>
      <c r="M52" s="361">
        <v>55</v>
      </c>
      <c r="N52" s="361">
        <v>0</v>
      </c>
      <c r="O52" s="361">
        <v>55</v>
      </c>
      <c r="P52" s="361">
        <f t="shared" si="27"/>
        <v>20</v>
      </c>
      <c r="Q52" s="361">
        <f t="shared" si="28"/>
        <v>110</v>
      </c>
      <c r="R52" s="361">
        <f t="shared" si="29"/>
        <v>130</v>
      </c>
      <c r="S52" s="361">
        <v>15</v>
      </c>
      <c r="T52" s="361">
        <v>4</v>
      </c>
      <c r="U52" s="361">
        <v>25</v>
      </c>
      <c r="V52" s="361">
        <v>4</v>
      </c>
      <c r="W52" s="361">
        <v>10</v>
      </c>
      <c r="X52" s="361">
        <f t="shared" si="37"/>
        <v>8</v>
      </c>
      <c r="Y52" s="361">
        <f t="shared" si="38"/>
        <v>35</v>
      </c>
      <c r="Z52" s="361">
        <f t="shared" si="46"/>
        <v>43</v>
      </c>
      <c r="AA52" s="366"/>
      <c r="AB52" s="367"/>
      <c r="AC52" s="362">
        <v>9</v>
      </c>
      <c r="AD52" s="363" t="s">
        <v>51</v>
      </c>
      <c r="AE52" s="361">
        <v>400</v>
      </c>
      <c r="AF52" s="361">
        <v>620</v>
      </c>
      <c r="AG52" s="361">
        <v>1300</v>
      </c>
      <c r="AH52" s="361">
        <v>170</v>
      </c>
      <c r="AI52" s="361">
        <v>1330</v>
      </c>
      <c r="AJ52" s="361">
        <f t="shared" si="47"/>
        <v>790</v>
      </c>
      <c r="AK52" s="361">
        <f t="shared" si="48"/>
        <v>2630</v>
      </c>
      <c r="AL52" s="361">
        <f t="shared" si="30"/>
        <v>3420</v>
      </c>
      <c r="AM52" s="361">
        <v>75</v>
      </c>
      <c r="AN52" s="361">
        <v>95</v>
      </c>
      <c r="AO52" s="361">
        <v>305</v>
      </c>
      <c r="AP52" s="361">
        <v>50</v>
      </c>
      <c r="AQ52" s="361">
        <v>320</v>
      </c>
      <c r="AR52" s="361">
        <f t="shared" si="31"/>
        <v>145</v>
      </c>
      <c r="AS52" s="361">
        <f t="shared" si="32"/>
        <v>625</v>
      </c>
      <c r="AT52" s="361">
        <f t="shared" si="33"/>
        <v>770</v>
      </c>
      <c r="AU52" s="366"/>
      <c r="AV52" s="372">
        <v>9</v>
      </c>
      <c r="AW52" s="375" t="s">
        <v>51</v>
      </c>
      <c r="AX52" s="376">
        <v>3350</v>
      </c>
      <c r="AY52" s="376">
        <v>1550</v>
      </c>
      <c r="AZ52" s="376">
        <v>5360</v>
      </c>
      <c r="BA52" s="376">
        <v>5770</v>
      </c>
      <c r="BB52" s="376">
        <v>5780</v>
      </c>
      <c r="BC52" s="376">
        <f t="shared" si="49"/>
        <v>7320</v>
      </c>
      <c r="BD52" s="376">
        <f t="shared" si="50"/>
        <v>11140</v>
      </c>
      <c r="BE52" s="376">
        <f t="shared" si="34"/>
        <v>18460</v>
      </c>
      <c r="BF52" s="376">
        <v>15</v>
      </c>
      <c r="BG52" s="376">
        <v>0</v>
      </c>
      <c r="BH52" s="376">
        <v>0</v>
      </c>
      <c r="BI52" s="376">
        <v>200</v>
      </c>
      <c r="BJ52" s="376">
        <v>2000</v>
      </c>
      <c r="BK52" s="376">
        <f t="shared" si="51"/>
        <v>200</v>
      </c>
      <c r="BL52" s="376">
        <f t="shared" si="51"/>
        <v>2000</v>
      </c>
      <c r="BM52" s="376">
        <f t="shared" si="24"/>
        <v>2200</v>
      </c>
      <c r="BN52" s="376">
        <v>4000</v>
      </c>
      <c r="BO52" s="376">
        <v>185</v>
      </c>
      <c r="BP52" s="376">
        <v>150</v>
      </c>
      <c r="BQ52" s="376">
        <f t="shared" si="35"/>
        <v>335</v>
      </c>
      <c r="BR52" s="376">
        <v>1</v>
      </c>
      <c r="BS52" s="376">
        <v>7</v>
      </c>
      <c r="BT52" s="376">
        <v>24</v>
      </c>
      <c r="BU52" s="376">
        <f t="shared" si="36"/>
        <v>31</v>
      </c>
    </row>
    <row r="53" spans="1:73" ht="12.75">
      <c r="A53" s="362">
        <v>10</v>
      </c>
      <c r="B53" s="363" t="s">
        <v>52</v>
      </c>
      <c r="C53" s="361">
        <v>33</v>
      </c>
      <c r="D53" s="361">
        <v>0</v>
      </c>
      <c r="E53" s="361">
        <v>0</v>
      </c>
      <c r="F53" s="361">
        <v>36</v>
      </c>
      <c r="G53" s="361">
        <v>1</v>
      </c>
      <c r="H53" s="361">
        <f t="shared" si="25"/>
        <v>36</v>
      </c>
      <c r="I53" s="361">
        <f t="shared" si="52"/>
        <v>1</v>
      </c>
      <c r="J53" s="361">
        <f t="shared" si="45"/>
        <v>37</v>
      </c>
      <c r="K53" s="361">
        <v>211</v>
      </c>
      <c r="L53" s="361">
        <v>305</v>
      </c>
      <c r="M53" s="361">
        <v>199</v>
      </c>
      <c r="N53" s="361">
        <v>68</v>
      </c>
      <c r="O53" s="361">
        <v>263</v>
      </c>
      <c r="P53" s="361">
        <f aca="true" t="shared" si="53" ref="P53:Q57">SUM(L53+N53)</f>
        <v>373</v>
      </c>
      <c r="Q53" s="361">
        <f t="shared" si="53"/>
        <v>462</v>
      </c>
      <c r="R53" s="361">
        <f t="shared" si="29"/>
        <v>835</v>
      </c>
      <c r="S53" s="361">
        <v>12</v>
      </c>
      <c r="T53" s="361">
        <v>26</v>
      </c>
      <c r="U53" s="361">
        <v>99</v>
      </c>
      <c r="V53" s="361">
        <v>5</v>
      </c>
      <c r="W53" s="361">
        <v>51</v>
      </c>
      <c r="X53" s="361">
        <f t="shared" si="37"/>
        <v>31</v>
      </c>
      <c r="Y53" s="361">
        <f t="shared" si="38"/>
        <v>150</v>
      </c>
      <c r="Z53" s="361">
        <f t="shared" si="46"/>
        <v>181</v>
      </c>
      <c r="AA53" s="366"/>
      <c r="AB53" s="366"/>
      <c r="AC53" s="362">
        <v>10</v>
      </c>
      <c r="AD53" s="363" t="s">
        <v>52</v>
      </c>
      <c r="AE53" s="361">
        <v>337</v>
      </c>
      <c r="AF53" s="361">
        <v>1726</v>
      </c>
      <c r="AG53" s="361">
        <v>1507</v>
      </c>
      <c r="AH53" s="361">
        <v>655</v>
      </c>
      <c r="AI53" s="361">
        <v>1146</v>
      </c>
      <c r="AJ53" s="361">
        <f aca="true" t="shared" si="54" ref="AJ53:AK55">SUM(AF53+AH53)</f>
        <v>2381</v>
      </c>
      <c r="AK53" s="361">
        <f t="shared" si="54"/>
        <v>2653</v>
      </c>
      <c r="AL53" s="361">
        <f t="shared" si="30"/>
        <v>5034</v>
      </c>
      <c r="AM53" s="361">
        <v>281</v>
      </c>
      <c r="AN53" s="361">
        <v>477</v>
      </c>
      <c r="AO53" s="361">
        <v>1171</v>
      </c>
      <c r="AP53" s="361">
        <v>445</v>
      </c>
      <c r="AQ53" s="361">
        <v>947</v>
      </c>
      <c r="AR53" s="361">
        <f aca="true" t="shared" si="55" ref="AR53:AS55">SUM(AN53+AP53)</f>
        <v>922</v>
      </c>
      <c r="AS53" s="361">
        <f t="shared" si="55"/>
        <v>2118</v>
      </c>
      <c r="AT53" s="361">
        <f t="shared" si="33"/>
        <v>3040</v>
      </c>
      <c r="AU53" s="366"/>
      <c r="AV53" s="372">
        <v>10</v>
      </c>
      <c r="AW53" s="375" t="s">
        <v>52</v>
      </c>
      <c r="AX53" s="376">
        <v>1296</v>
      </c>
      <c r="AY53" s="376">
        <v>4168</v>
      </c>
      <c r="AZ53" s="376">
        <v>4189</v>
      </c>
      <c r="BA53" s="376">
        <v>6520</v>
      </c>
      <c r="BB53" s="376">
        <v>7095</v>
      </c>
      <c r="BC53" s="376">
        <f t="shared" si="49"/>
        <v>10688</v>
      </c>
      <c r="BD53" s="376">
        <f t="shared" si="50"/>
        <v>11284</v>
      </c>
      <c r="BE53" s="376">
        <f t="shared" si="34"/>
        <v>21972</v>
      </c>
      <c r="BF53" s="376">
        <v>558</v>
      </c>
      <c r="BG53" s="376">
        <v>1303</v>
      </c>
      <c r="BH53" s="376">
        <v>1780</v>
      </c>
      <c r="BI53" s="376">
        <v>1148</v>
      </c>
      <c r="BJ53" s="376">
        <v>4067</v>
      </c>
      <c r="BK53" s="376">
        <f t="shared" si="51"/>
        <v>2451</v>
      </c>
      <c r="BL53" s="376">
        <f t="shared" si="51"/>
        <v>5847</v>
      </c>
      <c r="BM53" s="376">
        <f t="shared" si="24"/>
        <v>8298</v>
      </c>
      <c r="BN53" s="376">
        <v>0</v>
      </c>
      <c r="BO53" s="376">
        <v>4421</v>
      </c>
      <c r="BP53" s="376">
        <v>425</v>
      </c>
      <c r="BQ53" s="376">
        <f t="shared" si="35"/>
        <v>4846</v>
      </c>
      <c r="BR53" s="376">
        <v>14</v>
      </c>
      <c r="BS53" s="376">
        <v>623</v>
      </c>
      <c r="BT53" s="376">
        <v>885</v>
      </c>
      <c r="BU53" s="376">
        <f t="shared" si="36"/>
        <v>1508</v>
      </c>
    </row>
    <row r="54" spans="1:73" ht="12.75">
      <c r="A54" s="362">
        <v>11</v>
      </c>
      <c r="B54" s="363" t="s">
        <v>53</v>
      </c>
      <c r="C54" s="361">
        <v>5</v>
      </c>
      <c r="D54" s="361">
        <v>0</v>
      </c>
      <c r="E54" s="361">
        <v>0</v>
      </c>
      <c r="F54" s="361">
        <v>5</v>
      </c>
      <c r="G54" s="361">
        <v>0</v>
      </c>
      <c r="H54" s="361">
        <f t="shared" si="25"/>
        <v>5</v>
      </c>
      <c r="I54" s="361">
        <f t="shared" si="52"/>
        <v>0</v>
      </c>
      <c r="J54" s="361">
        <f t="shared" si="45"/>
        <v>5</v>
      </c>
      <c r="K54" s="361">
        <v>20</v>
      </c>
      <c r="L54" s="361">
        <v>30</v>
      </c>
      <c r="M54" s="361">
        <v>3</v>
      </c>
      <c r="N54" s="361">
        <v>40</v>
      </c>
      <c r="O54" s="361">
        <v>15</v>
      </c>
      <c r="P54" s="361">
        <f t="shared" si="53"/>
        <v>70</v>
      </c>
      <c r="Q54" s="361">
        <f t="shared" si="53"/>
        <v>18</v>
      </c>
      <c r="R54" s="361">
        <f t="shared" si="29"/>
        <v>88</v>
      </c>
      <c r="S54" s="361">
        <v>15</v>
      </c>
      <c r="T54" s="361">
        <v>3</v>
      </c>
      <c r="U54" s="361">
        <v>6</v>
      </c>
      <c r="V54" s="361">
        <v>7</v>
      </c>
      <c r="W54" s="361">
        <v>45</v>
      </c>
      <c r="X54" s="361">
        <f t="shared" si="37"/>
        <v>10</v>
      </c>
      <c r="Y54" s="361">
        <f t="shared" si="38"/>
        <v>51</v>
      </c>
      <c r="Z54" s="361">
        <f t="shared" si="46"/>
        <v>61</v>
      </c>
      <c r="AA54" s="366"/>
      <c r="AB54" s="366"/>
      <c r="AC54" s="362">
        <v>11</v>
      </c>
      <c r="AD54" s="363" t="s">
        <v>53</v>
      </c>
      <c r="AE54" s="361">
        <v>750</v>
      </c>
      <c r="AF54" s="361">
        <v>450</v>
      </c>
      <c r="AG54" s="361">
        <v>340</v>
      </c>
      <c r="AH54" s="361">
        <v>650</v>
      </c>
      <c r="AI54" s="361">
        <v>790</v>
      </c>
      <c r="AJ54" s="361">
        <f t="shared" si="54"/>
        <v>1100</v>
      </c>
      <c r="AK54" s="361">
        <f t="shared" si="54"/>
        <v>1130</v>
      </c>
      <c r="AL54" s="361">
        <f t="shared" si="30"/>
        <v>2230</v>
      </c>
      <c r="AM54" s="361">
        <v>770</v>
      </c>
      <c r="AN54" s="361">
        <v>790</v>
      </c>
      <c r="AO54" s="361">
        <v>330</v>
      </c>
      <c r="AP54" s="361">
        <v>470</v>
      </c>
      <c r="AQ54" s="361">
        <v>690</v>
      </c>
      <c r="AR54" s="361">
        <f t="shared" si="55"/>
        <v>1260</v>
      </c>
      <c r="AS54" s="361">
        <f t="shared" si="55"/>
        <v>1020</v>
      </c>
      <c r="AT54" s="361">
        <f t="shared" si="33"/>
        <v>2280</v>
      </c>
      <c r="AU54" s="366"/>
      <c r="AV54" s="372">
        <v>11</v>
      </c>
      <c r="AW54" s="375" t="s">
        <v>53</v>
      </c>
      <c r="AX54" s="376">
        <v>1985</v>
      </c>
      <c r="AY54" s="376">
        <v>16800</v>
      </c>
      <c r="AZ54" s="376">
        <v>17800</v>
      </c>
      <c r="BA54" s="376">
        <v>12700</v>
      </c>
      <c r="BB54" s="376">
        <v>14500</v>
      </c>
      <c r="BC54" s="376">
        <f t="shared" si="49"/>
        <v>29500</v>
      </c>
      <c r="BD54" s="376">
        <f t="shared" si="50"/>
        <v>32300</v>
      </c>
      <c r="BE54" s="376">
        <f t="shared" si="34"/>
        <v>61800</v>
      </c>
      <c r="BF54" s="376">
        <v>35</v>
      </c>
      <c r="BG54" s="376">
        <v>3500</v>
      </c>
      <c r="BH54" s="376">
        <v>0</v>
      </c>
      <c r="BI54" s="376">
        <v>0</v>
      </c>
      <c r="BJ54" s="376">
        <v>0</v>
      </c>
      <c r="BK54" s="376">
        <f aca="true" t="shared" si="56" ref="BK54:BL57">SUM(BG54+BI54)</f>
        <v>3500</v>
      </c>
      <c r="BL54" s="376">
        <f t="shared" si="56"/>
        <v>0</v>
      </c>
      <c r="BM54" s="376">
        <f t="shared" si="24"/>
        <v>3500</v>
      </c>
      <c r="BN54" s="376">
        <v>5000</v>
      </c>
      <c r="BO54" s="376">
        <v>2600</v>
      </c>
      <c r="BP54" s="376">
        <v>75</v>
      </c>
      <c r="BQ54" s="376">
        <f t="shared" si="35"/>
        <v>2675</v>
      </c>
      <c r="BR54" s="376">
        <v>10</v>
      </c>
      <c r="BS54" s="376">
        <v>50</v>
      </c>
      <c r="BT54" s="376">
        <v>45</v>
      </c>
      <c r="BU54" s="376">
        <f t="shared" si="36"/>
        <v>95</v>
      </c>
    </row>
    <row r="55" spans="1:73" ht="12.75">
      <c r="A55" s="362">
        <v>12</v>
      </c>
      <c r="B55" s="363" t="s">
        <v>54</v>
      </c>
      <c r="C55" s="361">
        <v>45</v>
      </c>
      <c r="D55" s="361">
        <v>3</v>
      </c>
      <c r="E55" s="361">
        <v>3</v>
      </c>
      <c r="F55" s="361">
        <v>69</v>
      </c>
      <c r="G55" s="361">
        <v>66</v>
      </c>
      <c r="H55" s="361">
        <f t="shared" si="25"/>
        <v>72</v>
      </c>
      <c r="I55" s="361">
        <f t="shared" si="52"/>
        <v>69</v>
      </c>
      <c r="J55" s="361">
        <f t="shared" si="45"/>
        <v>141</v>
      </c>
      <c r="K55" s="361">
        <v>301</v>
      </c>
      <c r="L55" s="361">
        <v>593</v>
      </c>
      <c r="M55" s="361">
        <v>249</v>
      </c>
      <c r="N55" s="361">
        <v>429</v>
      </c>
      <c r="O55" s="361">
        <v>405</v>
      </c>
      <c r="P55" s="361">
        <f t="shared" si="53"/>
        <v>1022</v>
      </c>
      <c r="Q55" s="361">
        <f t="shared" si="53"/>
        <v>654</v>
      </c>
      <c r="R55" s="361">
        <f t="shared" si="29"/>
        <v>1676</v>
      </c>
      <c r="S55" s="361">
        <v>7</v>
      </c>
      <c r="T55" s="361">
        <v>16</v>
      </c>
      <c r="U55" s="361">
        <v>12</v>
      </c>
      <c r="V55" s="361">
        <v>2</v>
      </c>
      <c r="W55" s="361">
        <v>8</v>
      </c>
      <c r="X55" s="361">
        <f t="shared" si="37"/>
        <v>18</v>
      </c>
      <c r="Y55" s="361">
        <f t="shared" si="38"/>
        <v>20</v>
      </c>
      <c r="Z55" s="361">
        <f t="shared" si="46"/>
        <v>38</v>
      </c>
      <c r="AA55" s="366"/>
      <c r="AB55" s="366"/>
      <c r="AC55" s="362">
        <v>12</v>
      </c>
      <c r="AD55" s="363" t="s">
        <v>54</v>
      </c>
      <c r="AE55" s="361">
        <v>713</v>
      </c>
      <c r="AF55" s="361">
        <v>1243</v>
      </c>
      <c r="AG55" s="361">
        <v>1869</v>
      </c>
      <c r="AH55" s="361">
        <v>772</v>
      </c>
      <c r="AI55" s="361">
        <v>1814</v>
      </c>
      <c r="AJ55" s="361">
        <f t="shared" si="54"/>
        <v>2015</v>
      </c>
      <c r="AK55" s="361">
        <f t="shared" si="54"/>
        <v>3683</v>
      </c>
      <c r="AL55" s="361">
        <f t="shared" si="30"/>
        <v>5698</v>
      </c>
      <c r="AM55" s="361">
        <v>1824</v>
      </c>
      <c r="AN55" s="361">
        <v>1846</v>
      </c>
      <c r="AO55" s="361">
        <v>2120</v>
      </c>
      <c r="AP55" s="361">
        <v>1784</v>
      </c>
      <c r="AQ55" s="361">
        <v>3025</v>
      </c>
      <c r="AR55" s="361">
        <f t="shared" si="55"/>
        <v>3630</v>
      </c>
      <c r="AS55" s="361">
        <f t="shared" si="55"/>
        <v>5145</v>
      </c>
      <c r="AT55" s="361">
        <f t="shared" si="33"/>
        <v>8775</v>
      </c>
      <c r="AU55" s="366"/>
      <c r="AV55" s="372">
        <v>12</v>
      </c>
      <c r="AW55" s="375" t="s">
        <v>54</v>
      </c>
      <c r="AX55" s="376">
        <v>1148</v>
      </c>
      <c r="AY55" s="376">
        <v>2256</v>
      </c>
      <c r="AZ55" s="376">
        <v>1948</v>
      </c>
      <c r="BA55" s="376">
        <v>1104</v>
      </c>
      <c r="BB55" s="376">
        <v>6168</v>
      </c>
      <c r="BC55" s="376">
        <f t="shared" si="49"/>
        <v>3360</v>
      </c>
      <c r="BD55" s="376">
        <f t="shared" si="50"/>
        <v>8116</v>
      </c>
      <c r="BE55" s="376">
        <f t="shared" si="34"/>
        <v>11476</v>
      </c>
      <c r="BF55" s="376">
        <v>95</v>
      </c>
      <c r="BG55" s="376">
        <v>325</v>
      </c>
      <c r="BH55" s="376">
        <v>1100</v>
      </c>
      <c r="BI55" s="376">
        <v>600</v>
      </c>
      <c r="BJ55" s="376">
        <v>1250</v>
      </c>
      <c r="BK55" s="376">
        <f>SUM(BG55+BI55)</f>
        <v>925</v>
      </c>
      <c r="BL55" s="376">
        <f>SUM(BH55+BJ55)</f>
        <v>2350</v>
      </c>
      <c r="BM55" s="376">
        <f t="shared" si="24"/>
        <v>3275</v>
      </c>
      <c r="BN55" s="376">
        <v>100</v>
      </c>
      <c r="BO55" s="376">
        <v>4359</v>
      </c>
      <c r="BP55" s="376">
        <v>314</v>
      </c>
      <c r="BQ55" s="376">
        <f t="shared" si="35"/>
        <v>4673</v>
      </c>
      <c r="BR55" s="376">
        <v>4</v>
      </c>
      <c r="BS55" s="376">
        <v>12</v>
      </c>
      <c r="BT55" s="376">
        <v>73</v>
      </c>
      <c r="BU55" s="376">
        <f t="shared" si="36"/>
        <v>85</v>
      </c>
    </row>
    <row r="56" spans="1:73" ht="12.75">
      <c r="A56" s="362">
        <v>13</v>
      </c>
      <c r="B56" s="363" t="s">
        <v>55</v>
      </c>
      <c r="C56" s="361">
        <v>81</v>
      </c>
      <c r="D56" s="361">
        <v>7</v>
      </c>
      <c r="E56" s="361">
        <v>6</v>
      </c>
      <c r="F56" s="361">
        <v>89</v>
      </c>
      <c r="G56" s="361">
        <v>10</v>
      </c>
      <c r="H56" s="361">
        <f t="shared" si="25"/>
        <v>96</v>
      </c>
      <c r="I56" s="361">
        <f t="shared" si="52"/>
        <v>16</v>
      </c>
      <c r="J56" s="361">
        <f t="shared" si="45"/>
        <v>112</v>
      </c>
      <c r="K56" s="361">
        <v>132</v>
      </c>
      <c r="L56" s="361">
        <v>154</v>
      </c>
      <c r="M56" s="361">
        <v>46</v>
      </c>
      <c r="N56" s="361">
        <v>79</v>
      </c>
      <c r="O56" s="361">
        <v>173</v>
      </c>
      <c r="P56" s="361">
        <f>SUM(L56+N56)</f>
        <v>233</v>
      </c>
      <c r="Q56" s="361">
        <f>SUM(M56+O56)</f>
        <v>219</v>
      </c>
      <c r="R56" s="361">
        <f t="shared" si="29"/>
        <v>452</v>
      </c>
      <c r="S56" s="361">
        <v>8</v>
      </c>
      <c r="T56" s="361">
        <v>20</v>
      </c>
      <c r="U56" s="361">
        <v>27</v>
      </c>
      <c r="V56" s="361">
        <v>43</v>
      </c>
      <c r="W56" s="361">
        <v>52</v>
      </c>
      <c r="X56" s="361">
        <f t="shared" si="37"/>
        <v>63</v>
      </c>
      <c r="Y56" s="361">
        <f t="shared" si="38"/>
        <v>79</v>
      </c>
      <c r="Z56" s="361">
        <f t="shared" si="46"/>
        <v>142</v>
      </c>
      <c r="AA56" s="366"/>
      <c r="AB56" s="366"/>
      <c r="AC56" s="362">
        <v>13</v>
      </c>
      <c r="AD56" s="363" t="s">
        <v>55</v>
      </c>
      <c r="AE56" s="361">
        <v>158</v>
      </c>
      <c r="AF56" s="361">
        <v>386</v>
      </c>
      <c r="AG56" s="361">
        <v>268</v>
      </c>
      <c r="AH56" s="361">
        <v>206</v>
      </c>
      <c r="AI56" s="361">
        <v>263</v>
      </c>
      <c r="AJ56" s="361">
        <f t="shared" si="47"/>
        <v>592</v>
      </c>
      <c r="AK56" s="361">
        <f t="shared" si="48"/>
        <v>531</v>
      </c>
      <c r="AL56" s="361">
        <f t="shared" si="30"/>
        <v>1123</v>
      </c>
      <c r="AM56" s="361">
        <v>138</v>
      </c>
      <c r="AN56" s="361">
        <v>546</v>
      </c>
      <c r="AO56" s="361">
        <v>478</v>
      </c>
      <c r="AP56" s="361">
        <v>296</v>
      </c>
      <c r="AQ56" s="361">
        <v>387</v>
      </c>
      <c r="AR56" s="361">
        <f>SUM(AN56+AP56)</f>
        <v>842</v>
      </c>
      <c r="AS56" s="361">
        <f>SUM(AO56+AQ56)</f>
        <v>865</v>
      </c>
      <c r="AT56" s="361">
        <f t="shared" si="33"/>
        <v>1707</v>
      </c>
      <c r="AU56" s="366"/>
      <c r="AV56" s="372">
        <v>13</v>
      </c>
      <c r="AW56" s="375" t="s">
        <v>55</v>
      </c>
      <c r="AX56" s="376">
        <v>9888</v>
      </c>
      <c r="AY56" s="376">
        <v>9876</v>
      </c>
      <c r="AZ56" s="376">
        <v>9529</v>
      </c>
      <c r="BA56" s="376">
        <v>3963</v>
      </c>
      <c r="BB56" s="376">
        <v>4516</v>
      </c>
      <c r="BC56" s="376">
        <f t="shared" si="49"/>
        <v>13839</v>
      </c>
      <c r="BD56" s="376">
        <f t="shared" si="50"/>
        <v>14045</v>
      </c>
      <c r="BE56" s="376">
        <f t="shared" si="34"/>
        <v>27884</v>
      </c>
      <c r="BF56" s="376">
        <v>5</v>
      </c>
      <c r="BG56" s="376">
        <v>0</v>
      </c>
      <c r="BH56" s="376">
        <v>0</v>
      </c>
      <c r="BI56" s="376">
        <v>58</v>
      </c>
      <c r="BJ56" s="376">
        <v>656</v>
      </c>
      <c r="BK56" s="376">
        <f>SUM(BG56+BI56)</f>
        <v>58</v>
      </c>
      <c r="BL56" s="376">
        <f>SUM(BH56+BJ56)</f>
        <v>656</v>
      </c>
      <c r="BM56" s="376">
        <f t="shared" si="24"/>
        <v>714</v>
      </c>
      <c r="BN56" s="376">
        <v>0</v>
      </c>
      <c r="BO56" s="376">
        <v>248</v>
      </c>
      <c r="BP56" s="376">
        <v>53</v>
      </c>
      <c r="BQ56" s="376">
        <f t="shared" si="35"/>
        <v>301</v>
      </c>
      <c r="BR56" s="376">
        <v>3</v>
      </c>
      <c r="BS56" s="376">
        <v>16</v>
      </c>
      <c r="BT56" s="376">
        <v>46</v>
      </c>
      <c r="BU56" s="376">
        <f t="shared" si="36"/>
        <v>62</v>
      </c>
    </row>
    <row r="57" spans="1:73" ht="12.75">
      <c r="A57" s="357">
        <v>14</v>
      </c>
      <c r="B57" s="358" t="s">
        <v>56</v>
      </c>
      <c r="C57" s="360">
        <v>2</v>
      </c>
      <c r="D57" s="360">
        <v>0</v>
      </c>
      <c r="E57" s="360">
        <v>0</v>
      </c>
      <c r="F57" s="360">
        <v>2</v>
      </c>
      <c r="G57" s="360">
        <v>0</v>
      </c>
      <c r="H57" s="364">
        <f t="shared" si="25"/>
        <v>2</v>
      </c>
      <c r="I57" s="364">
        <f t="shared" si="52"/>
        <v>0</v>
      </c>
      <c r="J57" s="364">
        <f t="shared" si="45"/>
        <v>2</v>
      </c>
      <c r="K57" s="360">
        <v>11</v>
      </c>
      <c r="L57" s="360">
        <v>9</v>
      </c>
      <c r="M57" s="360">
        <v>5</v>
      </c>
      <c r="N57" s="360">
        <v>6</v>
      </c>
      <c r="O57" s="360">
        <v>10</v>
      </c>
      <c r="P57" s="364">
        <f t="shared" si="53"/>
        <v>15</v>
      </c>
      <c r="Q57" s="364">
        <f t="shared" si="53"/>
        <v>15</v>
      </c>
      <c r="R57" s="364">
        <f t="shared" si="29"/>
        <v>30</v>
      </c>
      <c r="S57" s="360">
        <v>5</v>
      </c>
      <c r="T57" s="360">
        <v>5</v>
      </c>
      <c r="U57" s="360">
        <v>4</v>
      </c>
      <c r="V57" s="360">
        <v>2</v>
      </c>
      <c r="W57" s="360">
        <v>5</v>
      </c>
      <c r="X57" s="364">
        <f t="shared" si="37"/>
        <v>7</v>
      </c>
      <c r="Y57" s="364">
        <f t="shared" si="38"/>
        <v>9</v>
      </c>
      <c r="Z57" s="364">
        <f t="shared" si="46"/>
        <v>16</v>
      </c>
      <c r="AA57" s="366"/>
      <c r="AB57" s="366"/>
      <c r="AC57" s="357">
        <v>14</v>
      </c>
      <c r="AD57" s="358" t="s">
        <v>56</v>
      </c>
      <c r="AE57" s="360">
        <v>339</v>
      </c>
      <c r="AF57" s="360">
        <v>867</v>
      </c>
      <c r="AG57" s="360">
        <v>1736</v>
      </c>
      <c r="AH57" s="360">
        <v>406</v>
      </c>
      <c r="AI57" s="360">
        <v>2797</v>
      </c>
      <c r="AJ57" s="361">
        <f t="shared" si="47"/>
        <v>1273</v>
      </c>
      <c r="AK57" s="361">
        <f t="shared" si="48"/>
        <v>4533</v>
      </c>
      <c r="AL57" s="361">
        <f t="shared" si="30"/>
        <v>5806</v>
      </c>
      <c r="AM57" s="360">
        <v>143</v>
      </c>
      <c r="AN57" s="360">
        <v>570</v>
      </c>
      <c r="AO57" s="360">
        <v>591</v>
      </c>
      <c r="AP57" s="360">
        <v>276</v>
      </c>
      <c r="AQ57" s="360">
        <v>541</v>
      </c>
      <c r="AR57" s="361">
        <f>SUM(AN57+AP57)</f>
        <v>846</v>
      </c>
      <c r="AS57" s="361">
        <f>SUM(AO57+AQ57)</f>
        <v>1132</v>
      </c>
      <c r="AT57" s="361">
        <f t="shared" si="33"/>
        <v>1978</v>
      </c>
      <c r="AU57" s="366"/>
      <c r="AV57" s="372">
        <v>14</v>
      </c>
      <c r="AW57" s="375" t="s">
        <v>56</v>
      </c>
      <c r="AX57" s="376">
        <v>46</v>
      </c>
      <c r="AY57" s="376">
        <v>4141</v>
      </c>
      <c r="AZ57" s="376">
        <v>4698</v>
      </c>
      <c r="BA57" s="376">
        <v>3564</v>
      </c>
      <c r="BB57" s="376">
        <v>4566</v>
      </c>
      <c r="BC57" s="376">
        <f t="shared" si="49"/>
        <v>7705</v>
      </c>
      <c r="BD57" s="376">
        <f t="shared" si="50"/>
        <v>9264</v>
      </c>
      <c r="BE57" s="376">
        <f t="shared" si="34"/>
        <v>16969</v>
      </c>
      <c r="BF57" s="376">
        <v>182</v>
      </c>
      <c r="BG57" s="376">
        <v>3000</v>
      </c>
      <c r="BH57" s="376">
        <v>4500</v>
      </c>
      <c r="BI57" s="376">
        <v>2800</v>
      </c>
      <c r="BJ57" s="376">
        <v>10000</v>
      </c>
      <c r="BK57" s="376">
        <f t="shared" si="56"/>
        <v>5800</v>
      </c>
      <c r="BL57" s="376">
        <f t="shared" si="56"/>
        <v>14500</v>
      </c>
      <c r="BM57" s="376">
        <f t="shared" si="24"/>
        <v>20300</v>
      </c>
      <c r="BN57" s="376">
        <v>100000</v>
      </c>
      <c r="BO57" s="376">
        <v>200</v>
      </c>
      <c r="BP57" s="376">
        <v>14</v>
      </c>
      <c r="BQ57" s="376">
        <f t="shared" si="35"/>
        <v>214</v>
      </c>
      <c r="BR57" s="376">
        <v>10</v>
      </c>
      <c r="BS57" s="376">
        <v>140</v>
      </c>
      <c r="BT57" s="376">
        <v>340</v>
      </c>
      <c r="BU57" s="376">
        <f t="shared" si="36"/>
        <v>480</v>
      </c>
    </row>
    <row r="58" spans="1:73" ht="12.75">
      <c r="A58" s="353" t="s">
        <v>91</v>
      </c>
      <c r="B58" s="351"/>
      <c r="C58" s="350">
        <f>SUM(C44:C57)</f>
        <v>374</v>
      </c>
      <c r="D58" s="350">
        <f>SUM(D44:D57)</f>
        <v>17</v>
      </c>
      <c r="E58" s="350">
        <f aca="true" t="shared" si="57" ref="E58:Z58">SUM(E44:E57)</f>
        <v>15</v>
      </c>
      <c r="F58" s="350">
        <f t="shared" si="57"/>
        <v>392</v>
      </c>
      <c r="G58" s="350">
        <f t="shared" si="57"/>
        <v>119</v>
      </c>
      <c r="H58" s="350">
        <f t="shared" si="57"/>
        <v>409</v>
      </c>
      <c r="I58" s="350">
        <f t="shared" si="57"/>
        <v>134</v>
      </c>
      <c r="J58" s="350">
        <f t="shared" si="57"/>
        <v>543</v>
      </c>
      <c r="K58" s="350">
        <f t="shared" si="57"/>
        <v>1159</v>
      </c>
      <c r="L58" s="350">
        <f t="shared" si="57"/>
        <v>1441</v>
      </c>
      <c r="M58" s="350">
        <f t="shared" si="57"/>
        <v>881</v>
      </c>
      <c r="N58" s="350">
        <f t="shared" si="57"/>
        <v>1233</v>
      </c>
      <c r="O58" s="350">
        <f t="shared" si="57"/>
        <v>1402</v>
      </c>
      <c r="P58" s="350">
        <f t="shared" si="57"/>
        <v>2674</v>
      </c>
      <c r="Q58" s="350">
        <f t="shared" si="57"/>
        <v>2283</v>
      </c>
      <c r="R58" s="350">
        <f t="shared" si="57"/>
        <v>4957</v>
      </c>
      <c r="S58" s="350">
        <f t="shared" si="57"/>
        <v>694</v>
      </c>
      <c r="T58" s="350">
        <f t="shared" si="57"/>
        <v>711</v>
      </c>
      <c r="U58" s="350">
        <f t="shared" si="57"/>
        <v>787</v>
      </c>
      <c r="V58" s="350">
        <f t="shared" si="57"/>
        <v>524</v>
      </c>
      <c r="W58" s="350">
        <f t="shared" si="57"/>
        <v>1100</v>
      </c>
      <c r="X58" s="350">
        <f t="shared" si="57"/>
        <v>1235</v>
      </c>
      <c r="Y58" s="350">
        <f t="shared" si="57"/>
        <v>1887</v>
      </c>
      <c r="Z58" s="350">
        <f t="shared" si="57"/>
        <v>3122</v>
      </c>
      <c r="AC58" s="353" t="s">
        <v>91</v>
      </c>
      <c r="AD58" s="351"/>
      <c r="AE58" s="350">
        <f aca="true" t="shared" si="58" ref="AE58:AT58">SUM(AE44:AE57)</f>
        <v>25448</v>
      </c>
      <c r="AF58" s="350">
        <f t="shared" si="58"/>
        <v>18821</v>
      </c>
      <c r="AG58" s="350">
        <f t="shared" si="58"/>
        <v>22980</v>
      </c>
      <c r="AH58" s="350">
        <f t="shared" si="58"/>
        <v>7903</v>
      </c>
      <c r="AI58" s="350">
        <f t="shared" si="58"/>
        <v>26268</v>
      </c>
      <c r="AJ58" s="350">
        <f t="shared" si="58"/>
        <v>26724</v>
      </c>
      <c r="AK58" s="350">
        <f t="shared" si="58"/>
        <v>49248</v>
      </c>
      <c r="AL58" s="350">
        <f t="shared" si="58"/>
        <v>75972</v>
      </c>
      <c r="AM58" s="350">
        <f t="shared" si="58"/>
        <v>8371</v>
      </c>
      <c r="AN58" s="350">
        <f t="shared" si="58"/>
        <v>13231</v>
      </c>
      <c r="AO58" s="350">
        <f t="shared" si="58"/>
        <v>12532</v>
      </c>
      <c r="AP58" s="350">
        <f t="shared" si="58"/>
        <v>6870</v>
      </c>
      <c r="AQ58" s="350">
        <f t="shared" si="58"/>
        <v>15393</v>
      </c>
      <c r="AR58" s="350">
        <f t="shared" si="58"/>
        <v>20101</v>
      </c>
      <c r="AS58" s="350">
        <f t="shared" si="58"/>
        <v>27925</v>
      </c>
      <c r="AT58" s="350">
        <f t="shared" si="58"/>
        <v>48026</v>
      </c>
      <c r="AV58" s="369" t="s">
        <v>91</v>
      </c>
      <c r="AW58" s="370"/>
      <c r="AX58" s="374">
        <f aca="true" t="shared" si="59" ref="AX58:BU58">SUM(AX44:AX57)</f>
        <v>88441</v>
      </c>
      <c r="AY58" s="374">
        <f t="shared" si="59"/>
        <v>140018</v>
      </c>
      <c r="AZ58" s="374">
        <f t="shared" si="59"/>
        <v>213170</v>
      </c>
      <c r="BA58" s="374">
        <f t="shared" si="59"/>
        <v>85130</v>
      </c>
      <c r="BB58" s="374">
        <f t="shared" si="59"/>
        <v>148394</v>
      </c>
      <c r="BC58" s="374">
        <f t="shared" si="59"/>
        <v>225148</v>
      </c>
      <c r="BD58" s="374">
        <f t="shared" si="59"/>
        <v>361564</v>
      </c>
      <c r="BE58" s="374">
        <f t="shared" si="59"/>
        <v>586712</v>
      </c>
      <c r="BF58" s="374">
        <f t="shared" si="59"/>
        <v>5063</v>
      </c>
      <c r="BG58" s="374">
        <f t="shared" si="59"/>
        <v>24830</v>
      </c>
      <c r="BH58" s="374">
        <f t="shared" si="59"/>
        <v>52749</v>
      </c>
      <c r="BI58" s="374">
        <f t="shared" si="59"/>
        <v>14263</v>
      </c>
      <c r="BJ58" s="374">
        <f t="shared" si="59"/>
        <v>147340</v>
      </c>
      <c r="BK58" s="374">
        <f t="shared" si="59"/>
        <v>39093</v>
      </c>
      <c r="BL58" s="374">
        <f t="shared" si="59"/>
        <v>200089</v>
      </c>
      <c r="BM58" s="374">
        <f t="shared" si="59"/>
        <v>239182</v>
      </c>
      <c r="BN58" s="374">
        <f t="shared" si="59"/>
        <v>178150</v>
      </c>
      <c r="BO58" s="374">
        <f t="shared" si="59"/>
        <v>53785</v>
      </c>
      <c r="BP58" s="374">
        <f t="shared" si="59"/>
        <v>7365</v>
      </c>
      <c r="BQ58" s="374">
        <f t="shared" si="59"/>
        <v>61150</v>
      </c>
      <c r="BR58" s="374">
        <f t="shared" si="59"/>
        <v>105</v>
      </c>
      <c r="BS58" s="374">
        <f t="shared" si="59"/>
        <v>1414</v>
      </c>
      <c r="BT58" s="374">
        <f t="shared" si="59"/>
        <v>2346</v>
      </c>
      <c r="BU58" s="374">
        <f t="shared" si="59"/>
        <v>3760</v>
      </c>
    </row>
    <row r="59" spans="1:73" ht="12.75">
      <c r="A59" s="353" t="s">
        <v>92</v>
      </c>
      <c r="B59" s="351"/>
      <c r="C59" s="354">
        <v>383</v>
      </c>
      <c r="D59" s="354">
        <v>17</v>
      </c>
      <c r="E59" s="354">
        <v>13</v>
      </c>
      <c r="F59" s="354">
        <v>407</v>
      </c>
      <c r="G59" s="354">
        <v>111</v>
      </c>
      <c r="H59" s="354">
        <v>424</v>
      </c>
      <c r="I59" s="354">
        <v>124</v>
      </c>
      <c r="J59" s="354">
        <v>548</v>
      </c>
      <c r="K59" s="354">
        <v>1153</v>
      </c>
      <c r="L59" s="354">
        <v>1383</v>
      </c>
      <c r="M59" s="354">
        <v>804</v>
      </c>
      <c r="N59" s="354">
        <v>1387</v>
      </c>
      <c r="O59" s="354">
        <v>1267</v>
      </c>
      <c r="P59" s="354">
        <v>2770</v>
      </c>
      <c r="Q59" s="354">
        <v>2071</v>
      </c>
      <c r="R59" s="354">
        <v>4841</v>
      </c>
      <c r="S59" s="354">
        <v>749</v>
      </c>
      <c r="T59" s="354">
        <v>688</v>
      </c>
      <c r="U59" s="354">
        <v>742</v>
      </c>
      <c r="V59" s="354">
        <v>561</v>
      </c>
      <c r="W59" s="354">
        <v>1074</v>
      </c>
      <c r="X59" s="354">
        <v>1249</v>
      </c>
      <c r="Y59" s="354">
        <v>1816</v>
      </c>
      <c r="Z59" s="354">
        <v>3065</v>
      </c>
      <c r="AC59" s="353" t="s">
        <v>92</v>
      </c>
      <c r="AD59" s="351"/>
      <c r="AE59" s="354">
        <v>9367</v>
      </c>
      <c r="AF59" s="354">
        <v>17792</v>
      </c>
      <c r="AG59" s="354">
        <v>21916</v>
      </c>
      <c r="AH59" s="354">
        <v>7887</v>
      </c>
      <c r="AI59" s="354">
        <v>25042</v>
      </c>
      <c r="AJ59" s="354">
        <v>25679</v>
      </c>
      <c r="AK59" s="354">
        <v>46958</v>
      </c>
      <c r="AL59" s="354">
        <v>72637</v>
      </c>
      <c r="AM59" s="354">
        <v>7697</v>
      </c>
      <c r="AN59" s="354">
        <v>12649</v>
      </c>
      <c r="AO59" s="354">
        <v>11924</v>
      </c>
      <c r="AP59" s="354">
        <v>6836</v>
      </c>
      <c r="AQ59" s="354">
        <v>14613</v>
      </c>
      <c r="AR59" s="354">
        <v>19485</v>
      </c>
      <c r="AS59" s="354">
        <v>26537</v>
      </c>
      <c r="AT59" s="354">
        <v>46022</v>
      </c>
      <c r="AV59" s="353" t="s">
        <v>92</v>
      </c>
      <c r="AW59" s="370"/>
      <c r="AX59" s="374">
        <v>87909</v>
      </c>
      <c r="AY59" s="374">
        <v>129170</v>
      </c>
      <c r="AZ59" s="374">
        <v>206933</v>
      </c>
      <c r="BA59" s="374">
        <v>78936</v>
      </c>
      <c r="BB59" s="374">
        <v>146976</v>
      </c>
      <c r="BC59" s="374">
        <v>208106</v>
      </c>
      <c r="BD59" s="374">
        <v>353909</v>
      </c>
      <c r="BE59" s="374">
        <v>562015</v>
      </c>
      <c r="BF59" s="374">
        <v>4948</v>
      </c>
      <c r="BG59" s="374">
        <v>29299</v>
      </c>
      <c r="BH59" s="374">
        <v>49177</v>
      </c>
      <c r="BI59" s="374">
        <v>14830</v>
      </c>
      <c r="BJ59" s="374">
        <v>132380</v>
      </c>
      <c r="BK59" s="374">
        <v>44129</v>
      </c>
      <c r="BL59" s="374">
        <v>181557</v>
      </c>
      <c r="BM59" s="374">
        <v>225686</v>
      </c>
      <c r="BN59" s="374">
        <v>162010</v>
      </c>
      <c r="BO59" s="374">
        <v>53105</v>
      </c>
      <c r="BP59" s="374">
        <v>6739</v>
      </c>
      <c r="BQ59" s="374">
        <v>59844</v>
      </c>
      <c r="BR59" s="374">
        <v>101</v>
      </c>
      <c r="BS59" s="374">
        <v>1358</v>
      </c>
      <c r="BT59" s="374">
        <v>2266</v>
      </c>
      <c r="BU59" s="374">
        <v>3624</v>
      </c>
    </row>
    <row r="60" spans="1:26" ht="12.75">
      <c r="A60" s="355"/>
      <c r="B60" s="355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56"/>
      <c r="S60" s="356"/>
      <c r="T60" s="356"/>
      <c r="U60" s="356"/>
      <c r="V60" s="356"/>
      <c r="W60" s="356"/>
      <c r="X60" s="356"/>
      <c r="Y60" s="356"/>
      <c r="Z60" s="356"/>
    </row>
    <row r="61" spans="1:70" ht="12.75">
      <c r="A61" s="355"/>
      <c r="B61" s="355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356"/>
      <c r="S61" s="356"/>
      <c r="T61" s="234"/>
      <c r="U61" s="234" t="s">
        <v>96</v>
      </c>
      <c r="V61" s="234"/>
      <c r="W61" s="234"/>
      <c r="X61" s="356"/>
      <c r="Y61" s="356"/>
      <c r="Z61" s="356"/>
      <c r="AP61" s="234"/>
      <c r="AQ61" s="234" t="s">
        <v>97</v>
      </c>
      <c r="AR61" s="234"/>
      <c r="AS61" s="234"/>
      <c r="AT61" s="356"/>
      <c r="AW61" s="371"/>
      <c r="AY61" s="226"/>
      <c r="BM61" s="234"/>
      <c r="BN61" s="234" t="s">
        <v>98</v>
      </c>
      <c r="BO61" s="234"/>
      <c r="BP61" s="234"/>
      <c r="BQ61" s="234"/>
      <c r="BR61" s="356"/>
    </row>
    <row r="62" spans="1:69" ht="12.75">
      <c r="A62" s="355"/>
      <c r="B62" s="355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235"/>
      <c r="U62" s="234" t="s">
        <v>60</v>
      </c>
      <c r="V62" s="234"/>
      <c r="W62" s="234"/>
      <c r="Z62" s="356"/>
      <c r="AP62" s="235"/>
      <c r="AQ62" s="234" t="s">
        <v>60</v>
      </c>
      <c r="AR62" s="234"/>
      <c r="AS62" s="234"/>
      <c r="BJ62" s="184"/>
      <c r="BM62" s="235"/>
      <c r="BN62" s="234" t="s">
        <v>60</v>
      </c>
      <c r="BO62" s="234"/>
      <c r="BP62" s="234"/>
      <c r="BQ62" s="234"/>
    </row>
    <row r="63" spans="1:69" ht="12.75">
      <c r="A63" s="355"/>
      <c r="B63" s="355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56"/>
      <c r="S63" s="356"/>
      <c r="T63" s="235"/>
      <c r="U63" s="234" t="s">
        <v>61</v>
      </c>
      <c r="V63" s="234"/>
      <c r="W63" s="234"/>
      <c r="Z63" s="356"/>
      <c r="AP63" s="235"/>
      <c r="AQ63" s="234" t="s">
        <v>61</v>
      </c>
      <c r="AR63" s="234"/>
      <c r="AS63" s="234"/>
      <c r="BJ63" s="184"/>
      <c r="BM63" s="235"/>
      <c r="BN63" s="234" t="s">
        <v>61</v>
      </c>
      <c r="BO63" s="234"/>
      <c r="BP63" s="234"/>
      <c r="BQ63" s="234"/>
    </row>
    <row r="64" spans="1:69" ht="12.75">
      <c r="A64" s="355"/>
      <c r="B64" s="355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234"/>
      <c r="U64" s="234"/>
      <c r="V64" s="234"/>
      <c r="W64" s="234"/>
      <c r="Z64" s="356"/>
      <c r="AP64" s="234"/>
      <c r="AQ64" s="234"/>
      <c r="AR64" s="234"/>
      <c r="AS64" s="234"/>
      <c r="BJ64" s="184"/>
      <c r="BM64" s="234"/>
      <c r="BN64" s="234"/>
      <c r="BO64" s="234"/>
      <c r="BP64" s="234"/>
      <c r="BQ64" s="234"/>
    </row>
    <row r="65" spans="1:69" ht="12.75">
      <c r="A65" s="355"/>
      <c r="B65" s="355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234"/>
      <c r="U65" s="234"/>
      <c r="V65" s="234"/>
      <c r="W65" s="234"/>
      <c r="Z65" s="356"/>
      <c r="AP65" s="234"/>
      <c r="AQ65" s="234"/>
      <c r="AR65" s="234"/>
      <c r="AS65" s="234"/>
      <c r="BJ65" s="184"/>
      <c r="BM65" s="234"/>
      <c r="BN65" s="234"/>
      <c r="BO65" s="234"/>
      <c r="BP65" s="234"/>
      <c r="BQ65" s="234"/>
    </row>
    <row r="66" spans="20:69" ht="12.75">
      <c r="T66" s="234"/>
      <c r="U66" s="234" t="s">
        <v>62</v>
      </c>
      <c r="V66" s="234"/>
      <c r="W66" s="234"/>
      <c r="AP66" s="234"/>
      <c r="AQ66" s="234" t="s">
        <v>62</v>
      </c>
      <c r="AR66" s="234"/>
      <c r="AS66" s="234"/>
      <c r="BJ66" s="184"/>
      <c r="BM66" s="234"/>
      <c r="BN66" s="234" t="s">
        <v>62</v>
      </c>
      <c r="BO66" s="234"/>
      <c r="BP66" s="234"/>
      <c r="BQ66" s="234"/>
    </row>
    <row r="67" spans="20:69" ht="12.75">
      <c r="T67" s="234"/>
      <c r="U67" s="234" t="s">
        <v>63</v>
      </c>
      <c r="V67" s="234"/>
      <c r="W67" s="234"/>
      <c r="AP67" s="234"/>
      <c r="AQ67" s="234" t="s">
        <v>63</v>
      </c>
      <c r="AR67" s="234"/>
      <c r="AS67" s="234"/>
      <c r="BJ67" s="184"/>
      <c r="BM67" s="234"/>
      <c r="BN67" s="234" t="s">
        <v>63</v>
      </c>
      <c r="BO67" s="234"/>
      <c r="BP67" s="234"/>
      <c r="BQ67" s="234"/>
    </row>
    <row r="68" spans="20:69" ht="12.75">
      <c r="T68" s="234"/>
      <c r="U68" s="234" t="s">
        <v>62</v>
      </c>
      <c r="V68" s="234"/>
      <c r="W68" s="234"/>
      <c r="AP68" s="234"/>
      <c r="AQ68" s="234" t="s">
        <v>62</v>
      </c>
      <c r="AR68" s="234"/>
      <c r="AS68" s="234"/>
      <c r="BJ68" s="184"/>
      <c r="BM68" s="234"/>
      <c r="BN68" s="234" t="s">
        <v>62</v>
      </c>
      <c r="BO68" s="234"/>
      <c r="BP68" s="234"/>
      <c r="BQ68" s="234"/>
    </row>
    <row r="69" spans="20:69" ht="12.75">
      <c r="T69" s="234"/>
      <c r="U69" s="234" t="s">
        <v>63</v>
      </c>
      <c r="V69" s="234"/>
      <c r="W69" s="234"/>
      <c r="AP69" s="234"/>
      <c r="AQ69" s="234" t="s">
        <v>63</v>
      </c>
      <c r="AR69" s="234"/>
      <c r="AS69" s="234"/>
      <c r="BJ69" s="184"/>
      <c r="BM69" s="234"/>
      <c r="BN69" s="234" t="s">
        <v>63</v>
      </c>
      <c r="BO69" s="234"/>
      <c r="BP69" s="234"/>
      <c r="BQ69" s="234"/>
    </row>
    <row r="70" spans="20:69" ht="12.75">
      <c r="T70" s="234"/>
      <c r="U70" s="234"/>
      <c r="V70" s="234"/>
      <c r="W70" s="234"/>
      <c r="AP70" s="234"/>
      <c r="AQ70" s="234"/>
      <c r="AR70" s="234"/>
      <c r="AS70" s="234"/>
      <c r="BJ70" s="184"/>
      <c r="BM70" s="234"/>
      <c r="BN70" s="234"/>
      <c r="BO70" s="234"/>
      <c r="BP70" s="234"/>
      <c r="BQ70" s="234"/>
    </row>
    <row r="71" spans="1:73" ht="12.75">
      <c r="A71" s="229"/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/>
      <c r="BT71" s="229"/>
      <c r="BU71" s="229"/>
    </row>
    <row r="72" spans="1:26" ht="12.75">
      <c r="A72" s="229"/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</row>
    <row r="73" spans="1:26" ht="12.75">
      <c r="A73" s="229"/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</row>
  </sheetData>
  <sheetProtection/>
  <mergeCells count="68">
    <mergeCell ref="E1:S1"/>
    <mergeCell ref="C4:J4"/>
    <mergeCell ref="K4:R4"/>
    <mergeCell ref="S4:Z4"/>
    <mergeCell ref="AD4:AK4"/>
    <mergeCell ref="AL4:AS4"/>
    <mergeCell ref="AW4:BD4"/>
    <mergeCell ref="BE4:BL4"/>
    <mergeCell ref="BM4:BP4"/>
    <mergeCell ref="BQ4:BT4"/>
    <mergeCell ref="A5:B5"/>
    <mergeCell ref="D5:E5"/>
    <mergeCell ref="F5:G5"/>
    <mergeCell ref="H5:I5"/>
    <mergeCell ref="L5:M5"/>
    <mergeCell ref="N5:O5"/>
    <mergeCell ref="P5:Q5"/>
    <mergeCell ref="T5:U5"/>
    <mergeCell ref="V5:W5"/>
    <mergeCell ref="X5:Y5"/>
    <mergeCell ref="AB5:AC5"/>
    <mergeCell ref="AE5:AF5"/>
    <mergeCell ref="AG5:AH5"/>
    <mergeCell ref="AI5:AJ5"/>
    <mergeCell ref="AM5:AN5"/>
    <mergeCell ref="AO5:AP5"/>
    <mergeCell ref="AQ5:AR5"/>
    <mergeCell ref="AU5:AV5"/>
    <mergeCell ref="AX5:AY5"/>
    <mergeCell ref="AZ5:BA5"/>
    <mergeCell ref="BB5:BC5"/>
    <mergeCell ref="BF5:BG5"/>
    <mergeCell ref="BH5:BI5"/>
    <mergeCell ref="BJ5:BK5"/>
    <mergeCell ref="E38:S38"/>
    <mergeCell ref="C41:J41"/>
    <mergeCell ref="K41:R41"/>
    <mergeCell ref="S41:Z41"/>
    <mergeCell ref="AE41:AL41"/>
    <mergeCell ref="AM41:AT41"/>
    <mergeCell ref="AX41:BE41"/>
    <mergeCell ref="BF41:BM41"/>
    <mergeCell ref="BN41:BQ41"/>
    <mergeCell ref="BR41:BU41"/>
    <mergeCell ref="A42:B42"/>
    <mergeCell ref="D42:E42"/>
    <mergeCell ref="F42:G42"/>
    <mergeCell ref="H42:I42"/>
    <mergeCell ref="L42:M42"/>
    <mergeCell ref="N42:O42"/>
    <mergeCell ref="P42:Q42"/>
    <mergeCell ref="T42:U42"/>
    <mergeCell ref="V42:W42"/>
    <mergeCell ref="X42:Y42"/>
    <mergeCell ref="AC42:AD42"/>
    <mergeCell ref="AF42:AG42"/>
    <mergeCell ref="AH42:AI42"/>
    <mergeCell ref="AJ42:AK42"/>
    <mergeCell ref="AN42:AO42"/>
    <mergeCell ref="AP42:AQ42"/>
    <mergeCell ref="AR42:AS42"/>
    <mergeCell ref="AV42:AW42"/>
    <mergeCell ref="AY42:AZ42"/>
    <mergeCell ref="BA42:BB42"/>
    <mergeCell ref="BC42:BD42"/>
    <mergeCell ref="BG42:BH42"/>
    <mergeCell ref="BI42:BJ42"/>
    <mergeCell ref="BK42:BL42"/>
  </mergeCells>
  <printOptions horizontalCentered="1" verticalCentered="1"/>
  <pageMargins left="0.6298611111111111" right="0.5111111111111111" top="0.5902777777777778" bottom="0.39305555555555555" header="0.2361111111111111" footer="0.2361111111111111"/>
  <pageSetup fitToHeight="1" fitToWidth="1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A138"/>
  <sheetViews>
    <sheetView zoomScalePageLayoutView="0" workbookViewId="0" topLeftCell="J1">
      <selection activeCell="Y20" sqref="Y20"/>
    </sheetView>
  </sheetViews>
  <sheetFormatPr defaultColWidth="9.140625" defaultRowHeight="15"/>
  <cols>
    <col min="1" max="1" width="3.7109375" style="248" customWidth="1"/>
    <col min="2" max="2" width="18.57421875" style="248" customWidth="1"/>
    <col min="3" max="3" width="9.28125" style="248" customWidth="1"/>
    <col min="4" max="4" width="10.00390625" style="248" customWidth="1"/>
    <col min="5" max="5" width="9.8515625" style="248" customWidth="1"/>
    <col min="6" max="6" width="9.8515625" style="248" bestFit="1" customWidth="1"/>
    <col min="7" max="7" width="11.57421875" style="248" customWidth="1"/>
    <col min="8" max="10" width="11.57421875" style="248" bestFit="1" customWidth="1"/>
    <col min="11" max="11" width="9.140625" style="248" customWidth="1"/>
    <col min="12" max="12" width="4.8515625" style="248" customWidth="1"/>
    <col min="13" max="13" width="19.00390625" style="248" bestFit="1" customWidth="1"/>
    <col min="14" max="16" width="9.140625" style="248" customWidth="1"/>
    <col min="17" max="17" width="10.7109375" style="248" bestFit="1" customWidth="1"/>
    <col min="18" max="18" width="9.140625" style="248" customWidth="1"/>
    <col min="19" max="19" width="10.7109375" style="248" bestFit="1" customWidth="1"/>
    <col min="20" max="20" width="12.140625" style="248" customWidth="1"/>
    <col min="21" max="21" width="12.00390625" style="248" customWidth="1"/>
    <col min="22" max="22" width="9.140625" style="248" customWidth="1"/>
    <col min="23" max="23" width="11.00390625" style="248" customWidth="1"/>
    <col min="24" max="24" width="12.140625" style="248" customWidth="1"/>
    <col min="25" max="25" width="11.8515625" style="248" customWidth="1"/>
    <col min="26" max="26" width="9.140625" style="248" customWidth="1"/>
    <col min="27" max="27" width="11.28125" style="248" bestFit="1" customWidth="1"/>
    <col min="28" max="16384" width="9.140625" style="248" customWidth="1"/>
  </cols>
  <sheetData>
    <row r="1" spans="1:26" ht="12.75">
      <c r="A1" s="249" t="s">
        <v>99</v>
      </c>
      <c r="B1" s="249"/>
      <c r="C1" s="249"/>
      <c r="D1" s="249"/>
      <c r="E1" s="250"/>
      <c r="F1" s="250"/>
      <c r="G1" s="250"/>
      <c r="H1" s="250"/>
      <c r="I1" s="250"/>
      <c r="J1" s="250"/>
      <c r="L1" s="249" t="s">
        <v>99</v>
      </c>
      <c r="M1" s="249"/>
      <c r="N1" s="249"/>
      <c r="O1" s="249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</row>
    <row r="2" spans="1:26" ht="12.75">
      <c r="A2" s="250"/>
      <c r="B2" s="250"/>
      <c r="C2" s="250"/>
      <c r="D2" s="250"/>
      <c r="E2" s="250"/>
      <c r="F2" s="250"/>
      <c r="G2" s="250"/>
      <c r="H2" s="250"/>
      <c r="I2" s="250"/>
      <c r="J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</row>
    <row r="3" spans="1:26" ht="12.75">
      <c r="A3" s="250" t="s">
        <v>100</v>
      </c>
      <c r="B3" s="250"/>
      <c r="C3" s="250"/>
      <c r="D3" s="250"/>
      <c r="E3" s="250"/>
      <c r="F3" s="250"/>
      <c r="G3" s="250"/>
      <c r="H3" s="250"/>
      <c r="I3" s="250"/>
      <c r="J3" s="250"/>
      <c r="L3" s="250" t="s">
        <v>101</v>
      </c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</row>
    <row r="4" spans="1:26" ht="12.75">
      <c r="A4" s="250"/>
      <c r="B4" s="250"/>
      <c r="C4" s="250"/>
      <c r="D4" s="250"/>
      <c r="E4" s="250"/>
      <c r="F4" s="250"/>
      <c r="G4" s="250"/>
      <c r="H4" s="250"/>
      <c r="I4" s="250"/>
      <c r="J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</row>
    <row r="5" spans="1:26" ht="12.75">
      <c r="A5" s="250"/>
      <c r="B5" s="250"/>
      <c r="C5" s="250"/>
      <c r="D5" s="250"/>
      <c r="E5" s="250"/>
      <c r="F5" s="250"/>
      <c r="G5" s="250"/>
      <c r="H5" s="250"/>
      <c r="I5" s="250"/>
      <c r="J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</row>
    <row r="6" spans="1:26" ht="12.75">
      <c r="A6" s="328" t="s">
        <v>102</v>
      </c>
      <c r="B6" s="328" t="s">
        <v>103</v>
      </c>
      <c r="C6" s="328" t="s">
        <v>104</v>
      </c>
      <c r="D6" s="480" t="s">
        <v>105</v>
      </c>
      <c r="E6" s="481"/>
      <c r="F6" s="480" t="s">
        <v>83</v>
      </c>
      <c r="G6" s="481"/>
      <c r="H6" s="480" t="s">
        <v>6</v>
      </c>
      <c r="I6" s="481"/>
      <c r="J6" s="328" t="s">
        <v>84</v>
      </c>
      <c r="L6" s="328" t="s">
        <v>102</v>
      </c>
      <c r="M6" s="328" t="s">
        <v>103</v>
      </c>
      <c r="N6" s="328" t="s">
        <v>104</v>
      </c>
      <c r="O6" s="465" t="s">
        <v>105</v>
      </c>
      <c r="P6" s="466"/>
      <c r="Q6" s="465" t="s">
        <v>6</v>
      </c>
      <c r="R6" s="466"/>
      <c r="S6" s="465" t="s">
        <v>83</v>
      </c>
      <c r="T6" s="466"/>
      <c r="U6" s="465" t="s">
        <v>6</v>
      </c>
      <c r="V6" s="466"/>
      <c r="W6" s="465" t="s">
        <v>106</v>
      </c>
      <c r="X6" s="466"/>
      <c r="Y6" s="328" t="s">
        <v>84</v>
      </c>
      <c r="Z6" s="328" t="s">
        <v>84</v>
      </c>
    </row>
    <row r="7" spans="1:26" ht="12.75">
      <c r="A7" s="329"/>
      <c r="B7" s="329"/>
      <c r="C7" s="329" t="s">
        <v>107</v>
      </c>
      <c r="D7" s="329" t="s">
        <v>7</v>
      </c>
      <c r="E7" s="329" t="s">
        <v>8</v>
      </c>
      <c r="F7" s="329" t="s">
        <v>7</v>
      </c>
      <c r="G7" s="329" t="s">
        <v>8</v>
      </c>
      <c r="H7" s="329" t="s">
        <v>7</v>
      </c>
      <c r="I7" s="329" t="s">
        <v>8</v>
      </c>
      <c r="J7" s="331"/>
      <c r="L7" s="329"/>
      <c r="M7" s="329"/>
      <c r="N7" s="329" t="s">
        <v>107</v>
      </c>
      <c r="O7" s="329" t="s">
        <v>7</v>
      </c>
      <c r="P7" s="329" t="s">
        <v>8</v>
      </c>
      <c r="Q7" s="329" t="s">
        <v>108</v>
      </c>
      <c r="R7" s="329" t="s">
        <v>109</v>
      </c>
      <c r="S7" s="329" t="s">
        <v>7</v>
      </c>
      <c r="T7" s="329" t="s">
        <v>8</v>
      </c>
      <c r="U7" s="329" t="s">
        <v>108</v>
      </c>
      <c r="V7" s="329" t="s">
        <v>109</v>
      </c>
      <c r="W7" s="329" t="s">
        <v>7</v>
      </c>
      <c r="X7" s="329" t="s">
        <v>8</v>
      </c>
      <c r="Y7" s="329" t="s">
        <v>89</v>
      </c>
      <c r="Z7" s="329" t="s">
        <v>110</v>
      </c>
    </row>
    <row r="8" spans="1:26" ht="12.75">
      <c r="A8" s="330"/>
      <c r="B8" s="330"/>
      <c r="C8" s="330"/>
      <c r="D8" s="330"/>
      <c r="E8" s="330"/>
      <c r="F8" s="330"/>
      <c r="G8" s="330"/>
      <c r="H8" s="330"/>
      <c r="I8" s="330"/>
      <c r="J8" s="122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122"/>
      <c r="Z8" s="122"/>
    </row>
    <row r="9" spans="1:26" ht="12.75">
      <c r="A9" s="122">
        <v>1</v>
      </c>
      <c r="B9" s="122" t="s">
        <v>111</v>
      </c>
      <c r="C9" s="231">
        <v>1153</v>
      </c>
      <c r="D9" s="231">
        <v>1383</v>
      </c>
      <c r="E9" s="231">
        <v>804</v>
      </c>
      <c r="F9" s="231">
        <v>1387</v>
      </c>
      <c r="G9" s="231">
        <v>1267</v>
      </c>
      <c r="H9" s="287">
        <v>2770</v>
      </c>
      <c r="I9" s="231">
        <v>2071</v>
      </c>
      <c r="J9" s="231">
        <v>4841</v>
      </c>
      <c r="L9" s="122">
        <v>1</v>
      </c>
      <c r="M9" s="122" t="s">
        <v>111</v>
      </c>
      <c r="N9" s="528">
        <f>C123</f>
        <v>1162</v>
      </c>
      <c r="O9" s="528">
        <f aca="true" t="shared" si="0" ref="O9:O14">D123</f>
        <v>1454</v>
      </c>
      <c r="P9" s="528">
        <f aca="true" t="shared" si="1" ref="O9:P14">E123</f>
        <v>882</v>
      </c>
      <c r="Q9" s="231">
        <f>SUM(O9:P9)</f>
        <v>2336</v>
      </c>
      <c r="R9" s="231">
        <f>0.6*Q9</f>
        <v>1401.6</v>
      </c>
      <c r="S9" s="528">
        <f aca="true" t="shared" si="2" ref="S9:T16">F123</f>
        <v>1234</v>
      </c>
      <c r="T9" s="528">
        <f t="shared" si="2"/>
        <v>1412</v>
      </c>
      <c r="U9" s="231">
        <f>SUM(S9:T9)</f>
        <v>2646</v>
      </c>
      <c r="V9" s="231">
        <f>1*U9</f>
        <v>2646</v>
      </c>
      <c r="W9" s="529">
        <f>SUM(O9+S9)</f>
        <v>2688</v>
      </c>
      <c r="X9" s="528">
        <f aca="true" t="shared" si="3" ref="X9:X23">SUM(P9+T9)</f>
        <v>2294</v>
      </c>
      <c r="Y9" s="528">
        <f>SUM(W9:X9)</f>
        <v>4982</v>
      </c>
      <c r="Z9" s="231">
        <f>R9+V9</f>
        <v>4047.6</v>
      </c>
    </row>
    <row r="10" spans="1:26" ht="12.75">
      <c r="A10" s="122">
        <v>2</v>
      </c>
      <c r="B10" s="122" t="s">
        <v>112</v>
      </c>
      <c r="C10" s="231">
        <v>4</v>
      </c>
      <c r="D10" s="231">
        <v>0</v>
      </c>
      <c r="E10" s="231">
        <v>0</v>
      </c>
      <c r="F10" s="231">
        <v>2</v>
      </c>
      <c r="G10" s="231">
        <v>11</v>
      </c>
      <c r="H10" s="287">
        <v>2</v>
      </c>
      <c r="I10" s="231">
        <v>11</v>
      </c>
      <c r="J10" s="231">
        <v>13</v>
      </c>
      <c r="L10" s="122">
        <v>2</v>
      </c>
      <c r="M10" s="122" t="s">
        <v>112</v>
      </c>
      <c r="N10" s="231">
        <f aca="true" t="shared" si="4" ref="N9:N14">C124</f>
        <v>4</v>
      </c>
      <c r="O10" s="231">
        <f t="shared" si="1"/>
        <v>0</v>
      </c>
      <c r="P10" s="231">
        <f t="shared" si="1"/>
        <v>0</v>
      </c>
      <c r="Q10" s="231">
        <f aca="true" t="shared" si="5" ref="Q10:Q23">SUM(O10:P10)</f>
        <v>0</v>
      </c>
      <c r="R10" s="231">
        <f>0.6*Q10</f>
        <v>0</v>
      </c>
      <c r="S10" s="231">
        <f t="shared" si="2"/>
        <v>1</v>
      </c>
      <c r="T10" s="231">
        <f t="shared" si="2"/>
        <v>10</v>
      </c>
      <c r="U10" s="231">
        <f aca="true" t="shared" si="6" ref="U10:U23">SUM(S10:T10)</f>
        <v>11</v>
      </c>
      <c r="V10" s="231">
        <f>1*U10</f>
        <v>11</v>
      </c>
      <c r="W10" s="287">
        <f aca="true" t="shared" si="7" ref="W10:W23">SUM(O10+S10)</f>
        <v>1</v>
      </c>
      <c r="X10" s="231">
        <f t="shared" si="3"/>
        <v>10</v>
      </c>
      <c r="Y10" s="231">
        <f aca="true" t="shared" si="8" ref="Y10:Y23">SUM(W10:X10)</f>
        <v>11</v>
      </c>
      <c r="Z10" s="231">
        <f aca="true" t="shared" si="9" ref="Z10:Z23">R10+V10</f>
        <v>11</v>
      </c>
    </row>
    <row r="11" spans="1:26" ht="12.75">
      <c r="A11" s="122">
        <v>3</v>
      </c>
      <c r="B11" s="122" t="s">
        <v>113</v>
      </c>
      <c r="C11" s="231">
        <v>749</v>
      </c>
      <c r="D11" s="231">
        <v>688</v>
      </c>
      <c r="E11" s="231">
        <v>742</v>
      </c>
      <c r="F11" s="231">
        <v>561</v>
      </c>
      <c r="G11" s="231">
        <v>1074</v>
      </c>
      <c r="H11" s="287">
        <v>1249</v>
      </c>
      <c r="I11" s="231">
        <v>1816</v>
      </c>
      <c r="J11" s="231">
        <v>3065</v>
      </c>
      <c r="L11" s="122">
        <v>3</v>
      </c>
      <c r="M11" s="122" t="s">
        <v>113</v>
      </c>
      <c r="N11" s="231">
        <f t="shared" si="4"/>
        <v>694</v>
      </c>
      <c r="O11" s="231">
        <f t="shared" si="0"/>
        <v>711</v>
      </c>
      <c r="P11" s="231">
        <f t="shared" si="1"/>
        <v>787</v>
      </c>
      <c r="Q11" s="231">
        <f t="shared" si="5"/>
        <v>1498</v>
      </c>
      <c r="R11" s="231">
        <f>0.69*Q11</f>
        <v>1033.62</v>
      </c>
      <c r="S11" s="231">
        <f t="shared" si="2"/>
        <v>524</v>
      </c>
      <c r="T11" s="231">
        <f t="shared" si="2"/>
        <v>1100</v>
      </c>
      <c r="U11" s="231">
        <f t="shared" si="6"/>
        <v>1624</v>
      </c>
      <c r="V11" s="231">
        <f>1.15*U11</f>
        <v>1867.6</v>
      </c>
      <c r="W11" s="287">
        <f t="shared" si="7"/>
        <v>1235</v>
      </c>
      <c r="X11" s="231">
        <f t="shared" si="3"/>
        <v>1887</v>
      </c>
      <c r="Y11" s="231">
        <f t="shared" si="8"/>
        <v>3122</v>
      </c>
      <c r="Z11" s="231">
        <f t="shared" si="9"/>
        <v>2901.22</v>
      </c>
    </row>
    <row r="12" spans="1:26" ht="12.75">
      <c r="A12" s="122">
        <v>4</v>
      </c>
      <c r="B12" s="122" t="s">
        <v>114</v>
      </c>
      <c r="C12" s="231">
        <v>383</v>
      </c>
      <c r="D12" s="231">
        <v>17</v>
      </c>
      <c r="E12" s="231">
        <v>13</v>
      </c>
      <c r="F12" s="231">
        <v>407</v>
      </c>
      <c r="G12" s="231">
        <v>111</v>
      </c>
      <c r="H12" s="287">
        <v>424</v>
      </c>
      <c r="I12" s="231">
        <v>124</v>
      </c>
      <c r="J12" s="231">
        <v>548</v>
      </c>
      <c r="L12" s="122">
        <v>4</v>
      </c>
      <c r="M12" s="122" t="s">
        <v>114</v>
      </c>
      <c r="N12" s="231">
        <f t="shared" si="4"/>
        <v>374</v>
      </c>
      <c r="O12" s="231">
        <f t="shared" si="0"/>
        <v>17</v>
      </c>
      <c r="P12" s="231">
        <f t="shared" si="1"/>
        <v>15</v>
      </c>
      <c r="Q12" s="231">
        <f t="shared" si="5"/>
        <v>32</v>
      </c>
      <c r="R12" s="231">
        <f>0.48*Q12</f>
        <v>15.36</v>
      </c>
      <c r="S12" s="231">
        <f t="shared" si="2"/>
        <v>392</v>
      </c>
      <c r="T12" s="231">
        <f t="shared" si="2"/>
        <v>119</v>
      </c>
      <c r="U12" s="231">
        <f t="shared" si="6"/>
        <v>511</v>
      </c>
      <c r="V12" s="231">
        <f>0.8*U12</f>
        <v>408.8</v>
      </c>
      <c r="W12" s="287">
        <f t="shared" si="7"/>
        <v>409</v>
      </c>
      <c r="X12" s="231">
        <f t="shared" si="3"/>
        <v>134</v>
      </c>
      <c r="Y12" s="231">
        <f t="shared" si="8"/>
        <v>543</v>
      </c>
      <c r="Z12" s="231">
        <f t="shared" si="9"/>
        <v>424.16</v>
      </c>
    </row>
    <row r="13" spans="1:26" ht="12.75">
      <c r="A13" s="122">
        <v>5</v>
      </c>
      <c r="B13" s="122" t="s">
        <v>115</v>
      </c>
      <c r="C13" s="231">
        <v>7697</v>
      </c>
      <c r="D13" s="231">
        <v>12649</v>
      </c>
      <c r="E13" s="231">
        <v>11924</v>
      </c>
      <c r="F13" s="231">
        <v>6836</v>
      </c>
      <c r="G13" s="231">
        <v>14613</v>
      </c>
      <c r="H13" s="287">
        <v>19485</v>
      </c>
      <c r="I13" s="231">
        <v>26537</v>
      </c>
      <c r="J13" s="231">
        <v>46022</v>
      </c>
      <c r="L13" s="122">
        <v>5</v>
      </c>
      <c r="M13" s="122" t="s">
        <v>115</v>
      </c>
      <c r="N13" s="231">
        <f t="shared" si="4"/>
        <v>8371</v>
      </c>
      <c r="O13" s="231">
        <f t="shared" si="0"/>
        <v>13231</v>
      </c>
      <c r="P13" s="231">
        <f t="shared" si="1"/>
        <v>12532</v>
      </c>
      <c r="Q13" s="231">
        <f t="shared" si="5"/>
        <v>25763</v>
      </c>
      <c r="R13" s="231">
        <f>0.08*Q13</f>
        <v>2061.04</v>
      </c>
      <c r="S13" s="231">
        <f t="shared" si="2"/>
        <v>6870</v>
      </c>
      <c r="T13" s="231">
        <f t="shared" si="2"/>
        <v>15393</v>
      </c>
      <c r="U13" s="231">
        <f t="shared" si="6"/>
        <v>22263</v>
      </c>
      <c r="V13" s="231">
        <f>0.16*U13</f>
        <v>3562.08</v>
      </c>
      <c r="W13" s="287">
        <f t="shared" si="7"/>
        <v>20101</v>
      </c>
      <c r="X13" s="231">
        <f t="shared" si="3"/>
        <v>27925</v>
      </c>
      <c r="Y13" s="231">
        <f t="shared" si="8"/>
        <v>48026</v>
      </c>
      <c r="Z13" s="231">
        <f t="shared" si="9"/>
        <v>5623.12</v>
      </c>
    </row>
    <row r="14" spans="1:26" ht="12.75">
      <c r="A14" s="122">
        <v>6</v>
      </c>
      <c r="B14" s="122" t="s">
        <v>116</v>
      </c>
      <c r="C14" s="231">
        <v>9367</v>
      </c>
      <c r="D14" s="231">
        <v>17792</v>
      </c>
      <c r="E14" s="231">
        <v>21916</v>
      </c>
      <c r="F14" s="231">
        <v>7887</v>
      </c>
      <c r="G14" s="231">
        <v>25042</v>
      </c>
      <c r="H14" s="287">
        <v>25679</v>
      </c>
      <c r="I14" s="231">
        <v>46958</v>
      </c>
      <c r="J14" s="231">
        <v>72637</v>
      </c>
      <c r="L14" s="122">
        <v>6</v>
      </c>
      <c r="M14" s="122" t="s">
        <v>116</v>
      </c>
      <c r="N14" s="231">
        <f t="shared" si="4"/>
        <v>25448</v>
      </c>
      <c r="O14" s="231">
        <f t="shared" si="0"/>
        <v>18821</v>
      </c>
      <c r="P14" s="231">
        <f t="shared" si="1"/>
        <v>22980</v>
      </c>
      <c r="Q14" s="231">
        <f t="shared" si="5"/>
        <v>41801</v>
      </c>
      <c r="R14" s="231">
        <f>0.07*Q14</f>
        <v>2926.07</v>
      </c>
      <c r="S14" s="231">
        <f t="shared" si="2"/>
        <v>7903</v>
      </c>
      <c r="T14" s="231">
        <f t="shared" si="2"/>
        <v>26268</v>
      </c>
      <c r="U14" s="231">
        <f t="shared" si="6"/>
        <v>34171</v>
      </c>
      <c r="V14" s="231">
        <f>0.14*U14</f>
        <v>4783.9400000000005</v>
      </c>
      <c r="W14" s="287">
        <f t="shared" si="7"/>
        <v>26724</v>
      </c>
      <c r="X14" s="231">
        <f t="shared" si="3"/>
        <v>49248</v>
      </c>
      <c r="Y14" s="231">
        <f t="shared" si="8"/>
        <v>75972</v>
      </c>
      <c r="Z14" s="231">
        <f t="shared" si="9"/>
        <v>7710.01</v>
      </c>
    </row>
    <row r="15" spans="1:26" ht="12.75">
      <c r="A15" s="122">
        <v>7</v>
      </c>
      <c r="B15" s="122" t="s">
        <v>117</v>
      </c>
      <c r="C15" s="231">
        <v>0</v>
      </c>
      <c r="D15" s="231">
        <v>0</v>
      </c>
      <c r="E15" s="231">
        <v>0</v>
      </c>
      <c r="F15" s="231">
        <v>0</v>
      </c>
      <c r="G15" s="231">
        <v>0</v>
      </c>
      <c r="H15" s="287">
        <v>0</v>
      </c>
      <c r="I15" s="231">
        <v>0</v>
      </c>
      <c r="J15" s="231">
        <v>0</v>
      </c>
      <c r="L15" s="122">
        <v>7</v>
      </c>
      <c r="M15" s="122" t="s">
        <v>117</v>
      </c>
      <c r="N15" s="231">
        <f aca="true" t="shared" si="10" ref="N15:N23">C129</f>
        <v>0</v>
      </c>
      <c r="O15" s="231">
        <f aca="true" t="shared" si="11" ref="O15:O23">D129</f>
        <v>0</v>
      </c>
      <c r="P15" s="231">
        <f aca="true" t="shared" si="12" ref="P15:P23">E129</f>
        <v>0</v>
      </c>
      <c r="Q15" s="231">
        <f t="shared" si="5"/>
        <v>0</v>
      </c>
      <c r="R15" s="231">
        <f>0.6*Q15</f>
        <v>0</v>
      </c>
      <c r="S15" s="231">
        <f t="shared" si="2"/>
        <v>0</v>
      </c>
      <c r="T15" s="231">
        <f t="shared" si="2"/>
        <v>0</v>
      </c>
      <c r="U15" s="231">
        <f t="shared" si="6"/>
        <v>0</v>
      </c>
      <c r="V15" s="231">
        <f>0.6*U15</f>
        <v>0</v>
      </c>
      <c r="W15" s="287">
        <f t="shared" si="7"/>
        <v>0</v>
      </c>
      <c r="X15" s="231">
        <f t="shared" si="3"/>
        <v>0</v>
      </c>
      <c r="Y15" s="231">
        <f t="shared" si="8"/>
        <v>0</v>
      </c>
      <c r="Z15" s="231">
        <f t="shared" si="9"/>
        <v>0</v>
      </c>
    </row>
    <row r="16" spans="1:27" ht="12.75">
      <c r="A16" s="122">
        <v>8</v>
      </c>
      <c r="B16" s="122" t="s">
        <v>118</v>
      </c>
      <c r="C16" s="231">
        <v>1</v>
      </c>
      <c r="D16" s="231">
        <v>0</v>
      </c>
      <c r="E16" s="231">
        <v>30000</v>
      </c>
      <c r="F16" s="231">
        <v>0</v>
      </c>
      <c r="G16" s="231">
        <v>80000</v>
      </c>
      <c r="H16" s="287">
        <v>0</v>
      </c>
      <c r="I16" s="231">
        <v>110000</v>
      </c>
      <c r="J16" s="231">
        <v>110000</v>
      </c>
      <c r="L16" s="122">
        <v>8</v>
      </c>
      <c r="M16" s="122" t="s">
        <v>118</v>
      </c>
      <c r="N16" s="231">
        <f t="shared" si="10"/>
        <v>1</v>
      </c>
      <c r="O16" s="231">
        <f t="shared" si="11"/>
        <v>0</v>
      </c>
      <c r="P16" s="231">
        <f t="shared" si="12"/>
        <v>0</v>
      </c>
      <c r="Q16" s="231">
        <f t="shared" si="5"/>
        <v>0</v>
      </c>
      <c r="R16" s="231">
        <f>0.01*Q16</f>
        <v>0</v>
      </c>
      <c r="S16" s="231">
        <f t="shared" si="2"/>
        <v>0</v>
      </c>
      <c r="T16" s="231">
        <f t="shared" si="2"/>
        <v>25000</v>
      </c>
      <c r="U16" s="231">
        <f t="shared" si="6"/>
        <v>25000</v>
      </c>
      <c r="V16" s="231">
        <f>0.02*U16</f>
        <v>500</v>
      </c>
      <c r="W16" s="287">
        <f t="shared" si="7"/>
        <v>0</v>
      </c>
      <c r="X16" s="231">
        <f t="shared" si="3"/>
        <v>25000</v>
      </c>
      <c r="Y16" s="231">
        <f t="shared" si="8"/>
        <v>25000</v>
      </c>
      <c r="Z16" s="231">
        <f t="shared" si="9"/>
        <v>500</v>
      </c>
      <c r="AA16" s="426">
        <f>SUM(Y16:Y18)</f>
        <v>11377862</v>
      </c>
    </row>
    <row r="17" spans="1:26" ht="12.75">
      <c r="A17" s="122">
        <v>9</v>
      </c>
      <c r="B17" s="122" t="s">
        <v>119</v>
      </c>
      <c r="C17" s="231">
        <v>100</v>
      </c>
      <c r="D17" s="231">
        <v>0</v>
      </c>
      <c r="E17" s="231">
        <v>0</v>
      </c>
      <c r="F17" s="231">
        <v>0</v>
      </c>
      <c r="G17" s="231">
        <v>8357600</v>
      </c>
      <c r="H17" s="287">
        <v>0</v>
      </c>
      <c r="I17" s="231">
        <v>8357600</v>
      </c>
      <c r="J17" s="231">
        <v>8357600</v>
      </c>
      <c r="L17" s="122">
        <v>9</v>
      </c>
      <c r="M17" s="122" t="s">
        <v>119</v>
      </c>
      <c r="N17" s="231">
        <f t="shared" si="10"/>
        <v>124</v>
      </c>
      <c r="O17" s="231">
        <f t="shared" si="11"/>
        <v>0</v>
      </c>
      <c r="P17" s="231">
        <f t="shared" si="12"/>
        <v>0</v>
      </c>
      <c r="Q17" s="231">
        <f t="shared" si="5"/>
        <v>0</v>
      </c>
      <c r="R17" s="231">
        <f>0.01*Q17</f>
        <v>0</v>
      </c>
      <c r="S17" s="231">
        <f aca="true" t="shared" si="13" ref="S17:S23">F131</f>
        <v>0</v>
      </c>
      <c r="T17" s="212">
        <f>G131+J52+J78+J105</f>
        <v>10766150</v>
      </c>
      <c r="U17" s="231">
        <f t="shared" si="6"/>
        <v>10766150</v>
      </c>
      <c r="V17" s="231">
        <f>0.02*U17</f>
        <v>215323</v>
      </c>
      <c r="W17" s="287">
        <f t="shared" si="7"/>
        <v>0</v>
      </c>
      <c r="X17" s="231">
        <f t="shared" si="3"/>
        <v>10766150</v>
      </c>
      <c r="Y17" s="231">
        <f>SUM(W17:X17)</f>
        <v>10766150</v>
      </c>
      <c r="Z17" s="231">
        <f t="shared" si="9"/>
        <v>215323</v>
      </c>
    </row>
    <row r="18" spans="1:26" ht="12.75">
      <c r="A18" s="122">
        <v>10</v>
      </c>
      <c r="B18" s="122" t="s">
        <v>120</v>
      </c>
      <c r="C18" s="231">
        <v>87909</v>
      </c>
      <c r="D18" s="231">
        <v>129170</v>
      </c>
      <c r="E18" s="231">
        <v>206933</v>
      </c>
      <c r="F18" s="231">
        <v>78936</v>
      </c>
      <c r="G18" s="231">
        <v>146976</v>
      </c>
      <c r="H18" s="287">
        <v>208106</v>
      </c>
      <c r="I18" s="231">
        <v>353909</v>
      </c>
      <c r="J18" s="231">
        <v>562015</v>
      </c>
      <c r="L18" s="122">
        <v>10</v>
      </c>
      <c r="M18" s="122" t="s">
        <v>120</v>
      </c>
      <c r="N18" s="231">
        <f t="shared" si="10"/>
        <v>88441</v>
      </c>
      <c r="O18" s="231">
        <f t="shared" si="11"/>
        <v>140018</v>
      </c>
      <c r="P18" s="231">
        <f t="shared" si="12"/>
        <v>213170</v>
      </c>
      <c r="Q18" s="231">
        <f t="shared" si="5"/>
        <v>353188</v>
      </c>
      <c r="R18" s="231">
        <f>0.01*Q18</f>
        <v>3531.88</v>
      </c>
      <c r="S18" s="231">
        <f t="shared" si="13"/>
        <v>85130</v>
      </c>
      <c r="T18" s="231">
        <f aca="true" t="shared" si="14" ref="T18:T23">G132</f>
        <v>148394</v>
      </c>
      <c r="U18" s="231">
        <f t="shared" si="6"/>
        <v>233524</v>
      </c>
      <c r="V18" s="231">
        <f>0.02*U18</f>
        <v>4670.4800000000005</v>
      </c>
      <c r="W18" s="287">
        <f t="shared" si="7"/>
        <v>225148</v>
      </c>
      <c r="X18" s="231">
        <f t="shared" si="3"/>
        <v>361564</v>
      </c>
      <c r="Y18" s="231">
        <f t="shared" si="8"/>
        <v>586712</v>
      </c>
      <c r="Z18" s="231">
        <f t="shared" si="9"/>
        <v>8202.36</v>
      </c>
    </row>
    <row r="19" spans="1:26" ht="12.75">
      <c r="A19" s="122">
        <v>11</v>
      </c>
      <c r="B19" s="122" t="s">
        <v>121</v>
      </c>
      <c r="C19" s="231">
        <v>4948</v>
      </c>
      <c r="D19" s="231">
        <v>29299</v>
      </c>
      <c r="E19" s="231">
        <v>49177</v>
      </c>
      <c r="F19" s="231">
        <v>14830</v>
      </c>
      <c r="G19" s="231">
        <v>132380</v>
      </c>
      <c r="H19" s="287">
        <v>44129</v>
      </c>
      <c r="I19" s="231">
        <v>181557</v>
      </c>
      <c r="J19" s="231">
        <v>225686</v>
      </c>
      <c r="L19" s="122">
        <v>11</v>
      </c>
      <c r="M19" s="122" t="s">
        <v>121</v>
      </c>
      <c r="N19" s="231">
        <f t="shared" si="10"/>
        <v>5063</v>
      </c>
      <c r="O19" s="231">
        <f t="shared" si="11"/>
        <v>24830</v>
      </c>
      <c r="P19" s="231">
        <f t="shared" si="12"/>
        <v>52749</v>
      </c>
      <c r="Q19" s="231">
        <f t="shared" si="5"/>
        <v>77579</v>
      </c>
      <c r="R19" s="231">
        <f>0.01*Q19</f>
        <v>775.79</v>
      </c>
      <c r="S19" s="231">
        <f t="shared" si="13"/>
        <v>14263</v>
      </c>
      <c r="T19" s="231">
        <f t="shared" si="14"/>
        <v>147340</v>
      </c>
      <c r="U19" s="231">
        <f t="shared" si="6"/>
        <v>161603</v>
      </c>
      <c r="V19" s="231">
        <f>0.02*U19</f>
        <v>3232.06</v>
      </c>
      <c r="W19" s="287">
        <f t="shared" si="7"/>
        <v>39093</v>
      </c>
      <c r="X19" s="231">
        <f t="shared" si="3"/>
        <v>200089</v>
      </c>
      <c r="Y19" s="231">
        <f t="shared" si="8"/>
        <v>239182</v>
      </c>
      <c r="Z19" s="231">
        <f t="shared" si="9"/>
        <v>4007.85</v>
      </c>
    </row>
    <row r="20" spans="1:27" ht="12.75">
      <c r="A20" s="122">
        <v>12</v>
      </c>
      <c r="B20" s="122" t="s">
        <v>122</v>
      </c>
      <c r="C20" s="231">
        <v>0</v>
      </c>
      <c r="D20" s="231">
        <v>0</v>
      </c>
      <c r="E20" s="231">
        <v>0</v>
      </c>
      <c r="F20" s="231">
        <v>0</v>
      </c>
      <c r="G20" s="231">
        <v>162010</v>
      </c>
      <c r="H20" s="287">
        <v>0</v>
      </c>
      <c r="I20" s="231">
        <v>162010</v>
      </c>
      <c r="J20" s="231">
        <v>162010</v>
      </c>
      <c r="L20" s="122">
        <v>12</v>
      </c>
      <c r="M20" s="122" t="s">
        <v>122</v>
      </c>
      <c r="N20" s="231">
        <f t="shared" si="10"/>
        <v>0</v>
      </c>
      <c r="O20" s="231">
        <f t="shared" si="11"/>
        <v>0</v>
      </c>
      <c r="P20" s="231">
        <f t="shared" si="12"/>
        <v>0</v>
      </c>
      <c r="Q20" s="231">
        <f t="shared" si="5"/>
        <v>0</v>
      </c>
      <c r="R20" s="231">
        <f>0.005*Q20</f>
        <v>0</v>
      </c>
      <c r="S20" s="231">
        <f t="shared" si="13"/>
        <v>0</v>
      </c>
      <c r="T20" s="231">
        <f t="shared" si="14"/>
        <v>178150</v>
      </c>
      <c r="U20" s="231">
        <f t="shared" si="6"/>
        <v>178150</v>
      </c>
      <c r="V20" s="231">
        <f>0.01*U20</f>
        <v>1781.5</v>
      </c>
      <c r="W20" s="287">
        <f t="shared" si="7"/>
        <v>0</v>
      </c>
      <c r="X20" s="231">
        <f t="shared" si="3"/>
        <v>178150</v>
      </c>
      <c r="Y20" s="231">
        <f t="shared" si="8"/>
        <v>178150</v>
      </c>
      <c r="Z20" s="231">
        <f t="shared" si="9"/>
        <v>1781.5</v>
      </c>
      <c r="AA20" s="426">
        <f>SUM(Y20:Y22)</f>
        <v>239300</v>
      </c>
    </row>
    <row r="21" spans="1:26" ht="12.75">
      <c r="A21" s="122">
        <v>13</v>
      </c>
      <c r="B21" s="122" t="s">
        <v>86</v>
      </c>
      <c r="C21" s="231">
        <v>0</v>
      </c>
      <c r="D21" s="231">
        <v>0</v>
      </c>
      <c r="E21" s="231">
        <v>0</v>
      </c>
      <c r="F21" s="231">
        <v>0</v>
      </c>
      <c r="G21" s="231">
        <v>53105</v>
      </c>
      <c r="H21" s="287">
        <v>0</v>
      </c>
      <c r="I21" s="231">
        <v>53105</v>
      </c>
      <c r="J21" s="231">
        <v>53105</v>
      </c>
      <c r="L21" s="122">
        <v>13</v>
      </c>
      <c r="M21" s="122" t="s">
        <v>86</v>
      </c>
      <c r="N21" s="231">
        <f t="shared" si="10"/>
        <v>0</v>
      </c>
      <c r="O21" s="231">
        <f t="shared" si="11"/>
        <v>0</v>
      </c>
      <c r="P21" s="231">
        <f t="shared" si="12"/>
        <v>0</v>
      </c>
      <c r="Q21" s="231">
        <f t="shared" si="5"/>
        <v>0</v>
      </c>
      <c r="R21" s="231">
        <f>0.005*Q21</f>
        <v>0</v>
      </c>
      <c r="S21" s="231">
        <f t="shared" si="13"/>
        <v>0</v>
      </c>
      <c r="T21" s="231">
        <f t="shared" si="14"/>
        <v>53785</v>
      </c>
      <c r="U21" s="231">
        <f t="shared" si="6"/>
        <v>53785</v>
      </c>
      <c r="V21" s="231">
        <f>0.01*U21</f>
        <v>537.85</v>
      </c>
      <c r="W21" s="287">
        <f t="shared" si="7"/>
        <v>0</v>
      </c>
      <c r="X21" s="231">
        <f t="shared" si="3"/>
        <v>53785</v>
      </c>
      <c r="Y21" s="231">
        <f t="shared" si="8"/>
        <v>53785</v>
      </c>
      <c r="Z21" s="231">
        <f t="shared" si="9"/>
        <v>537.85</v>
      </c>
    </row>
    <row r="22" spans="1:26" ht="12.75">
      <c r="A22" s="122">
        <v>14</v>
      </c>
      <c r="B22" s="122" t="s">
        <v>87</v>
      </c>
      <c r="C22" s="231">
        <v>0</v>
      </c>
      <c r="D22" s="231">
        <v>0</v>
      </c>
      <c r="E22" s="231">
        <v>0</v>
      </c>
      <c r="F22" s="231">
        <v>0</v>
      </c>
      <c r="G22" s="231">
        <v>6739</v>
      </c>
      <c r="H22" s="287">
        <v>0</v>
      </c>
      <c r="I22" s="231">
        <v>6739</v>
      </c>
      <c r="J22" s="231">
        <v>6739</v>
      </c>
      <c r="L22" s="122">
        <v>14</v>
      </c>
      <c r="M22" s="122" t="s">
        <v>87</v>
      </c>
      <c r="N22" s="231">
        <f t="shared" si="10"/>
        <v>0</v>
      </c>
      <c r="O22" s="231">
        <f t="shared" si="11"/>
        <v>0</v>
      </c>
      <c r="P22" s="231">
        <f t="shared" si="12"/>
        <v>0</v>
      </c>
      <c r="Q22" s="231">
        <f t="shared" si="5"/>
        <v>0</v>
      </c>
      <c r="R22" s="231">
        <f>0.005*Q22</f>
        <v>0</v>
      </c>
      <c r="S22" s="231">
        <f t="shared" si="13"/>
        <v>0</v>
      </c>
      <c r="T22" s="231">
        <f t="shared" si="14"/>
        <v>7365</v>
      </c>
      <c r="U22" s="231">
        <f t="shared" si="6"/>
        <v>7365</v>
      </c>
      <c r="V22" s="231">
        <f>0.01*U22</f>
        <v>73.65</v>
      </c>
      <c r="W22" s="287">
        <f t="shared" si="7"/>
        <v>0</v>
      </c>
      <c r="X22" s="231">
        <f t="shared" si="3"/>
        <v>7365</v>
      </c>
      <c r="Y22" s="231">
        <f t="shared" si="8"/>
        <v>7365</v>
      </c>
      <c r="Z22" s="231">
        <f t="shared" si="9"/>
        <v>73.65</v>
      </c>
    </row>
    <row r="23" spans="1:26" ht="12.75">
      <c r="A23" s="122">
        <v>15</v>
      </c>
      <c r="B23" s="122" t="s">
        <v>123</v>
      </c>
      <c r="C23" s="231">
        <v>108</v>
      </c>
      <c r="D23" s="231">
        <v>0</v>
      </c>
      <c r="E23" s="231">
        <v>0</v>
      </c>
      <c r="F23" s="231">
        <v>1358</v>
      </c>
      <c r="G23" s="231">
        <v>2266</v>
      </c>
      <c r="H23" s="287">
        <v>1358</v>
      </c>
      <c r="I23" s="231">
        <v>2266</v>
      </c>
      <c r="J23" s="231">
        <v>3624</v>
      </c>
      <c r="L23" s="122">
        <v>15</v>
      </c>
      <c r="M23" s="122" t="s">
        <v>123</v>
      </c>
      <c r="N23" s="231">
        <f t="shared" si="10"/>
        <v>105</v>
      </c>
      <c r="O23" s="231">
        <f t="shared" si="11"/>
        <v>0</v>
      </c>
      <c r="P23" s="231">
        <f t="shared" si="12"/>
        <v>0</v>
      </c>
      <c r="Q23" s="231">
        <f t="shared" si="5"/>
        <v>0</v>
      </c>
      <c r="R23" s="231">
        <f>0.6*Q23</f>
        <v>0</v>
      </c>
      <c r="S23" s="231">
        <f t="shared" si="13"/>
        <v>1414</v>
      </c>
      <c r="T23" s="231">
        <f t="shared" si="14"/>
        <v>2346</v>
      </c>
      <c r="U23" s="231">
        <f t="shared" si="6"/>
        <v>3760</v>
      </c>
      <c r="V23" s="231">
        <f>0.02*U23</f>
        <v>75.2</v>
      </c>
      <c r="W23" s="287">
        <f t="shared" si="7"/>
        <v>1414</v>
      </c>
      <c r="X23" s="231">
        <f t="shared" si="3"/>
        <v>2346</v>
      </c>
      <c r="Y23" s="231">
        <f t="shared" si="8"/>
        <v>3760</v>
      </c>
      <c r="Z23" s="231">
        <f t="shared" si="9"/>
        <v>75.2</v>
      </c>
    </row>
    <row r="24" spans="1:26" ht="12.75">
      <c r="A24" s="331"/>
      <c r="B24" s="331"/>
      <c r="C24" s="331"/>
      <c r="D24" s="331"/>
      <c r="E24" s="331"/>
      <c r="F24" s="331"/>
      <c r="G24" s="331"/>
      <c r="H24" s="331"/>
      <c r="I24" s="331"/>
      <c r="J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</row>
    <row r="25" spans="12:26" ht="12.75">
      <c r="L25" s="335"/>
      <c r="M25" s="335" t="s">
        <v>124</v>
      </c>
      <c r="N25" s="335"/>
      <c r="O25" s="336">
        <f aca="true" t="shared" si="15" ref="O25:Z25">SUM(O9:O24)</f>
        <v>199082</v>
      </c>
      <c r="P25" s="336">
        <f t="shared" si="15"/>
        <v>303115</v>
      </c>
      <c r="Q25" s="336">
        <f t="shared" si="15"/>
        <v>502197</v>
      </c>
      <c r="R25" s="336">
        <f t="shared" si="15"/>
        <v>11745.36</v>
      </c>
      <c r="S25" s="336">
        <f t="shared" si="15"/>
        <v>117731</v>
      </c>
      <c r="T25" s="336">
        <f t="shared" si="15"/>
        <v>11372832</v>
      </c>
      <c r="U25" s="336">
        <f t="shared" si="15"/>
        <v>11490563</v>
      </c>
      <c r="V25" s="336">
        <f t="shared" si="15"/>
        <v>239473.16000000003</v>
      </c>
      <c r="W25" s="336">
        <f t="shared" si="15"/>
        <v>316813</v>
      </c>
      <c r="X25" s="336">
        <f t="shared" si="15"/>
        <v>11675947</v>
      </c>
      <c r="Y25" s="336">
        <f t="shared" si="15"/>
        <v>11992760</v>
      </c>
      <c r="Z25" s="336">
        <f t="shared" si="15"/>
        <v>251218.52</v>
      </c>
    </row>
    <row r="26" spans="12:26" ht="12.75">
      <c r="L26" s="335"/>
      <c r="M26" s="335" t="s">
        <v>92</v>
      </c>
      <c r="N26" s="335"/>
      <c r="O26" s="336">
        <v>190998</v>
      </c>
      <c r="P26" s="336">
        <v>321509</v>
      </c>
      <c r="Q26" s="336">
        <v>512507</v>
      </c>
      <c r="R26" s="336">
        <v>11504.490000000002</v>
      </c>
      <c r="S26" s="336">
        <v>112204</v>
      </c>
      <c r="T26" s="336">
        <v>8983194</v>
      </c>
      <c r="U26" s="336">
        <v>9095398</v>
      </c>
      <c r="V26" s="336">
        <v>191509.01</v>
      </c>
      <c r="W26" s="336">
        <v>303202</v>
      </c>
      <c r="X26" s="336">
        <v>9304703</v>
      </c>
      <c r="Y26" s="336">
        <v>9607905</v>
      </c>
      <c r="Z26" s="336">
        <v>203013.5</v>
      </c>
    </row>
    <row r="27" spans="1:26" ht="12.75">
      <c r="A27" s="270"/>
      <c r="B27" s="270"/>
      <c r="C27" s="270"/>
      <c r="D27" s="270"/>
      <c r="E27" s="269"/>
      <c r="F27" s="269"/>
      <c r="G27" s="259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</row>
    <row r="28" spans="1:26" ht="12.75">
      <c r="A28" s="270"/>
      <c r="B28" s="270"/>
      <c r="C28" s="270"/>
      <c r="D28" s="270"/>
      <c r="E28" s="269"/>
      <c r="F28" s="269"/>
      <c r="G28" s="259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9" t="s">
        <v>94</v>
      </c>
      <c r="X28" s="250"/>
      <c r="Y28" s="250"/>
      <c r="Z28" s="250"/>
    </row>
    <row r="29" spans="1:26" ht="12.75">
      <c r="A29" s="269"/>
      <c r="B29" s="269"/>
      <c r="C29" s="269"/>
      <c r="D29" s="269"/>
      <c r="E29" s="269"/>
      <c r="F29" s="269"/>
      <c r="G29" s="259"/>
      <c r="L29" s="250"/>
      <c r="M29" s="250"/>
      <c r="N29" s="250"/>
      <c r="O29" s="250"/>
      <c r="P29" s="250"/>
      <c r="Q29" s="250"/>
      <c r="R29" s="250"/>
      <c r="S29" s="250"/>
      <c r="T29" s="250"/>
      <c r="U29" s="338"/>
      <c r="V29" s="338"/>
      <c r="W29" s="259"/>
      <c r="X29" s="250"/>
      <c r="Y29" s="250"/>
      <c r="Z29" s="250"/>
    </row>
    <row r="30" spans="1:26" ht="12.75">
      <c r="A30" s="269"/>
      <c r="B30" s="269"/>
      <c r="C30" s="269"/>
      <c r="D30" s="269"/>
      <c r="E30" s="269"/>
      <c r="F30" s="269"/>
      <c r="G30" s="259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9" t="s">
        <v>60</v>
      </c>
      <c r="X30" s="250"/>
      <c r="Y30" s="250"/>
      <c r="Z30" s="250"/>
    </row>
    <row r="31" spans="1:26" ht="12.75">
      <c r="A31" s="269"/>
      <c r="B31" s="269"/>
      <c r="C31" s="269"/>
      <c r="D31" s="269"/>
      <c r="E31" s="269"/>
      <c r="F31" s="269"/>
      <c r="G31" s="259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9" t="s">
        <v>61</v>
      </c>
      <c r="X31" s="250"/>
      <c r="Y31" s="250"/>
      <c r="Z31" s="250"/>
    </row>
    <row r="32" spans="1:26" ht="12.75">
      <c r="A32" s="332"/>
      <c r="B32" s="332"/>
      <c r="C32" s="484"/>
      <c r="D32" s="484"/>
      <c r="E32" s="484"/>
      <c r="F32" s="484"/>
      <c r="G32" s="259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9"/>
      <c r="X32" s="250"/>
      <c r="Y32" s="250"/>
      <c r="Z32" s="250"/>
    </row>
    <row r="33" spans="1:26" ht="12.75">
      <c r="A33" s="332"/>
      <c r="B33" s="332"/>
      <c r="C33" s="484"/>
      <c r="D33" s="484"/>
      <c r="E33" s="484"/>
      <c r="F33" s="484"/>
      <c r="G33" s="268"/>
      <c r="H33" s="267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9"/>
      <c r="X33" s="250"/>
      <c r="Y33" s="250"/>
      <c r="Z33" s="250"/>
    </row>
    <row r="34" spans="1:26" ht="12.75">
      <c r="A34" s="269"/>
      <c r="B34" s="269"/>
      <c r="C34" s="269"/>
      <c r="D34" s="269"/>
      <c r="E34" s="269"/>
      <c r="F34" s="269"/>
      <c r="G34" s="259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68" t="s">
        <v>62</v>
      </c>
      <c r="X34" s="250"/>
      <c r="Y34" s="250"/>
      <c r="Z34" s="250"/>
    </row>
    <row r="35" spans="12:26" ht="12.75"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9" t="s">
        <v>125</v>
      </c>
      <c r="X35" s="250"/>
      <c r="Y35" s="250"/>
      <c r="Z35" s="250"/>
    </row>
    <row r="36" spans="1:4" ht="12.75">
      <c r="A36" s="249" t="s">
        <v>99</v>
      </c>
      <c r="B36" s="249"/>
      <c r="C36" s="249"/>
      <c r="D36" s="249"/>
    </row>
    <row r="38" ht="12.75">
      <c r="A38" s="250" t="s">
        <v>126</v>
      </c>
    </row>
    <row r="41" spans="1:10" ht="12.75">
      <c r="A41" s="255" t="s">
        <v>102</v>
      </c>
      <c r="B41" s="255" t="s">
        <v>103</v>
      </c>
      <c r="C41" s="255" t="s">
        <v>104</v>
      </c>
      <c r="D41" s="482" t="s">
        <v>105</v>
      </c>
      <c r="E41" s="483"/>
      <c r="F41" s="482" t="s">
        <v>83</v>
      </c>
      <c r="G41" s="483"/>
      <c r="H41" s="482" t="s">
        <v>6</v>
      </c>
      <c r="I41" s="483"/>
      <c r="J41" s="255" t="s">
        <v>84</v>
      </c>
    </row>
    <row r="42" spans="1:10" ht="12.75">
      <c r="A42" s="333"/>
      <c r="B42" s="333"/>
      <c r="C42" s="333" t="s">
        <v>107</v>
      </c>
      <c r="D42" s="333" t="s">
        <v>7</v>
      </c>
      <c r="E42" s="333" t="s">
        <v>8</v>
      </c>
      <c r="F42" s="333" t="s">
        <v>7</v>
      </c>
      <c r="G42" s="333" t="s">
        <v>8</v>
      </c>
      <c r="H42" s="333" t="s">
        <v>7</v>
      </c>
      <c r="I42" s="333" t="s">
        <v>8</v>
      </c>
      <c r="J42" s="253"/>
    </row>
    <row r="43" spans="1:10" ht="12.75">
      <c r="A43" s="251"/>
      <c r="B43" s="251"/>
      <c r="C43" s="251"/>
      <c r="D43" s="251"/>
      <c r="E43" s="251"/>
      <c r="F43" s="251"/>
      <c r="G43" s="251"/>
      <c r="H43" s="251"/>
      <c r="I43" s="251"/>
      <c r="J43" s="257"/>
    </row>
    <row r="44" spans="1:10" ht="12.75">
      <c r="A44" s="257">
        <v>1</v>
      </c>
      <c r="B44" s="257" t="s">
        <v>111</v>
      </c>
      <c r="C44" s="334">
        <v>1147</v>
      </c>
      <c r="D44" s="334">
        <v>1386</v>
      </c>
      <c r="E44" s="334">
        <v>815</v>
      </c>
      <c r="F44" s="334">
        <v>1398</v>
      </c>
      <c r="G44" s="334">
        <v>1284</v>
      </c>
      <c r="H44" s="334">
        <v>2784</v>
      </c>
      <c r="I44" s="334">
        <v>2099</v>
      </c>
      <c r="J44" s="337">
        <v>4883</v>
      </c>
    </row>
    <row r="45" spans="1:10" ht="12.75">
      <c r="A45" s="257">
        <v>2</v>
      </c>
      <c r="B45" s="257" t="s">
        <v>112</v>
      </c>
      <c r="C45" s="334">
        <v>4</v>
      </c>
      <c r="D45" s="334">
        <v>0</v>
      </c>
      <c r="E45" s="334">
        <v>0</v>
      </c>
      <c r="F45" s="334">
        <v>2</v>
      </c>
      <c r="G45" s="334">
        <v>12</v>
      </c>
      <c r="H45" s="334">
        <v>2</v>
      </c>
      <c r="I45" s="334">
        <v>12</v>
      </c>
      <c r="J45" s="337">
        <v>14</v>
      </c>
    </row>
    <row r="46" spans="1:10" ht="12.75">
      <c r="A46" s="257">
        <v>3</v>
      </c>
      <c r="B46" s="257" t="s">
        <v>113</v>
      </c>
      <c r="C46" s="334">
        <v>703</v>
      </c>
      <c r="D46" s="334">
        <v>704</v>
      </c>
      <c r="E46" s="334">
        <v>757</v>
      </c>
      <c r="F46" s="334">
        <v>567</v>
      </c>
      <c r="G46" s="334">
        <v>1098</v>
      </c>
      <c r="H46" s="334">
        <v>1271</v>
      </c>
      <c r="I46" s="334">
        <v>1855</v>
      </c>
      <c r="J46" s="337">
        <v>3126</v>
      </c>
    </row>
    <row r="47" spans="1:10" ht="12.75">
      <c r="A47" s="257">
        <v>4</v>
      </c>
      <c r="B47" s="257" t="s">
        <v>114</v>
      </c>
      <c r="C47" s="334">
        <v>387</v>
      </c>
      <c r="D47" s="334">
        <v>18</v>
      </c>
      <c r="E47" s="334">
        <v>14</v>
      </c>
      <c r="F47" s="334">
        <v>410</v>
      </c>
      <c r="G47" s="334">
        <v>114</v>
      </c>
      <c r="H47" s="334">
        <v>428</v>
      </c>
      <c r="I47" s="334">
        <v>128</v>
      </c>
      <c r="J47" s="337">
        <v>556</v>
      </c>
    </row>
    <row r="48" spans="1:10" ht="12.75">
      <c r="A48" s="257">
        <v>5</v>
      </c>
      <c r="B48" s="257" t="s">
        <v>115</v>
      </c>
      <c r="C48" s="334">
        <v>7702</v>
      </c>
      <c r="D48" s="334">
        <v>12808</v>
      </c>
      <c r="E48" s="334">
        <v>12077</v>
      </c>
      <c r="F48" s="334">
        <v>6896</v>
      </c>
      <c r="G48" s="334">
        <v>14722</v>
      </c>
      <c r="H48" s="334">
        <v>19704</v>
      </c>
      <c r="I48" s="334">
        <v>26799</v>
      </c>
      <c r="J48" s="337">
        <v>46503</v>
      </c>
    </row>
    <row r="49" spans="1:10" ht="12.75">
      <c r="A49" s="257">
        <v>6</v>
      </c>
      <c r="B49" s="257" t="s">
        <v>116</v>
      </c>
      <c r="C49" s="334">
        <v>9382</v>
      </c>
      <c r="D49" s="334">
        <v>18026</v>
      </c>
      <c r="E49" s="334">
        <v>22156</v>
      </c>
      <c r="F49" s="334">
        <v>8023</v>
      </c>
      <c r="G49" s="334">
        <v>25801</v>
      </c>
      <c r="H49" s="334">
        <v>26049</v>
      </c>
      <c r="I49" s="334">
        <v>47957</v>
      </c>
      <c r="J49" s="337">
        <v>74006</v>
      </c>
    </row>
    <row r="50" spans="1:10" ht="12.75">
      <c r="A50" s="257">
        <v>7</v>
      </c>
      <c r="B50" s="257" t="s">
        <v>117</v>
      </c>
      <c r="C50" s="334">
        <v>0</v>
      </c>
      <c r="D50" s="334">
        <v>0</v>
      </c>
      <c r="E50" s="334">
        <v>0</v>
      </c>
      <c r="F50" s="334">
        <v>0</v>
      </c>
      <c r="G50" s="334">
        <v>0</v>
      </c>
      <c r="H50" s="334">
        <v>0</v>
      </c>
      <c r="I50" s="334">
        <v>0</v>
      </c>
      <c r="J50" s="337">
        <v>0</v>
      </c>
    </row>
    <row r="51" spans="1:10" ht="12.75">
      <c r="A51" s="257">
        <v>8</v>
      </c>
      <c r="B51" s="257" t="s">
        <v>118</v>
      </c>
      <c r="C51" s="334">
        <v>1</v>
      </c>
      <c r="D51" s="334">
        <v>0</v>
      </c>
      <c r="E51" s="334">
        <v>0</v>
      </c>
      <c r="F51" s="334">
        <v>0</v>
      </c>
      <c r="G51" s="334">
        <v>65000</v>
      </c>
      <c r="H51" s="334">
        <v>0</v>
      </c>
      <c r="I51" s="334">
        <v>65000</v>
      </c>
      <c r="J51" s="337">
        <v>65000</v>
      </c>
    </row>
    <row r="52" spans="1:10" ht="12.75">
      <c r="A52" s="257">
        <v>9</v>
      </c>
      <c r="B52" s="257" t="s">
        <v>119</v>
      </c>
      <c r="C52" s="334">
        <v>113</v>
      </c>
      <c r="D52" s="334">
        <v>0</v>
      </c>
      <c r="E52" s="334">
        <v>0</v>
      </c>
      <c r="F52" s="334">
        <v>0</v>
      </c>
      <c r="G52" s="334">
        <v>2404100</v>
      </c>
      <c r="H52" s="334">
        <v>0</v>
      </c>
      <c r="I52" s="334">
        <v>2404100</v>
      </c>
      <c r="J52" s="337">
        <v>2404100</v>
      </c>
    </row>
    <row r="53" spans="1:10" ht="12.75">
      <c r="A53" s="257">
        <v>10</v>
      </c>
      <c r="B53" s="257" t="s">
        <v>120</v>
      </c>
      <c r="C53" s="334">
        <v>88263</v>
      </c>
      <c r="D53" s="334">
        <v>132077</v>
      </c>
      <c r="E53" s="334">
        <v>207753</v>
      </c>
      <c r="F53" s="334">
        <v>81141</v>
      </c>
      <c r="G53" s="334">
        <v>148534</v>
      </c>
      <c r="H53" s="334">
        <v>213218</v>
      </c>
      <c r="I53" s="334">
        <v>356287</v>
      </c>
      <c r="J53" s="337">
        <v>569505</v>
      </c>
    </row>
    <row r="54" spans="1:10" ht="12.75">
      <c r="A54" s="257">
        <v>11</v>
      </c>
      <c r="B54" s="257" t="s">
        <v>121</v>
      </c>
      <c r="C54" s="334">
        <v>4963</v>
      </c>
      <c r="D54" s="334">
        <v>25553</v>
      </c>
      <c r="E54" s="334">
        <v>50752</v>
      </c>
      <c r="F54" s="334">
        <v>16666</v>
      </c>
      <c r="G54" s="334">
        <v>144802</v>
      </c>
      <c r="H54" s="334">
        <v>42219</v>
      </c>
      <c r="I54" s="334">
        <v>195554</v>
      </c>
      <c r="J54" s="337">
        <v>237773</v>
      </c>
    </row>
    <row r="55" spans="1:10" ht="12.75">
      <c r="A55" s="257">
        <v>12</v>
      </c>
      <c r="B55" s="257" t="s">
        <v>122</v>
      </c>
      <c r="C55" s="334">
        <v>0</v>
      </c>
      <c r="D55" s="334">
        <v>0</v>
      </c>
      <c r="E55" s="334">
        <v>0</v>
      </c>
      <c r="F55" s="334">
        <v>0</v>
      </c>
      <c r="G55" s="334">
        <v>162400</v>
      </c>
      <c r="H55" s="334">
        <v>0</v>
      </c>
      <c r="I55" s="334">
        <v>162400</v>
      </c>
      <c r="J55" s="337">
        <v>162400</v>
      </c>
    </row>
    <row r="56" spans="1:10" ht="12.75">
      <c r="A56" s="257">
        <v>13</v>
      </c>
      <c r="B56" s="257" t="s">
        <v>86</v>
      </c>
      <c r="C56" s="334">
        <v>0</v>
      </c>
      <c r="D56" s="334">
        <v>0</v>
      </c>
      <c r="E56" s="334">
        <v>0</v>
      </c>
      <c r="F56" s="334">
        <v>0</v>
      </c>
      <c r="G56" s="334">
        <v>53573</v>
      </c>
      <c r="H56" s="334">
        <v>0</v>
      </c>
      <c r="I56" s="334">
        <v>53573</v>
      </c>
      <c r="J56" s="337">
        <v>53573</v>
      </c>
    </row>
    <row r="57" spans="1:10" ht="12.75">
      <c r="A57" s="257">
        <v>14</v>
      </c>
      <c r="B57" s="257" t="s">
        <v>87</v>
      </c>
      <c r="C57" s="231">
        <v>0</v>
      </c>
      <c r="D57" s="334">
        <v>0</v>
      </c>
      <c r="E57" s="334">
        <v>0</v>
      </c>
      <c r="F57" s="334">
        <v>0</v>
      </c>
      <c r="G57" s="334">
        <v>7230</v>
      </c>
      <c r="H57" s="334">
        <v>0</v>
      </c>
      <c r="I57" s="334">
        <v>7230</v>
      </c>
      <c r="J57" s="337">
        <v>7230</v>
      </c>
    </row>
    <row r="58" spans="1:10" ht="12.75">
      <c r="A58" s="257">
        <v>15</v>
      </c>
      <c r="B58" s="257" t="s">
        <v>123</v>
      </c>
      <c r="C58" s="231">
        <v>108</v>
      </c>
      <c r="D58" s="334">
        <v>0</v>
      </c>
      <c r="E58" s="334">
        <v>0</v>
      </c>
      <c r="F58" s="334">
        <v>1335</v>
      </c>
      <c r="G58" s="334">
        <v>2328</v>
      </c>
      <c r="H58" s="334">
        <v>1353</v>
      </c>
      <c r="I58" s="334">
        <v>2328</v>
      </c>
      <c r="J58" s="337">
        <v>3681</v>
      </c>
    </row>
    <row r="59" spans="1:10" ht="12.75">
      <c r="A59" s="253"/>
      <c r="B59" s="253"/>
      <c r="C59" s="253"/>
      <c r="D59" s="253"/>
      <c r="E59" s="253"/>
      <c r="F59" s="253"/>
      <c r="G59" s="253"/>
      <c r="H59" s="253"/>
      <c r="I59" s="253"/>
      <c r="J59" s="253"/>
    </row>
    <row r="61" ht="12.75">
      <c r="F61" s="259"/>
    </row>
    <row r="62" spans="1:4" ht="12.75">
      <c r="A62" s="249" t="s">
        <v>99</v>
      </c>
      <c r="B62" s="249"/>
      <c r="C62" s="249"/>
      <c r="D62" s="249"/>
    </row>
    <row r="64" ht="12.75">
      <c r="A64" s="250" t="s">
        <v>127</v>
      </c>
    </row>
    <row r="67" spans="1:10" ht="12.75">
      <c r="A67" s="255" t="s">
        <v>102</v>
      </c>
      <c r="B67" s="255" t="s">
        <v>103</v>
      </c>
      <c r="C67" s="255" t="s">
        <v>104</v>
      </c>
      <c r="D67" s="482" t="s">
        <v>105</v>
      </c>
      <c r="E67" s="483"/>
      <c r="F67" s="482" t="s">
        <v>83</v>
      </c>
      <c r="G67" s="483"/>
      <c r="H67" s="482" t="s">
        <v>6</v>
      </c>
      <c r="I67" s="483"/>
      <c r="J67" s="255" t="s">
        <v>84</v>
      </c>
    </row>
    <row r="68" spans="1:10" ht="12.75">
      <c r="A68" s="333"/>
      <c r="B68" s="333"/>
      <c r="C68" s="333" t="s">
        <v>107</v>
      </c>
      <c r="D68" s="333" t="s">
        <v>7</v>
      </c>
      <c r="E68" s="333" t="s">
        <v>8</v>
      </c>
      <c r="F68" s="333" t="s">
        <v>7</v>
      </c>
      <c r="G68" s="333" t="s">
        <v>8</v>
      </c>
      <c r="H68" s="333" t="s">
        <v>7</v>
      </c>
      <c r="I68" s="333" t="s">
        <v>8</v>
      </c>
      <c r="J68" s="253"/>
    </row>
    <row r="69" spans="1:10" ht="12.75">
      <c r="A69" s="251"/>
      <c r="B69" s="251"/>
      <c r="C69" s="251"/>
      <c r="D69" s="251"/>
      <c r="E69" s="251"/>
      <c r="F69" s="251"/>
      <c r="G69" s="251"/>
      <c r="H69" s="251"/>
      <c r="I69" s="251"/>
      <c r="J69" s="257"/>
    </row>
    <row r="70" spans="1:10" ht="12.75">
      <c r="A70" s="257">
        <v>1</v>
      </c>
      <c r="B70" s="257" t="s">
        <v>111</v>
      </c>
      <c r="C70" s="334">
        <v>1144</v>
      </c>
      <c r="D70" s="334">
        <v>1418</v>
      </c>
      <c r="E70" s="334">
        <v>837</v>
      </c>
      <c r="F70" s="334">
        <v>1411</v>
      </c>
      <c r="G70" s="334">
        <v>1323</v>
      </c>
      <c r="H70" s="334">
        <v>2829</v>
      </c>
      <c r="I70" s="334">
        <v>2160</v>
      </c>
      <c r="J70" s="337">
        <v>4989</v>
      </c>
    </row>
    <row r="71" spans="1:10" ht="12.75">
      <c r="A71" s="257">
        <v>2</v>
      </c>
      <c r="B71" s="257" t="s">
        <v>112</v>
      </c>
      <c r="C71" s="334">
        <v>4</v>
      </c>
      <c r="D71" s="334">
        <v>0</v>
      </c>
      <c r="E71" s="334">
        <v>0</v>
      </c>
      <c r="F71" s="334">
        <v>1</v>
      </c>
      <c r="G71" s="334">
        <v>12</v>
      </c>
      <c r="H71" s="334">
        <v>1</v>
      </c>
      <c r="I71" s="334">
        <v>12</v>
      </c>
      <c r="J71" s="337">
        <v>13</v>
      </c>
    </row>
    <row r="72" spans="1:10" ht="12.75">
      <c r="A72" s="257">
        <v>3</v>
      </c>
      <c r="B72" s="257" t="s">
        <v>113</v>
      </c>
      <c r="C72" s="334">
        <v>703</v>
      </c>
      <c r="D72" s="334">
        <v>719</v>
      </c>
      <c r="E72" s="334">
        <v>767</v>
      </c>
      <c r="F72" s="334">
        <v>552</v>
      </c>
      <c r="G72" s="334">
        <v>1112</v>
      </c>
      <c r="H72" s="334">
        <v>1271</v>
      </c>
      <c r="I72" s="334">
        <v>1879</v>
      </c>
      <c r="J72" s="337">
        <v>3150</v>
      </c>
    </row>
    <row r="73" spans="1:10" ht="12.75">
      <c r="A73" s="257">
        <v>4</v>
      </c>
      <c r="B73" s="257" t="s">
        <v>114</v>
      </c>
      <c r="C73" s="334">
        <v>377</v>
      </c>
      <c r="D73" s="334">
        <v>18</v>
      </c>
      <c r="E73" s="334">
        <v>15</v>
      </c>
      <c r="F73" s="334">
        <v>397</v>
      </c>
      <c r="G73" s="334">
        <v>120</v>
      </c>
      <c r="H73" s="334">
        <v>415</v>
      </c>
      <c r="I73" s="334">
        <v>135</v>
      </c>
      <c r="J73" s="337">
        <v>550</v>
      </c>
    </row>
    <row r="74" spans="1:10" ht="12.75">
      <c r="A74" s="257">
        <v>5</v>
      </c>
      <c r="B74" s="257" t="s">
        <v>115</v>
      </c>
      <c r="C74" s="334">
        <v>7706</v>
      </c>
      <c r="D74" s="334">
        <v>12887</v>
      </c>
      <c r="E74" s="334">
        <v>12237</v>
      </c>
      <c r="F74" s="334">
        <v>6902</v>
      </c>
      <c r="G74" s="334">
        <v>14783</v>
      </c>
      <c r="H74" s="334">
        <v>19789</v>
      </c>
      <c r="I74" s="334">
        <v>27020</v>
      </c>
      <c r="J74" s="337">
        <v>46809</v>
      </c>
    </row>
    <row r="75" spans="1:10" ht="12.75">
      <c r="A75" s="257">
        <v>6</v>
      </c>
      <c r="B75" s="257" t="s">
        <v>116</v>
      </c>
      <c r="C75" s="334">
        <v>9387</v>
      </c>
      <c r="D75" s="334">
        <v>18231</v>
      </c>
      <c r="E75" s="334">
        <v>22286</v>
      </c>
      <c r="F75" s="334">
        <v>7944</v>
      </c>
      <c r="G75" s="334">
        <v>25724</v>
      </c>
      <c r="H75" s="334">
        <v>26175</v>
      </c>
      <c r="I75" s="334">
        <v>48010</v>
      </c>
      <c r="J75" s="337">
        <v>74185</v>
      </c>
    </row>
    <row r="76" spans="1:10" ht="12.75">
      <c r="A76" s="257">
        <v>7</v>
      </c>
      <c r="B76" s="257" t="s">
        <v>117</v>
      </c>
      <c r="C76" s="334">
        <v>0</v>
      </c>
      <c r="D76" s="334">
        <v>0</v>
      </c>
      <c r="E76" s="334">
        <v>0</v>
      </c>
      <c r="F76" s="334">
        <v>0</v>
      </c>
      <c r="G76" s="334">
        <v>0</v>
      </c>
      <c r="H76" s="334">
        <v>0</v>
      </c>
      <c r="I76" s="334">
        <v>0</v>
      </c>
      <c r="J76" s="337">
        <v>0</v>
      </c>
    </row>
    <row r="77" spans="1:10" ht="12.75">
      <c r="A77" s="257">
        <v>8</v>
      </c>
      <c r="B77" s="257" t="s">
        <v>118</v>
      </c>
      <c r="C77" s="334">
        <v>1</v>
      </c>
      <c r="D77" s="334">
        <v>0</v>
      </c>
      <c r="E77" s="334">
        <v>0</v>
      </c>
      <c r="F77" s="334">
        <v>0</v>
      </c>
      <c r="G77" s="334">
        <v>40000</v>
      </c>
      <c r="H77" s="334">
        <v>0</v>
      </c>
      <c r="I77" s="334">
        <v>40000</v>
      </c>
      <c r="J77" s="337">
        <v>40000</v>
      </c>
    </row>
    <row r="78" spans="1:10" ht="12.75">
      <c r="A78" s="257">
        <v>9</v>
      </c>
      <c r="B78" s="257" t="s">
        <v>119</v>
      </c>
      <c r="C78" s="334">
        <v>113</v>
      </c>
      <c r="D78" s="334">
        <v>0</v>
      </c>
      <c r="E78" s="334">
        <v>0</v>
      </c>
      <c r="F78" s="334">
        <v>0</v>
      </c>
      <c r="G78" s="334">
        <v>2626350</v>
      </c>
      <c r="H78" s="334">
        <v>0</v>
      </c>
      <c r="I78" s="334">
        <v>2626350</v>
      </c>
      <c r="J78" s="337">
        <v>2626350</v>
      </c>
    </row>
    <row r="79" spans="1:10" ht="12.75">
      <c r="A79" s="257">
        <v>10</v>
      </c>
      <c r="B79" s="257" t="s">
        <v>120</v>
      </c>
      <c r="C79" s="334">
        <v>88398</v>
      </c>
      <c r="D79" s="334">
        <v>131679</v>
      </c>
      <c r="E79" s="334">
        <v>208106</v>
      </c>
      <c r="F79" s="334">
        <v>84322</v>
      </c>
      <c r="G79" s="334">
        <v>147993</v>
      </c>
      <c r="H79" s="334">
        <v>216001</v>
      </c>
      <c r="I79" s="334">
        <v>356099</v>
      </c>
      <c r="J79" s="337">
        <v>572100</v>
      </c>
    </row>
    <row r="80" spans="1:10" ht="12.75">
      <c r="A80" s="257">
        <v>11</v>
      </c>
      <c r="B80" s="257" t="s">
        <v>121</v>
      </c>
      <c r="C80" s="334">
        <v>5129</v>
      </c>
      <c r="D80" s="334">
        <v>22626</v>
      </c>
      <c r="E80" s="334">
        <v>51819</v>
      </c>
      <c r="F80" s="334">
        <v>16572</v>
      </c>
      <c r="G80" s="334">
        <v>143805</v>
      </c>
      <c r="H80" s="334">
        <v>39198</v>
      </c>
      <c r="I80" s="334">
        <v>195624</v>
      </c>
      <c r="J80" s="337">
        <v>234822</v>
      </c>
    </row>
    <row r="81" spans="1:10" ht="12.75">
      <c r="A81" s="257">
        <v>12</v>
      </c>
      <c r="B81" s="257" t="s">
        <v>122</v>
      </c>
      <c r="C81" s="334">
        <v>0</v>
      </c>
      <c r="D81" s="334">
        <v>0</v>
      </c>
      <c r="E81" s="334">
        <v>0</v>
      </c>
      <c r="F81" s="334">
        <v>0</v>
      </c>
      <c r="G81" s="334">
        <v>176750</v>
      </c>
      <c r="H81" s="334">
        <v>0</v>
      </c>
      <c r="I81" s="334">
        <v>176750</v>
      </c>
      <c r="J81" s="337">
        <v>176750</v>
      </c>
    </row>
    <row r="82" spans="1:10" ht="12.75">
      <c r="A82" s="257">
        <v>13</v>
      </c>
      <c r="B82" s="257" t="s">
        <v>86</v>
      </c>
      <c r="C82" s="334">
        <v>0</v>
      </c>
      <c r="D82" s="334">
        <v>0</v>
      </c>
      <c r="E82" s="334">
        <v>0</v>
      </c>
      <c r="F82" s="334">
        <v>0</v>
      </c>
      <c r="G82" s="334">
        <v>53230</v>
      </c>
      <c r="H82" s="334">
        <v>0</v>
      </c>
      <c r="I82" s="334">
        <v>53230</v>
      </c>
      <c r="J82" s="337">
        <v>53230</v>
      </c>
    </row>
    <row r="83" spans="1:10" ht="12.75">
      <c r="A83" s="257">
        <v>14</v>
      </c>
      <c r="B83" s="257" t="s">
        <v>87</v>
      </c>
      <c r="C83" s="231">
        <v>0</v>
      </c>
      <c r="D83" s="334">
        <v>0</v>
      </c>
      <c r="E83" s="334">
        <v>0</v>
      </c>
      <c r="F83" s="334">
        <v>0</v>
      </c>
      <c r="G83" s="334">
        <v>7234</v>
      </c>
      <c r="H83" s="334">
        <v>0</v>
      </c>
      <c r="I83" s="334">
        <v>7234</v>
      </c>
      <c r="J83" s="337">
        <v>7234</v>
      </c>
    </row>
    <row r="84" spans="1:10" ht="12.75">
      <c r="A84" s="257">
        <v>15</v>
      </c>
      <c r="B84" s="257" t="s">
        <v>123</v>
      </c>
      <c r="C84" s="231">
        <v>95</v>
      </c>
      <c r="D84" s="334">
        <v>0</v>
      </c>
      <c r="E84" s="334">
        <v>0</v>
      </c>
      <c r="F84" s="334">
        <v>1316</v>
      </c>
      <c r="G84" s="334">
        <v>2266</v>
      </c>
      <c r="H84" s="334">
        <v>1316</v>
      </c>
      <c r="I84" s="334">
        <v>2266</v>
      </c>
      <c r="J84" s="337">
        <v>3582</v>
      </c>
    </row>
    <row r="85" spans="1:10" ht="12.75">
      <c r="A85" s="253"/>
      <c r="B85" s="253"/>
      <c r="C85" s="253"/>
      <c r="D85" s="253"/>
      <c r="E85" s="253"/>
      <c r="F85" s="253"/>
      <c r="G85" s="253"/>
      <c r="H85" s="253"/>
      <c r="I85" s="253"/>
      <c r="J85" s="253"/>
    </row>
    <row r="87" spans="1:7" ht="12.75">
      <c r="A87" s="270"/>
      <c r="B87" s="270"/>
      <c r="C87" s="270"/>
      <c r="D87" s="270"/>
      <c r="E87" s="269"/>
      <c r="F87" s="269"/>
      <c r="G87" s="259"/>
    </row>
    <row r="89" spans="1:10" ht="12.75">
      <c r="A89" s="249" t="s">
        <v>99</v>
      </c>
      <c r="B89" s="249"/>
      <c r="C89" s="249"/>
      <c r="D89" s="249"/>
      <c r="E89" s="250"/>
      <c r="F89" s="250"/>
      <c r="G89" s="250"/>
      <c r="H89" s="250"/>
      <c r="I89" s="250"/>
      <c r="J89" s="250"/>
    </row>
    <row r="90" spans="1:10" ht="12.75">
      <c r="A90" s="250"/>
      <c r="B90" s="250"/>
      <c r="C90" s="250"/>
      <c r="D90" s="250"/>
      <c r="E90" s="250"/>
      <c r="F90" s="250"/>
      <c r="G90" s="250"/>
      <c r="H90" s="250"/>
      <c r="I90" s="250"/>
      <c r="J90" s="250"/>
    </row>
    <row r="91" spans="1:10" ht="12.75">
      <c r="A91" s="250" t="s">
        <v>128</v>
      </c>
      <c r="B91" s="250"/>
      <c r="C91" s="250"/>
      <c r="D91" s="250"/>
      <c r="E91" s="250"/>
      <c r="F91" s="250"/>
      <c r="G91" s="250"/>
      <c r="H91" s="250"/>
      <c r="I91" s="250"/>
      <c r="J91" s="250"/>
    </row>
    <row r="92" spans="1:10" ht="12.75">
      <c r="A92" s="250"/>
      <c r="B92" s="250"/>
      <c r="C92" s="250"/>
      <c r="D92" s="250"/>
      <c r="E92" s="250"/>
      <c r="F92" s="250"/>
      <c r="G92" s="250"/>
      <c r="H92" s="250"/>
      <c r="I92" s="250"/>
      <c r="J92" s="250"/>
    </row>
    <row r="93" spans="1:10" ht="12.75">
      <c r="A93" s="250"/>
      <c r="B93" s="250"/>
      <c r="C93" s="250"/>
      <c r="D93" s="250"/>
      <c r="E93" s="250"/>
      <c r="F93" s="250"/>
      <c r="G93" s="250"/>
      <c r="H93" s="250"/>
      <c r="I93" s="250"/>
      <c r="J93" s="250"/>
    </row>
    <row r="94" spans="1:10" ht="12.75">
      <c r="A94" s="328" t="s">
        <v>102</v>
      </c>
      <c r="B94" s="328" t="s">
        <v>103</v>
      </c>
      <c r="C94" s="328" t="s">
        <v>104</v>
      </c>
      <c r="D94" s="480" t="s">
        <v>105</v>
      </c>
      <c r="E94" s="481"/>
      <c r="F94" s="480" t="s">
        <v>83</v>
      </c>
      <c r="G94" s="481"/>
      <c r="H94" s="480" t="s">
        <v>6</v>
      </c>
      <c r="I94" s="481"/>
      <c r="J94" s="328" t="s">
        <v>84</v>
      </c>
    </row>
    <row r="95" spans="1:10" ht="12.75">
      <c r="A95" s="329"/>
      <c r="B95" s="329"/>
      <c r="C95" s="329" t="s">
        <v>107</v>
      </c>
      <c r="D95" s="329" t="s">
        <v>7</v>
      </c>
      <c r="E95" s="329" t="s">
        <v>8</v>
      </c>
      <c r="F95" s="329" t="s">
        <v>7</v>
      </c>
      <c r="G95" s="329" t="s">
        <v>8</v>
      </c>
      <c r="H95" s="329" t="s">
        <v>7</v>
      </c>
      <c r="I95" s="329" t="s">
        <v>8</v>
      </c>
      <c r="J95" s="331"/>
    </row>
    <row r="96" spans="1:10" ht="12.75">
      <c r="A96" s="330"/>
      <c r="B96" s="330"/>
      <c r="C96" s="330"/>
      <c r="D96" s="330"/>
      <c r="E96" s="330"/>
      <c r="F96" s="330"/>
      <c r="G96" s="330"/>
      <c r="H96" s="330"/>
      <c r="I96" s="330"/>
      <c r="J96" s="122"/>
    </row>
    <row r="97" spans="1:10" ht="12.75">
      <c r="A97" s="122">
        <v>1</v>
      </c>
      <c r="B97" s="122" t="s">
        <v>111</v>
      </c>
      <c r="C97" s="231">
        <v>1132</v>
      </c>
      <c r="D97" s="231">
        <v>1394</v>
      </c>
      <c r="E97" s="231">
        <v>877</v>
      </c>
      <c r="F97" s="231">
        <v>1191</v>
      </c>
      <c r="G97" s="231">
        <v>1331</v>
      </c>
      <c r="H97" s="287">
        <v>2585</v>
      </c>
      <c r="I97" s="231">
        <v>2208</v>
      </c>
      <c r="J97" s="231">
        <v>4793</v>
      </c>
    </row>
    <row r="98" spans="1:10" ht="12.75">
      <c r="A98" s="122">
        <v>2</v>
      </c>
      <c r="B98" s="122" t="s">
        <v>112</v>
      </c>
      <c r="C98" s="231">
        <v>4</v>
      </c>
      <c r="D98" s="231">
        <v>0</v>
      </c>
      <c r="E98" s="231">
        <v>0</v>
      </c>
      <c r="F98" s="231">
        <v>1</v>
      </c>
      <c r="G98" s="231">
        <v>12</v>
      </c>
      <c r="H98" s="287">
        <v>1</v>
      </c>
      <c r="I98" s="231">
        <v>12</v>
      </c>
      <c r="J98" s="231">
        <v>13</v>
      </c>
    </row>
    <row r="99" spans="1:10" ht="12.75">
      <c r="A99" s="122">
        <v>3</v>
      </c>
      <c r="B99" s="122" t="s">
        <v>113</v>
      </c>
      <c r="C99" s="231">
        <v>691</v>
      </c>
      <c r="D99" s="231">
        <v>695</v>
      </c>
      <c r="E99" s="231">
        <v>762</v>
      </c>
      <c r="F99" s="231">
        <v>512</v>
      </c>
      <c r="G99" s="231">
        <v>1091</v>
      </c>
      <c r="H99" s="287">
        <v>1207</v>
      </c>
      <c r="I99" s="231">
        <v>1853</v>
      </c>
      <c r="J99" s="231">
        <v>3060</v>
      </c>
    </row>
    <row r="100" spans="1:10" ht="12.75">
      <c r="A100" s="122">
        <v>4</v>
      </c>
      <c r="B100" s="122" t="s">
        <v>114</v>
      </c>
      <c r="C100" s="231">
        <v>378</v>
      </c>
      <c r="D100" s="231">
        <v>19</v>
      </c>
      <c r="E100" s="231">
        <v>15</v>
      </c>
      <c r="F100" s="231">
        <v>398</v>
      </c>
      <c r="G100" s="231">
        <v>127</v>
      </c>
      <c r="H100" s="287">
        <v>417</v>
      </c>
      <c r="I100" s="231">
        <v>142</v>
      </c>
      <c r="J100" s="231">
        <v>559</v>
      </c>
    </row>
    <row r="101" spans="1:10" ht="12.75">
      <c r="A101" s="122">
        <v>5</v>
      </c>
      <c r="B101" s="122" t="s">
        <v>115</v>
      </c>
      <c r="C101" s="231">
        <v>8342</v>
      </c>
      <c r="D101" s="231">
        <v>13094</v>
      </c>
      <c r="E101" s="231">
        <v>12349</v>
      </c>
      <c r="F101" s="231">
        <v>6767</v>
      </c>
      <c r="G101" s="231">
        <v>15306</v>
      </c>
      <c r="H101" s="287">
        <v>19861</v>
      </c>
      <c r="I101" s="231">
        <v>27655</v>
      </c>
      <c r="J101" s="231">
        <v>47516</v>
      </c>
    </row>
    <row r="102" spans="1:10" ht="12.75">
      <c r="A102" s="122">
        <v>6</v>
      </c>
      <c r="B102" s="122" t="s">
        <v>116</v>
      </c>
      <c r="C102" s="231">
        <v>9417</v>
      </c>
      <c r="D102" s="231">
        <v>18563</v>
      </c>
      <c r="E102" s="231">
        <v>22732</v>
      </c>
      <c r="F102" s="231">
        <v>7750</v>
      </c>
      <c r="G102" s="231">
        <v>26055</v>
      </c>
      <c r="H102" s="287">
        <v>26313</v>
      </c>
      <c r="I102" s="231">
        <v>48787</v>
      </c>
      <c r="J102" s="231">
        <v>75100</v>
      </c>
    </row>
    <row r="103" spans="1:10" ht="12.75">
      <c r="A103" s="122">
        <v>7</v>
      </c>
      <c r="B103" s="122" t="s">
        <v>117</v>
      </c>
      <c r="C103" s="231">
        <v>0</v>
      </c>
      <c r="D103" s="231">
        <v>0</v>
      </c>
      <c r="E103" s="231">
        <v>0</v>
      </c>
      <c r="F103" s="231">
        <v>0</v>
      </c>
      <c r="G103" s="231">
        <v>0</v>
      </c>
      <c r="H103" s="287">
        <v>0</v>
      </c>
      <c r="I103" s="231">
        <v>0</v>
      </c>
      <c r="J103" s="231">
        <v>0</v>
      </c>
    </row>
    <row r="104" spans="1:10" ht="12.75">
      <c r="A104" s="122">
        <v>8</v>
      </c>
      <c r="B104" s="122" t="s">
        <v>118</v>
      </c>
      <c r="C104" s="231">
        <v>1</v>
      </c>
      <c r="D104" s="231">
        <v>0</v>
      </c>
      <c r="E104" s="231">
        <v>0</v>
      </c>
      <c r="F104" s="231">
        <v>0</v>
      </c>
      <c r="G104" s="231">
        <v>25000</v>
      </c>
      <c r="H104" s="287">
        <v>0</v>
      </c>
      <c r="I104" s="231">
        <v>25000</v>
      </c>
      <c r="J104" s="231">
        <v>25000</v>
      </c>
    </row>
    <row r="105" spans="1:10" ht="12.75">
      <c r="A105" s="122">
        <v>9</v>
      </c>
      <c r="B105" s="122" t="s">
        <v>119</v>
      </c>
      <c r="C105" s="231">
        <v>124</v>
      </c>
      <c r="D105" s="231">
        <v>0</v>
      </c>
      <c r="E105" s="231">
        <v>0</v>
      </c>
      <c r="F105" s="231">
        <v>0</v>
      </c>
      <c r="G105" s="231">
        <v>2764700</v>
      </c>
      <c r="H105" s="287">
        <v>0</v>
      </c>
      <c r="I105" s="231">
        <v>2764700</v>
      </c>
      <c r="J105" s="231">
        <v>2764700</v>
      </c>
    </row>
    <row r="106" spans="1:10" ht="12.75">
      <c r="A106" s="122">
        <v>10</v>
      </c>
      <c r="B106" s="122" t="s">
        <v>120</v>
      </c>
      <c r="C106" s="231">
        <v>88418</v>
      </c>
      <c r="D106" s="231">
        <v>132497</v>
      </c>
      <c r="E106" s="231">
        <v>208577</v>
      </c>
      <c r="F106" s="231">
        <v>84910</v>
      </c>
      <c r="G106" s="231">
        <v>148049</v>
      </c>
      <c r="H106" s="287">
        <v>217407</v>
      </c>
      <c r="I106" s="231">
        <v>356626</v>
      </c>
      <c r="J106" s="231">
        <v>574033</v>
      </c>
    </row>
    <row r="107" spans="1:10" ht="12.75">
      <c r="A107" s="122">
        <v>11</v>
      </c>
      <c r="B107" s="122" t="s">
        <v>121</v>
      </c>
      <c r="C107" s="231">
        <v>5130</v>
      </c>
      <c r="D107" s="231">
        <v>26552</v>
      </c>
      <c r="E107" s="231">
        <v>51037</v>
      </c>
      <c r="F107" s="231">
        <v>14295</v>
      </c>
      <c r="G107" s="231">
        <v>146891</v>
      </c>
      <c r="H107" s="287">
        <v>40847</v>
      </c>
      <c r="I107" s="231">
        <v>197928</v>
      </c>
      <c r="J107" s="231">
        <v>238775</v>
      </c>
    </row>
    <row r="108" spans="1:10" ht="12.75">
      <c r="A108" s="122">
        <v>12</v>
      </c>
      <c r="B108" s="122" t="s">
        <v>122</v>
      </c>
      <c r="C108" s="231">
        <v>0</v>
      </c>
      <c r="D108" s="231">
        <v>0</v>
      </c>
      <c r="E108" s="231">
        <v>0</v>
      </c>
      <c r="F108" s="231">
        <v>0</v>
      </c>
      <c r="G108" s="231">
        <v>178250</v>
      </c>
      <c r="H108" s="287">
        <v>0</v>
      </c>
      <c r="I108" s="231">
        <v>178250</v>
      </c>
      <c r="J108" s="231">
        <v>178250</v>
      </c>
    </row>
    <row r="109" spans="1:10" ht="12.75">
      <c r="A109" s="122">
        <v>13</v>
      </c>
      <c r="B109" s="122" t="s">
        <v>86</v>
      </c>
      <c r="C109" s="231">
        <v>0</v>
      </c>
      <c r="D109" s="231">
        <v>0</v>
      </c>
      <c r="E109" s="231">
        <v>0</v>
      </c>
      <c r="F109" s="231">
        <v>0</v>
      </c>
      <c r="G109" s="231">
        <v>53397</v>
      </c>
      <c r="H109" s="287">
        <v>0</v>
      </c>
      <c r="I109" s="231">
        <v>53397</v>
      </c>
      <c r="J109" s="231">
        <v>53397</v>
      </c>
    </row>
    <row r="110" spans="1:10" ht="12.75">
      <c r="A110" s="122">
        <v>14</v>
      </c>
      <c r="B110" s="122" t="s">
        <v>87</v>
      </c>
      <c r="C110" s="231">
        <v>0</v>
      </c>
      <c r="D110" s="231">
        <v>0</v>
      </c>
      <c r="E110" s="231">
        <v>0</v>
      </c>
      <c r="F110" s="231">
        <v>0</v>
      </c>
      <c r="G110" s="231">
        <v>7316</v>
      </c>
      <c r="H110" s="287">
        <v>0</v>
      </c>
      <c r="I110" s="231">
        <v>7316</v>
      </c>
      <c r="J110" s="231">
        <v>7316</v>
      </c>
    </row>
    <row r="111" spans="1:10" ht="12.75">
      <c r="A111" s="122">
        <v>15</v>
      </c>
      <c r="B111" s="122" t="s">
        <v>123</v>
      </c>
      <c r="C111" s="231">
        <v>105</v>
      </c>
      <c r="D111" s="231">
        <v>0</v>
      </c>
      <c r="E111" s="231">
        <v>0</v>
      </c>
      <c r="F111" s="231">
        <v>1376</v>
      </c>
      <c r="G111" s="231">
        <v>2328</v>
      </c>
      <c r="H111" s="287">
        <v>1376</v>
      </c>
      <c r="I111" s="231">
        <v>2328</v>
      </c>
      <c r="J111" s="231">
        <v>3704</v>
      </c>
    </row>
    <row r="112" spans="1:10" ht="12.75">
      <c r="A112" s="331"/>
      <c r="B112" s="331"/>
      <c r="C112" s="331"/>
      <c r="D112" s="331"/>
      <c r="E112" s="331"/>
      <c r="F112" s="331"/>
      <c r="G112" s="331"/>
      <c r="H112" s="331"/>
      <c r="I112" s="331"/>
      <c r="J112" s="331"/>
    </row>
    <row r="113" spans="1:10" ht="12.75">
      <c r="A113" s="250"/>
      <c r="B113" s="250"/>
      <c r="C113" s="250"/>
      <c r="D113" s="250"/>
      <c r="E113" s="250"/>
      <c r="F113" s="250"/>
      <c r="G113" s="250"/>
      <c r="H113" s="250"/>
      <c r="I113" s="250"/>
      <c r="J113" s="250"/>
    </row>
    <row r="115" spans="1:10" ht="12.75">
      <c r="A115" s="249" t="s">
        <v>99</v>
      </c>
      <c r="B115" s="249"/>
      <c r="C115" s="249"/>
      <c r="D115" s="249"/>
      <c r="E115" s="250"/>
      <c r="F115" s="250"/>
      <c r="G115" s="250"/>
      <c r="H115" s="250"/>
      <c r="I115" s="250"/>
      <c r="J115" s="250"/>
    </row>
    <row r="116" spans="1:10" ht="12.75">
      <c r="A116" s="250"/>
      <c r="B116" s="250"/>
      <c r="C116" s="250"/>
      <c r="D116" s="250"/>
      <c r="E116" s="250"/>
      <c r="F116" s="250"/>
      <c r="G116" s="250"/>
      <c r="H116" s="250"/>
      <c r="I116" s="250"/>
      <c r="J116" s="250"/>
    </row>
    <row r="117" spans="1:10" ht="12.75">
      <c r="A117" s="250" t="s">
        <v>129</v>
      </c>
      <c r="B117" s="250"/>
      <c r="C117" s="250"/>
      <c r="D117" s="250"/>
      <c r="E117" s="250"/>
      <c r="F117" s="250"/>
      <c r="G117" s="250"/>
      <c r="H117" s="250"/>
      <c r="I117" s="250"/>
      <c r="J117" s="250"/>
    </row>
    <row r="118" spans="1:10" ht="12.75">
      <c r="A118" s="250"/>
      <c r="B118" s="250"/>
      <c r="C118" s="250"/>
      <c r="D118" s="250"/>
      <c r="E118" s="250"/>
      <c r="F118" s="250"/>
      <c r="G118" s="250"/>
      <c r="H118" s="250"/>
      <c r="I118" s="250"/>
      <c r="J118" s="250"/>
    </row>
    <row r="119" spans="1:10" ht="12.75">
      <c r="A119" s="250"/>
      <c r="B119" s="250"/>
      <c r="C119" s="250"/>
      <c r="D119" s="250"/>
      <c r="E119" s="250"/>
      <c r="F119" s="250"/>
      <c r="G119" s="250"/>
      <c r="H119" s="250"/>
      <c r="I119" s="250"/>
      <c r="J119" s="250"/>
    </row>
    <row r="120" spans="1:10" ht="12.75">
      <c r="A120" s="328" t="s">
        <v>102</v>
      </c>
      <c r="B120" s="328" t="s">
        <v>103</v>
      </c>
      <c r="C120" s="328" t="s">
        <v>104</v>
      </c>
      <c r="D120" s="480" t="s">
        <v>105</v>
      </c>
      <c r="E120" s="481"/>
      <c r="F120" s="480" t="s">
        <v>83</v>
      </c>
      <c r="G120" s="481"/>
      <c r="H120" s="480" t="s">
        <v>6</v>
      </c>
      <c r="I120" s="481"/>
      <c r="J120" s="328" t="s">
        <v>84</v>
      </c>
    </row>
    <row r="121" spans="1:10" ht="12.75">
      <c r="A121" s="329"/>
      <c r="B121" s="329"/>
      <c r="C121" s="329" t="s">
        <v>107</v>
      </c>
      <c r="D121" s="329" t="s">
        <v>7</v>
      </c>
      <c r="E121" s="329" t="s">
        <v>8</v>
      </c>
      <c r="F121" s="329" t="s">
        <v>7</v>
      </c>
      <c r="G121" s="329" t="s">
        <v>8</v>
      </c>
      <c r="H121" s="329" t="s">
        <v>7</v>
      </c>
      <c r="I121" s="329" t="s">
        <v>8</v>
      </c>
      <c r="J121" s="331"/>
    </row>
    <row r="122" spans="1:10" ht="12.75">
      <c r="A122" s="330"/>
      <c r="B122" s="330"/>
      <c r="C122" s="330"/>
      <c r="D122" s="330"/>
      <c r="E122" s="330"/>
      <c r="F122" s="330"/>
      <c r="G122" s="330"/>
      <c r="H122" s="330"/>
      <c r="I122" s="330"/>
      <c r="J122" s="122"/>
    </row>
    <row r="123" spans="1:11" ht="12.75">
      <c r="A123" s="122">
        <v>1</v>
      </c>
      <c r="B123" s="138" t="s">
        <v>111</v>
      </c>
      <c r="C123" s="339">
        <v>1162</v>
      </c>
      <c r="D123" s="339">
        <v>1454</v>
      </c>
      <c r="E123" s="339">
        <v>882</v>
      </c>
      <c r="F123" s="339">
        <v>1234</v>
      </c>
      <c r="G123" s="339">
        <v>1412</v>
      </c>
      <c r="H123" s="339">
        <f>SUM(D123+F123)</f>
        <v>2688</v>
      </c>
      <c r="I123" s="339">
        <f>SUM(E123+G123)</f>
        <v>2294</v>
      </c>
      <c r="J123" s="339">
        <f>H123+I123</f>
        <v>4982</v>
      </c>
      <c r="K123" s="426">
        <f>J123+J124</f>
        <v>4993</v>
      </c>
    </row>
    <row r="124" spans="1:10" ht="12.75">
      <c r="A124" s="122">
        <v>2</v>
      </c>
      <c r="B124" s="138" t="s">
        <v>112</v>
      </c>
      <c r="C124" s="339">
        <v>4</v>
      </c>
      <c r="D124" s="339">
        <v>0</v>
      </c>
      <c r="E124" s="339">
        <v>0</v>
      </c>
      <c r="F124" s="339">
        <v>1</v>
      </c>
      <c r="G124" s="339">
        <v>10</v>
      </c>
      <c r="H124" s="339">
        <v>1</v>
      </c>
      <c r="I124" s="339">
        <f>E124+G124</f>
        <v>10</v>
      </c>
      <c r="J124" s="339">
        <f aca="true" t="shared" si="16" ref="J123:J137">H124+I124</f>
        <v>11</v>
      </c>
    </row>
    <row r="125" spans="1:10" ht="12.75">
      <c r="A125" s="122">
        <v>3</v>
      </c>
      <c r="B125" s="138" t="s">
        <v>113</v>
      </c>
      <c r="C125" s="339">
        <v>694</v>
      </c>
      <c r="D125" s="339">
        <v>711</v>
      </c>
      <c r="E125" s="339">
        <v>787</v>
      </c>
      <c r="F125" s="339">
        <v>524</v>
      </c>
      <c r="G125" s="339">
        <v>1100</v>
      </c>
      <c r="H125" s="339">
        <v>1235</v>
      </c>
      <c r="I125" s="339">
        <f aca="true" t="shared" si="17" ref="H125:I129">SUM(E125+G125)</f>
        <v>1887</v>
      </c>
      <c r="J125" s="339">
        <f t="shared" si="16"/>
        <v>3122</v>
      </c>
    </row>
    <row r="126" spans="1:10" ht="12.75">
      <c r="A126" s="122">
        <v>4</v>
      </c>
      <c r="B126" s="138" t="s">
        <v>114</v>
      </c>
      <c r="C126" s="339">
        <v>374</v>
      </c>
      <c r="D126" s="339">
        <v>17</v>
      </c>
      <c r="E126" s="339">
        <v>15</v>
      </c>
      <c r="F126" s="339">
        <v>392</v>
      </c>
      <c r="G126" s="339">
        <v>119</v>
      </c>
      <c r="H126" s="339">
        <f t="shared" si="17"/>
        <v>409</v>
      </c>
      <c r="I126" s="339">
        <f t="shared" si="17"/>
        <v>134</v>
      </c>
      <c r="J126" s="339">
        <f t="shared" si="16"/>
        <v>543</v>
      </c>
    </row>
    <row r="127" spans="1:10" ht="12.75">
      <c r="A127" s="122">
        <v>5</v>
      </c>
      <c r="B127" s="138" t="s">
        <v>115</v>
      </c>
      <c r="C127" s="339">
        <v>8371</v>
      </c>
      <c r="D127" s="339">
        <v>13231</v>
      </c>
      <c r="E127" s="339">
        <v>12532</v>
      </c>
      <c r="F127" s="339">
        <v>6870</v>
      </c>
      <c r="G127" s="339">
        <v>15393</v>
      </c>
      <c r="H127" s="339">
        <f t="shared" si="17"/>
        <v>20101</v>
      </c>
      <c r="I127" s="339">
        <v>27925</v>
      </c>
      <c r="J127" s="339">
        <f t="shared" si="16"/>
        <v>48026</v>
      </c>
    </row>
    <row r="128" spans="1:10" ht="12.75">
      <c r="A128" s="122">
        <v>6</v>
      </c>
      <c r="B128" s="138" t="s">
        <v>116</v>
      </c>
      <c r="C128" s="339">
        <v>25448</v>
      </c>
      <c r="D128" s="339">
        <v>18821</v>
      </c>
      <c r="E128" s="339">
        <v>22980</v>
      </c>
      <c r="F128" s="339">
        <v>7903</v>
      </c>
      <c r="G128" s="339">
        <v>26268</v>
      </c>
      <c r="H128" s="339">
        <f t="shared" si="17"/>
        <v>26724</v>
      </c>
      <c r="I128" s="339">
        <f t="shared" si="17"/>
        <v>49248</v>
      </c>
      <c r="J128" s="339">
        <f t="shared" si="16"/>
        <v>75972</v>
      </c>
    </row>
    <row r="129" spans="1:10" ht="12.75">
      <c r="A129" s="122">
        <v>7</v>
      </c>
      <c r="B129" s="138" t="s">
        <v>117</v>
      </c>
      <c r="C129" s="339">
        <v>0</v>
      </c>
      <c r="D129" s="339">
        <v>0</v>
      </c>
      <c r="E129" s="339">
        <v>0</v>
      </c>
      <c r="F129" s="339">
        <v>0</v>
      </c>
      <c r="G129" s="339">
        <v>0</v>
      </c>
      <c r="H129" s="340">
        <f t="shared" si="17"/>
        <v>0</v>
      </c>
      <c r="I129" s="339">
        <f t="shared" si="17"/>
        <v>0</v>
      </c>
      <c r="J129" s="339">
        <f t="shared" si="16"/>
        <v>0</v>
      </c>
    </row>
    <row r="130" spans="1:10" ht="12.75">
      <c r="A130" s="122">
        <v>8</v>
      </c>
      <c r="B130" s="138" t="s">
        <v>118</v>
      </c>
      <c r="C130" s="339">
        <v>1</v>
      </c>
      <c r="D130" s="339">
        <v>0</v>
      </c>
      <c r="E130" s="339">
        <v>0</v>
      </c>
      <c r="F130" s="339">
        <v>0</v>
      </c>
      <c r="G130" s="339">
        <v>25000</v>
      </c>
      <c r="H130" s="340">
        <v>0</v>
      </c>
      <c r="I130" s="339">
        <f aca="true" t="shared" si="18" ref="I130:I137">SUM(E130+G130)</f>
        <v>25000</v>
      </c>
      <c r="J130" s="339">
        <f t="shared" si="16"/>
        <v>25000</v>
      </c>
    </row>
    <row r="131" spans="1:10" ht="12.75">
      <c r="A131" s="122">
        <v>9</v>
      </c>
      <c r="B131" s="138" t="s">
        <v>119</v>
      </c>
      <c r="C131" s="339">
        <v>124</v>
      </c>
      <c r="D131" s="339">
        <v>0</v>
      </c>
      <c r="E131" s="339">
        <v>0</v>
      </c>
      <c r="F131" s="339">
        <v>0</v>
      </c>
      <c r="G131" s="339">
        <v>2971000</v>
      </c>
      <c r="H131" s="340">
        <v>0</v>
      </c>
      <c r="I131" s="339">
        <f>E131+G131</f>
        <v>2971000</v>
      </c>
      <c r="J131" s="339">
        <f t="shared" si="16"/>
        <v>2971000</v>
      </c>
    </row>
    <row r="132" spans="1:10" ht="12.75">
      <c r="A132" s="122">
        <v>10</v>
      </c>
      <c r="B132" s="138" t="s">
        <v>120</v>
      </c>
      <c r="C132" s="339">
        <v>88441</v>
      </c>
      <c r="D132" s="339">
        <v>140018</v>
      </c>
      <c r="E132" s="339">
        <v>213170</v>
      </c>
      <c r="F132" s="339">
        <v>85130</v>
      </c>
      <c r="G132" s="339">
        <v>148394</v>
      </c>
      <c r="H132" s="339">
        <v>225148</v>
      </c>
      <c r="I132" s="339">
        <f t="shared" si="18"/>
        <v>361564</v>
      </c>
      <c r="J132" s="339">
        <f t="shared" si="16"/>
        <v>586712</v>
      </c>
    </row>
    <row r="133" spans="1:10" ht="12.75">
      <c r="A133" s="122">
        <v>11</v>
      </c>
      <c r="B133" s="138" t="s">
        <v>121</v>
      </c>
      <c r="C133" s="339">
        <v>5063</v>
      </c>
      <c r="D133" s="339">
        <v>24830</v>
      </c>
      <c r="E133" s="339">
        <v>52749</v>
      </c>
      <c r="F133" s="339">
        <v>14263</v>
      </c>
      <c r="G133" s="339">
        <v>147340</v>
      </c>
      <c r="H133" s="339">
        <v>39093</v>
      </c>
      <c r="I133" s="339">
        <v>200089</v>
      </c>
      <c r="J133" s="339">
        <f t="shared" si="16"/>
        <v>239182</v>
      </c>
    </row>
    <row r="134" spans="1:10" ht="12.75">
      <c r="A134" s="122">
        <v>12</v>
      </c>
      <c r="B134" s="138" t="s">
        <v>122</v>
      </c>
      <c r="C134" s="339">
        <v>0</v>
      </c>
      <c r="D134" s="339">
        <v>0</v>
      </c>
      <c r="E134" s="339">
        <v>0</v>
      </c>
      <c r="F134" s="339">
        <v>0</v>
      </c>
      <c r="G134" s="339">
        <v>178150</v>
      </c>
      <c r="H134" s="340">
        <f>SUM(D134+F134)</f>
        <v>0</v>
      </c>
      <c r="I134" s="339">
        <f t="shared" si="18"/>
        <v>178150</v>
      </c>
      <c r="J134" s="339">
        <f t="shared" si="16"/>
        <v>178150</v>
      </c>
    </row>
    <row r="135" spans="1:10" ht="12.75">
      <c r="A135" s="122">
        <v>13</v>
      </c>
      <c r="B135" s="138" t="s">
        <v>86</v>
      </c>
      <c r="C135" s="339">
        <v>0</v>
      </c>
      <c r="D135" s="339">
        <v>0</v>
      </c>
      <c r="E135" s="339">
        <v>0</v>
      </c>
      <c r="F135" s="339">
        <v>0</v>
      </c>
      <c r="G135" s="339">
        <v>53785</v>
      </c>
      <c r="H135" s="340">
        <f>SUM(D135+F135)</f>
        <v>0</v>
      </c>
      <c r="I135" s="339">
        <f t="shared" si="18"/>
        <v>53785</v>
      </c>
      <c r="J135" s="339">
        <f t="shared" si="16"/>
        <v>53785</v>
      </c>
    </row>
    <row r="136" spans="1:10" ht="12.75">
      <c r="A136" s="122">
        <v>14</v>
      </c>
      <c r="B136" s="138" t="s">
        <v>87</v>
      </c>
      <c r="C136" s="339">
        <v>0</v>
      </c>
      <c r="D136" s="339">
        <v>0</v>
      </c>
      <c r="E136" s="339">
        <v>0</v>
      </c>
      <c r="F136" s="339">
        <v>0</v>
      </c>
      <c r="G136" s="339">
        <v>7365</v>
      </c>
      <c r="H136" s="340">
        <f>SUM(D136+F136)</f>
        <v>0</v>
      </c>
      <c r="I136" s="339">
        <f t="shared" si="18"/>
        <v>7365</v>
      </c>
      <c r="J136" s="339">
        <f t="shared" si="16"/>
        <v>7365</v>
      </c>
    </row>
    <row r="137" spans="1:10" ht="12.75">
      <c r="A137" s="122">
        <v>15</v>
      </c>
      <c r="B137" s="138" t="s">
        <v>123</v>
      </c>
      <c r="C137" s="339">
        <v>105</v>
      </c>
      <c r="D137" s="339">
        <v>0</v>
      </c>
      <c r="E137" s="339">
        <v>0</v>
      </c>
      <c r="F137" s="339">
        <v>1414</v>
      </c>
      <c r="G137" s="339">
        <v>2346</v>
      </c>
      <c r="H137" s="340">
        <v>1414</v>
      </c>
      <c r="I137" s="339">
        <f t="shared" si="18"/>
        <v>2346</v>
      </c>
      <c r="J137" s="339">
        <f t="shared" si="16"/>
        <v>3760</v>
      </c>
    </row>
    <row r="138" spans="1:10" ht="12.75">
      <c r="A138" s="331"/>
      <c r="B138" s="341"/>
      <c r="C138" s="341"/>
      <c r="D138" s="341"/>
      <c r="E138" s="341"/>
      <c r="F138" s="341"/>
      <c r="G138" s="341"/>
      <c r="H138" s="341"/>
      <c r="I138" s="341"/>
      <c r="J138" s="341"/>
    </row>
  </sheetData>
  <sheetProtection/>
  <mergeCells count="19">
    <mergeCell ref="C32:D32"/>
    <mergeCell ref="E32:F32"/>
    <mergeCell ref="C33:D33"/>
    <mergeCell ref="E33:F33"/>
    <mergeCell ref="D6:E6"/>
    <mergeCell ref="F6:G6"/>
    <mergeCell ref="H6:I6"/>
    <mergeCell ref="D41:E41"/>
    <mergeCell ref="F41:G41"/>
    <mergeCell ref="H41:I41"/>
    <mergeCell ref="D67:E67"/>
    <mergeCell ref="F67:G67"/>
    <mergeCell ref="H67:I67"/>
    <mergeCell ref="D94:E94"/>
    <mergeCell ref="F94:G94"/>
    <mergeCell ref="H94:I94"/>
    <mergeCell ref="D120:E120"/>
    <mergeCell ref="F120:G120"/>
    <mergeCell ref="H120:I120"/>
  </mergeCells>
  <printOptions horizontalCentered="1"/>
  <pageMargins left="0.39305555555555555" right="0.3541666666666667" top="0.9840277777777777" bottom="0.39305555555555555" header="0.5111111111111111" footer="0.5111111111111111"/>
  <pageSetup fitToHeight="1" fitToWidth="1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M298"/>
  <sheetViews>
    <sheetView zoomScale="80" zoomScaleNormal="80" zoomScalePageLayoutView="0" workbookViewId="0" topLeftCell="A260">
      <selection activeCell="P266" sqref="P266"/>
    </sheetView>
  </sheetViews>
  <sheetFormatPr defaultColWidth="9.140625" defaultRowHeight="15"/>
  <cols>
    <col min="1" max="1" width="5.7109375" style="234" customWidth="1"/>
    <col min="2" max="2" width="19.421875" style="234" customWidth="1"/>
    <col min="3" max="3" width="8.140625" style="234" customWidth="1"/>
    <col min="4" max="4" width="4.8515625" style="234" customWidth="1"/>
    <col min="5" max="5" width="6.7109375" style="234" customWidth="1"/>
    <col min="6" max="7" width="9.28125" style="234" bestFit="1" customWidth="1"/>
    <col min="8" max="8" width="9.8515625" style="234" bestFit="1" customWidth="1"/>
    <col min="9" max="17" width="9.28125" style="234" bestFit="1" customWidth="1"/>
    <col min="18" max="18" width="9.8515625" style="234" bestFit="1" customWidth="1"/>
    <col min="19" max="19" width="9.28125" style="234" bestFit="1" customWidth="1"/>
    <col min="20" max="20" width="9.8515625" style="234" bestFit="1" customWidth="1"/>
    <col min="21" max="21" width="11.28125" style="234" customWidth="1"/>
    <col min="22" max="22" width="9.28125" style="234" bestFit="1" customWidth="1"/>
    <col min="23" max="23" width="11.140625" style="234" customWidth="1"/>
    <col min="24" max="32" width="9.140625" style="291" customWidth="1"/>
    <col min="33" max="16384" width="9.140625" style="292" customWidth="1"/>
  </cols>
  <sheetData>
    <row r="1" spans="2:23" ht="15.75">
      <c r="B1" s="490" t="s">
        <v>130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</row>
    <row r="2" spans="2:23" ht="15"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</row>
    <row r="3" spans="2:23" ht="15">
      <c r="B3" s="293" t="s">
        <v>43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</row>
    <row r="4" spans="2:23" ht="15"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</row>
    <row r="5" spans="2:23" ht="12.75">
      <c r="B5" s="294" t="s">
        <v>1</v>
      </c>
      <c r="C5" s="486" t="s">
        <v>76</v>
      </c>
      <c r="D5" s="487"/>
      <c r="E5" s="488"/>
      <c r="F5" s="486" t="s">
        <v>2</v>
      </c>
      <c r="G5" s="487"/>
      <c r="H5" s="488"/>
      <c r="I5" s="486" t="s">
        <v>3</v>
      </c>
      <c r="J5" s="487"/>
      <c r="K5" s="488"/>
      <c r="L5" s="486" t="s">
        <v>4</v>
      </c>
      <c r="M5" s="487"/>
      <c r="N5" s="488"/>
      <c r="O5" s="486" t="s">
        <v>5</v>
      </c>
      <c r="P5" s="487"/>
      <c r="Q5" s="488"/>
      <c r="R5" s="486" t="s">
        <v>131</v>
      </c>
      <c r="S5" s="487"/>
      <c r="T5" s="488"/>
      <c r="U5" s="486" t="s">
        <v>132</v>
      </c>
      <c r="V5" s="487"/>
      <c r="W5" s="488"/>
    </row>
    <row r="6" spans="2:23" ht="12.75">
      <c r="B6" s="295"/>
      <c r="C6" s="230" t="s">
        <v>7</v>
      </c>
      <c r="D6" s="230" t="s">
        <v>8</v>
      </c>
      <c r="E6" s="230" t="s">
        <v>6</v>
      </c>
      <c r="F6" s="230" t="s">
        <v>7</v>
      </c>
      <c r="G6" s="230" t="s">
        <v>8</v>
      </c>
      <c r="H6" s="230" t="s">
        <v>6</v>
      </c>
      <c r="I6" s="230" t="s">
        <v>7</v>
      </c>
      <c r="J6" s="230" t="s">
        <v>8</v>
      </c>
      <c r="K6" s="230" t="s">
        <v>6</v>
      </c>
      <c r="L6" s="230" t="s">
        <v>7</v>
      </c>
      <c r="M6" s="230" t="s">
        <v>8</v>
      </c>
      <c r="N6" s="230" t="s">
        <v>6</v>
      </c>
      <c r="O6" s="230" t="s">
        <v>7</v>
      </c>
      <c r="P6" s="230" t="s">
        <v>8</v>
      </c>
      <c r="Q6" s="230" t="s">
        <v>6</v>
      </c>
      <c r="R6" s="230" t="s">
        <v>7</v>
      </c>
      <c r="S6" s="230" t="s">
        <v>8</v>
      </c>
      <c r="T6" s="230" t="s">
        <v>6</v>
      </c>
      <c r="U6" s="230" t="s">
        <v>7</v>
      </c>
      <c r="V6" s="230" t="s">
        <v>8</v>
      </c>
      <c r="W6" s="230" t="s">
        <v>6</v>
      </c>
    </row>
    <row r="7" spans="2:23" ht="15"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</row>
    <row r="8" spans="1:23" ht="15.75">
      <c r="A8" s="485" t="s">
        <v>43</v>
      </c>
      <c r="B8" s="297" t="s">
        <v>9</v>
      </c>
      <c r="C8" s="298">
        <v>0</v>
      </c>
      <c r="D8" s="298">
        <v>0</v>
      </c>
      <c r="E8" s="298">
        <f aca="true" t="shared" si="0" ref="E8:E13">SUM(C8:D8)</f>
        <v>0</v>
      </c>
      <c r="F8" s="299">
        <v>20</v>
      </c>
      <c r="G8" s="299">
        <v>1</v>
      </c>
      <c r="H8" s="299">
        <f aca="true" t="shared" si="1" ref="H8:H14">SUM(F8:G8)</f>
        <v>21</v>
      </c>
      <c r="I8" s="299">
        <f>92+5+1</f>
        <v>98</v>
      </c>
      <c r="J8" s="299">
        <v>9</v>
      </c>
      <c r="K8" s="299">
        <f aca="true" t="shared" si="2" ref="K8:K19">SUM(I8:J8)</f>
        <v>107</v>
      </c>
      <c r="L8" s="302">
        <v>97</v>
      </c>
      <c r="M8" s="302">
        <v>4</v>
      </c>
      <c r="N8" s="302">
        <f aca="true" t="shared" si="3" ref="N8:N19">SUM(L8:M8)</f>
        <v>101</v>
      </c>
      <c r="O8" s="302">
        <v>76</v>
      </c>
      <c r="P8" s="302">
        <v>6</v>
      </c>
      <c r="Q8" s="302">
        <f aca="true" t="shared" si="4" ref="Q8:Q19">SUM(O8:P8)</f>
        <v>82</v>
      </c>
      <c r="R8" s="306">
        <f>L8*4</f>
        <v>388</v>
      </c>
      <c r="S8" s="306">
        <f>M8*4</f>
        <v>16</v>
      </c>
      <c r="T8" s="306">
        <f>SUM(R8:S8)</f>
        <v>404</v>
      </c>
      <c r="U8" s="306">
        <f>O8*4</f>
        <v>304</v>
      </c>
      <c r="V8" s="306">
        <f>P8*4</f>
        <v>24</v>
      </c>
      <c r="W8" s="306">
        <f>SUM(U8:V8)</f>
        <v>328</v>
      </c>
    </row>
    <row r="9" spans="1:23" ht="15.75">
      <c r="A9" s="485"/>
      <c r="B9" s="300" t="s">
        <v>14</v>
      </c>
      <c r="C9" s="299">
        <v>0</v>
      </c>
      <c r="D9" s="299">
        <v>0</v>
      </c>
      <c r="E9" s="299">
        <v>0</v>
      </c>
      <c r="F9" s="299">
        <v>19</v>
      </c>
      <c r="G9" s="299">
        <v>3</v>
      </c>
      <c r="H9" s="299">
        <f t="shared" si="1"/>
        <v>22</v>
      </c>
      <c r="I9" s="299">
        <f>94+6+1</f>
        <v>101</v>
      </c>
      <c r="J9" s="299">
        <v>6</v>
      </c>
      <c r="K9" s="299">
        <f t="shared" si="2"/>
        <v>107</v>
      </c>
      <c r="L9" s="301">
        <v>87</v>
      </c>
      <c r="M9" s="301">
        <v>4</v>
      </c>
      <c r="N9" s="301">
        <f t="shared" si="3"/>
        <v>91</v>
      </c>
      <c r="O9" s="301">
        <v>77</v>
      </c>
      <c r="P9" s="301">
        <v>6</v>
      </c>
      <c r="Q9" s="301">
        <f t="shared" si="4"/>
        <v>83</v>
      </c>
      <c r="R9" s="306">
        <f aca="true" t="shared" si="5" ref="R9:S19">L9*4</f>
        <v>348</v>
      </c>
      <c r="S9" s="306">
        <f t="shared" si="5"/>
        <v>16</v>
      </c>
      <c r="T9" s="306">
        <f aca="true" t="shared" si="6" ref="T9:T19">SUM(R9:S9)</f>
        <v>364</v>
      </c>
      <c r="U9" s="306">
        <f aca="true" t="shared" si="7" ref="U9:V19">O9*4</f>
        <v>308</v>
      </c>
      <c r="V9" s="306">
        <f t="shared" si="7"/>
        <v>24</v>
      </c>
      <c r="W9" s="306">
        <f aca="true" t="shared" si="8" ref="W9:W19">SUM(U9:V9)</f>
        <v>332</v>
      </c>
    </row>
    <row r="10" spans="1:23" ht="15">
      <c r="A10" s="485"/>
      <c r="B10" s="297" t="s">
        <v>15</v>
      </c>
      <c r="C10" s="301">
        <v>0</v>
      </c>
      <c r="D10" s="301">
        <v>0</v>
      </c>
      <c r="E10" s="301">
        <f t="shared" si="0"/>
        <v>0</v>
      </c>
      <c r="F10" s="301">
        <v>20</v>
      </c>
      <c r="G10" s="301">
        <v>2</v>
      </c>
      <c r="H10" s="301">
        <f t="shared" si="1"/>
        <v>22</v>
      </c>
      <c r="I10" s="301">
        <f>93+6+1</f>
        <v>100</v>
      </c>
      <c r="J10" s="301">
        <v>7</v>
      </c>
      <c r="K10" s="301">
        <f t="shared" si="2"/>
        <v>107</v>
      </c>
      <c r="L10" s="301">
        <v>87</v>
      </c>
      <c r="M10" s="301">
        <v>4</v>
      </c>
      <c r="N10" s="301">
        <f t="shared" si="3"/>
        <v>91</v>
      </c>
      <c r="O10" s="301">
        <v>77</v>
      </c>
      <c r="P10" s="301">
        <v>6</v>
      </c>
      <c r="Q10" s="301">
        <f t="shared" si="4"/>
        <v>83</v>
      </c>
      <c r="R10" s="306">
        <f t="shared" si="5"/>
        <v>348</v>
      </c>
      <c r="S10" s="306">
        <f t="shared" si="5"/>
        <v>16</v>
      </c>
      <c r="T10" s="306">
        <f t="shared" si="6"/>
        <v>364</v>
      </c>
      <c r="U10" s="306">
        <f t="shared" si="7"/>
        <v>308</v>
      </c>
      <c r="V10" s="306">
        <f t="shared" si="7"/>
        <v>24</v>
      </c>
      <c r="W10" s="306">
        <f t="shared" si="8"/>
        <v>332</v>
      </c>
    </row>
    <row r="11" spans="1:23" ht="15.75">
      <c r="A11" s="485"/>
      <c r="B11" s="300" t="s">
        <v>16</v>
      </c>
      <c r="C11" s="301">
        <v>0</v>
      </c>
      <c r="D11" s="299">
        <v>0</v>
      </c>
      <c r="E11" s="299">
        <v>0</v>
      </c>
      <c r="F11" s="299">
        <v>18</v>
      </c>
      <c r="G11" s="299">
        <v>2</v>
      </c>
      <c r="H11" s="299">
        <f t="shared" si="1"/>
        <v>20</v>
      </c>
      <c r="I11" s="299">
        <f>97+7+1</f>
        <v>105</v>
      </c>
      <c r="J11" s="299">
        <v>8</v>
      </c>
      <c r="K11" s="299">
        <f t="shared" si="2"/>
        <v>113</v>
      </c>
      <c r="L11" s="301">
        <v>89</v>
      </c>
      <c r="M11" s="301">
        <v>5</v>
      </c>
      <c r="N11" s="301">
        <f t="shared" si="3"/>
        <v>94</v>
      </c>
      <c r="O11" s="301">
        <v>79</v>
      </c>
      <c r="P11" s="301">
        <v>4</v>
      </c>
      <c r="Q11" s="301">
        <f t="shared" si="4"/>
        <v>83</v>
      </c>
      <c r="R11" s="306">
        <f t="shared" si="5"/>
        <v>356</v>
      </c>
      <c r="S11" s="306">
        <f t="shared" si="5"/>
        <v>20</v>
      </c>
      <c r="T11" s="306">
        <f t="shared" si="6"/>
        <v>376</v>
      </c>
      <c r="U11" s="306">
        <f t="shared" si="7"/>
        <v>316</v>
      </c>
      <c r="V11" s="306">
        <f t="shared" si="7"/>
        <v>16</v>
      </c>
      <c r="W11" s="306">
        <f t="shared" si="8"/>
        <v>332</v>
      </c>
    </row>
    <row r="12" spans="1:23" ht="15.75">
      <c r="A12" s="485"/>
      <c r="B12" s="300" t="s">
        <v>17</v>
      </c>
      <c r="C12" s="298">
        <v>0</v>
      </c>
      <c r="D12" s="298">
        <v>0</v>
      </c>
      <c r="E12" s="298">
        <f t="shared" si="0"/>
        <v>0</v>
      </c>
      <c r="F12" s="299">
        <v>33</v>
      </c>
      <c r="G12" s="299">
        <v>3</v>
      </c>
      <c r="H12" s="299">
        <f t="shared" si="1"/>
        <v>36</v>
      </c>
      <c r="I12" s="299">
        <f>116+4</f>
        <v>120</v>
      </c>
      <c r="J12" s="299">
        <v>8</v>
      </c>
      <c r="K12" s="299">
        <f t="shared" si="2"/>
        <v>128</v>
      </c>
      <c r="L12" s="301">
        <v>91</v>
      </c>
      <c r="M12" s="301">
        <v>4</v>
      </c>
      <c r="N12" s="301">
        <f t="shared" si="3"/>
        <v>95</v>
      </c>
      <c r="O12" s="301">
        <v>84</v>
      </c>
      <c r="P12" s="301">
        <v>3</v>
      </c>
      <c r="Q12" s="301">
        <f t="shared" si="4"/>
        <v>87</v>
      </c>
      <c r="R12" s="306">
        <f t="shared" si="5"/>
        <v>364</v>
      </c>
      <c r="S12" s="306">
        <f t="shared" si="5"/>
        <v>16</v>
      </c>
      <c r="T12" s="306">
        <f t="shared" si="6"/>
        <v>380</v>
      </c>
      <c r="U12" s="306">
        <f t="shared" si="7"/>
        <v>336</v>
      </c>
      <c r="V12" s="306">
        <f t="shared" si="7"/>
        <v>12</v>
      </c>
      <c r="W12" s="306">
        <f t="shared" si="8"/>
        <v>348</v>
      </c>
    </row>
    <row r="13" spans="1:23" ht="15.75">
      <c r="A13" s="485"/>
      <c r="B13" s="300" t="s">
        <v>18</v>
      </c>
      <c r="C13" s="301">
        <v>0</v>
      </c>
      <c r="D13" s="301">
        <v>0</v>
      </c>
      <c r="E13" s="301">
        <f t="shared" si="0"/>
        <v>0</v>
      </c>
      <c r="F13" s="299">
        <v>20</v>
      </c>
      <c r="G13" s="299">
        <v>1</v>
      </c>
      <c r="H13" s="299">
        <f t="shared" si="1"/>
        <v>21</v>
      </c>
      <c r="I13" s="299">
        <f>6+1+87</f>
        <v>94</v>
      </c>
      <c r="J13" s="299">
        <v>6</v>
      </c>
      <c r="K13" s="299">
        <f t="shared" si="2"/>
        <v>100</v>
      </c>
      <c r="L13" s="301">
        <v>107</v>
      </c>
      <c r="M13" s="301">
        <v>6</v>
      </c>
      <c r="N13" s="301">
        <f t="shared" si="3"/>
        <v>113</v>
      </c>
      <c r="O13" s="301">
        <v>97</v>
      </c>
      <c r="P13" s="301">
        <v>7</v>
      </c>
      <c r="Q13" s="301">
        <f t="shared" si="4"/>
        <v>104</v>
      </c>
      <c r="R13" s="306">
        <f t="shared" si="5"/>
        <v>428</v>
      </c>
      <c r="S13" s="306">
        <f t="shared" si="5"/>
        <v>24</v>
      </c>
      <c r="T13" s="306">
        <f t="shared" si="6"/>
        <v>452</v>
      </c>
      <c r="U13" s="306">
        <f t="shared" si="7"/>
        <v>388</v>
      </c>
      <c r="V13" s="306">
        <f t="shared" si="7"/>
        <v>28</v>
      </c>
      <c r="W13" s="306">
        <f t="shared" si="8"/>
        <v>416</v>
      </c>
    </row>
    <row r="14" spans="1:23" ht="15.75">
      <c r="A14" s="485"/>
      <c r="B14" s="300" t="s">
        <v>19</v>
      </c>
      <c r="C14" s="299">
        <v>0</v>
      </c>
      <c r="D14" s="299">
        <v>0</v>
      </c>
      <c r="E14" s="299">
        <v>0</v>
      </c>
      <c r="F14" s="299">
        <v>33</v>
      </c>
      <c r="G14" s="299">
        <v>3</v>
      </c>
      <c r="H14" s="299">
        <f t="shared" si="1"/>
        <v>36</v>
      </c>
      <c r="I14" s="299">
        <f>116+4</f>
        <v>120</v>
      </c>
      <c r="J14" s="299">
        <v>8</v>
      </c>
      <c r="K14" s="299">
        <f t="shared" si="2"/>
        <v>128</v>
      </c>
      <c r="L14" s="301">
        <v>91</v>
      </c>
      <c r="M14" s="301">
        <v>4</v>
      </c>
      <c r="N14" s="301">
        <f t="shared" si="3"/>
        <v>95</v>
      </c>
      <c r="O14" s="301">
        <v>84</v>
      </c>
      <c r="P14" s="301">
        <v>3</v>
      </c>
      <c r="Q14" s="301">
        <f t="shared" si="4"/>
        <v>87</v>
      </c>
      <c r="R14" s="306">
        <f t="shared" si="5"/>
        <v>364</v>
      </c>
      <c r="S14" s="306">
        <f t="shared" si="5"/>
        <v>16</v>
      </c>
      <c r="T14" s="306">
        <f t="shared" si="6"/>
        <v>380</v>
      </c>
      <c r="U14" s="306">
        <f t="shared" si="7"/>
        <v>336</v>
      </c>
      <c r="V14" s="306">
        <f t="shared" si="7"/>
        <v>12</v>
      </c>
      <c r="W14" s="306">
        <f t="shared" si="8"/>
        <v>348</v>
      </c>
    </row>
    <row r="15" spans="1:23" ht="15.75">
      <c r="A15" s="485"/>
      <c r="B15" s="300" t="s">
        <v>20</v>
      </c>
      <c r="C15" s="302">
        <v>0</v>
      </c>
      <c r="D15" s="302">
        <v>0</v>
      </c>
      <c r="E15" s="302">
        <f>SUM(C15:D15)</f>
        <v>0</v>
      </c>
      <c r="F15" s="302">
        <v>33</v>
      </c>
      <c r="G15" s="302">
        <v>1</v>
      </c>
      <c r="H15" s="302">
        <v>34</v>
      </c>
      <c r="I15" s="302">
        <f>117+14+2</f>
        <v>133</v>
      </c>
      <c r="J15" s="302">
        <v>3</v>
      </c>
      <c r="K15" s="311">
        <f t="shared" si="2"/>
        <v>136</v>
      </c>
      <c r="L15" s="302">
        <v>121</v>
      </c>
      <c r="M15" s="302">
        <v>7</v>
      </c>
      <c r="N15" s="302">
        <f t="shared" si="3"/>
        <v>128</v>
      </c>
      <c r="O15" s="302">
        <v>117</v>
      </c>
      <c r="P15" s="302">
        <v>8</v>
      </c>
      <c r="Q15" s="302">
        <f t="shared" si="4"/>
        <v>125</v>
      </c>
      <c r="R15" s="313">
        <f t="shared" si="5"/>
        <v>484</v>
      </c>
      <c r="S15" s="313">
        <f t="shared" si="5"/>
        <v>28</v>
      </c>
      <c r="T15" s="313">
        <f t="shared" si="6"/>
        <v>512</v>
      </c>
      <c r="U15" s="313">
        <f t="shared" si="7"/>
        <v>468</v>
      </c>
      <c r="V15" s="313">
        <f t="shared" si="7"/>
        <v>32</v>
      </c>
      <c r="W15" s="313">
        <f t="shared" si="8"/>
        <v>500</v>
      </c>
    </row>
    <row r="16" spans="1:23" ht="15">
      <c r="A16" s="485"/>
      <c r="B16" s="300" t="s">
        <v>21</v>
      </c>
      <c r="C16" s="301">
        <v>0</v>
      </c>
      <c r="D16" s="301">
        <v>0</v>
      </c>
      <c r="E16" s="301">
        <f>SUM(C16:D16)</f>
        <v>0</v>
      </c>
      <c r="F16" s="301">
        <f>33+67</f>
        <v>100</v>
      </c>
      <c r="G16" s="301">
        <f>3</f>
        <v>3</v>
      </c>
      <c r="H16" s="301">
        <f>SUM(F16:G16)</f>
        <v>103</v>
      </c>
      <c r="I16" s="301">
        <f>116+4+69</f>
        <v>189</v>
      </c>
      <c r="J16" s="301">
        <f>8</f>
        <v>8</v>
      </c>
      <c r="K16" s="301">
        <f t="shared" si="2"/>
        <v>197</v>
      </c>
      <c r="L16" s="301">
        <f>91+612</f>
        <v>703</v>
      </c>
      <c r="M16" s="301">
        <f>4</f>
        <v>4</v>
      </c>
      <c r="N16" s="301">
        <f t="shared" si="3"/>
        <v>707</v>
      </c>
      <c r="O16" s="301">
        <f>84+382</f>
        <v>466</v>
      </c>
      <c r="P16" s="301">
        <f>3</f>
        <v>3</v>
      </c>
      <c r="Q16" s="301">
        <f t="shared" si="4"/>
        <v>469</v>
      </c>
      <c r="R16" s="306">
        <v>364</v>
      </c>
      <c r="S16" s="306">
        <v>16</v>
      </c>
      <c r="T16" s="306">
        <v>380</v>
      </c>
      <c r="U16" s="306">
        <v>336</v>
      </c>
      <c r="V16" s="306">
        <v>12</v>
      </c>
      <c r="W16" s="306">
        <v>348</v>
      </c>
    </row>
    <row r="17" spans="1:23" ht="15.75">
      <c r="A17" s="485"/>
      <c r="B17" s="300" t="s">
        <v>22</v>
      </c>
      <c r="C17" s="299">
        <v>0</v>
      </c>
      <c r="D17" s="299">
        <v>0</v>
      </c>
      <c r="E17" s="299">
        <v>0</v>
      </c>
      <c r="F17" s="299">
        <v>15</v>
      </c>
      <c r="G17" s="299">
        <v>1</v>
      </c>
      <c r="H17" s="299">
        <f>SUM(F17:G17)</f>
        <v>16</v>
      </c>
      <c r="I17" s="299">
        <f>72+4</f>
        <v>76</v>
      </c>
      <c r="J17" s="299">
        <v>4</v>
      </c>
      <c r="K17" s="299">
        <f t="shared" si="2"/>
        <v>80</v>
      </c>
      <c r="L17" s="299">
        <v>71</v>
      </c>
      <c r="M17" s="299">
        <v>4</v>
      </c>
      <c r="N17" s="299">
        <f t="shared" si="3"/>
        <v>75</v>
      </c>
      <c r="O17" s="299">
        <v>69</v>
      </c>
      <c r="P17" s="299">
        <v>5</v>
      </c>
      <c r="Q17" s="299">
        <f t="shared" si="4"/>
        <v>74</v>
      </c>
      <c r="R17" s="306">
        <f>L17*4</f>
        <v>284</v>
      </c>
      <c r="S17" s="306">
        <f>M17*4</f>
        <v>16</v>
      </c>
      <c r="T17" s="306">
        <f>SUM(R17:S17)</f>
        <v>300</v>
      </c>
      <c r="U17" s="306">
        <f>O17*4</f>
        <v>276</v>
      </c>
      <c r="V17" s="306">
        <f>P17*4</f>
        <v>20</v>
      </c>
      <c r="W17" s="306">
        <f>SUM(U17:V17)</f>
        <v>296</v>
      </c>
    </row>
    <row r="18" spans="1:23" ht="15">
      <c r="A18" s="485"/>
      <c r="B18" s="300" t="s">
        <v>23</v>
      </c>
      <c r="C18" s="301">
        <v>0</v>
      </c>
      <c r="D18" s="301">
        <v>0</v>
      </c>
      <c r="E18" s="301">
        <f>SUM(C18:D18)</f>
        <v>0</v>
      </c>
      <c r="F18" s="301">
        <v>0</v>
      </c>
      <c r="G18" s="301">
        <v>0</v>
      </c>
      <c r="H18" s="301">
        <f>SUM(F18:G18)</f>
        <v>0</v>
      </c>
      <c r="I18" s="301">
        <v>0</v>
      </c>
      <c r="J18" s="301">
        <v>0</v>
      </c>
      <c r="K18" s="301">
        <f t="shared" si="2"/>
        <v>0</v>
      </c>
      <c r="L18" s="301">
        <v>0</v>
      </c>
      <c r="M18" s="301">
        <v>0</v>
      </c>
      <c r="N18" s="301">
        <f t="shared" si="3"/>
        <v>0</v>
      </c>
      <c r="O18" s="301">
        <v>0</v>
      </c>
      <c r="P18" s="301">
        <v>0</v>
      </c>
      <c r="Q18" s="301">
        <f t="shared" si="4"/>
        <v>0</v>
      </c>
      <c r="R18" s="306">
        <f t="shared" si="5"/>
        <v>0</v>
      </c>
      <c r="S18" s="306">
        <f t="shared" si="5"/>
        <v>0</v>
      </c>
      <c r="T18" s="306">
        <f t="shared" si="6"/>
        <v>0</v>
      </c>
      <c r="U18" s="306">
        <f t="shared" si="7"/>
        <v>0</v>
      </c>
      <c r="V18" s="306">
        <f t="shared" si="7"/>
        <v>0</v>
      </c>
      <c r="W18" s="306">
        <f t="shared" si="8"/>
        <v>0</v>
      </c>
    </row>
    <row r="19" spans="1:23" ht="15">
      <c r="A19" s="485"/>
      <c r="B19" s="303" t="s">
        <v>24</v>
      </c>
      <c r="C19" s="304">
        <v>0</v>
      </c>
      <c r="D19" s="304">
        <v>0</v>
      </c>
      <c r="E19" s="304">
        <f>SUM(C19:D19)</f>
        <v>0</v>
      </c>
      <c r="F19" s="304">
        <v>0</v>
      </c>
      <c r="G19" s="304">
        <v>0</v>
      </c>
      <c r="H19" s="304">
        <f>SUM(F19:G19)</f>
        <v>0</v>
      </c>
      <c r="I19" s="304">
        <v>4</v>
      </c>
      <c r="J19" s="304">
        <v>0</v>
      </c>
      <c r="K19" s="304">
        <f t="shared" si="2"/>
        <v>4</v>
      </c>
      <c r="L19" s="304">
        <v>87</v>
      </c>
      <c r="M19" s="304">
        <v>5</v>
      </c>
      <c r="N19" s="304">
        <f t="shared" si="3"/>
        <v>92</v>
      </c>
      <c r="O19" s="304">
        <v>77</v>
      </c>
      <c r="P19" s="304">
        <v>4</v>
      </c>
      <c r="Q19" s="304">
        <f t="shared" si="4"/>
        <v>81</v>
      </c>
      <c r="R19" s="314">
        <f t="shared" si="5"/>
        <v>348</v>
      </c>
      <c r="S19" s="314">
        <f t="shared" si="5"/>
        <v>20</v>
      </c>
      <c r="T19" s="314">
        <f t="shared" si="6"/>
        <v>368</v>
      </c>
      <c r="U19" s="314">
        <f t="shared" si="7"/>
        <v>308</v>
      </c>
      <c r="V19" s="314">
        <f t="shared" si="7"/>
        <v>16</v>
      </c>
      <c r="W19" s="314">
        <f t="shared" si="8"/>
        <v>324</v>
      </c>
    </row>
    <row r="20" spans="2:23" ht="15">
      <c r="B20" s="305"/>
      <c r="C20" s="301"/>
      <c r="D20" s="301"/>
      <c r="E20" s="301"/>
      <c r="F20" s="301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</row>
    <row r="21" spans="2:23" ht="15">
      <c r="B21" s="300" t="s">
        <v>43</v>
      </c>
      <c r="C21" s="307">
        <f aca="true" t="shared" si="9" ref="C21:H21">SUM(C8:C19)</f>
        <v>0</v>
      </c>
      <c r="D21" s="307">
        <f t="shared" si="9"/>
        <v>0</v>
      </c>
      <c r="E21" s="307">
        <f t="shared" si="9"/>
        <v>0</v>
      </c>
      <c r="F21" s="307">
        <f t="shared" si="9"/>
        <v>311</v>
      </c>
      <c r="G21" s="307">
        <f t="shared" si="9"/>
        <v>20</v>
      </c>
      <c r="H21" s="308">
        <f t="shared" si="9"/>
        <v>331</v>
      </c>
      <c r="I21" s="308">
        <f>SUM(I8:I15)</f>
        <v>871</v>
      </c>
      <c r="J21" s="308">
        <f aca="true" t="shared" si="10" ref="J21:W21">SUM(J8:J19)</f>
        <v>67</v>
      </c>
      <c r="K21" s="308">
        <f t="shared" si="10"/>
        <v>1207</v>
      </c>
      <c r="L21" s="308">
        <f t="shared" si="10"/>
        <v>1631</v>
      </c>
      <c r="M21" s="308">
        <f t="shared" si="10"/>
        <v>51</v>
      </c>
      <c r="N21" s="308">
        <f t="shared" si="10"/>
        <v>1682</v>
      </c>
      <c r="O21" s="308">
        <f t="shared" si="10"/>
        <v>1303</v>
      </c>
      <c r="P21" s="308">
        <f t="shared" si="10"/>
        <v>55</v>
      </c>
      <c r="Q21" s="308">
        <f t="shared" si="10"/>
        <v>1358</v>
      </c>
      <c r="R21" s="308">
        <f t="shared" si="10"/>
        <v>4076</v>
      </c>
      <c r="S21" s="308">
        <f t="shared" si="10"/>
        <v>204</v>
      </c>
      <c r="T21" s="308">
        <f t="shared" si="10"/>
        <v>4280</v>
      </c>
      <c r="U21" s="308">
        <f t="shared" si="10"/>
        <v>3684</v>
      </c>
      <c r="V21" s="308">
        <f t="shared" si="10"/>
        <v>220</v>
      </c>
      <c r="W21" s="308">
        <f t="shared" si="10"/>
        <v>3904</v>
      </c>
    </row>
    <row r="22" spans="7:23" ht="14.25">
      <c r="G22" s="236"/>
      <c r="H22" s="236"/>
      <c r="I22" s="236"/>
      <c r="J22" s="236"/>
      <c r="K22" s="236"/>
      <c r="L22" s="236"/>
      <c r="M22" s="236"/>
      <c r="N22" s="312">
        <f>L21+M21</f>
        <v>1682</v>
      </c>
      <c r="O22" s="236"/>
      <c r="P22" s="236"/>
      <c r="Q22" s="236"/>
      <c r="R22" s="236"/>
      <c r="S22" s="236"/>
      <c r="T22" s="236"/>
      <c r="U22" s="236"/>
      <c r="V22" s="236"/>
      <c r="W22" s="236"/>
    </row>
    <row r="23" spans="1:23" ht="14.25">
      <c r="A23" s="234" t="s">
        <v>44</v>
      </c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</row>
    <row r="24" spans="2:23" ht="12.75">
      <c r="B24" s="294" t="s">
        <v>1</v>
      </c>
      <c r="C24" s="486" t="s">
        <v>76</v>
      </c>
      <c r="D24" s="487"/>
      <c r="E24" s="488"/>
      <c r="F24" s="486" t="s">
        <v>2</v>
      </c>
      <c r="G24" s="487"/>
      <c r="H24" s="488"/>
      <c r="I24" s="486" t="s">
        <v>3</v>
      </c>
      <c r="J24" s="487"/>
      <c r="K24" s="488"/>
      <c r="L24" s="486" t="s">
        <v>4</v>
      </c>
      <c r="M24" s="487"/>
      <c r="N24" s="488"/>
      <c r="O24" s="486" t="s">
        <v>5</v>
      </c>
      <c r="P24" s="487"/>
      <c r="Q24" s="488"/>
      <c r="R24" s="486" t="s">
        <v>131</v>
      </c>
      <c r="S24" s="487"/>
      <c r="T24" s="488"/>
      <c r="U24" s="486" t="s">
        <v>132</v>
      </c>
      <c r="V24" s="487"/>
      <c r="W24" s="488"/>
    </row>
    <row r="25" spans="2:23" ht="12.75">
      <c r="B25" s="295"/>
      <c r="C25" s="230" t="s">
        <v>7</v>
      </c>
      <c r="D25" s="230" t="s">
        <v>8</v>
      </c>
      <c r="E25" s="230" t="s">
        <v>6</v>
      </c>
      <c r="F25" s="230" t="s">
        <v>7</v>
      </c>
      <c r="G25" s="230" t="s">
        <v>8</v>
      </c>
      <c r="H25" s="230" t="s">
        <v>6</v>
      </c>
      <c r="I25" s="230" t="s">
        <v>7</v>
      </c>
      <c r="J25" s="230" t="s">
        <v>8</v>
      </c>
      <c r="K25" s="230" t="s">
        <v>6</v>
      </c>
      <c r="L25" s="230" t="s">
        <v>7</v>
      </c>
      <c r="M25" s="230" t="s">
        <v>8</v>
      </c>
      <c r="N25" s="230" t="s">
        <v>6</v>
      </c>
      <c r="O25" s="230" t="s">
        <v>7</v>
      </c>
      <c r="P25" s="230" t="s">
        <v>8</v>
      </c>
      <c r="Q25" s="230" t="s">
        <v>6</v>
      </c>
      <c r="R25" s="230" t="s">
        <v>7</v>
      </c>
      <c r="S25" s="230" t="s">
        <v>8</v>
      </c>
      <c r="T25" s="230" t="s">
        <v>6</v>
      </c>
      <c r="U25" s="230" t="s">
        <v>7</v>
      </c>
      <c r="V25" s="230" t="s">
        <v>8</v>
      </c>
      <c r="W25" s="230" t="s">
        <v>6</v>
      </c>
    </row>
    <row r="26" spans="1:23" ht="15">
      <c r="A26" s="485" t="s">
        <v>44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</row>
    <row r="27" spans="1:23" ht="15">
      <c r="A27" s="485"/>
      <c r="B27" s="297" t="s">
        <v>9</v>
      </c>
      <c r="C27" s="298">
        <v>0</v>
      </c>
      <c r="D27" s="298">
        <v>0</v>
      </c>
      <c r="E27" s="298">
        <f>SUM(C27:D27)</f>
        <v>0</v>
      </c>
      <c r="F27" s="298">
        <v>0</v>
      </c>
      <c r="G27" s="298">
        <v>0</v>
      </c>
      <c r="H27" s="298">
        <f>SUM(F27:G27)</f>
        <v>0</v>
      </c>
      <c r="I27" s="298">
        <v>0</v>
      </c>
      <c r="J27" s="298">
        <v>0</v>
      </c>
      <c r="K27" s="298">
        <f>SUM(I27:J27)</f>
        <v>0</v>
      </c>
      <c r="L27" s="298">
        <v>0</v>
      </c>
      <c r="M27" s="298">
        <v>0</v>
      </c>
      <c r="N27" s="298">
        <f>SUM(L27:M27)</f>
        <v>0</v>
      </c>
      <c r="O27" s="298">
        <v>0</v>
      </c>
      <c r="P27" s="298">
        <v>0</v>
      </c>
      <c r="Q27" s="298">
        <f>SUM(O27:P27)</f>
        <v>0</v>
      </c>
      <c r="R27" s="306">
        <f>L27*4</f>
        <v>0</v>
      </c>
      <c r="S27" s="306">
        <f>M27*4</f>
        <v>0</v>
      </c>
      <c r="T27" s="298">
        <f>SUM(R27:S27)</f>
        <v>0</v>
      </c>
      <c r="U27" s="306">
        <f>O27*4</f>
        <v>0</v>
      </c>
      <c r="V27" s="306">
        <f>P27*4</f>
        <v>0</v>
      </c>
      <c r="W27" s="298">
        <f>SUM(U27:V27)</f>
        <v>0</v>
      </c>
    </row>
    <row r="28" spans="1:23" ht="15">
      <c r="A28" s="485"/>
      <c r="B28" s="300" t="s">
        <v>14</v>
      </c>
      <c r="C28" s="301">
        <v>0</v>
      </c>
      <c r="D28" s="301">
        <v>0</v>
      </c>
      <c r="E28" s="301">
        <f>SUM(C28:D28)</f>
        <v>0</v>
      </c>
      <c r="F28" s="301">
        <v>0</v>
      </c>
      <c r="G28" s="301">
        <v>0</v>
      </c>
      <c r="H28" s="298">
        <f aca="true" t="shared" si="11" ref="H28:H38">SUM(F28:G28)</f>
        <v>0</v>
      </c>
      <c r="I28" s="301">
        <v>0</v>
      </c>
      <c r="J28" s="301">
        <v>0</v>
      </c>
      <c r="K28" s="298">
        <f aca="true" t="shared" si="12" ref="K28:K38">SUM(I28:J28)</f>
        <v>0</v>
      </c>
      <c r="L28" s="301">
        <v>0</v>
      </c>
      <c r="M28" s="301">
        <v>0</v>
      </c>
      <c r="N28" s="298">
        <f aca="true" t="shared" si="13" ref="N28:N38">SUM(L28:M28)</f>
        <v>0</v>
      </c>
      <c r="O28" s="301">
        <v>0</v>
      </c>
      <c r="P28" s="301">
        <v>0</v>
      </c>
      <c r="Q28" s="298">
        <f aca="true" t="shared" si="14" ref="Q28:Q38">SUM(O28:P28)</f>
        <v>0</v>
      </c>
      <c r="R28" s="306">
        <f aca="true" t="shared" si="15" ref="R28:R34">L28*4</f>
        <v>0</v>
      </c>
      <c r="S28" s="306">
        <f aca="true" t="shared" si="16" ref="S28:S35">M28*4</f>
        <v>0</v>
      </c>
      <c r="T28" s="298">
        <f aca="true" t="shared" si="17" ref="T28:T38">SUM(R28:S28)</f>
        <v>0</v>
      </c>
      <c r="U28" s="306">
        <f aca="true" t="shared" si="18" ref="U28:U34">O28*4</f>
        <v>0</v>
      </c>
      <c r="V28" s="306">
        <f aca="true" t="shared" si="19" ref="V28:V35">P28*4</f>
        <v>0</v>
      </c>
      <c r="W28" s="298">
        <f aca="true" t="shared" si="20" ref="W28:W38">SUM(U28:V28)</f>
        <v>0</v>
      </c>
    </row>
    <row r="29" spans="1:23" ht="15">
      <c r="A29" s="485"/>
      <c r="B29" s="300" t="s">
        <v>15</v>
      </c>
      <c r="C29" s="301">
        <v>0</v>
      </c>
      <c r="D29" s="301">
        <v>0</v>
      </c>
      <c r="E29" s="301">
        <f>SUM(C29:D29)</f>
        <v>0</v>
      </c>
      <c r="F29" s="301">
        <v>0</v>
      </c>
      <c r="G29" s="301">
        <v>0</v>
      </c>
      <c r="H29" s="298">
        <f t="shared" si="11"/>
        <v>0</v>
      </c>
      <c r="I29" s="301">
        <v>0</v>
      </c>
      <c r="J29" s="301">
        <v>0</v>
      </c>
      <c r="K29" s="298">
        <f t="shared" si="12"/>
        <v>0</v>
      </c>
      <c r="L29" s="301">
        <v>0</v>
      </c>
      <c r="M29" s="301">
        <v>0</v>
      </c>
      <c r="N29" s="298">
        <f t="shared" si="13"/>
        <v>0</v>
      </c>
      <c r="O29" s="301">
        <v>0</v>
      </c>
      <c r="P29" s="301">
        <v>0</v>
      </c>
      <c r="Q29" s="298">
        <f t="shared" si="14"/>
        <v>0</v>
      </c>
      <c r="R29" s="306">
        <f t="shared" si="15"/>
        <v>0</v>
      </c>
      <c r="S29" s="306">
        <f t="shared" si="16"/>
        <v>0</v>
      </c>
      <c r="T29" s="298">
        <f t="shared" si="17"/>
        <v>0</v>
      </c>
      <c r="U29" s="306">
        <f t="shared" si="18"/>
        <v>0</v>
      </c>
      <c r="V29" s="306">
        <f t="shared" si="19"/>
        <v>0</v>
      </c>
      <c r="W29" s="298">
        <f t="shared" si="20"/>
        <v>0</v>
      </c>
    </row>
    <row r="30" spans="1:23" ht="15.75">
      <c r="A30" s="485"/>
      <c r="B30" s="300" t="s">
        <v>16</v>
      </c>
      <c r="C30" s="301">
        <v>0</v>
      </c>
      <c r="D30" s="299">
        <v>0</v>
      </c>
      <c r="E30" s="299">
        <v>0</v>
      </c>
      <c r="F30" s="301">
        <v>0</v>
      </c>
      <c r="G30" s="299">
        <v>0</v>
      </c>
      <c r="H30" s="298">
        <f t="shared" si="11"/>
        <v>0</v>
      </c>
      <c r="I30" s="301">
        <v>0</v>
      </c>
      <c r="J30" s="299">
        <v>0</v>
      </c>
      <c r="K30" s="298">
        <f t="shared" si="12"/>
        <v>0</v>
      </c>
      <c r="L30" s="301">
        <v>0</v>
      </c>
      <c r="M30" s="299">
        <v>0</v>
      </c>
      <c r="N30" s="298">
        <f t="shared" si="13"/>
        <v>0</v>
      </c>
      <c r="O30" s="301">
        <v>0</v>
      </c>
      <c r="P30" s="299">
        <v>0</v>
      </c>
      <c r="Q30" s="298">
        <f t="shared" si="14"/>
        <v>0</v>
      </c>
      <c r="R30" s="306">
        <f t="shared" si="15"/>
        <v>0</v>
      </c>
      <c r="S30" s="306">
        <f t="shared" si="16"/>
        <v>0</v>
      </c>
      <c r="T30" s="298">
        <f t="shared" si="17"/>
        <v>0</v>
      </c>
      <c r="U30" s="306">
        <f t="shared" si="18"/>
        <v>0</v>
      </c>
      <c r="V30" s="306">
        <f t="shared" si="19"/>
        <v>0</v>
      </c>
      <c r="W30" s="298">
        <f t="shared" si="20"/>
        <v>0</v>
      </c>
    </row>
    <row r="31" spans="1:23" ht="15">
      <c r="A31" s="485"/>
      <c r="B31" s="300" t="s">
        <v>17</v>
      </c>
      <c r="C31" s="298">
        <v>0</v>
      </c>
      <c r="D31" s="298">
        <v>0</v>
      </c>
      <c r="E31" s="298">
        <f>SUM(C31:D31)</f>
        <v>0</v>
      </c>
      <c r="F31" s="298">
        <v>0</v>
      </c>
      <c r="G31" s="298">
        <v>0</v>
      </c>
      <c r="H31" s="298">
        <f t="shared" si="11"/>
        <v>0</v>
      </c>
      <c r="I31" s="298">
        <v>0</v>
      </c>
      <c r="J31" s="298">
        <v>0</v>
      </c>
      <c r="K31" s="298">
        <f t="shared" si="12"/>
        <v>0</v>
      </c>
      <c r="L31" s="298">
        <v>0</v>
      </c>
      <c r="M31" s="298">
        <v>0</v>
      </c>
      <c r="N31" s="298">
        <f t="shared" si="13"/>
        <v>0</v>
      </c>
      <c r="O31" s="298">
        <v>0</v>
      </c>
      <c r="P31" s="298">
        <v>0</v>
      </c>
      <c r="Q31" s="298">
        <f t="shared" si="14"/>
        <v>0</v>
      </c>
      <c r="R31" s="306">
        <f t="shared" si="15"/>
        <v>0</v>
      </c>
      <c r="S31" s="306">
        <f t="shared" si="16"/>
        <v>0</v>
      </c>
      <c r="T31" s="298">
        <f t="shared" si="17"/>
        <v>0</v>
      </c>
      <c r="U31" s="306">
        <f t="shared" si="18"/>
        <v>0</v>
      </c>
      <c r="V31" s="306">
        <f t="shared" si="19"/>
        <v>0</v>
      </c>
      <c r="W31" s="298">
        <f t="shared" si="20"/>
        <v>0</v>
      </c>
    </row>
    <row r="32" spans="1:23" ht="15">
      <c r="A32" s="485"/>
      <c r="B32" s="300" t="s">
        <v>18</v>
      </c>
      <c r="C32" s="309">
        <v>0</v>
      </c>
      <c r="D32" s="309">
        <v>0</v>
      </c>
      <c r="E32" s="309">
        <f>SUM(C32:D32)</f>
        <v>0</v>
      </c>
      <c r="F32" s="309">
        <v>2</v>
      </c>
      <c r="G32" s="309">
        <v>0</v>
      </c>
      <c r="H32" s="298">
        <f t="shared" si="11"/>
        <v>2</v>
      </c>
      <c r="I32" s="309">
        <f>9+2</f>
        <v>11</v>
      </c>
      <c r="J32" s="309">
        <v>1</v>
      </c>
      <c r="K32" s="298">
        <f t="shared" si="12"/>
        <v>12</v>
      </c>
      <c r="L32" s="309">
        <v>0</v>
      </c>
      <c r="M32" s="309">
        <v>0</v>
      </c>
      <c r="N32" s="298">
        <f t="shared" si="13"/>
        <v>0</v>
      </c>
      <c r="O32" s="309">
        <v>0</v>
      </c>
      <c r="P32" s="309">
        <v>0</v>
      </c>
      <c r="Q32" s="298">
        <f t="shared" si="14"/>
        <v>0</v>
      </c>
      <c r="R32" s="306">
        <f t="shared" si="15"/>
        <v>0</v>
      </c>
      <c r="S32" s="306">
        <f t="shared" si="16"/>
        <v>0</v>
      </c>
      <c r="T32" s="298">
        <f t="shared" si="17"/>
        <v>0</v>
      </c>
      <c r="U32" s="306">
        <f t="shared" si="18"/>
        <v>0</v>
      </c>
      <c r="V32" s="306">
        <f t="shared" si="19"/>
        <v>0</v>
      </c>
      <c r="W32" s="298">
        <f t="shared" si="20"/>
        <v>0</v>
      </c>
    </row>
    <row r="33" spans="1:23" ht="15.75">
      <c r="A33" s="485"/>
      <c r="B33" s="300" t="s">
        <v>19</v>
      </c>
      <c r="C33" s="299">
        <v>0</v>
      </c>
      <c r="D33" s="299">
        <v>0</v>
      </c>
      <c r="E33" s="299">
        <v>0</v>
      </c>
      <c r="F33" s="299">
        <v>0</v>
      </c>
      <c r="G33" s="299">
        <v>0</v>
      </c>
      <c r="H33" s="298">
        <f t="shared" si="11"/>
        <v>0</v>
      </c>
      <c r="I33" s="299">
        <v>0</v>
      </c>
      <c r="J33" s="299">
        <v>0</v>
      </c>
      <c r="K33" s="298">
        <f t="shared" si="12"/>
        <v>0</v>
      </c>
      <c r="L33" s="299">
        <v>0</v>
      </c>
      <c r="M33" s="299">
        <v>0</v>
      </c>
      <c r="N33" s="298">
        <f t="shared" si="13"/>
        <v>0</v>
      </c>
      <c r="O33" s="299">
        <v>0</v>
      </c>
      <c r="P33" s="299">
        <v>0</v>
      </c>
      <c r="Q33" s="298">
        <f t="shared" si="14"/>
        <v>0</v>
      </c>
      <c r="R33" s="306">
        <f t="shared" si="15"/>
        <v>0</v>
      </c>
      <c r="S33" s="306">
        <f t="shared" si="16"/>
        <v>0</v>
      </c>
      <c r="T33" s="298">
        <f t="shared" si="17"/>
        <v>0</v>
      </c>
      <c r="U33" s="306">
        <f t="shared" si="18"/>
        <v>0</v>
      </c>
      <c r="V33" s="306">
        <f t="shared" si="19"/>
        <v>0</v>
      </c>
      <c r="W33" s="298">
        <f t="shared" si="20"/>
        <v>0</v>
      </c>
    </row>
    <row r="34" spans="1:23" ht="15">
      <c r="A34" s="485"/>
      <c r="B34" s="300" t="s">
        <v>20</v>
      </c>
      <c r="C34" s="302">
        <v>0</v>
      </c>
      <c r="D34" s="302">
        <v>0</v>
      </c>
      <c r="E34" s="302">
        <f>SUM(C34:D34)</f>
        <v>0</v>
      </c>
      <c r="F34" s="302">
        <v>0</v>
      </c>
      <c r="G34" s="302">
        <v>0</v>
      </c>
      <c r="H34" s="298">
        <f t="shared" si="11"/>
        <v>0</v>
      </c>
      <c r="I34" s="302">
        <v>1</v>
      </c>
      <c r="J34" s="302">
        <v>0</v>
      </c>
      <c r="K34" s="298">
        <f t="shared" si="12"/>
        <v>1</v>
      </c>
      <c r="L34" s="302">
        <v>0</v>
      </c>
      <c r="M34" s="302">
        <v>0</v>
      </c>
      <c r="N34" s="298">
        <f t="shared" si="13"/>
        <v>0</v>
      </c>
      <c r="O34" s="302">
        <v>1</v>
      </c>
      <c r="P34" s="302">
        <v>0</v>
      </c>
      <c r="Q34" s="298">
        <f t="shared" si="14"/>
        <v>1</v>
      </c>
      <c r="R34" s="313">
        <f t="shared" si="15"/>
        <v>0</v>
      </c>
      <c r="S34" s="313">
        <f t="shared" si="16"/>
        <v>0</v>
      </c>
      <c r="T34" s="298">
        <f t="shared" si="17"/>
        <v>0</v>
      </c>
      <c r="U34" s="313">
        <f t="shared" si="18"/>
        <v>4</v>
      </c>
      <c r="V34" s="313">
        <f t="shared" si="19"/>
        <v>0</v>
      </c>
      <c r="W34" s="298">
        <f t="shared" si="20"/>
        <v>4</v>
      </c>
    </row>
    <row r="35" spans="1:23" ht="15">
      <c r="A35" s="485"/>
      <c r="B35" s="300" t="s">
        <v>21</v>
      </c>
      <c r="C35" s="301">
        <v>0</v>
      </c>
      <c r="D35" s="301">
        <v>0</v>
      </c>
      <c r="E35" s="301">
        <f>SUM(C35:D35)</f>
        <v>0</v>
      </c>
      <c r="F35" s="301">
        <v>41</v>
      </c>
      <c r="G35" s="301">
        <v>0</v>
      </c>
      <c r="H35" s="298">
        <f t="shared" si="11"/>
        <v>41</v>
      </c>
      <c r="I35" s="301">
        <v>41</v>
      </c>
      <c r="J35" s="301">
        <v>0</v>
      </c>
      <c r="K35" s="298">
        <f t="shared" si="12"/>
        <v>41</v>
      </c>
      <c r="L35" s="301">
        <v>142</v>
      </c>
      <c r="M35" s="301">
        <v>0</v>
      </c>
      <c r="N35" s="298">
        <f t="shared" si="13"/>
        <v>142</v>
      </c>
      <c r="O35" s="301">
        <v>340</v>
      </c>
      <c r="P35" s="301">
        <v>0</v>
      </c>
      <c r="Q35" s="298">
        <f t="shared" si="14"/>
        <v>340</v>
      </c>
      <c r="R35" s="306">
        <v>0</v>
      </c>
      <c r="S35" s="306">
        <f t="shared" si="16"/>
        <v>0</v>
      </c>
      <c r="T35" s="298">
        <f t="shared" si="17"/>
        <v>0</v>
      </c>
      <c r="U35" s="306">
        <v>0</v>
      </c>
      <c r="V35" s="306">
        <f t="shared" si="19"/>
        <v>0</v>
      </c>
      <c r="W35" s="298">
        <f t="shared" si="20"/>
        <v>0</v>
      </c>
    </row>
    <row r="36" spans="1:23" ht="15.75">
      <c r="A36" s="485"/>
      <c r="B36" s="300" t="s">
        <v>22</v>
      </c>
      <c r="C36" s="299">
        <v>0</v>
      </c>
      <c r="D36" s="299">
        <v>0</v>
      </c>
      <c r="E36" s="299">
        <v>0</v>
      </c>
      <c r="F36" s="299">
        <v>0</v>
      </c>
      <c r="G36" s="299">
        <v>0</v>
      </c>
      <c r="H36" s="298">
        <f t="shared" si="11"/>
        <v>0</v>
      </c>
      <c r="I36" s="299">
        <v>0</v>
      </c>
      <c r="J36" s="299">
        <v>0</v>
      </c>
      <c r="K36" s="298">
        <f t="shared" si="12"/>
        <v>0</v>
      </c>
      <c r="L36" s="299">
        <v>0</v>
      </c>
      <c r="M36" s="299">
        <v>0</v>
      </c>
      <c r="N36" s="298">
        <f t="shared" si="13"/>
        <v>0</v>
      </c>
      <c r="O36" s="299">
        <v>0</v>
      </c>
      <c r="P36" s="299">
        <v>0</v>
      </c>
      <c r="Q36" s="298">
        <f t="shared" si="14"/>
        <v>0</v>
      </c>
      <c r="R36" s="306">
        <f aca="true" t="shared" si="21" ref="R36:S38">L36*4</f>
        <v>0</v>
      </c>
      <c r="S36" s="306">
        <f t="shared" si="21"/>
        <v>0</v>
      </c>
      <c r="T36" s="298">
        <f t="shared" si="17"/>
        <v>0</v>
      </c>
      <c r="U36" s="306">
        <f aca="true" t="shared" si="22" ref="U36:V38">O36*4</f>
        <v>0</v>
      </c>
      <c r="V36" s="306">
        <f t="shared" si="22"/>
        <v>0</v>
      </c>
      <c r="W36" s="298">
        <f t="shared" si="20"/>
        <v>0</v>
      </c>
    </row>
    <row r="37" spans="1:23" ht="15">
      <c r="A37" s="485"/>
      <c r="B37" s="300" t="s">
        <v>23</v>
      </c>
      <c r="C37" s="301">
        <v>0</v>
      </c>
      <c r="D37" s="301">
        <v>0</v>
      </c>
      <c r="E37" s="301">
        <f>SUM(C37:D37)</f>
        <v>0</v>
      </c>
      <c r="F37" s="301">
        <v>0</v>
      </c>
      <c r="G37" s="301">
        <v>0</v>
      </c>
      <c r="H37" s="298">
        <f t="shared" si="11"/>
        <v>0</v>
      </c>
      <c r="I37" s="301">
        <v>0</v>
      </c>
      <c r="J37" s="301">
        <v>0</v>
      </c>
      <c r="K37" s="298">
        <f t="shared" si="12"/>
        <v>0</v>
      </c>
      <c r="L37" s="301">
        <v>0</v>
      </c>
      <c r="M37" s="301">
        <v>0</v>
      </c>
      <c r="N37" s="298">
        <f t="shared" si="13"/>
        <v>0</v>
      </c>
      <c r="O37" s="301">
        <v>0</v>
      </c>
      <c r="P37" s="301">
        <v>0</v>
      </c>
      <c r="Q37" s="298">
        <f t="shared" si="14"/>
        <v>0</v>
      </c>
      <c r="R37" s="306">
        <f t="shared" si="21"/>
        <v>0</v>
      </c>
      <c r="S37" s="306">
        <f t="shared" si="21"/>
        <v>0</v>
      </c>
      <c r="T37" s="298">
        <f t="shared" si="17"/>
        <v>0</v>
      </c>
      <c r="U37" s="306">
        <f t="shared" si="22"/>
        <v>0</v>
      </c>
      <c r="V37" s="306">
        <f t="shared" si="22"/>
        <v>0</v>
      </c>
      <c r="W37" s="298">
        <f t="shared" si="20"/>
        <v>0</v>
      </c>
    </row>
    <row r="38" spans="1:23" ht="15">
      <c r="A38" s="485"/>
      <c r="B38" s="303" t="s">
        <v>24</v>
      </c>
      <c r="C38" s="304">
        <v>0</v>
      </c>
      <c r="D38" s="304">
        <v>0</v>
      </c>
      <c r="E38" s="304">
        <f>SUM(C38:D38)</f>
        <v>0</v>
      </c>
      <c r="F38" s="304">
        <v>0</v>
      </c>
      <c r="G38" s="304">
        <v>0</v>
      </c>
      <c r="H38" s="310">
        <f t="shared" si="11"/>
        <v>0</v>
      </c>
      <c r="I38" s="304">
        <v>0</v>
      </c>
      <c r="J38" s="304">
        <v>0</v>
      </c>
      <c r="K38" s="310">
        <f t="shared" si="12"/>
        <v>0</v>
      </c>
      <c r="L38" s="304">
        <v>0</v>
      </c>
      <c r="M38" s="304">
        <v>0</v>
      </c>
      <c r="N38" s="310">
        <f t="shared" si="13"/>
        <v>0</v>
      </c>
      <c r="O38" s="304">
        <v>0</v>
      </c>
      <c r="P38" s="304">
        <v>0</v>
      </c>
      <c r="Q38" s="310">
        <f t="shared" si="14"/>
        <v>0</v>
      </c>
      <c r="R38" s="314">
        <f t="shared" si="21"/>
        <v>0</v>
      </c>
      <c r="S38" s="314">
        <f t="shared" si="21"/>
        <v>0</v>
      </c>
      <c r="T38" s="310">
        <f t="shared" si="17"/>
        <v>0</v>
      </c>
      <c r="U38" s="314">
        <f t="shared" si="22"/>
        <v>0</v>
      </c>
      <c r="V38" s="314">
        <f t="shared" si="22"/>
        <v>0</v>
      </c>
      <c r="W38" s="310">
        <f t="shared" si="20"/>
        <v>0</v>
      </c>
    </row>
    <row r="39" spans="1:23" ht="15">
      <c r="A39" s="485"/>
      <c r="B39" s="305"/>
      <c r="C39" s="301"/>
      <c r="D39" s="301"/>
      <c r="E39" s="301"/>
      <c r="F39" s="301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</row>
    <row r="40" spans="1:23" ht="15">
      <c r="A40" s="485"/>
      <c r="B40" s="300" t="s">
        <v>44</v>
      </c>
      <c r="C40" s="307">
        <f aca="true" t="shared" si="23" ref="C40:W40">SUM(C27:C38)</f>
        <v>0</v>
      </c>
      <c r="D40" s="307">
        <f t="shared" si="23"/>
        <v>0</v>
      </c>
      <c r="E40" s="307">
        <f t="shared" si="23"/>
        <v>0</v>
      </c>
      <c r="F40" s="307">
        <f t="shared" si="23"/>
        <v>43</v>
      </c>
      <c r="G40" s="308">
        <f t="shared" si="23"/>
        <v>0</v>
      </c>
      <c r="H40" s="308">
        <f t="shared" si="23"/>
        <v>43</v>
      </c>
      <c r="I40" s="308">
        <f t="shared" si="23"/>
        <v>53</v>
      </c>
      <c r="J40" s="308">
        <f t="shared" si="23"/>
        <v>1</v>
      </c>
      <c r="K40" s="308">
        <f t="shared" si="23"/>
        <v>54</v>
      </c>
      <c r="L40" s="308">
        <f t="shared" si="23"/>
        <v>142</v>
      </c>
      <c r="M40" s="308">
        <f t="shared" si="23"/>
        <v>0</v>
      </c>
      <c r="N40" s="308">
        <f t="shared" si="23"/>
        <v>142</v>
      </c>
      <c r="O40" s="308">
        <f t="shared" si="23"/>
        <v>341</v>
      </c>
      <c r="P40" s="308">
        <f t="shared" si="23"/>
        <v>0</v>
      </c>
      <c r="Q40" s="308">
        <f t="shared" si="23"/>
        <v>341</v>
      </c>
      <c r="R40" s="308">
        <f t="shared" si="23"/>
        <v>0</v>
      </c>
      <c r="S40" s="308">
        <f t="shared" si="23"/>
        <v>0</v>
      </c>
      <c r="T40" s="308">
        <f t="shared" si="23"/>
        <v>0</v>
      </c>
      <c r="U40" s="308">
        <f t="shared" si="23"/>
        <v>4</v>
      </c>
      <c r="V40" s="308">
        <f t="shared" si="23"/>
        <v>0</v>
      </c>
      <c r="W40" s="308">
        <f t="shared" si="23"/>
        <v>4</v>
      </c>
    </row>
    <row r="41" spans="7:23" ht="14.25"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</row>
    <row r="42" spans="1:23" ht="14.25">
      <c r="A42" s="234" t="s">
        <v>133</v>
      </c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</row>
    <row r="43" spans="2:23" ht="12.75">
      <c r="B43" s="294" t="s">
        <v>1</v>
      </c>
      <c r="C43" s="486" t="s">
        <v>76</v>
      </c>
      <c r="D43" s="487"/>
      <c r="E43" s="488"/>
      <c r="F43" s="486" t="s">
        <v>2</v>
      </c>
      <c r="G43" s="487"/>
      <c r="H43" s="488"/>
      <c r="I43" s="486" t="s">
        <v>3</v>
      </c>
      <c r="J43" s="487"/>
      <c r="K43" s="488"/>
      <c r="L43" s="486" t="s">
        <v>4</v>
      </c>
      <c r="M43" s="487"/>
      <c r="N43" s="488"/>
      <c r="O43" s="486" t="s">
        <v>5</v>
      </c>
      <c r="P43" s="487"/>
      <c r="Q43" s="488"/>
      <c r="R43" s="486" t="s">
        <v>131</v>
      </c>
      <c r="S43" s="487"/>
      <c r="T43" s="488"/>
      <c r="U43" s="486" t="s">
        <v>132</v>
      </c>
      <c r="V43" s="487"/>
      <c r="W43" s="488"/>
    </row>
    <row r="44" spans="2:23" ht="12.75">
      <c r="B44" s="295"/>
      <c r="C44" s="230" t="s">
        <v>7</v>
      </c>
      <c r="D44" s="230" t="s">
        <v>8</v>
      </c>
      <c r="E44" s="230" t="s">
        <v>6</v>
      </c>
      <c r="F44" s="230" t="s">
        <v>7</v>
      </c>
      <c r="G44" s="230" t="s">
        <v>8</v>
      </c>
      <c r="H44" s="230" t="s">
        <v>6</v>
      </c>
      <c r="I44" s="230" t="s">
        <v>7</v>
      </c>
      <c r="J44" s="230" t="s">
        <v>8</v>
      </c>
      <c r="K44" s="230" t="s">
        <v>6</v>
      </c>
      <c r="L44" s="230" t="s">
        <v>7</v>
      </c>
      <c r="M44" s="230" t="s">
        <v>8</v>
      </c>
      <c r="N44" s="230" t="s">
        <v>6</v>
      </c>
      <c r="O44" s="230" t="s">
        <v>7</v>
      </c>
      <c r="P44" s="230" t="s">
        <v>8</v>
      </c>
      <c r="Q44" s="230" t="s">
        <v>6</v>
      </c>
      <c r="R44" s="230" t="s">
        <v>7</v>
      </c>
      <c r="S44" s="230" t="s">
        <v>8</v>
      </c>
      <c r="T44" s="230" t="s">
        <v>6</v>
      </c>
      <c r="U44" s="230" t="s">
        <v>7</v>
      </c>
      <c r="V44" s="230" t="s">
        <v>8</v>
      </c>
      <c r="W44" s="230" t="s">
        <v>6</v>
      </c>
    </row>
    <row r="45" spans="1:23" ht="15">
      <c r="A45" s="485" t="s">
        <v>133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</row>
    <row r="46" spans="1:23" ht="15">
      <c r="A46" s="485"/>
      <c r="B46" s="297" t="s">
        <v>9</v>
      </c>
      <c r="C46" s="309">
        <v>0</v>
      </c>
      <c r="D46" s="309">
        <v>0</v>
      </c>
      <c r="E46" s="309">
        <f>SUM(C46:D46)</f>
        <v>0</v>
      </c>
      <c r="F46" s="309">
        <v>0</v>
      </c>
      <c r="G46" s="309">
        <v>0</v>
      </c>
      <c r="H46" s="298">
        <f>SUM(F46:G46)</f>
        <v>0</v>
      </c>
      <c r="I46" s="309">
        <v>1</v>
      </c>
      <c r="J46" s="309">
        <v>0</v>
      </c>
      <c r="K46" s="298">
        <f>SUM(I46:J46)</f>
        <v>1</v>
      </c>
      <c r="L46" s="309">
        <v>17</v>
      </c>
      <c r="M46" s="309">
        <v>0</v>
      </c>
      <c r="N46" s="298">
        <f>SUM(L46:M46)</f>
        <v>17</v>
      </c>
      <c r="O46" s="309">
        <v>19</v>
      </c>
      <c r="P46" s="309">
        <v>0</v>
      </c>
      <c r="Q46" s="298">
        <f>SUM(O46:P46)</f>
        <v>19</v>
      </c>
      <c r="R46" s="306">
        <f>L46*4</f>
        <v>68</v>
      </c>
      <c r="S46" s="306">
        <f>M46*4</f>
        <v>0</v>
      </c>
      <c r="T46" s="298">
        <f>SUM(R46:S46)</f>
        <v>68</v>
      </c>
      <c r="U46" s="306">
        <f>O46*4</f>
        <v>76</v>
      </c>
      <c r="V46" s="306">
        <f>P46*4</f>
        <v>0</v>
      </c>
      <c r="W46" s="298">
        <f>SUM(U46:V46)</f>
        <v>76</v>
      </c>
    </row>
    <row r="47" spans="1:23" ht="15">
      <c r="A47" s="485"/>
      <c r="B47" s="300" t="s">
        <v>14</v>
      </c>
      <c r="C47" s="309">
        <v>0</v>
      </c>
      <c r="D47" s="309">
        <v>0</v>
      </c>
      <c r="E47" s="309">
        <f>SUM(C47:D47)</f>
        <v>0</v>
      </c>
      <c r="F47" s="309">
        <v>0</v>
      </c>
      <c r="G47" s="309">
        <v>0</v>
      </c>
      <c r="H47" s="298">
        <f aca="true" t="shared" si="24" ref="H47:H57">SUM(F47:G47)</f>
        <v>0</v>
      </c>
      <c r="I47" s="309">
        <v>4</v>
      </c>
      <c r="J47" s="309">
        <v>1</v>
      </c>
      <c r="K47" s="298">
        <f aca="true" t="shared" si="25" ref="K47:K57">SUM(I47:J47)</f>
        <v>5</v>
      </c>
      <c r="L47" s="309">
        <v>12</v>
      </c>
      <c r="M47" s="309">
        <v>0</v>
      </c>
      <c r="N47" s="298">
        <f aca="true" t="shared" si="26" ref="N47:N57">SUM(L47:M47)</f>
        <v>12</v>
      </c>
      <c r="O47" s="309">
        <v>21</v>
      </c>
      <c r="P47" s="309">
        <v>0</v>
      </c>
      <c r="Q47" s="298">
        <f aca="true" t="shared" si="27" ref="Q47:Q57">SUM(O47:P47)</f>
        <v>21</v>
      </c>
      <c r="R47" s="306">
        <f aca="true" t="shared" si="28" ref="R47:R53">L47*4</f>
        <v>48</v>
      </c>
      <c r="S47" s="306">
        <f aca="true" t="shared" si="29" ref="S47:S53">M47*4</f>
        <v>0</v>
      </c>
      <c r="T47" s="298">
        <f aca="true" t="shared" si="30" ref="T47:T57">SUM(R47:S47)</f>
        <v>48</v>
      </c>
      <c r="U47" s="306">
        <f aca="true" t="shared" si="31" ref="U47:U53">O47*4</f>
        <v>84</v>
      </c>
      <c r="V47" s="306">
        <f aca="true" t="shared" si="32" ref="V47:V53">P47*4</f>
        <v>0</v>
      </c>
      <c r="W47" s="298">
        <f aca="true" t="shared" si="33" ref="W47:W57">SUM(U47:V47)</f>
        <v>84</v>
      </c>
    </row>
    <row r="48" spans="1:23" ht="15">
      <c r="A48" s="485"/>
      <c r="B48" s="300" t="s">
        <v>15</v>
      </c>
      <c r="C48" s="309">
        <v>0</v>
      </c>
      <c r="D48" s="309">
        <v>0</v>
      </c>
      <c r="E48" s="309">
        <f>SUM(C48:D48)</f>
        <v>0</v>
      </c>
      <c r="F48" s="309">
        <v>0</v>
      </c>
      <c r="G48" s="309">
        <v>0</v>
      </c>
      <c r="H48" s="298">
        <f t="shared" si="24"/>
        <v>0</v>
      </c>
      <c r="I48" s="309">
        <v>2</v>
      </c>
      <c r="J48" s="309">
        <v>0</v>
      </c>
      <c r="K48" s="298">
        <f t="shared" si="25"/>
        <v>2</v>
      </c>
      <c r="L48" s="309">
        <v>14</v>
      </c>
      <c r="M48" s="309">
        <v>0</v>
      </c>
      <c r="N48" s="298">
        <f t="shared" si="26"/>
        <v>14</v>
      </c>
      <c r="O48" s="309">
        <v>17</v>
      </c>
      <c r="P48" s="309">
        <v>0</v>
      </c>
      <c r="Q48" s="298">
        <f t="shared" si="27"/>
        <v>17</v>
      </c>
      <c r="R48" s="306">
        <f t="shared" si="28"/>
        <v>56</v>
      </c>
      <c r="S48" s="306">
        <f t="shared" si="29"/>
        <v>0</v>
      </c>
      <c r="T48" s="298">
        <f t="shared" si="30"/>
        <v>56</v>
      </c>
      <c r="U48" s="306">
        <f t="shared" si="31"/>
        <v>68</v>
      </c>
      <c r="V48" s="306">
        <f t="shared" si="32"/>
        <v>0</v>
      </c>
      <c r="W48" s="298">
        <f t="shared" si="33"/>
        <v>68</v>
      </c>
    </row>
    <row r="49" spans="1:23" ht="15.75">
      <c r="A49" s="485"/>
      <c r="B49" s="300" t="s">
        <v>16</v>
      </c>
      <c r="C49" s="301">
        <v>0</v>
      </c>
      <c r="D49" s="299">
        <v>0</v>
      </c>
      <c r="E49" s="299">
        <v>0</v>
      </c>
      <c r="F49" s="301">
        <v>0</v>
      </c>
      <c r="G49" s="299">
        <v>0</v>
      </c>
      <c r="H49" s="298">
        <f t="shared" si="24"/>
        <v>0</v>
      </c>
      <c r="I49" s="301">
        <v>0</v>
      </c>
      <c r="J49" s="299">
        <v>0</v>
      </c>
      <c r="K49" s="298">
        <f t="shared" si="25"/>
        <v>0</v>
      </c>
      <c r="L49" s="301">
        <v>0</v>
      </c>
      <c r="M49" s="299">
        <v>0</v>
      </c>
      <c r="N49" s="298">
        <f t="shared" si="26"/>
        <v>0</v>
      </c>
      <c r="O49" s="301">
        <v>0</v>
      </c>
      <c r="P49" s="299">
        <v>0</v>
      </c>
      <c r="Q49" s="298">
        <f t="shared" si="27"/>
        <v>0</v>
      </c>
      <c r="R49" s="306">
        <f t="shared" si="28"/>
        <v>0</v>
      </c>
      <c r="S49" s="306">
        <f t="shared" si="29"/>
        <v>0</v>
      </c>
      <c r="T49" s="298">
        <f t="shared" si="30"/>
        <v>0</v>
      </c>
      <c r="U49" s="306">
        <f t="shared" si="31"/>
        <v>0</v>
      </c>
      <c r="V49" s="306">
        <f t="shared" si="32"/>
        <v>0</v>
      </c>
      <c r="W49" s="298">
        <f t="shared" si="33"/>
        <v>0</v>
      </c>
    </row>
    <row r="50" spans="1:23" ht="15">
      <c r="A50" s="485"/>
      <c r="B50" s="300" t="s">
        <v>17</v>
      </c>
      <c r="C50" s="309">
        <v>0</v>
      </c>
      <c r="D50" s="309">
        <v>0</v>
      </c>
      <c r="E50" s="309">
        <f>SUM(C50:D50)</f>
        <v>0</v>
      </c>
      <c r="F50" s="309">
        <v>0</v>
      </c>
      <c r="G50" s="309">
        <v>0</v>
      </c>
      <c r="H50" s="298">
        <f t="shared" si="24"/>
        <v>0</v>
      </c>
      <c r="I50" s="309">
        <v>3</v>
      </c>
      <c r="J50" s="309">
        <v>1</v>
      </c>
      <c r="K50" s="298">
        <f t="shared" si="25"/>
        <v>4</v>
      </c>
      <c r="L50" s="309">
        <v>16</v>
      </c>
      <c r="M50" s="309">
        <v>0</v>
      </c>
      <c r="N50" s="298">
        <f t="shared" si="26"/>
        <v>16</v>
      </c>
      <c r="O50" s="309">
        <v>18</v>
      </c>
      <c r="P50" s="309">
        <v>0</v>
      </c>
      <c r="Q50" s="298">
        <f t="shared" si="27"/>
        <v>18</v>
      </c>
      <c r="R50" s="306">
        <f t="shared" si="28"/>
        <v>64</v>
      </c>
      <c r="S50" s="306">
        <f t="shared" si="29"/>
        <v>0</v>
      </c>
      <c r="T50" s="298">
        <f t="shared" si="30"/>
        <v>64</v>
      </c>
      <c r="U50" s="306">
        <f t="shared" si="31"/>
        <v>72</v>
      </c>
      <c r="V50" s="306">
        <f t="shared" si="32"/>
        <v>0</v>
      </c>
      <c r="W50" s="298">
        <f t="shared" si="33"/>
        <v>72</v>
      </c>
    </row>
    <row r="51" spans="1:23" ht="15">
      <c r="A51" s="485"/>
      <c r="B51" s="300" t="s">
        <v>18</v>
      </c>
      <c r="C51" s="309">
        <v>0</v>
      </c>
      <c r="D51" s="309">
        <v>0</v>
      </c>
      <c r="E51" s="309">
        <f>SUM(C51:D51)</f>
        <v>0</v>
      </c>
      <c r="F51" s="309">
        <v>0</v>
      </c>
      <c r="G51" s="309">
        <v>0</v>
      </c>
      <c r="H51" s="298">
        <f t="shared" si="24"/>
        <v>0</v>
      </c>
      <c r="I51" s="309">
        <v>1</v>
      </c>
      <c r="J51" s="309">
        <v>0</v>
      </c>
      <c r="K51" s="298">
        <f t="shared" si="25"/>
        <v>1</v>
      </c>
      <c r="L51" s="309">
        <v>12</v>
      </c>
      <c r="M51" s="309">
        <v>0</v>
      </c>
      <c r="N51" s="298">
        <f t="shared" si="26"/>
        <v>12</v>
      </c>
      <c r="O51" s="309">
        <v>14</v>
      </c>
      <c r="P51" s="309">
        <v>0</v>
      </c>
      <c r="Q51" s="298">
        <f t="shared" si="27"/>
        <v>14</v>
      </c>
      <c r="R51" s="306">
        <f t="shared" si="28"/>
        <v>48</v>
      </c>
      <c r="S51" s="306">
        <f t="shared" si="29"/>
        <v>0</v>
      </c>
      <c r="T51" s="298">
        <f t="shared" si="30"/>
        <v>48</v>
      </c>
      <c r="U51" s="306">
        <f t="shared" si="31"/>
        <v>56</v>
      </c>
      <c r="V51" s="306">
        <f t="shared" si="32"/>
        <v>0</v>
      </c>
      <c r="W51" s="298">
        <f t="shared" si="33"/>
        <v>56</v>
      </c>
    </row>
    <row r="52" spans="1:23" ht="15.75">
      <c r="A52" s="485"/>
      <c r="B52" s="300" t="s">
        <v>19</v>
      </c>
      <c r="C52" s="299">
        <v>0</v>
      </c>
      <c r="D52" s="299">
        <v>0</v>
      </c>
      <c r="E52" s="299">
        <v>0</v>
      </c>
      <c r="F52" s="299">
        <v>0</v>
      </c>
      <c r="G52" s="299">
        <v>0</v>
      </c>
      <c r="H52" s="298">
        <f t="shared" si="24"/>
        <v>0</v>
      </c>
      <c r="I52" s="299">
        <v>3</v>
      </c>
      <c r="J52" s="299">
        <v>1</v>
      </c>
      <c r="K52" s="298">
        <f t="shared" si="25"/>
        <v>4</v>
      </c>
      <c r="L52" s="299">
        <v>16</v>
      </c>
      <c r="M52" s="299">
        <v>0</v>
      </c>
      <c r="N52" s="298">
        <f t="shared" si="26"/>
        <v>16</v>
      </c>
      <c r="O52" s="299">
        <v>18</v>
      </c>
      <c r="P52" s="299">
        <v>0</v>
      </c>
      <c r="Q52" s="298">
        <f t="shared" si="27"/>
        <v>18</v>
      </c>
      <c r="R52" s="306">
        <f t="shared" si="28"/>
        <v>64</v>
      </c>
      <c r="S52" s="306">
        <f t="shared" si="29"/>
        <v>0</v>
      </c>
      <c r="T52" s="298">
        <f t="shared" si="30"/>
        <v>64</v>
      </c>
      <c r="U52" s="306">
        <f t="shared" si="31"/>
        <v>72</v>
      </c>
      <c r="V52" s="306">
        <f t="shared" si="32"/>
        <v>0</v>
      </c>
      <c r="W52" s="298">
        <f t="shared" si="33"/>
        <v>72</v>
      </c>
    </row>
    <row r="53" spans="1:23" ht="15">
      <c r="A53" s="485"/>
      <c r="B53" s="300" t="s">
        <v>20</v>
      </c>
      <c r="C53" s="307">
        <v>0</v>
      </c>
      <c r="D53" s="307">
        <v>0</v>
      </c>
      <c r="E53" s="307">
        <f>SUM(C53:D53)</f>
        <v>0</v>
      </c>
      <c r="F53" s="307">
        <v>0</v>
      </c>
      <c r="G53" s="307">
        <v>0</v>
      </c>
      <c r="H53" s="298">
        <f t="shared" si="24"/>
        <v>0</v>
      </c>
      <c r="I53" s="307">
        <v>0</v>
      </c>
      <c r="J53" s="307">
        <v>3</v>
      </c>
      <c r="K53" s="298">
        <f t="shared" si="25"/>
        <v>3</v>
      </c>
      <c r="L53" s="307">
        <v>12</v>
      </c>
      <c r="M53" s="307">
        <v>0</v>
      </c>
      <c r="N53" s="298">
        <f t="shared" si="26"/>
        <v>12</v>
      </c>
      <c r="O53" s="307">
        <v>17</v>
      </c>
      <c r="P53" s="307">
        <v>0</v>
      </c>
      <c r="Q53" s="298">
        <f t="shared" si="27"/>
        <v>17</v>
      </c>
      <c r="R53" s="313">
        <f t="shared" si="28"/>
        <v>48</v>
      </c>
      <c r="S53" s="313">
        <f t="shared" si="29"/>
        <v>0</v>
      </c>
      <c r="T53" s="298">
        <f t="shared" si="30"/>
        <v>48</v>
      </c>
      <c r="U53" s="313">
        <f t="shared" si="31"/>
        <v>68</v>
      </c>
      <c r="V53" s="313">
        <f t="shared" si="32"/>
        <v>0</v>
      </c>
      <c r="W53" s="298">
        <f t="shared" si="33"/>
        <v>68</v>
      </c>
    </row>
    <row r="54" spans="1:23" ht="15">
      <c r="A54" s="485"/>
      <c r="B54" s="300" t="s">
        <v>21</v>
      </c>
      <c r="C54" s="301">
        <v>0</v>
      </c>
      <c r="D54" s="301">
        <v>0</v>
      </c>
      <c r="E54" s="301">
        <f>SUM(C54:D54)</f>
        <v>0</v>
      </c>
      <c r="F54" s="301">
        <v>4</v>
      </c>
      <c r="G54" s="301">
        <f>0</f>
        <v>0</v>
      </c>
      <c r="H54" s="298">
        <f t="shared" si="24"/>
        <v>4</v>
      </c>
      <c r="I54" s="301">
        <f>3+17</f>
        <v>20</v>
      </c>
      <c r="J54" s="301">
        <f>1</f>
        <v>1</v>
      </c>
      <c r="K54" s="298">
        <f t="shared" si="25"/>
        <v>21</v>
      </c>
      <c r="L54" s="301">
        <f>16+153</f>
        <v>169</v>
      </c>
      <c r="M54" s="301">
        <v>0</v>
      </c>
      <c r="N54" s="298">
        <f t="shared" si="26"/>
        <v>169</v>
      </c>
      <c r="O54" s="301">
        <f>18+101</f>
        <v>119</v>
      </c>
      <c r="P54" s="301">
        <v>0</v>
      </c>
      <c r="Q54" s="298">
        <f t="shared" si="27"/>
        <v>119</v>
      </c>
      <c r="R54" s="306">
        <v>64</v>
      </c>
      <c r="S54" s="306">
        <v>0</v>
      </c>
      <c r="T54" s="298">
        <f t="shared" si="30"/>
        <v>64</v>
      </c>
      <c r="U54" s="306">
        <v>72</v>
      </c>
      <c r="V54" s="306">
        <v>0</v>
      </c>
      <c r="W54" s="298">
        <f t="shared" si="33"/>
        <v>72</v>
      </c>
    </row>
    <row r="55" spans="1:23" ht="15.75">
      <c r="A55" s="485"/>
      <c r="B55" s="300" t="s">
        <v>22</v>
      </c>
      <c r="C55" s="299">
        <v>0</v>
      </c>
      <c r="D55" s="299">
        <v>0</v>
      </c>
      <c r="E55" s="299">
        <v>0</v>
      </c>
      <c r="F55" s="299">
        <v>0</v>
      </c>
      <c r="G55" s="299">
        <v>1</v>
      </c>
      <c r="H55" s="298">
        <f t="shared" si="24"/>
        <v>1</v>
      </c>
      <c r="I55" s="299">
        <v>3</v>
      </c>
      <c r="J55" s="299">
        <v>0</v>
      </c>
      <c r="K55" s="298">
        <f t="shared" si="25"/>
        <v>3</v>
      </c>
      <c r="L55" s="299">
        <v>12</v>
      </c>
      <c r="M55" s="299">
        <v>0</v>
      </c>
      <c r="N55" s="298">
        <f t="shared" si="26"/>
        <v>12</v>
      </c>
      <c r="O55" s="299">
        <v>14</v>
      </c>
      <c r="P55" s="299">
        <v>0</v>
      </c>
      <c r="Q55" s="298">
        <f t="shared" si="27"/>
        <v>14</v>
      </c>
      <c r="R55" s="306">
        <f aca="true" t="shared" si="34" ref="R55:S57">L55*4</f>
        <v>48</v>
      </c>
      <c r="S55" s="306">
        <f t="shared" si="34"/>
        <v>0</v>
      </c>
      <c r="T55" s="298">
        <f t="shared" si="30"/>
        <v>48</v>
      </c>
      <c r="U55" s="306">
        <f aca="true" t="shared" si="35" ref="U55:V57">O55*4</f>
        <v>56</v>
      </c>
      <c r="V55" s="306">
        <f t="shared" si="35"/>
        <v>0</v>
      </c>
      <c r="W55" s="298">
        <f t="shared" si="33"/>
        <v>56</v>
      </c>
    </row>
    <row r="56" spans="1:23" ht="15">
      <c r="A56" s="485"/>
      <c r="B56" s="300" t="s">
        <v>23</v>
      </c>
      <c r="C56" s="301">
        <v>0</v>
      </c>
      <c r="D56" s="301">
        <v>0</v>
      </c>
      <c r="E56" s="301">
        <f>SUM(C56:D56)</f>
        <v>0</v>
      </c>
      <c r="F56" s="301">
        <v>0</v>
      </c>
      <c r="G56" s="301">
        <v>0</v>
      </c>
      <c r="H56" s="298">
        <f t="shared" si="24"/>
        <v>0</v>
      </c>
      <c r="I56" s="301">
        <v>2</v>
      </c>
      <c r="J56" s="301">
        <v>0</v>
      </c>
      <c r="K56" s="298">
        <f t="shared" si="25"/>
        <v>2</v>
      </c>
      <c r="L56" s="301">
        <v>9</v>
      </c>
      <c r="M56" s="301">
        <v>0</v>
      </c>
      <c r="N56" s="298">
        <f t="shared" si="26"/>
        <v>9</v>
      </c>
      <c r="O56" s="301">
        <v>23</v>
      </c>
      <c r="P56" s="301">
        <v>0</v>
      </c>
      <c r="Q56" s="298">
        <f t="shared" si="27"/>
        <v>23</v>
      </c>
      <c r="R56" s="306">
        <f t="shared" si="34"/>
        <v>36</v>
      </c>
      <c r="S56" s="306">
        <f t="shared" si="34"/>
        <v>0</v>
      </c>
      <c r="T56" s="298">
        <f t="shared" si="30"/>
        <v>36</v>
      </c>
      <c r="U56" s="306">
        <f t="shared" si="35"/>
        <v>92</v>
      </c>
      <c r="V56" s="306">
        <f t="shared" si="35"/>
        <v>0</v>
      </c>
      <c r="W56" s="298">
        <f t="shared" si="33"/>
        <v>92</v>
      </c>
    </row>
    <row r="57" spans="1:23" ht="15">
      <c r="A57" s="485"/>
      <c r="B57" s="303" t="s">
        <v>24</v>
      </c>
      <c r="C57" s="304">
        <v>0</v>
      </c>
      <c r="D57" s="304">
        <v>0</v>
      </c>
      <c r="E57" s="304">
        <f>SUM(C57:D57)</f>
        <v>0</v>
      </c>
      <c r="F57" s="304">
        <v>0</v>
      </c>
      <c r="G57" s="304">
        <v>0</v>
      </c>
      <c r="H57" s="310">
        <f t="shared" si="24"/>
        <v>0</v>
      </c>
      <c r="I57" s="304">
        <v>0</v>
      </c>
      <c r="J57" s="304">
        <v>0</v>
      </c>
      <c r="K57" s="310">
        <f t="shared" si="25"/>
        <v>0</v>
      </c>
      <c r="L57" s="304">
        <v>5</v>
      </c>
      <c r="M57" s="304">
        <v>0</v>
      </c>
      <c r="N57" s="310">
        <f t="shared" si="26"/>
        <v>5</v>
      </c>
      <c r="O57" s="304">
        <v>14</v>
      </c>
      <c r="P57" s="304">
        <v>0</v>
      </c>
      <c r="Q57" s="310">
        <f t="shared" si="27"/>
        <v>14</v>
      </c>
      <c r="R57" s="314">
        <f t="shared" si="34"/>
        <v>20</v>
      </c>
      <c r="S57" s="314">
        <f t="shared" si="34"/>
        <v>0</v>
      </c>
      <c r="T57" s="310">
        <f t="shared" si="30"/>
        <v>20</v>
      </c>
      <c r="U57" s="314">
        <f t="shared" si="35"/>
        <v>56</v>
      </c>
      <c r="V57" s="314">
        <f t="shared" si="35"/>
        <v>0</v>
      </c>
      <c r="W57" s="310">
        <f t="shared" si="33"/>
        <v>56</v>
      </c>
    </row>
    <row r="58" spans="1:23" ht="15">
      <c r="A58" s="485"/>
      <c r="B58" s="305"/>
      <c r="C58" s="301"/>
      <c r="D58" s="301"/>
      <c r="E58" s="301"/>
      <c r="F58" s="301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</row>
    <row r="59" spans="1:23" ht="15">
      <c r="A59" s="485"/>
      <c r="B59" s="300" t="s">
        <v>133</v>
      </c>
      <c r="C59" s="307">
        <f aca="true" t="shared" si="36" ref="C59:Q59">SUM(C46:C58)</f>
        <v>0</v>
      </c>
      <c r="D59" s="307">
        <f t="shared" si="36"/>
        <v>0</v>
      </c>
      <c r="E59" s="307">
        <f t="shared" si="36"/>
        <v>0</v>
      </c>
      <c r="F59" s="307">
        <f t="shared" si="36"/>
        <v>4</v>
      </c>
      <c r="G59" s="307">
        <f t="shared" si="36"/>
        <v>1</v>
      </c>
      <c r="H59" s="307">
        <f t="shared" si="36"/>
        <v>5</v>
      </c>
      <c r="I59" s="307">
        <f t="shared" si="36"/>
        <v>39</v>
      </c>
      <c r="J59" s="307">
        <f t="shared" si="36"/>
        <v>7</v>
      </c>
      <c r="K59" s="307">
        <f t="shared" si="36"/>
        <v>46</v>
      </c>
      <c r="L59" s="307">
        <f t="shared" si="36"/>
        <v>294</v>
      </c>
      <c r="M59" s="307">
        <f t="shared" si="36"/>
        <v>0</v>
      </c>
      <c r="N59" s="307">
        <f t="shared" si="36"/>
        <v>294</v>
      </c>
      <c r="O59" s="307">
        <f t="shared" si="36"/>
        <v>294</v>
      </c>
      <c r="P59" s="307">
        <f t="shared" si="36"/>
        <v>0</v>
      </c>
      <c r="Q59" s="307">
        <f t="shared" si="36"/>
        <v>294</v>
      </c>
      <c r="R59" s="308">
        <f aca="true" t="shared" si="37" ref="R59:W59">SUM(R46:R57)</f>
        <v>564</v>
      </c>
      <c r="S59" s="308">
        <f t="shared" si="37"/>
        <v>0</v>
      </c>
      <c r="T59" s="308">
        <f t="shared" si="37"/>
        <v>564</v>
      </c>
      <c r="U59" s="308">
        <f t="shared" si="37"/>
        <v>772</v>
      </c>
      <c r="V59" s="308">
        <f t="shared" si="37"/>
        <v>0</v>
      </c>
      <c r="W59" s="308">
        <f t="shared" si="37"/>
        <v>772</v>
      </c>
    </row>
    <row r="60" spans="7:23" ht="14.25"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</row>
    <row r="61" spans="1:23" ht="14.25">
      <c r="A61" s="234" t="s">
        <v>46</v>
      </c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</row>
    <row r="62" spans="2:23" ht="12.75">
      <c r="B62" s="294" t="s">
        <v>1</v>
      </c>
      <c r="C62" s="486" t="s">
        <v>76</v>
      </c>
      <c r="D62" s="487"/>
      <c r="E62" s="488"/>
      <c r="F62" s="486" t="s">
        <v>2</v>
      </c>
      <c r="G62" s="487"/>
      <c r="H62" s="488"/>
      <c r="I62" s="486" t="s">
        <v>3</v>
      </c>
      <c r="J62" s="487"/>
      <c r="K62" s="488"/>
      <c r="L62" s="486" t="s">
        <v>4</v>
      </c>
      <c r="M62" s="487"/>
      <c r="N62" s="488"/>
      <c r="O62" s="486" t="s">
        <v>5</v>
      </c>
      <c r="P62" s="487"/>
      <c r="Q62" s="488"/>
      <c r="R62" s="486" t="s">
        <v>131</v>
      </c>
      <c r="S62" s="487"/>
      <c r="T62" s="488"/>
      <c r="U62" s="486" t="s">
        <v>132</v>
      </c>
      <c r="V62" s="487"/>
      <c r="W62" s="488"/>
    </row>
    <row r="63" spans="2:23" ht="12.75">
      <c r="B63" s="295"/>
      <c r="C63" s="230" t="s">
        <v>7</v>
      </c>
      <c r="D63" s="230" t="s">
        <v>8</v>
      </c>
      <c r="E63" s="230" t="s">
        <v>6</v>
      </c>
      <c r="F63" s="230" t="s">
        <v>7</v>
      </c>
      <c r="G63" s="230" t="s">
        <v>8</v>
      </c>
      <c r="H63" s="230" t="s">
        <v>6</v>
      </c>
      <c r="I63" s="230" t="s">
        <v>7</v>
      </c>
      <c r="J63" s="230" t="s">
        <v>8</v>
      </c>
      <c r="K63" s="230" t="s">
        <v>6</v>
      </c>
      <c r="L63" s="230" t="s">
        <v>7</v>
      </c>
      <c r="M63" s="230" t="s">
        <v>8</v>
      </c>
      <c r="N63" s="230" t="s">
        <v>6</v>
      </c>
      <c r="O63" s="230" t="s">
        <v>7</v>
      </c>
      <c r="P63" s="230" t="s">
        <v>8</v>
      </c>
      <c r="Q63" s="230" t="s">
        <v>6</v>
      </c>
      <c r="R63" s="230" t="s">
        <v>7</v>
      </c>
      <c r="S63" s="230" t="s">
        <v>8</v>
      </c>
      <c r="T63" s="230" t="s">
        <v>6</v>
      </c>
      <c r="U63" s="230" t="s">
        <v>7</v>
      </c>
      <c r="V63" s="230" t="s">
        <v>8</v>
      </c>
      <c r="W63" s="230" t="s">
        <v>6</v>
      </c>
    </row>
    <row r="64" spans="1:23" ht="15">
      <c r="A64" s="485" t="s">
        <v>46</v>
      </c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</row>
    <row r="65" spans="1:23" ht="15">
      <c r="A65" s="485"/>
      <c r="B65" s="297" t="s">
        <v>9</v>
      </c>
      <c r="C65" s="298">
        <v>0</v>
      </c>
      <c r="D65" s="298">
        <v>0</v>
      </c>
      <c r="E65" s="298">
        <f>SUM(C65:D65)</f>
        <v>0</v>
      </c>
      <c r="F65" s="298">
        <v>0</v>
      </c>
      <c r="G65" s="298">
        <v>0</v>
      </c>
      <c r="H65" s="298">
        <f>SUM(F65:G65)</f>
        <v>0</v>
      </c>
      <c r="I65" s="298">
        <v>0</v>
      </c>
      <c r="J65" s="298">
        <v>0</v>
      </c>
      <c r="K65" s="298">
        <f>SUM(I65:J65)</f>
        <v>0</v>
      </c>
      <c r="L65" s="298">
        <v>0</v>
      </c>
      <c r="M65" s="298">
        <v>0</v>
      </c>
      <c r="N65" s="298">
        <f>SUM(L65:M65)</f>
        <v>0</v>
      </c>
      <c r="O65" s="298">
        <v>0</v>
      </c>
      <c r="P65" s="298">
        <v>0</v>
      </c>
      <c r="Q65" s="298">
        <f>SUM(O65:P65)</f>
        <v>0</v>
      </c>
      <c r="R65" s="306">
        <f>L65*4</f>
        <v>0</v>
      </c>
      <c r="S65" s="306">
        <f>M65*4</f>
        <v>0</v>
      </c>
      <c r="T65" s="298">
        <f>SUM(R65:S65)</f>
        <v>0</v>
      </c>
      <c r="U65" s="306">
        <f>O65*4</f>
        <v>0</v>
      </c>
      <c r="V65" s="306">
        <f>P65*4</f>
        <v>0</v>
      </c>
      <c r="W65" s="298">
        <f>SUM(U65:V65)</f>
        <v>0</v>
      </c>
    </row>
    <row r="66" spans="1:23" ht="15">
      <c r="A66" s="485"/>
      <c r="B66" s="300" t="s">
        <v>14</v>
      </c>
      <c r="C66" s="301">
        <v>0</v>
      </c>
      <c r="D66" s="301">
        <v>0</v>
      </c>
      <c r="E66" s="301">
        <f>SUM(C66:D66)</f>
        <v>0</v>
      </c>
      <c r="F66" s="301">
        <v>0</v>
      </c>
      <c r="G66" s="301">
        <v>0</v>
      </c>
      <c r="H66" s="298">
        <f aca="true" t="shared" si="38" ref="H66:H76">SUM(F66:G66)</f>
        <v>0</v>
      </c>
      <c r="I66" s="301">
        <v>0</v>
      </c>
      <c r="J66" s="301">
        <v>0</v>
      </c>
      <c r="K66" s="298">
        <f aca="true" t="shared" si="39" ref="K66:K76">SUM(I66:J66)</f>
        <v>0</v>
      </c>
      <c r="L66" s="301">
        <v>0</v>
      </c>
      <c r="M66" s="301">
        <v>0</v>
      </c>
      <c r="N66" s="298">
        <f aca="true" t="shared" si="40" ref="N66:N76">SUM(L66:M66)</f>
        <v>0</v>
      </c>
      <c r="O66" s="301">
        <v>0</v>
      </c>
      <c r="P66" s="301">
        <v>0</v>
      </c>
      <c r="Q66" s="298">
        <f aca="true" t="shared" si="41" ref="Q66:Q76">SUM(O66:P66)</f>
        <v>0</v>
      </c>
      <c r="R66" s="306">
        <f aca="true" t="shared" si="42" ref="R66:R72">L66*4</f>
        <v>0</v>
      </c>
      <c r="S66" s="306">
        <f aca="true" t="shared" si="43" ref="S66:S73">M66*4</f>
        <v>0</v>
      </c>
      <c r="T66" s="298">
        <f aca="true" t="shared" si="44" ref="T66:T76">SUM(R66:S66)</f>
        <v>0</v>
      </c>
      <c r="U66" s="306">
        <f aca="true" t="shared" si="45" ref="U66:U72">O66*4</f>
        <v>0</v>
      </c>
      <c r="V66" s="306">
        <f aca="true" t="shared" si="46" ref="V66:V73">P66*4</f>
        <v>0</v>
      </c>
      <c r="W66" s="298">
        <f aca="true" t="shared" si="47" ref="W66:W76">SUM(U66:V66)</f>
        <v>0</v>
      </c>
    </row>
    <row r="67" spans="1:23" ht="15">
      <c r="A67" s="485"/>
      <c r="B67" s="300" t="s">
        <v>15</v>
      </c>
      <c r="C67" s="301">
        <v>0</v>
      </c>
      <c r="D67" s="301">
        <v>0</v>
      </c>
      <c r="E67" s="301">
        <f>SUM(C67:D67)</f>
        <v>0</v>
      </c>
      <c r="F67" s="301">
        <v>0</v>
      </c>
      <c r="G67" s="301">
        <v>0</v>
      </c>
      <c r="H67" s="298">
        <f t="shared" si="38"/>
        <v>0</v>
      </c>
      <c r="I67" s="301">
        <v>0</v>
      </c>
      <c r="J67" s="301">
        <v>0</v>
      </c>
      <c r="K67" s="298">
        <f t="shared" si="39"/>
        <v>0</v>
      </c>
      <c r="L67" s="301">
        <v>0</v>
      </c>
      <c r="M67" s="301">
        <v>0</v>
      </c>
      <c r="N67" s="298">
        <f t="shared" si="40"/>
        <v>0</v>
      </c>
      <c r="O67" s="301">
        <v>0</v>
      </c>
      <c r="P67" s="301">
        <v>0</v>
      </c>
      <c r="Q67" s="298">
        <f t="shared" si="41"/>
        <v>0</v>
      </c>
      <c r="R67" s="306">
        <f t="shared" si="42"/>
        <v>0</v>
      </c>
      <c r="S67" s="306">
        <f t="shared" si="43"/>
        <v>0</v>
      </c>
      <c r="T67" s="298">
        <f t="shared" si="44"/>
        <v>0</v>
      </c>
      <c r="U67" s="306">
        <f t="shared" si="45"/>
        <v>0</v>
      </c>
      <c r="V67" s="306">
        <f t="shared" si="46"/>
        <v>0</v>
      </c>
      <c r="W67" s="298">
        <f t="shared" si="47"/>
        <v>0</v>
      </c>
    </row>
    <row r="68" spans="1:23" ht="15.75">
      <c r="A68" s="485"/>
      <c r="B68" s="300" t="s">
        <v>16</v>
      </c>
      <c r="C68" s="301">
        <v>0</v>
      </c>
      <c r="D68" s="299">
        <v>0</v>
      </c>
      <c r="E68" s="299">
        <v>0</v>
      </c>
      <c r="F68" s="301">
        <v>0</v>
      </c>
      <c r="G68" s="299">
        <v>0</v>
      </c>
      <c r="H68" s="298">
        <f t="shared" si="38"/>
        <v>0</v>
      </c>
      <c r="I68" s="301">
        <v>0</v>
      </c>
      <c r="J68" s="299">
        <v>0</v>
      </c>
      <c r="K68" s="298">
        <f t="shared" si="39"/>
        <v>0</v>
      </c>
      <c r="L68" s="301">
        <v>0</v>
      </c>
      <c r="M68" s="299">
        <v>0</v>
      </c>
      <c r="N68" s="298">
        <f t="shared" si="40"/>
        <v>0</v>
      </c>
      <c r="O68" s="301">
        <v>0</v>
      </c>
      <c r="P68" s="299">
        <v>0</v>
      </c>
      <c r="Q68" s="298">
        <f t="shared" si="41"/>
        <v>0</v>
      </c>
      <c r="R68" s="306">
        <f t="shared" si="42"/>
        <v>0</v>
      </c>
      <c r="S68" s="306">
        <f t="shared" si="43"/>
        <v>0</v>
      </c>
      <c r="T68" s="298">
        <f t="shared" si="44"/>
        <v>0</v>
      </c>
      <c r="U68" s="306">
        <f t="shared" si="45"/>
        <v>0</v>
      </c>
      <c r="V68" s="306">
        <f t="shared" si="46"/>
        <v>0</v>
      </c>
      <c r="W68" s="298">
        <f t="shared" si="47"/>
        <v>0</v>
      </c>
    </row>
    <row r="69" spans="1:23" ht="15">
      <c r="A69" s="485"/>
      <c r="B69" s="300" t="s">
        <v>17</v>
      </c>
      <c r="C69" s="298">
        <v>0</v>
      </c>
      <c r="D69" s="298">
        <v>0</v>
      </c>
      <c r="E69" s="298">
        <f>SUM(C69:D69)</f>
        <v>0</v>
      </c>
      <c r="F69" s="298">
        <v>0</v>
      </c>
      <c r="G69" s="298">
        <v>0</v>
      </c>
      <c r="H69" s="298">
        <f t="shared" si="38"/>
        <v>0</v>
      </c>
      <c r="I69" s="298">
        <v>0</v>
      </c>
      <c r="J69" s="298">
        <v>0</v>
      </c>
      <c r="K69" s="298">
        <f t="shared" si="39"/>
        <v>0</v>
      </c>
      <c r="L69" s="298">
        <v>0</v>
      </c>
      <c r="M69" s="298">
        <v>0</v>
      </c>
      <c r="N69" s="298">
        <f t="shared" si="40"/>
        <v>0</v>
      </c>
      <c r="O69" s="298">
        <v>0</v>
      </c>
      <c r="P69" s="298">
        <v>0</v>
      </c>
      <c r="Q69" s="298">
        <f t="shared" si="41"/>
        <v>0</v>
      </c>
      <c r="R69" s="306">
        <f t="shared" si="42"/>
        <v>0</v>
      </c>
      <c r="S69" s="306">
        <f t="shared" si="43"/>
        <v>0</v>
      </c>
      <c r="T69" s="298">
        <f t="shared" si="44"/>
        <v>0</v>
      </c>
      <c r="U69" s="306">
        <f t="shared" si="45"/>
        <v>0</v>
      </c>
      <c r="V69" s="306">
        <f t="shared" si="46"/>
        <v>0</v>
      </c>
      <c r="W69" s="298">
        <f t="shared" si="47"/>
        <v>0</v>
      </c>
    </row>
    <row r="70" spans="1:23" ht="15">
      <c r="A70" s="485"/>
      <c r="B70" s="300" t="s">
        <v>18</v>
      </c>
      <c r="C70" s="301">
        <v>0</v>
      </c>
      <c r="D70" s="301">
        <v>0</v>
      </c>
      <c r="E70" s="301">
        <f>SUM(C70:D70)</f>
        <v>0</v>
      </c>
      <c r="F70" s="301">
        <v>0</v>
      </c>
      <c r="G70" s="301">
        <v>0</v>
      </c>
      <c r="H70" s="298">
        <f t="shared" si="38"/>
        <v>0</v>
      </c>
      <c r="I70" s="301">
        <v>0</v>
      </c>
      <c r="J70" s="301">
        <v>0</v>
      </c>
      <c r="K70" s="298">
        <f t="shared" si="39"/>
        <v>0</v>
      </c>
      <c r="L70" s="301">
        <v>0</v>
      </c>
      <c r="M70" s="301">
        <v>0</v>
      </c>
      <c r="N70" s="298">
        <f t="shared" si="40"/>
        <v>0</v>
      </c>
      <c r="O70" s="301">
        <v>0</v>
      </c>
      <c r="P70" s="301">
        <v>0</v>
      </c>
      <c r="Q70" s="298">
        <f t="shared" si="41"/>
        <v>0</v>
      </c>
      <c r="R70" s="306">
        <f t="shared" si="42"/>
        <v>0</v>
      </c>
      <c r="S70" s="306">
        <f t="shared" si="43"/>
        <v>0</v>
      </c>
      <c r="T70" s="298">
        <f t="shared" si="44"/>
        <v>0</v>
      </c>
      <c r="U70" s="306">
        <f t="shared" si="45"/>
        <v>0</v>
      </c>
      <c r="V70" s="306">
        <f t="shared" si="46"/>
        <v>0</v>
      </c>
      <c r="W70" s="298">
        <f t="shared" si="47"/>
        <v>0</v>
      </c>
    </row>
    <row r="71" spans="1:23" ht="15.75">
      <c r="A71" s="485"/>
      <c r="B71" s="300" t="s">
        <v>19</v>
      </c>
      <c r="C71" s="299">
        <v>0</v>
      </c>
      <c r="D71" s="299">
        <v>0</v>
      </c>
      <c r="E71" s="299">
        <v>0</v>
      </c>
      <c r="F71" s="299">
        <v>0</v>
      </c>
      <c r="G71" s="299">
        <v>0</v>
      </c>
      <c r="H71" s="298">
        <f t="shared" si="38"/>
        <v>0</v>
      </c>
      <c r="I71" s="299">
        <v>0</v>
      </c>
      <c r="J71" s="299">
        <v>0</v>
      </c>
      <c r="K71" s="298">
        <f t="shared" si="39"/>
        <v>0</v>
      </c>
      <c r="L71" s="299">
        <v>0</v>
      </c>
      <c r="M71" s="299">
        <v>0</v>
      </c>
      <c r="N71" s="298">
        <f t="shared" si="40"/>
        <v>0</v>
      </c>
      <c r="O71" s="299">
        <v>0</v>
      </c>
      <c r="P71" s="299">
        <v>0</v>
      </c>
      <c r="Q71" s="298">
        <f t="shared" si="41"/>
        <v>0</v>
      </c>
      <c r="R71" s="306">
        <f t="shared" si="42"/>
        <v>0</v>
      </c>
      <c r="S71" s="306">
        <f t="shared" si="43"/>
        <v>0</v>
      </c>
      <c r="T71" s="298">
        <f t="shared" si="44"/>
        <v>0</v>
      </c>
      <c r="U71" s="306">
        <f t="shared" si="45"/>
        <v>0</v>
      </c>
      <c r="V71" s="306">
        <f t="shared" si="46"/>
        <v>0</v>
      </c>
      <c r="W71" s="298">
        <f t="shared" si="47"/>
        <v>0</v>
      </c>
    </row>
    <row r="72" spans="1:23" ht="15">
      <c r="A72" s="485"/>
      <c r="B72" s="300" t="s">
        <v>20</v>
      </c>
      <c r="C72" s="301">
        <v>0</v>
      </c>
      <c r="D72" s="301">
        <v>0</v>
      </c>
      <c r="E72" s="301">
        <f>SUM(C72:D72)</f>
        <v>0</v>
      </c>
      <c r="F72" s="301">
        <v>0</v>
      </c>
      <c r="G72" s="301">
        <v>0</v>
      </c>
      <c r="H72" s="298">
        <f t="shared" si="38"/>
        <v>0</v>
      </c>
      <c r="I72" s="301">
        <v>0</v>
      </c>
      <c r="J72" s="301">
        <v>0</v>
      </c>
      <c r="K72" s="298">
        <f t="shared" si="39"/>
        <v>0</v>
      </c>
      <c r="L72" s="301">
        <v>0</v>
      </c>
      <c r="M72" s="301">
        <v>0</v>
      </c>
      <c r="N72" s="298">
        <f t="shared" si="40"/>
        <v>0</v>
      </c>
      <c r="O72" s="301">
        <v>0</v>
      </c>
      <c r="P72" s="301">
        <v>0</v>
      </c>
      <c r="Q72" s="298">
        <f t="shared" si="41"/>
        <v>0</v>
      </c>
      <c r="R72" s="306">
        <f t="shared" si="42"/>
        <v>0</v>
      </c>
      <c r="S72" s="306">
        <f t="shared" si="43"/>
        <v>0</v>
      </c>
      <c r="T72" s="298">
        <f t="shared" si="44"/>
        <v>0</v>
      </c>
      <c r="U72" s="306">
        <f t="shared" si="45"/>
        <v>0</v>
      </c>
      <c r="V72" s="306">
        <f t="shared" si="46"/>
        <v>0</v>
      </c>
      <c r="W72" s="298">
        <f t="shared" si="47"/>
        <v>0</v>
      </c>
    </row>
    <row r="73" spans="1:23" ht="15">
      <c r="A73" s="485"/>
      <c r="B73" s="300" t="s">
        <v>21</v>
      </c>
      <c r="C73" s="301">
        <v>0</v>
      </c>
      <c r="D73" s="301">
        <v>0</v>
      </c>
      <c r="E73" s="301">
        <f>SUM(C73:D73)</f>
        <v>0</v>
      </c>
      <c r="F73" s="301">
        <v>27</v>
      </c>
      <c r="G73" s="301">
        <v>0</v>
      </c>
      <c r="H73" s="298">
        <f t="shared" si="38"/>
        <v>27</v>
      </c>
      <c r="I73" s="301">
        <v>33</v>
      </c>
      <c r="J73" s="301">
        <v>0</v>
      </c>
      <c r="K73" s="298">
        <f t="shared" si="39"/>
        <v>33</v>
      </c>
      <c r="L73" s="301">
        <v>318</v>
      </c>
      <c r="M73" s="301">
        <v>0</v>
      </c>
      <c r="N73" s="298">
        <f t="shared" si="40"/>
        <v>318</v>
      </c>
      <c r="O73" s="301">
        <v>206</v>
      </c>
      <c r="P73" s="301">
        <v>0</v>
      </c>
      <c r="Q73" s="298">
        <f t="shared" si="41"/>
        <v>206</v>
      </c>
      <c r="R73" s="306">
        <v>0</v>
      </c>
      <c r="S73" s="306">
        <f t="shared" si="43"/>
        <v>0</v>
      </c>
      <c r="T73" s="298">
        <f t="shared" si="44"/>
        <v>0</v>
      </c>
      <c r="U73" s="306">
        <v>0</v>
      </c>
      <c r="V73" s="306">
        <f t="shared" si="46"/>
        <v>0</v>
      </c>
      <c r="W73" s="298">
        <f t="shared" si="47"/>
        <v>0</v>
      </c>
    </row>
    <row r="74" spans="1:23" ht="15.75">
      <c r="A74" s="485"/>
      <c r="B74" s="300" t="s">
        <v>22</v>
      </c>
      <c r="C74" s="299">
        <v>0</v>
      </c>
      <c r="D74" s="299">
        <v>0</v>
      </c>
      <c r="E74" s="299">
        <v>0</v>
      </c>
      <c r="F74" s="299">
        <v>0</v>
      </c>
      <c r="G74" s="299">
        <v>0</v>
      </c>
      <c r="H74" s="298">
        <f t="shared" si="38"/>
        <v>0</v>
      </c>
      <c r="I74" s="299">
        <v>0</v>
      </c>
      <c r="J74" s="299">
        <v>0</v>
      </c>
      <c r="K74" s="298">
        <f t="shared" si="39"/>
        <v>0</v>
      </c>
      <c r="L74" s="299">
        <v>0</v>
      </c>
      <c r="M74" s="299">
        <v>0</v>
      </c>
      <c r="N74" s="298">
        <f t="shared" si="40"/>
        <v>0</v>
      </c>
      <c r="O74" s="299">
        <v>0</v>
      </c>
      <c r="P74" s="299">
        <v>0</v>
      </c>
      <c r="Q74" s="298">
        <f t="shared" si="41"/>
        <v>0</v>
      </c>
      <c r="R74" s="306">
        <f aca="true" t="shared" si="48" ref="R74:S76">L74*4</f>
        <v>0</v>
      </c>
      <c r="S74" s="306">
        <f t="shared" si="48"/>
        <v>0</v>
      </c>
      <c r="T74" s="298">
        <f t="shared" si="44"/>
        <v>0</v>
      </c>
      <c r="U74" s="306">
        <f aca="true" t="shared" si="49" ref="U74:V76">O74*4</f>
        <v>0</v>
      </c>
      <c r="V74" s="306">
        <f t="shared" si="49"/>
        <v>0</v>
      </c>
      <c r="W74" s="298">
        <f t="shared" si="47"/>
        <v>0</v>
      </c>
    </row>
    <row r="75" spans="1:23" ht="15">
      <c r="A75" s="485"/>
      <c r="B75" s="300" t="s">
        <v>23</v>
      </c>
      <c r="C75" s="301">
        <v>0</v>
      </c>
      <c r="D75" s="301">
        <v>0</v>
      </c>
      <c r="E75" s="301">
        <f>SUM(C75:D75)</f>
        <v>0</v>
      </c>
      <c r="F75" s="301">
        <v>0</v>
      </c>
      <c r="G75" s="301">
        <v>0</v>
      </c>
      <c r="H75" s="298">
        <f t="shared" si="38"/>
        <v>0</v>
      </c>
      <c r="I75" s="301">
        <v>0</v>
      </c>
      <c r="J75" s="301">
        <v>0</v>
      </c>
      <c r="K75" s="298">
        <f t="shared" si="39"/>
        <v>0</v>
      </c>
      <c r="L75" s="301">
        <v>0</v>
      </c>
      <c r="M75" s="301">
        <v>0</v>
      </c>
      <c r="N75" s="298">
        <f t="shared" si="40"/>
        <v>0</v>
      </c>
      <c r="O75" s="301">
        <v>0</v>
      </c>
      <c r="P75" s="301">
        <v>0</v>
      </c>
      <c r="Q75" s="298">
        <f t="shared" si="41"/>
        <v>0</v>
      </c>
      <c r="R75" s="306">
        <f t="shared" si="48"/>
        <v>0</v>
      </c>
      <c r="S75" s="306">
        <f t="shared" si="48"/>
        <v>0</v>
      </c>
      <c r="T75" s="298">
        <f t="shared" si="44"/>
        <v>0</v>
      </c>
      <c r="U75" s="306">
        <f t="shared" si="49"/>
        <v>0</v>
      </c>
      <c r="V75" s="306">
        <f t="shared" si="49"/>
        <v>0</v>
      </c>
      <c r="W75" s="298">
        <f t="shared" si="47"/>
        <v>0</v>
      </c>
    </row>
    <row r="76" spans="1:23" ht="15">
      <c r="A76" s="485"/>
      <c r="B76" s="303" t="s">
        <v>24</v>
      </c>
      <c r="C76" s="304">
        <v>0</v>
      </c>
      <c r="D76" s="304">
        <v>0</v>
      </c>
      <c r="E76" s="304">
        <f>SUM(C76:D76)</f>
        <v>0</v>
      </c>
      <c r="F76" s="304">
        <v>0</v>
      </c>
      <c r="G76" s="304">
        <v>0</v>
      </c>
      <c r="H76" s="310">
        <f t="shared" si="38"/>
        <v>0</v>
      </c>
      <c r="I76" s="304">
        <v>0</v>
      </c>
      <c r="J76" s="304">
        <v>0</v>
      </c>
      <c r="K76" s="310">
        <f t="shared" si="39"/>
        <v>0</v>
      </c>
      <c r="L76" s="304">
        <v>0</v>
      </c>
      <c r="M76" s="304">
        <v>0</v>
      </c>
      <c r="N76" s="310">
        <f t="shared" si="40"/>
        <v>0</v>
      </c>
      <c r="O76" s="304">
        <v>0</v>
      </c>
      <c r="P76" s="304">
        <v>0</v>
      </c>
      <c r="Q76" s="310">
        <f t="shared" si="41"/>
        <v>0</v>
      </c>
      <c r="R76" s="314">
        <f t="shared" si="48"/>
        <v>0</v>
      </c>
      <c r="S76" s="314">
        <f t="shared" si="48"/>
        <v>0</v>
      </c>
      <c r="T76" s="310">
        <f t="shared" si="44"/>
        <v>0</v>
      </c>
      <c r="U76" s="314">
        <f t="shared" si="49"/>
        <v>0</v>
      </c>
      <c r="V76" s="314">
        <f t="shared" si="49"/>
        <v>0</v>
      </c>
      <c r="W76" s="310">
        <f t="shared" si="47"/>
        <v>0</v>
      </c>
    </row>
    <row r="77" spans="1:23" ht="15">
      <c r="A77" s="485"/>
      <c r="B77" s="305"/>
      <c r="C77" s="301"/>
      <c r="D77" s="301"/>
      <c r="E77" s="301"/>
      <c r="F77" s="301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</row>
    <row r="78" spans="1:23" ht="15">
      <c r="A78" s="485"/>
      <c r="B78" s="300" t="s">
        <v>46</v>
      </c>
      <c r="C78" s="309">
        <f aca="true" t="shared" si="50" ref="C78:W78">SUM(C65:C76)</f>
        <v>0</v>
      </c>
      <c r="D78" s="309">
        <f t="shared" si="50"/>
        <v>0</v>
      </c>
      <c r="E78" s="309">
        <f t="shared" si="50"/>
        <v>0</v>
      </c>
      <c r="F78" s="309">
        <f t="shared" si="50"/>
        <v>27</v>
      </c>
      <c r="G78" s="315">
        <f t="shared" si="50"/>
        <v>0</v>
      </c>
      <c r="H78" s="315">
        <f t="shared" si="50"/>
        <v>27</v>
      </c>
      <c r="I78" s="315">
        <f t="shared" si="50"/>
        <v>33</v>
      </c>
      <c r="J78" s="315">
        <f t="shared" si="50"/>
        <v>0</v>
      </c>
      <c r="K78" s="315">
        <f t="shared" si="50"/>
        <v>33</v>
      </c>
      <c r="L78" s="315">
        <f t="shared" si="50"/>
        <v>318</v>
      </c>
      <c r="M78" s="315">
        <f t="shared" si="50"/>
        <v>0</v>
      </c>
      <c r="N78" s="315">
        <f t="shared" si="50"/>
        <v>318</v>
      </c>
      <c r="O78" s="315">
        <f t="shared" si="50"/>
        <v>206</v>
      </c>
      <c r="P78" s="315">
        <f t="shared" si="50"/>
        <v>0</v>
      </c>
      <c r="Q78" s="315">
        <f t="shared" si="50"/>
        <v>206</v>
      </c>
      <c r="R78" s="315">
        <f t="shared" si="50"/>
        <v>0</v>
      </c>
      <c r="S78" s="315">
        <f t="shared" si="50"/>
        <v>0</v>
      </c>
      <c r="T78" s="315">
        <f t="shared" si="50"/>
        <v>0</v>
      </c>
      <c r="U78" s="315">
        <f t="shared" si="50"/>
        <v>0</v>
      </c>
      <c r="V78" s="315">
        <f t="shared" si="50"/>
        <v>0</v>
      </c>
      <c r="W78" s="315">
        <f t="shared" si="50"/>
        <v>0</v>
      </c>
    </row>
    <row r="79" spans="7:23" ht="14.25"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</row>
    <row r="80" spans="1:23" ht="14.25">
      <c r="A80" s="234" t="s">
        <v>47</v>
      </c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</row>
    <row r="81" spans="2:23" ht="12.75">
      <c r="B81" s="294" t="s">
        <v>1</v>
      </c>
      <c r="C81" s="486" t="s">
        <v>76</v>
      </c>
      <c r="D81" s="487"/>
      <c r="E81" s="488"/>
      <c r="F81" s="486" t="s">
        <v>2</v>
      </c>
      <c r="G81" s="487"/>
      <c r="H81" s="488"/>
      <c r="I81" s="486" t="s">
        <v>3</v>
      </c>
      <c r="J81" s="487"/>
      <c r="K81" s="488"/>
      <c r="L81" s="486" t="s">
        <v>4</v>
      </c>
      <c r="M81" s="487"/>
      <c r="N81" s="488"/>
      <c r="O81" s="486" t="s">
        <v>5</v>
      </c>
      <c r="P81" s="487"/>
      <c r="Q81" s="488"/>
      <c r="R81" s="486" t="s">
        <v>131</v>
      </c>
      <c r="S81" s="487"/>
      <c r="T81" s="488"/>
      <c r="U81" s="486" t="s">
        <v>132</v>
      </c>
      <c r="V81" s="487"/>
      <c r="W81" s="488"/>
    </row>
    <row r="82" spans="2:23" ht="12.75">
      <c r="B82" s="295"/>
      <c r="C82" s="230" t="s">
        <v>7</v>
      </c>
      <c r="D82" s="230" t="s">
        <v>8</v>
      </c>
      <c r="E82" s="230" t="s">
        <v>6</v>
      </c>
      <c r="F82" s="230" t="s">
        <v>7</v>
      </c>
      <c r="G82" s="230" t="s">
        <v>8</v>
      </c>
      <c r="H82" s="230" t="s">
        <v>6</v>
      </c>
      <c r="I82" s="230" t="s">
        <v>7</v>
      </c>
      <c r="J82" s="230" t="s">
        <v>8</v>
      </c>
      <c r="K82" s="230" t="s">
        <v>6</v>
      </c>
      <c r="L82" s="230" t="s">
        <v>7</v>
      </c>
      <c r="M82" s="230" t="s">
        <v>8</v>
      </c>
      <c r="N82" s="230" t="s">
        <v>6</v>
      </c>
      <c r="O82" s="230" t="s">
        <v>7</v>
      </c>
      <c r="P82" s="230" t="s">
        <v>8</v>
      </c>
      <c r="Q82" s="230" t="s">
        <v>6</v>
      </c>
      <c r="R82" s="230" t="s">
        <v>7</v>
      </c>
      <c r="S82" s="230" t="s">
        <v>8</v>
      </c>
      <c r="T82" s="230" t="s">
        <v>6</v>
      </c>
      <c r="U82" s="230" t="s">
        <v>7</v>
      </c>
      <c r="V82" s="230" t="s">
        <v>8</v>
      </c>
      <c r="W82" s="230" t="s">
        <v>6</v>
      </c>
    </row>
    <row r="83" spans="1:23" ht="15">
      <c r="A83" s="485" t="s">
        <v>47</v>
      </c>
      <c r="B83" s="296"/>
      <c r="C83" s="296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</row>
    <row r="84" spans="1:23" ht="15">
      <c r="A84" s="485"/>
      <c r="B84" s="297" t="s">
        <v>9</v>
      </c>
      <c r="C84" s="309">
        <v>0</v>
      </c>
      <c r="D84" s="309">
        <v>0</v>
      </c>
      <c r="E84" s="309">
        <f aca="true" t="shared" si="51" ref="E84:E89">SUM(C84:D84)</f>
        <v>0</v>
      </c>
      <c r="F84" s="309">
        <v>0</v>
      </c>
      <c r="G84" s="309">
        <v>0</v>
      </c>
      <c r="H84" s="298">
        <f>SUM(F84:G84)</f>
        <v>0</v>
      </c>
      <c r="I84" s="309">
        <v>0</v>
      </c>
      <c r="J84" s="309">
        <v>0</v>
      </c>
      <c r="K84" s="298">
        <f>SUM(I84:J84)</f>
        <v>0</v>
      </c>
      <c r="L84" s="309">
        <v>7</v>
      </c>
      <c r="M84" s="309">
        <v>0</v>
      </c>
      <c r="N84" s="298">
        <f>SUM(L84:M84)</f>
        <v>7</v>
      </c>
      <c r="O84" s="309">
        <v>22</v>
      </c>
      <c r="P84" s="309">
        <v>0</v>
      </c>
      <c r="Q84" s="298">
        <f>SUM(O84:P84)</f>
        <v>22</v>
      </c>
      <c r="R84" s="306">
        <f>L84*4</f>
        <v>28</v>
      </c>
      <c r="S84" s="306">
        <f>M84*4</f>
        <v>0</v>
      </c>
      <c r="T84" s="298">
        <f>SUM(R84:S84)</f>
        <v>28</v>
      </c>
      <c r="U84" s="306">
        <f>O84*4</f>
        <v>88</v>
      </c>
      <c r="V84" s="306">
        <f>P84*4</f>
        <v>0</v>
      </c>
      <c r="W84" s="298">
        <f>SUM(U84:V84)</f>
        <v>88</v>
      </c>
    </row>
    <row r="85" spans="1:23" ht="15">
      <c r="A85" s="485"/>
      <c r="B85" s="300" t="s">
        <v>14</v>
      </c>
      <c r="C85" s="309">
        <v>0</v>
      </c>
      <c r="D85" s="309">
        <v>0</v>
      </c>
      <c r="E85" s="309">
        <f t="shared" si="51"/>
        <v>0</v>
      </c>
      <c r="F85" s="309">
        <v>0</v>
      </c>
      <c r="G85" s="309">
        <v>0</v>
      </c>
      <c r="H85" s="298">
        <f aca="true" t="shared" si="52" ref="H85:H95">SUM(F85:G85)</f>
        <v>0</v>
      </c>
      <c r="I85" s="309">
        <v>0</v>
      </c>
      <c r="J85" s="309">
        <v>0</v>
      </c>
      <c r="K85" s="298">
        <f aca="true" t="shared" si="53" ref="K85:K95">SUM(I85:J85)</f>
        <v>0</v>
      </c>
      <c r="L85" s="309">
        <v>9</v>
      </c>
      <c r="M85" s="309">
        <v>0</v>
      </c>
      <c r="N85" s="298">
        <f aca="true" t="shared" si="54" ref="N85:N95">SUM(L85:M85)</f>
        <v>9</v>
      </c>
      <c r="O85" s="309">
        <v>19</v>
      </c>
      <c r="P85" s="309">
        <v>0</v>
      </c>
      <c r="Q85" s="298">
        <f aca="true" t="shared" si="55" ref="Q85:Q95">SUM(O85:P85)</f>
        <v>19</v>
      </c>
      <c r="R85" s="306">
        <f aca="true" t="shared" si="56" ref="R85:R91">L85*4</f>
        <v>36</v>
      </c>
      <c r="S85" s="306">
        <f aca="true" t="shared" si="57" ref="S85:S91">M85*4</f>
        <v>0</v>
      </c>
      <c r="T85" s="298">
        <f aca="true" t="shared" si="58" ref="T85:T95">SUM(R85:S85)</f>
        <v>36</v>
      </c>
      <c r="U85" s="306">
        <f aca="true" t="shared" si="59" ref="U85:U91">O85*4</f>
        <v>76</v>
      </c>
      <c r="V85" s="306">
        <f aca="true" t="shared" si="60" ref="V85:V91">P85*4</f>
        <v>0</v>
      </c>
      <c r="W85" s="298">
        <f aca="true" t="shared" si="61" ref="W85:W95">SUM(U85:V85)</f>
        <v>76</v>
      </c>
    </row>
    <row r="86" spans="1:23" ht="15">
      <c r="A86" s="485"/>
      <c r="B86" s="300" t="s">
        <v>15</v>
      </c>
      <c r="C86" s="301">
        <v>0</v>
      </c>
      <c r="D86" s="301">
        <v>0</v>
      </c>
      <c r="E86" s="301">
        <f t="shared" si="51"/>
        <v>0</v>
      </c>
      <c r="F86" s="301">
        <v>0</v>
      </c>
      <c r="G86" s="301">
        <v>0</v>
      </c>
      <c r="H86" s="298">
        <f t="shared" si="52"/>
        <v>0</v>
      </c>
      <c r="I86" s="301">
        <v>0</v>
      </c>
      <c r="J86" s="301">
        <v>0</v>
      </c>
      <c r="K86" s="298">
        <f t="shared" si="53"/>
        <v>0</v>
      </c>
      <c r="L86" s="301">
        <v>7</v>
      </c>
      <c r="M86" s="301">
        <v>0</v>
      </c>
      <c r="N86" s="298">
        <f t="shared" si="54"/>
        <v>7</v>
      </c>
      <c r="O86" s="301">
        <v>22</v>
      </c>
      <c r="P86" s="301">
        <v>0</v>
      </c>
      <c r="Q86" s="298">
        <f t="shared" si="55"/>
        <v>22</v>
      </c>
      <c r="R86" s="306">
        <f t="shared" si="56"/>
        <v>28</v>
      </c>
      <c r="S86" s="306">
        <f t="shared" si="57"/>
        <v>0</v>
      </c>
      <c r="T86" s="298">
        <f t="shared" si="58"/>
        <v>28</v>
      </c>
      <c r="U86" s="306">
        <f t="shared" si="59"/>
        <v>88</v>
      </c>
      <c r="V86" s="306">
        <f t="shared" si="60"/>
        <v>0</v>
      </c>
      <c r="W86" s="298">
        <f t="shared" si="61"/>
        <v>88</v>
      </c>
    </row>
    <row r="87" spans="1:23" ht="15">
      <c r="A87" s="485"/>
      <c r="B87" s="300" t="s">
        <v>16</v>
      </c>
      <c r="C87" s="309">
        <v>0</v>
      </c>
      <c r="D87" s="309">
        <v>0</v>
      </c>
      <c r="E87" s="309">
        <f t="shared" si="51"/>
        <v>0</v>
      </c>
      <c r="F87" s="309">
        <v>0</v>
      </c>
      <c r="G87" s="309">
        <v>0</v>
      </c>
      <c r="H87" s="298">
        <f t="shared" si="52"/>
        <v>0</v>
      </c>
      <c r="I87" s="309">
        <v>0</v>
      </c>
      <c r="J87" s="309">
        <v>0</v>
      </c>
      <c r="K87" s="298">
        <f t="shared" si="53"/>
        <v>0</v>
      </c>
      <c r="L87" s="309">
        <v>6</v>
      </c>
      <c r="M87" s="309">
        <v>0</v>
      </c>
      <c r="N87" s="298">
        <f t="shared" si="54"/>
        <v>6</v>
      </c>
      <c r="O87" s="309">
        <v>24</v>
      </c>
      <c r="P87" s="309">
        <v>0</v>
      </c>
      <c r="Q87" s="298">
        <f t="shared" si="55"/>
        <v>24</v>
      </c>
      <c r="R87" s="306">
        <f t="shared" si="56"/>
        <v>24</v>
      </c>
      <c r="S87" s="306">
        <f t="shared" si="57"/>
        <v>0</v>
      </c>
      <c r="T87" s="298">
        <f t="shared" si="58"/>
        <v>24</v>
      </c>
      <c r="U87" s="306">
        <f t="shared" si="59"/>
        <v>96</v>
      </c>
      <c r="V87" s="306">
        <f t="shared" si="60"/>
        <v>0</v>
      </c>
      <c r="W87" s="298">
        <f t="shared" si="61"/>
        <v>96</v>
      </c>
    </row>
    <row r="88" spans="1:23" ht="15">
      <c r="A88" s="485"/>
      <c r="B88" s="300" t="s">
        <v>17</v>
      </c>
      <c r="C88" s="309">
        <v>0</v>
      </c>
      <c r="D88" s="309">
        <v>0</v>
      </c>
      <c r="E88" s="309">
        <f t="shared" si="51"/>
        <v>0</v>
      </c>
      <c r="F88" s="309">
        <v>0</v>
      </c>
      <c r="G88" s="309">
        <v>0</v>
      </c>
      <c r="H88" s="298">
        <f t="shared" si="52"/>
        <v>0</v>
      </c>
      <c r="I88" s="309">
        <v>0</v>
      </c>
      <c r="J88" s="309">
        <v>0</v>
      </c>
      <c r="K88" s="298">
        <f t="shared" si="53"/>
        <v>0</v>
      </c>
      <c r="L88" s="309">
        <v>9</v>
      </c>
      <c r="M88" s="309">
        <v>0</v>
      </c>
      <c r="N88" s="298">
        <f t="shared" si="54"/>
        <v>9</v>
      </c>
      <c r="O88" s="309">
        <v>20</v>
      </c>
      <c r="P88" s="309">
        <v>0</v>
      </c>
      <c r="Q88" s="298">
        <f t="shared" si="55"/>
        <v>20</v>
      </c>
      <c r="R88" s="306">
        <f t="shared" si="56"/>
        <v>36</v>
      </c>
      <c r="S88" s="306">
        <f t="shared" si="57"/>
        <v>0</v>
      </c>
      <c r="T88" s="298">
        <f t="shared" si="58"/>
        <v>36</v>
      </c>
      <c r="U88" s="306">
        <f t="shared" si="59"/>
        <v>80</v>
      </c>
      <c r="V88" s="306">
        <f t="shared" si="60"/>
        <v>0</v>
      </c>
      <c r="W88" s="298">
        <f t="shared" si="61"/>
        <v>80</v>
      </c>
    </row>
    <row r="89" spans="1:23" ht="15">
      <c r="A89" s="485"/>
      <c r="B89" s="300" t="s">
        <v>18</v>
      </c>
      <c r="C89" s="309">
        <v>0</v>
      </c>
      <c r="D89" s="309">
        <v>0</v>
      </c>
      <c r="E89" s="309">
        <f t="shared" si="51"/>
        <v>0</v>
      </c>
      <c r="F89" s="309">
        <v>0</v>
      </c>
      <c r="G89" s="309">
        <v>0</v>
      </c>
      <c r="H89" s="298">
        <f t="shared" si="52"/>
        <v>0</v>
      </c>
      <c r="I89" s="309">
        <v>0</v>
      </c>
      <c r="J89" s="309">
        <v>0</v>
      </c>
      <c r="K89" s="298">
        <f t="shared" si="53"/>
        <v>0</v>
      </c>
      <c r="L89" s="309">
        <v>0</v>
      </c>
      <c r="M89" s="309">
        <v>0</v>
      </c>
      <c r="N89" s="298">
        <f t="shared" si="54"/>
        <v>0</v>
      </c>
      <c r="O89" s="309">
        <v>6</v>
      </c>
      <c r="P89" s="309">
        <v>0</v>
      </c>
      <c r="Q89" s="298">
        <f t="shared" si="55"/>
        <v>6</v>
      </c>
      <c r="R89" s="306">
        <f t="shared" si="56"/>
        <v>0</v>
      </c>
      <c r="S89" s="306">
        <f t="shared" si="57"/>
        <v>0</v>
      </c>
      <c r="T89" s="298">
        <f t="shared" si="58"/>
        <v>0</v>
      </c>
      <c r="U89" s="306">
        <f t="shared" si="59"/>
        <v>24</v>
      </c>
      <c r="V89" s="306">
        <f t="shared" si="60"/>
        <v>0</v>
      </c>
      <c r="W89" s="298">
        <f t="shared" si="61"/>
        <v>24</v>
      </c>
    </row>
    <row r="90" spans="1:23" ht="15.75">
      <c r="A90" s="485"/>
      <c r="B90" s="300" t="s">
        <v>19</v>
      </c>
      <c r="C90" s="299">
        <v>0</v>
      </c>
      <c r="D90" s="299">
        <v>0</v>
      </c>
      <c r="E90" s="299">
        <v>0</v>
      </c>
      <c r="F90" s="299">
        <v>0</v>
      </c>
      <c r="G90" s="299">
        <v>0</v>
      </c>
      <c r="H90" s="298">
        <f t="shared" si="52"/>
        <v>0</v>
      </c>
      <c r="I90" s="299">
        <v>0</v>
      </c>
      <c r="J90" s="299">
        <v>0</v>
      </c>
      <c r="K90" s="298">
        <f t="shared" si="53"/>
        <v>0</v>
      </c>
      <c r="L90" s="299">
        <v>9</v>
      </c>
      <c r="M90" s="299">
        <v>0</v>
      </c>
      <c r="N90" s="298">
        <f t="shared" si="54"/>
        <v>9</v>
      </c>
      <c r="O90" s="299">
        <v>20</v>
      </c>
      <c r="P90" s="299">
        <v>0</v>
      </c>
      <c r="Q90" s="298">
        <f t="shared" si="55"/>
        <v>20</v>
      </c>
      <c r="R90" s="306">
        <f t="shared" si="56"/>
        <v>36</v>
      </c>
      <c r="S90" s="306">
        <f t="shared" si="57"/>
        <v>0</v>
      </c>
      <c r="T90" s="298">
        <f t="shared" si="58"/>
        <v>36</v>
      </c>
      <c r="U90" s="306">
        <f t="shared" si="59"/>
        <v>80</v>
      </c>
      <c r="V90" s="306">
        <f t="shared" si="60"/>
        <v>0</v>
      </c>
      <c r="W90" s="298">
        <f t="shared" si="61"/>
        <v>80</v>
      </c>
    </row>
    <row r="91" spans="1:23" ht="15">
      <c r="A91" s="485"/>
      <c r="B91" s="300" t="s">
        <v>20</v>
      </c>
      <c r="C91" s="302">
        <v>0</v>
      </c>
      <c r="D91" s="302">
        <v>0</v>
      </c>
      <c r="E91" s="302">
        <f>SUM(C91:D91)</f>
        <v>0</v>
      </c>
      <c r="F91" s="302">
        <v>0</v>
      </c>
      <c r="G91" s="302">
        <v>0</v>
      </c>
      <c r="H91" s="298">
        <f t="shared" si="52"/>
        <v>0</v>
      </c>
      <c r="I91" s="302">
        <v>0</v>
      </c>
      <c r="J91" s="302">
        <v>0</v>
      </c>
      <c r="K91" s="298">
        <f t="shared" si="53"/>
        <v>0</v>
      </c>
      <c r="L91" s="302">
        <v>11</v>
      </c>
      <c r="M91" s="302">
        <v>0</v>
      </c>
      <c r="N91" s="298">
        <f t="shared" si="54"/>
        <v>11</v>
      </c>
      <c r="O91" s="302">
        <v>16</v>
      </c>
      <c r="P91" s="302">
        <v>0</v>
      </c>
      <c r="Q91" s="298">
        <f t="shared" si="55"/>
        <v>16</v>
      </c>
      <c r="R91" s="313">
        <f t="shared" si="56"/>
        <v>44</v>
      </c>
      <c r="S91" s="313">
        <f t="shared" si="57"/>
        <v>0</v>
      </c>
      <c r="T91" s="298">
        <f t="shared" si="58"/>
        <v>44</v>
      </c>
      <c r="U91" s="313">
        <f t="shared" si="59"/>
        <v>64</v>
      </c>
      <c r="V91" s="313">
        <f t="shared" si="60"/>
        <v>0</v>
      </c>
      <c r="W91" s="298">
        <f t="shared" si="61"/>
        <v>64</v>
      </c>
    </row>
    <row r="92" spans="1:23" ht="15">
      <c r="A92" s="485"/>
      <c r="B92" s="300" t="s">
        <v>21</v>
      </c>
      <c r="C92" s="301">
        <v>0</v>
      </c>
      <c r="D92" s="301">
        <v>0</v>
      </c>
      <c r="E92" s="301">
        <f>SUM(C92:D92)</f>
        <v>0</v>
      </c>
      <c r="F92" s="301">
        <v>34</v>
      </c>
      <c r="G92" s="301">
        <v>0</v>
      </c>
      <c r="H92" s="298">
        <f t="shared" si="52"/>
        <v>34</v>
      </c>
      <c r="I92" s="301">
        <v>30</v>
      </c>
      <c r="J92" s="301">
        <v>0</v>
      </c>
      <c r="K92" s="298">
        <f t="shared" si="53"/>
        <v>30</v>
      </c>
      <c r="L92" s="301">
        <f>13+267</f>
        <v>280</v>
      </c>
      <c r="M92" s="301">
        <v>0</v>
      </c>
      <c r="N92" s="298">
        <f t="shared" si="54"/>
        <v>280</v>
      </c>
      <c r="O92" s="301">
        <f>22+89</f>
        <v>111</v>
      </c>
      <c r="P92" s="301">
        <v>0</v>
      </c>
      <c r="Q92" s="298">
        <f t="shared" si="55"/>
        <v>111</v>
      </c>
      <c r="R92" s="306">
        <v>52</v>
      </c>
      <c r="S92" s="306">
        <v>0</v>
      </c>
      <c r="T92" s="298">
        <f t="shared" si="58"/>
        <v>52</v>
      </c>
      <c r="U92" s="306">
        <v>88</v>
      </c>
      <c r="V92" s="306">
        <v>0</v>
      </c>
      <c r="W92" s="298">
        <f t="shared" si="61"/>
        <v>88</v>
      </c>
    </row>
    <row r="93" spans="1:23" ht="15.75">
      <c r="A93" s="485"/>
      <c r="B93" s="300" t="s">
        <v>22</v>
      </c>
      <c r="C93" s="299">
        <v>0</v>
      </c>
      <c r="D93" s="299">
        <v>0</v>
      </c>
      <c r="E93" s="299">
        <v>0</v>
      </c>
      <c r="F93" s="299">
        <v>0</v>
      </c>
      <c r="G93" s="299">
        <v>0</v>
      </c>
      <c r="H93" s="298">
        <f t="shared" si="52"/>
        <v>0</v>
      </c>
      <c r="I93" s="299">
        <v>0</v>
      </c>
      <c r="J93" s="299">
        <v>0</v>
      </c>
      <c r="K93" s="298">
        <f t="shared" si="53"/>
        <v>0</v>
      </c>
      <c r="L93" s="299">
        <v>11</v>
      </c>
      <c r="M93" s="299">
        <v>0</v>
      </c>
      <c r="N93" s="298">
        <f t="shared" si="54"/>
        <v>11</v>
      </c>
      <c r="O93" s="299">
        <v>19</v>
      </c>
      <c r="P93" s="299">
        <v>0</v>
      </c>
      <c r="Q93" s="298">
        <f t="shared" si="55"/>
        <v>19</v>
      </c>
      <c r="R93" s="306">
        <f>L93*4</f>
        <v>44</v>
      </c>
      <c r="S93" s="306">
        <f aca="true" t="shared" si="62" ref="R93:S95">M93*4</f>
        <v>0</v>
      </c>
      <c r="T93" s="298">
        <f t="shared" si="58"/>
        <v>44</v>
      </c>
      <c r="U93" s="306">
        <f>O93*4</f>
        <v>76</v>
      </c>
      <c r="V93" s="306">
        <f aca="true" t="shared" si="63" ref="U93:V95">P93*4</f>
        <v>0</v>
      </c>
      <c r="W93" s="298">
        <f t="shared" si="61"/>
        <v>76</v>
      </c>
    </row>
    <row r="94" spans="1:23" ht="15">
      <c r="A94" s="485"/>
      <c r="B94" s="300" t="s">
        <v>23</v>
      </c>
      <c r="C94" s="301">
        <v>0</v>
      </c>
      <c r="D94" s="301">
        <v>0</v>
      </c>
      <c r="E94" s="301">
        <f>SUM(C94:D94)</f>
        <v>0</v>
      </c>
      <c r="F94" s="301">
        <v>0</v>
      </c>
      <c r="G94" s="301">
        <v>0</v>
      </c>
      <c r="H94" s="298">
        <f t="shared" si="52"/>
        <v>0</v>
      </c>
      <c r="I94" s="301">
        <v>0</v>
      </c>
      <c r="J94" s="301">
        <v>0</v>
      </c>
      <c r="K94" s="298">
        <f t="shared" si="53"/>
        <v>0</v>
      </c>
      <c r="L94" s="301">
        <v>13</v>
      </c>
      <c r="M94" s="301">
        <v>0</v>
      </c>
      <c r="N94" s="298">
        <f t="shared" si="54"/>
        <v>13</v>
      </c>
      <c r="O94" s="301">
        <v>21</v>
      </c>
      <c r="P94" s="301">
        <v>0</v>
      </c>
      <c r="Q94" s="298">
        <f t="shared" si="55"/>
        <v>21</v>
      </c>
      <c r="R94" s="306">
        <f t="shared" si="62"/>
        <v>52</v>
      </c>
      <c r="S94" s="306">
        <f t="shared" si="62"/>
        <v>0</v>
      </c>
      <c r="T94" s="298">
        <f t="shared" si="58"/>
        <v>52</v>
      </c>
      <c r="U94" s="306">
        <f t="shared" si="63"/>
        <v>84</v>
      </c>
      <c r="V94" s="306">
        <f t="shared" si="63"/>
        <v>0</v>
      </c>
      <c r="W94" s="298">
        <f t="shared" si="61"/>
        <v>84</v>
      </c>
    </row>
    <row r="95" spans="1:23" ht="15">
      <c r="A95" s="485"/>
      <c r="B95" s="303" t="s">
        <v>24</v>
      </c>
      <c r="C95" s="304">
        <v>0</v>
      </c>
      <c r="D95" s="304">
        <v>0</v>
      </c>
      <c r="E95" s="304">
        <f>SUM(C95:D95)</f>
        <v>0</v>
      </c>
      <c r="F95" s="304">
        <v>0</v>
      </c>
      <c r="G95" s="304">
        <v>0</v>
      </c>
      <c r="H95" s="310">
        <f t="shared" si="52"/>
        <v>0</v>
      </c>
      <c r="I95" s="304">
        <v>0</v>
      </c>
      <c r="J95" s="304">
        <v>0</v>
      </c>
      <c r="K95" s="310">
        <f t="shared" si="53"/>
        <v>0</v>
      </c>
      <c r="L95" s="304">
        <v>15</v>
      </c>
      <c r="M95" s="304">
        <v>0</v>
      </c>
      <c r="N95" s="310">
        <f t="shared" si="54"/>
        <v>15</v>
      </c>
      <c r="O95" s="304">
        <v>20</v>
      </c>
      <c r="P95" s="304">
        <v>0</v>
      </c>
      <c r="Q95" s="310">
        <f t="shared" si="55"/>
        <v>20</v>
      </c>
      <c r="R95" s="314">
        <f t="shared" si="62"/>
        <v>60</v>
      </c>
      <c r="S95" s="314">
        <f t="shared" si="62"/>
        <v>0</v>
      </c>
      <c r="T95" s="310">
        <f t="shared" si="58"/>
        <v>60</v>
      </c>
      <c r="U95" s="314">
        <f t="shared" si="63"/>
        <v>80</v>
      </c>
      <c r="V95" s="314">
        <f t="shared" si="63"/>
        <v>0</v>
      </c>
      <c r="W95" s="310">
        <f t="shared" si="61"/>
        <v>80</v>
      </c>
    </row>
    <row r="96" spans="1:23" ht="15">
      <c r="A96" s="485"/>
      <c r="B96" s="305"/>
      <c r="C96" s="301"/>
      <c r="D96" s="301"/>
      <c r="E96" s="301"/>
      <c r="F96" s="301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</row>
    <row r="97" spans="1:24" ht="15">
      <c r="A97" s="485"/>
      <c r="B97" s="300" t="s">
        <v>47</v>
      </c>
      <c r="C97" s="309">
        <v>0</v>
      </c>
      <c r="D97" s="307">
        <f aca="true" t="shared" si="64" ref="D97:X97">SUM(D84:D95)</f>
        <v>0</v>
      </c>
      <c r="E97" s="307">
        <f t="shared" si="64"/>
        <v>0</v>
      </c>
      <c r="F97" s="307">
        <f t="shared" si="64"/>
        <v>34</v>
      </c>
      <c r="G97" s="307">
        <f t="shared" si="64"/>
        <v>0</v>
      </c>
      <c r="H97" s="308">
        <f t="shared" si="64"/>
        <v>34</v>
      </c>
      <c r="I97" s="308">
        <f t="shared" si="64"/>
        <v>30</v>
      </c>
      <c r="J97" s="308">
        <f t="shared" si="64"/>
        <v>0</v>
      </c>
      <c r="K97" s="308">
        <f t="shared" si="64"/>
        <v>30</v>
      </c>
      <c r="L97" s="308">
        <f t="shared" si="64"/>
        <v>377</v>
      </c>
      <c r="M97" s="308">
        <f t="shared" si="64"/>
        <v>0</v>
      </c>
      <c r="N97" s="308">
        <f t="shared" si="64"/>
        <v>377</v>
      </c>
      <c r="O97" s="308">
        <f t="shared" si="64"/>
        <v>320</v>
      </c>
      <c r="P97" s="308">
        <f t="shared" si="64"/>
        <v>0</v>
      </c>
      <c r="Q97" s="308">
        <f t="shared" si="64"/>
        <v>320</v>
      </c>
      <c r="R97" s="308">
        <f t="shared" si="64"/>
        <v>440</v>
      </c>
      <c r="S97" s="308">
        <f t="shared" si="64"/>
        <v>0</v>
      </c>
      <c r="T97" s="308">
        <f t="shared" si="64"/>
        <v>440</v>
      </c>
      <c r="U97" s="308">
        <f t="shared" si="64"/>
        <v>924</v>
      </c>
      <c r="V97" s="308">
        <f t="shared" si="64"/>
        <v>0</v>
      </c>
      <c r="W97" s="308">
        <f t="shared" si="64"/>
        <v>924</v>
      </c>
      <c r="X97" s="308">
        <f t="shared" si="64"/>
        <v>0</v>
      </c>
    </row>
    <row r="98" spans="7:23" ht="14.25"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236"/>
      <c r="V98" s="236"/>
      <c r="W98" s="236"/>
    </row>
    <row r="99" spans="1:23" ht="14.25">
      <c r="A99" s="234" t="s">
        <v>48</v>
      </c>
      <c r="G99" s="236"/>
      <c r="H99" s="236"/>
      <c r="I99" s="236"/>
      <c r="J99" s="236"/>
      <c r="K99" s="236"/>
      <c r="L99" s="236"/>
      <c r="M99" s="236"/>
      <c r="N99" s="236"/>
      <c r="O99" s="236"/>
      <c r="P99" s="236"/>
      <c r="Q99" s="236"/>
      <c r="R99" s="236"/>
      <c r="S99" s="236"/>
      <c r="T99" s="236"/>
      <c r="U99" s="236"/>
      <c r="V99" s="236"/>
      <c r="W99" s="236"/>
    </row>
    <row r="100" spans="2:23" ht="12.75">
      <c r="B100" s="294" t="s">
        <v>1</v>
      </c>
      <c r="C100" s="486" t="s">
        <v>76</v>
      </c>
      <c r="D100" s="487"/>
      <c r="E100" s="488"/>
      <c r="F100" s="486" t="s">
        <v>2</v>
      </c>
      <c r="G100" s="487"/>
      <c r="H100" s="488"/>
      <c r="I100" s="486" t="s">
        <v>3</v>
      </c>
      <c r="J100" s="487"/>
      <c r="K100" s="488"/>
      <c r="L100" s="486" t="s">
        <v>4</v>
      </c>
      <c r="M100" s="487"/>
      <c r="N100" s="488"/>
      <c r="O100" s="486" t="s">
        <v>5</v>
      </c>
      <c r="P100" s="487"/>
      <c r="Q100" s="488"/>
      <c r="R100" s="486" t="s">
        <v>131</v>
      </c>
      <c r="S100" s="487"/>
      <c r="T100" s="488"/>
      <c r="U100" s="486" t="s">
        <v>132</v>
      </c>
      <c r="V100" s="487"/>
      <c r="W100" s="488"/>
    </row>
    <row r="101" spans="2:23" ht="12.75">
      <c r="B101" s="295"/>
      <c r="C101" s="230" t="s">
        <v>7</v>
      </c>
      <c r="D101" s="230" t="s">
        <v>8</v>
      </c>
      <c r="E101" s="230" t="s">
        <v>6</v>
      </c>
      <c r="F101" s="230" t="s">
        <v>7</v>
      </c>
      <c r="G101" s="230" t="s">
        <v>8</v>
      </c>
      <c r="H101" s="230" t="s">
        <v>6</v>
      </c>
      <c r="I101" s="230" t="s">
        <v>7</v>
      </c>
      <c r="J101" s="230" t="s">
        <v>8</v>
      </c>
      <c r="K101" s="230" t="s">
        <v>6</v>
      </c>
      <c r="L101" s="230" t="s">
        <v>7</v>
      </c>
      <c r="M101" s="230" t="s">
        <v>8</v>
      </c>
      <c r="N101" s="230" t="s">
        <v>6</v>
      </c>
      <c r="O101" s="230" t="s">
        <v>7</v>
      </c>
      <c r="P101" s="230" t="s">
        <v>8</v>
      </c>
      <c r="Q101" s="230" t="s">
        <v>6</v>
      </c>
      <c r="R101" s="230" t="s">
        <v>7</v>
      </c>
      <c r="S101" s="230" t="s">
        <v>8</v>
      </c>
      <c r="T101" s="230" t="s">
        <v>6</v>
      </c>
      <c r="U101" s="230" t="s">
        <v>7</v>
      </c>
      <c r="V101" s="230" t="s">
        <v>8</v>
      </c>
      <c r="W101" s="230" t="s">
        <v>6</v>
      </c>
    </row>
    <row r="102" spans="1:23" ht="15">
      <c r="A102" s="485" t="s">
        <v>48</v>
      </c>
      <c r="B102" s="296"/>
      <c r="C102" s="296"/>
      <c r="D102" s="296"/>
      <c r="E102" s="296"/>
      <c r="F102" s="296"/>
      <c r="G102" s="296"/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  <c r="R102" s="296"/>
      <c r="S102" s="296"/>
      <c r="T102" s="296"/>
      <c r="U102" s="296"/>
      <c r="V102" s="296"/>
      <c r="W102" s="296"/>
    </row>
    <row r="103" spans="1:23" ht="15">
      <c r="A103" s="485"/>
      <c r="B103" s="297" t="s">
        <v>9</v>
      </c>
      <c r="C103" s="309">
        <v>0</v>
      </c>
      <c r="D103" s="309">
        <v>0</v>
      </c>
      <c r="E103" s="309">
        <f aca="true" t="shared" si="65" ref="E103:E108">SUM(C103:D103)</f>
        <v>0</v>
      </c>
      <c r="F103" s="309">
        <v>1</v>
      </c>
      <c r="G103" s="309">
        <v>0</v>
      </c>
      <c r="H103" s="298">
        <f>SUM(F103:G103)</f>
        <v>1</v>
      </c>
      <c r="I103" s="309">
        <v>2</v>
      </c>
      <c r="J103" s="309">
        <v>0</v>
      </c>
      <c r="K103" s="298">
        <f>SUM(I103:J103)</f>
        <v>2</v>
      </c>
      <c r="L103" s="309">
        <v>0</v>
      </c>
      <c r="M103" s="309">
        <v>0</v>
      </c>
      <c r="N103" s="298">
        <f>SUM(L103:M103)</f>
        <v>0</v>
      </c>
      <c r="O103" s="309">
        <v>0</v>
      </c>
      <c r="P103" s="309">
        <v>0</v>
      </c>
      <c r="Q103" s="298">
        <f>SUM(O103:P103)</f>
        <v>0</v>
      </c>
      <c r="R103" s="306">
        <f>L103*4</f>
        <v>0</v>
      </c>
      <c r="S103" s="306">
        <f>M103*4</f>
        <v>0</v>
      </c>
      <c r="T103" s="298">
        <f>SUM(R103:S103)</f>
        <v>0</v>
      </c>
      <c r="U103" s="306">
        <f>O103*4</f>
        <v>0</v>
      </c>
      <c r="V103" s="306">
        <f>P103*4</f>
        <v>0</v>
      </c>
      <c r="W103" s="298">
        <f>SUM(U103:V103)</f>
        <v>0</v>
      </c>
    </row>
    <row r="104" spans="1:23" ht="15">
      <c r="A104" s="485"/>
      <c r="B104" s="300" t="s">
        <v>14</v>
      </c>
      <c r="C104" s="309">
        <v>0</v>
      </c>
      <c r="D104" s="309">
        <v>0</v>
      </c>
      <c r="E104" s="309">
        <f t="shared" si="65"/>
        <v>0</v>
      </c>
      <c r="F104" s="309">
        <v>1</v>
      </c>
      <c r="G104" s="309">
        <v>0</v>
      </c>
      <c r="H104" s="298">
        <f aca="true" t="shared" si="66" ref="H104:H114">SUM(F104:G104)</f>
        <v>1</v>
      </c>
      <c r="I104" s="309">
        <v>2</v>
      </c>
      <c r="J104" s="309">
        <v>0</v>
      </c>
      <c r="K104" s="298">
        <f aca="true" t="shared" si="67" ref="K104:K114">SUM(I104:J104)</f>
        <v>2</v>
      </c>
      <c r="L104" s="309">
        <v>0</v>
      </c>
      <c r="M104" s="309">
        <v>0</v>
      </c>
      <c r="N104" s="298">
        <f aca="true" t="shared" si="68" ref="N104:N114">SUM(L104:M104)</f>
        <v>0</v>
      </c>
      <c r="O104" s="309">
        <v>0</v>
      </c>
      <c r="P104" s="309">
        <v>0</v>
      </c>
      <c r="Q104" s="298">
        <f aca="true" t="shared" si="69" ref="Q104:Q114">SUM(O104:P104)</f>
        <v>0</v>
      </c>
      <c r="R104" s="306">
        <f aca="true" t="shared" si="70" ref="R104:R110">L104*4</f>
        <v>0</v>
      </c>
      <c r="S104" s="306">
        <f aca="true" t="shared" si="71" ref="S104:S111">M104*4</f>
        <v>0</v>
      </c>
      <c r="T104" s="298">
        <f aca="true" t="shared" si="72" ref="T104:T114">SUM(R104:S104)</f>
        <v>0</v>
      </c>
      <c r="U104" s="306">
        <f aca="true" t="shared" si="73" ref="U104:U111">O104*4</f>
        <v>0</v>
      </c>
      <c r="V104" s="306">
        <f aca="true" t="shared" si="74" ref="V104:V111">P104*4</f>
        <v>0</v>
      </c>
      <c r="W104" s="298">
        <f aca="true" t="shared" si="75" ref="W104:W114">SUM(U104:V104)</f>
        <v>0</v>
      </c>
    </row>
    <row r="105" spans="1:23" ht="15">
      <c r="A105" s="485"/>
      <c r="B105" s="300" t="s">
        <v>15</v>
      </c>
      <c r="C105" s="309">
        <v>0</v>
      </c>
      <c r="D105" s="309">
        <v>0</v>
      </c>
      <c r="E105" s="309">
        <f t="shared" si="65"/>
        <v>0</v>
      </c>
      <c r="F105" s="309">
        <v>1</v>
      </c>
      <c r="G105" s="309">
        <v>0</v>
      </c>
      <c r="H105" s="298">
        <f t="shared" si="66"/>
        <v>1</v>
      </c>
      <c r="I105" s="309">
        <v>1</v>
      </c>
      <c r="J105" s="309">
        <v>0</v>
      </c>
      <c r="K105" s="298">
        <f t="shared" si="67"/>
        <v>1</v>
      </c>
      <c r="L105" s="309">
        <v>0</v>
      </c>
      <c r="M105" s="309">
        <v>0</v>
      </c>
      <c r="N105" s="298">
        <f t="shared" si="68"/>
        <v>0</v>
      </c>
      <c r="O105" s="309">
        <v>0</v>
      </c>
      <c r="P105" s="309">
        <v>0</v>
      </c>
      <c r="Q105" s="298">
        <f t="shared" si="69"/>
        <v>0</v>
      </c>
      <c r="R105" s="306">
        <f t="shared" si="70"/>
        <v>0</v>
      </c>
      <c r="S105" s="306">
        <f t="shared" si="71"/>
        <v>0</v>
      </c>
      <c r="T105" s="298">
        <f t="shared" si="72"/>
        <v>0</v>
      </c>
      <c r="U105" s="306">
        <f t="shared" si="73"/>
        <v>0</v>
      </c>
      <c r="V105" s="306">
        <f t="shared" si="74"/>
        <v>0</v>
      </c>
      <c r="W105" s="298">
        <f t="shared" si="75"/>
        <v>0</v>
      </c>
    </row>
    <row r="106" spans="1:23" ht="15">
      <c r="A106" s="485"/>
      <c r="B106" s="300" t="s">
        <v>16</v>
      </c>
      <c r="C106" s="309">
        <v>0</v>
      </c>
      <c r="D106" s="309">
        <v>0</v>
      </c>
      <c r="E106" s="309">
        <f t="shared" si="65"/>
        <v>0</v>
      </c>
      <c r="F106" s="309">
        <v>1</v>
      </c>
      <c r="G106" s="309">
        <v>0</v>
      </c>
      <c r="H106" s="298">
        <f t="shared" si="66"/>
        <v>1</v>
      </c>
      <c r="I106" s="309">
        <v>1</v>
      </c>
      <c r="J106" s="309">
        <v>0</v>
      </c>
      <c r="K106" s="298">
        <f t="shared" si="67"/>
        <v>1</v>
      </c>
      <c r="L106" s="309">
        <v>0</v>
      </c>
      <c r="M106" s="309">
        <v>0</v>
      </c>
      <c r="N106" s="298">
        <f t="shared" si="68"/>
        <v>0</v>
      </c>
      <c r="O106" s="309">
        <v>0</v>
      </c>
      <c r="P106" s="309">
        <v>0</v>
      </c>
      <c r="Q106" s="298">
        <f t="shared" si="69"/>
        <v>0</v>
      </c>
      <c r="R106" s="306">
        <f t="shared" si="70"/>
        <v>0</v>
      </c>
      <c r="S106" s="306">
        <f t="shared" si="71"/>
        <v>0</v>
      </c>
      <c r="T106" s="298">
        <f t="shared" si="72"/>
        <v>0</v>
      </c>
      <c r="U106" s="306">
        <f t="shared" si="73"/>
        <v>0</v>
      </c>
      <c r="V106" s="306">
        <f t="shared" si="74"/>
        <v>0</v>
      </c>
      <c r="W106" s="298">
        <f t="shared" si="75"/>
        <v>0</v>
      </c>
    </row>
    <row r="107" spans="1:23" ht="15">
      <c r="A107" s="485"/>
      <c r="B107" s="300" t="s">
        <v>17</v>
      </c>
      <c r="C107" s="309">
        <v>0</v>
      </c>
      <c r="D107" s="309">
        <v>0</v>
      </c>
      <c r="E107" s="309">
        <f t="shared" si="65"/>
        <v>0</v>
      </c>
      <c r="F107" s="309">
        <v>1</v>
      </c>
      <c r="G107" s="309">
        <v>0</v>
      </c>
      <c r="H107" s="298">
        <f t="shared" si="66"/>
        <v>1</v>
      </c>
      <c r="I107" s="309">
        <f>1+5</f>
        <v>6</v>
      </c>
      <c r="J107" s="309">
        <v>0</v>
      </c>
      <c r="K107" s="298">
        <f t="shared" si="67"/>
        <v>6</v>
      </c>
      <c r="L107" s="309">
        <v>0</v>
      </c>
      <c r="M107" s="309">
        <v>0</v>
      </c>
      <c r="N107" s="298">
        <f t="shared" si="68"/>
        <v>0</v>
      </c>
      <c r="O107" s="309">
        <v>0</v>
      </c>
      <c r="P107" s="309">
        <v>0</v>
      </c>
      <c r="Q107" s="298">
        <f t="shared" si="69"/>
        <v>0</v>
      </c>
      <c r="R107" s="306">
        <f t="shared" si="70"/>
        <v>0</v>
      </c>
      <c r="S107" s="306">
        <f t="shared" si="71"/>
        <v>0</v>
      </c>
      <c r="T107" s="298">
        <f t="shared" si="72"/>
        <v>0</v>
      </c>
      <c r="U107" s="306">
        <f t="shared" si="73"/>
        <v>0</v>
      </c>
      <c r="V107" s="306">
        <f t="shared" si="74"/>
        <v>0</v>
      </c>
      <c r="W107" s="298">
        <f t="shared" si="75"/>
        <v>0</v>
      </c>
    </row>
    <row r="108" spans="1:23" ht="15">
      <c r="A108" s="485"/>
      <c r="B108" s="300" t="s">
        <v>18</v>
      </c>
      <c r="C108" s="309">
        <v>0</v>
      </c>
      <c r="D108" s="309">
        <v>0</v>
      </c>
      <c r="E108" s="309">
        <f t="shared" si="65"/>
        <v>0</v>
      </c>
      <c r="F108" s="309">
        <v>0</v>
      </c>
      <c r="G108" s="309">
        <v>0</v>
      </c>
      <c r="H108" s="298">
        <f t="shared" si="66"/>
        <v>0</v>
      </c>
      <c r="I108" s="309">
        <v>1</v>
      </c>
      <c r="J108" s="309">
        <v>0</v>
      </c>
      <c r="K108" s="298">
        <f t="shared" si="67"/>
        <v>1</v>
      </c>
      <c r="L108" s="309">
        <v>0</v>
      </c>
      <c r="M108" s="309">
        <v>0</v>
      </c>
      <c r="N108" s="298">
        <f t="shared" si="68"/>
        <v>0</v>
      </c>
      <c r="O108" s="309">
        <v>0</v>
      </c>
      <c r="P108" s="309">
        <v>0</v>
      </c>
      <c r="Q108" s="298">
        <f t="shared" si="69"/>
        <v>0</v>
      </c>
      <c r="R108" s="306">
        <f t="shared" si="70"/>
        <v>0</v>
      </c>
      <c r="S108" s="306">
        <f t="shared" si="71"/>
        <v>0</v>
      </c>
      <c r="T108" s="298">
        <f t="shared" si="72"/>
        <v>0</v>
      </c>
      <c r="U108" s="306">
        <f t="shared" si="73"/>
        <v>0</v>
      </c>
      <c r="V108" s="306">
        <f t="shared" si="74"/>
        <v>0</v>
      </c>
      <c r="W108" s="298">
        <f t="shared" si="75"/>
        <v>0</v>
      </c>
    </row>
    <row r="109" spans="1:23" ht="15.75">
      <c r="A109" s="485"/>
      <c r="B109" s="300" t="s">
        <v>19</v>
      </c>
      <c r="C109" s="299">
        <v>0</v>
      </c>
      <c r="D109" s="299">
        <v>0</v>
      </c>
      <c r="E109" s="299">
        <v>0</v>
      </c>
      <c r="F109" s="299">
        <v>0</v>
      </c>
      <c r="G109" s="299">
        <v>0</v>
      </c>
      <c r="H109" s="298">
        <f t="shared" si="66"/>
        <v>0</v>
      </c>
      <c r="I109" s="299">
        <v>1</v>
      </c>
      <c r="J109" s="299">
        <v>0</v>
      </c>
      <c r="K109" s="298">
        <f t="shared" si="67"/>
        <v>1</v>
      </c>
      <c r="L109" s="299">
        <v>0</v>
      </c>
      <c r="M109" s="299">
        <v>0</v>
      </c>
      <c r="N109" s="298">
        <f t="shared" si="68"/>
        <v>0</v>
      </c>
      <c r="O109" s="299">
        <v>0</v>
      </c>
      <c r="P109" s="299">
        <v>0</v>
      </c>
      <c r="Q109" s="298">
        <f t="shared" si="69"/>
        <v>0</v>
      </c>
      <c r="R109" s="306">
        <f t="shared" si="70"/>
        <v>0</v>
      </c>
      <c r="S109" s="306">
        <f t="shared" si="71"/>
        <v>0</v>
      </c>
      <c r="T109" s="298">
        <f t="shared" si="72"/>
        <v>0</v>
      </c>
      <c r="U109" s="306">
        <f t="shared" si="73"/>
        <v>0</v>
      </c>
      <c r="V109" s="306">
        <f t="shared" si="74"/>
        <v>0</v>
      </c>
      <c r="W109" s="298">
        <f t="shared" si="75"/>
        <v>0</v>
      </c>
    </row>
    <row r="110" spans="1:23" ht="15">
      <c r="A110" s="485"/>
      <c r="B110" s="300" t="s">
        <v>20</v>
      </c>
      <c r="C110" s="302">
        <v>0</v>
      </c>
      <c r="D110" s="302">
        <v>0</v>
      </c>
      <c r="E110" s="302">
        <f>SUM(C110:D110)</f>
        <v>0</v>
      </c>
      <c r="F110" s="302">
        <v>1</v>
      </c>
      <c r="G110" s="302">
        <v>0</v>
      </c>
      <c r="H110" s="298">
        <f t="shared" si="66"/>
        <v>1</v>
      </c>
      <c r="I110" s="302">
        <v>1</v>
      </c>
      <c r="J110" s="302">
        <v>0</v>
      </c>
      <c r="K110" s="298">
        <f t="shared" si="67"/>
        <v>1</v>
      </c>
      <c r="L110" s="302">
        <v>0</v>
      </c>
      <c r="M110" s="302">
        <v>0</v>
      </c>
      <c r="N110" s="298">
        <f t="shared" si="68"/>
        <v>0</v>
      </c>
      <c r="O110" s="302">
        <v>0</v>
      </c>
      <c r="P110" s="302">
        <v>0</v>
      </c>
      <c r="Q110" s="298">
        <f t="shared" si="69"/>
        <v>0</v>
      </c>
      <c r="R110" s="313">
        <f t="shared" si="70"/>
        <v>0</v>
      </c>
      <c r="S110" s="313">
        <f t="shared" si="71"/>
        <v>0</v>
      </c>
      <c r="T110" s="298">
        <f t="shared" si="72"/>
        <v>0</v>
      </c>
      <c r="U110" s="313">
        <f t="shared" si="73"/>
        <v>0</v>
      </c>
      <c r="V110" s="313">
        <f t="shared" si="74"/>
        <v>0</v>
      </c>
      <c r="W110" s="298">
        <f t="shared" si="75"/>
        <v>0</v>
      </c>
    </row>
    <row r="111" spans="1:23" ht="15">
      <c r="A111" s="485"/>
      <c r="B111" s="300" t="s">
        <v>21</v>
      </c>
      <c r="C111" s="301">
        <v>0</v>
      </c>
      <c r="D111" s="301">
        <v>0</v>
      </c>
      <c r="E111" s="301">
        <f>SUM(C111:D111)</f>
        <v>0</v>
      </c>
      <c r="F111" s="301">
        <v>20</v>
      </c>
      <c r="G111" s="301">
        <v>0</v>
      </c>
      <c r="H111" s="298">
        <f t="shared" si="66"/>
        <v>20</v>
      </c>
      <c r="I111" s="301">
        <f>1+61</f>
        <v>62</v>
      </c>
      <c r="J111" s="301">
        <v>0</v>
      </c>
      <c r="K111" s="298">
        <f t="shared" si="67"/>
        <v>62</v>
      </c>
      <c r="L111" s="301">
        <v>431</v>
      </c>
      <c r="M111" s="301">
        <v>0</v>
      </c>
      <c r="N111" s="298">
        <f t="shared" si="68"/>
        <v>431</v>
      </c>
      <c r="O111" s="301">
        <v>0</v>
      </c>
      <c r="P111" s="301">
        <v>0</v>
      </c>
      <c r="Q111" s="298">
        <f t="shared" si="69"/>
        <v>0</v>
      </c>
      <c r="R111" s="306">
        <v>0</v>
      </c>
      <c r="S111" s="306">
        <f t="shared" si="71"/>
        <v>0</v>
      </c>
      <c r="T111" s="298">
        <f t="shared" si="72"/>
        <v>0</v>
      </c>
      <c r="U111" s="306">
        <f t="shared" si="73"/>
        <v>0</v>
      </c>
      <c r="V111" s="306">
        <f t="shared" si="74"/>
        <v>0</v>
      </c>
      <c r="W111" s="298">
        <f t="shared" si="75"/>
        <v>0</v>
      </c>
    </row>
    <row r="112" spans="1:23" ht="15.75">
      <c r="A112" s="485"/>
      <c r="B112" s="300" t="s">
        <v>22</v>
      </c>
      <c r="C112" s="299">
        <v>0</v>
      </c>
      <c r="D112" s="299">
        <v>0</v>
      </c>
      <c r="E112" s="299">
        <v>0</v>
      </c>
      <c r="F112" s="299">
        <v>0</v>
      </c>
      <c r="G112" s="299">
        <v>0</v>
      </c>
      <c r="H112" s="298">
        <f t="shared" si="66"/>
        <v>0</v>
      </c>
      <c r="I112" s="299">
        <v>2</v>
      </c>
      <c r="J112" s="299">
        <v>0</v>
      </c>
      <c r="K112" s="298">
        <f t="shared" si="67"/>
        <v>2</v>
      </c>
      <c r="L112" s="299">
        <v>0</v>
      </c>
      <c r="M112" s="299">
        <v>0</v>
      </c>
      <c r="N112" s="298">
        <f t="shared" si="68"/>
        <v>0</v>
      </c>
      <c r="O112" s="299">
        <v>0</v>
      </c>
      <c r="P112" s="299">
        <v>0</v>
      </c>
      <c r="Q112" s="298">
        <f t="shared" si="69"/>
        <v>0</v>
      </c>
      <c r="R112" s="306">
        <f aca="true" t="shared" si="76" ref="R112:S114">L112*4</f>
        <v>0</v>
      </c>
      <c r="S112" s="306">
        <f t="shared" si="76"/>
        <v>0</v>
      </c>
      <c r="T112" s="298">
        <f t="shared" si="72"/>
        <v>0</v>
      </c>
      <c r="U112" s="306">
        <f aca="true" t="shared" si="77" ref="U112:V114">O112*4</f>
        <v>0</v>
      </c>
      <c r="V112" s="306">
        <f t="shared" si="77"/>
        <v>0</v>
      </c>
      <c r="W112" s="298">
        <f t="shared" si="75"/>
        <v>0</v>
      </c>
    </row>
    <row r="113" spans="1:23" ht="15">
      <c r="A113" s="485"/>
      <c r="B113" s="300" t="s">
        <v>23</v>
      </c>
      <c r="C113" s="301">
        <v>0</v>
      </c>
      <c r="D113" s="301">
        <v>0</v>
      </c>
      <c r="E113" s="301">
        <f>SUM(C113:D113)</f>
        <v>0</v>
      </c>
      <c r="F113" s="301">
        <v>0</v>
      </c>
      <c r="G113" s="301">
        <v>0</v>
      </c>
      <c r="H113" s="298">
        <f t="shared" si="66"/>
        <v>0</v>
      </c>
      <c r="I113" s="301">
        <v>1</v>
      </c>
      <c r="J113" s="301">
        <v>0</v>
      </c>
      <c r="K113" s="298">
        <f t="shared" si="67"/>
        <v>1</v>
      </c>
      <c r="L113" s="301">
        <v>0</v>
      </c>
      <c r="M113" s="301">
        <v>0</v>
      </c>
      <c r="N113" s="298">
        <f t="shared" si="68"/>
        <v>0</v>
      </c>
      <c r="O113" s="301">
        <v>0</v>
      </c>
      <c r="P113" s="301">
        <v>0</v>
      </c>
      <c r="Q113" s="298">
        <f t="shared" si="69"/>
        <v>0</v>
      </c>
      <c r="R113" s="306">
        <f t="shared" si="76"/>
        <v>0</v>
      </c>
      <c r="S113" s="306">
        <f t="shared" si="76"/>
        <v>0</v>
      </c>
      <c r="T113" s="298">
        <f t="shared" si="72"/>
        <v>0</v>
      </c>
      <c r="U113" s="306">
        <f t="shared" si="77"/>
        <v>0</v>
      </c>
      <c r="V113" s="306">
        <f t="shared" si="77"/>
        <v>0</v>
      </c>
      <c r="W113" s="298">
        <f t="shared" si="75"/>
        <v>0</v>
      </c>
    </row>
    <row r="114" spans="1:23" ht="15">
      <c r="A114" s="485"/>
      <c r="B114" s="303" t="s">
        <v>24</v>
      </c>
      <c r="C114" s="304">
        <v>0</v>
      </c>
      <c r="D114" s="304">
        <v>0</v>
      </c>
      <c r="E114" s="304">
        <f>SUM(C114:D114)</f>
        <v>0</v>
      </c>
      <c r="F114" s="304">
        <v>1</v>
      </c>
      <c r="G114" s="304">
        <v>0</v>
      </c>
      <c r="H114" s="310">
        <f t="shared" si="66"/>
        <v>1</v>
      </c>
      <c r="I114" s="304">
        <v>1</v>
      </c>
      <c r="J114" s="304">
        <v>0</v>
      </c>
      <c r="K114" s="310">
        <f t="shared" si="67"/>
        <v>1</v>
      </c>
      <c r="L114" s="304">
        <v>0</v>
      </c>
      <c r="M114" s="304">
        <v>0</v>
      </c>
      <c r="N114" s="310">
        <f t="shared" si="68"/>
        <v>0</v>
      </c>
      <c r="O114" s="304">
        <v>0</v>
      </c>
      <c r="P114" s="304">
        <v>0</v>
      </c>
      <c r="Q114" s="310">
        <f t="shared" si="69"/>
        <v>0</v>
      </c>
      <c r="R114" s="314">
        <f t="shared" si="76"/>
        <v>0</v>
      </c>
      <c r="S114" s="314">
        <f t="shared" si="76"/>
        <v>0</v>
      </c>
      <c r="T114" s="310">
        <f t="shared" si="72"/>
        <v>0</v>
      </c>
      <c r="U114" s="314">
        <f t="shared" si="77"/>
        <v>0</v>
      </c>
      <c r="V114" s="314">
        <f t="shared" si="77"/>
        <v>0</v>
      </c>
      <c r="W114" s="310">
        <f t="shared" si="75"/>
        <v>0</v>
      </c>
    </row>
    <row r="115" spans="1:23" ht="15">
      <c r="A115" s="485"/>
      <c r="B115" s="305"/>
      <c r="C115" s="301"/>
      <c r="D115" s="301"/>
      <c r="E115" s="301"/>
      <c r="F115" s="301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6"/>
      <c r="U115" s="306"/>
      <c r="V115" s="306"/>
      <c r="W115" s="306"/>
    </row>
    <row r="116" spans="1:23" ht="15">
      <c r="A116" s="485"/>
      <c r="B116" s="300" t="s">
        <v>48</v>
      </c>
      <c r="C116" s="307">
        <f aca="true" t="shared" si="78" ref="C116:W116">SUM(C103:C114)</f>
        <v>0</v>
      </c>
      <c r="D116" s="307">
        <f t="shared" si="78"/>
        <v>0</v>
      </c>
      <c r="E116" s="307">
        <f t="shared" si="78"/>
        <v>0</v>
      </c>
      <c r="F116" s="307">
        <f t="shared" si="78"/>
        <v>27</v>
      </c>
      <c r="G116" s="308">
        <f t="shared" si="78"/>
        <v>0</v>
      </c>
      <c r="H116" s="308">
        <f t="shared" si="78"/>
        <v>27</v>
      </c>
      <c r="I116" s="308">
        <f t="shared" si="78"/>
        <v>81</v>
      </c>
      <c r="J116" s="308">
        <f t="shared" si="78"/>
        <v>0</v>
      </c>
      <c r="K116" s="308">
        <f t="shared" si="78"/>
        <v>81</v>
      </c>
      <c r="L116" s="308">
        <f t="shared" si="78"/>
        <v>431</v>
      </c>
      <c r="M116" s="308">
        <f t="shared" si="78"/>
        <v>0</v>
      </c>
      <c r="N116" s="308">
        <f t="shared" si="78"/>
        <v>431</v>
      </c>
      <c r="O116" s="308">
        <f t="shared" si="78"/>
        <v>0</v>
      </c>
      <c r="P116" s="308">
        <f t="shared" si="78"/>
        <v>0</v>
      </c>
      <c r="Q116" s="308">
        <f t="shared" si="78"/>
        <v>0</v>
      </c>
      <c r="R116" s="308">
        <f t="shared" si="78"/>
        <v>0</v>
      </c>
      <c r="S116" s="308">
        <f t="shared" si="78"/>
        <v>0</v>
      </c>
      <c r="T116" s="308">
        <f t="shared" si="78"/>
        <v>0</v>
      </c>
      <c r="U116" s="308">
        <f t="shared" si="78"/>
        <v>0</v>
      </c>
      <c r="V116" s="308">
        <f t="shared" si="78"/>
        <v>0</v>
      </c>
      <c r="W116" s="308">
        <f t="shared" si="78"/>
        <v>0</v>
      </c>
    </row>
    <row r="117" spans="7:23" ht="14.25">
      <c r="G117" s="236"/>
      <c r="H117" s="236"/>
      <c r="I117" s="236"/>
      <c r="J117" s="236"/>
      <c r="K117" s="236"/>
      <c r="L117" s="236"/>
      <c r="M117" s="236"/>
      <c r="N117" s="236"/>
      <c r="O117" s="236"/>
      <c r="P117" s="236"/>
      <c r="Q117" s="236"/>
      <c r="R117" s="236"/>
      <c r="S117" s="236"/>
      <c r="T117" s="236"/>
      <c r="U117" s="236"/>
      <c r="V117" s="236"/>
      <c r="W117" s="236"/>
    </row>
    <row r="118" spans="1:23" ht="14.25">
      <c r="A118" s="234" t="s">
        <v>49</v>
      </c>
      <c r="G118" s="236"/>
      <c r="H118" s="236"/>
      <c r="I118" s="236"/>
      <c r="J118" s="236"/>
      <c r="K118" s="236"/>
      <c r="L118" s="236"/>
      <c r="M118" s="236"/>
      <c r="N118" s="236"/>
      <c r="O118" s="236"/>
      <c r="P118" s="236"/>
      <c r="Q118" s="236"/>
      <c r="R118" s="236"/>
      <c r="S118" s="236"/>
      <c r="T118" s="236"/>
      <c r="U118" s="236"/>
      <c r="V118" s="236"/>
      <c r="W118" s="236"/>
    </row>
    <row r="119" spans="2:23" ht="12.75">
      <c r="B119" s="294" t="s">
        <v>1</v>
      </c>
      <c r="C119" s="486" t="s">
        <v>76</v>
      </c>
      <c r="D119" s="487"/>
      <c r="E119" s="488"/>
      <c r="F119" s="486" t="s">
        <v>2</v>
      </c>
      <c r="G119" s="487"/>
      <c r="H119" s="488"/>
      <c r="I119" s="486" t="s">
        <v>3</v>
      </c>
      <c r="J119" s="487"/>
      <c r="K119" s="488"/>
      <c r="L119" s="486" t="s">
        <v>4</v>
      </c>
      <c r="M119" s="487"/>
      <c r="N119" s="488"/>
      <c r="O119" s="486" t="s">
        <v>5</v>
      </c>
      <c r="P119" s="487"/>
      <c r="Q119" s="488"/>
      <c r="R119" s="486" t="s">
        <v>131</v>
      </c>
      <c r="S119" s="487"/>
      <c r="T119" s="488"/>
      <c r="U119" s="486" t="s">
        <v>132</v>
      </c>
      <c r="V119" s="487"/>
      <c r="W119" s="488"/>
    </row>
    <row r="120" spans="2:23" ht="12.75">
      <c r="B120" s="295"/>
      <c r="C120" s="230" t="s">
        <v>7</v>
      </c>
      <c r="D120" s="230" t="s">
        <v>8</v>
      </c>
      <c r="E120" s="230" t="s">
        <v>6</v>
      </c>
      <c r="F120" s="230" t="s">
        <v>7</v>
      </c>
      <c r="G120" s="230" t="s">
        <v>8</v>
      </c>
      <c r="H120" s="230" t="s">
        <v>6</v>
      </c>
      <c r="I120" s="230" t="s">
        <v>7</v>
      </c>
      <c r="J120" s="230" t="s">
        <v>8</v>
      </c>
      <c r="K120" s="230" t="s">
        <v>6</v>
      </c>
      <c r="L120" s="230" t="s">
        <v>7</v>
      </c>
      <c r="M120" s="230" t="s">
        <v>8</v>
      </c>
      <c r="N120" s="230" t="s">
        <v>6</v>
      </c>
      <c r="O120" s="230" t="s">
        <v>7</v>
      </c>
      <c r="P120" s="230" t="s">
        <v>8</v>
      </c>
      <c r="Q120" s="230" t="s">
        <v>6</v>
      </c>
      <c r="R120" s="230" t="s">
        <v>7</v>
      </c>
      <c r="S120" s="230" t="s">
        <v>8</v>
      </c>
      <c r="T120" s="230" t="s">
        <v>6</v>
      </c>
      <c r="U120" s="230" t="s">
        <v>7</v>
      </c>
      <c r="V120" s="230" t="s">
        <v>8</v>
      </c>
      <c r="W120" s="230" t="s">
        <v>6</v>
      </c>
    </row>
    <row r="121" spans="1:23" ht="15">
      <c r="A121" s="485" t="s">
        <v>49</v>
      </c>
      <c r="B121" s="296"/>
      <c r="C121" s="296"/>
      <c r="D121" s="296"/>
      <c r="E121" s="296"/>
      <c r="F121" s="296"/>
      <c r="G121" s="296"/>
      <c r="H121" s="296"/>
      <c r="I121" s="296"/>
      <c r="J121" s="296"/>
      <c r="K121" s="296"/>
      <c r="L121" s="296"/>
      <c r="M121" s="296"/>
      <c r="N121" s="296"/>
      <c r="O121" s="296"/>
      <c r="P121" s="296"/>
      <c r="Q121" s="296"/>
      <c r="R121" s="296"/>
      <c r="S121" s="296"/>
      <c r="T121" s="296"/>
      <c r="U121" s="296"/>
      <c r="V121" s="296"/>
      <c r="W121" s="296"/>
    </row>
    <row r="122" spans="1:23" ht="15">
      <c r="A122" s="485"/>
      <c r="B122" s="297" t="s">
        <v>9</v>
      </c>
      <c r="C122" s="309">
        <v>0</v>
      </c>
      <c r="D122" s="309">
        <v>0</v>
      </c>
      <c r="E122" s="309">
        <f aca="true" t="shared" si="79" ref="E122:E127">SUM(C122:D122)</f>
        <v>0</v>
      </c>
      <c r="F122" s="309">
        <v>0</v>
      </c>
      <c r="G122" s="309">
        <v>0</v>
      </c>
      <c r="H122" s="298">
        <f>SUM(F122:G122)</f>
        <v>0</v>
      </c>
      <c r="I122" s="309">
        <v>18</v>
      </c>
      <c r="J122" s="309">
        <v>0</v>
      </c>
      <c r="K122" s="298">
        <f>SUM(I122:J122)</f>
        <v>18</v>
      </c>
      <c r="L122" s="309">
        <v>4</v>
      </c>
      <c r="M122" s="309">
        <v>1</v>
      </c>
      <c r="N122" s="298">
        <f>SUM(L122:M122)</f>
        <v>5</v>
      </c>
      <c r="O122" s="309">
        <v>8</v>
      </c>
      <c r="P122" s="309">
        <v>1</v>
      </c>
      <c r="Q122" s="298">
        <f>SUM(O122:P122)</f>
        <v>9</v>
      </c>
      <c r="R122" s="306">
        <f>L122*4</f>
        <v>16</v>
      </c>
      <c r="S122" s="306">
        <f>M122*4</f>
        <v>4</v>
      </c>
      <c r="T122" s="298">
        <f>SUM(R122:S122)</f>
        <v>20</v>
      </c>
      <c r="U122" s="306">
        <f>O122*4</f>
        <v>32</v>
      </c>
      <c r="V122" s="306">
        <f>P122*4</f>
        <v>4</v>
      </c>
      <c r="W122" s="298">
        <f>SUM(U122:V122)</f>
        <v>36</v>
      </c>
    </row>
    <row r="123" spans="1:23" ht="15">
      <c r="A123" s="485"/>
      <c r="B123" s="300" t="s">
        <v>14</v>
      </c>
      <c r="C123" s="309">
        <v>0</v>
      </c>
      <c r="D123" s="309">
        <v>0</v>
      </c>
      <c r="E123" s="309">
        <f t="shared" si="79"/>
        <v>0</v>
      </c>
      <c r="F123" s="309">
        <v>0</v>
      </c>
      <c r="G123" s="309">
        <v>0</v>
      </c>
      <c r="H123" s="298">
        <f aca="true" t="shared" si="80" ref="H123:H133">SUM(F123:G123)</f>
        <v>0</v>
      </c>
      <c r="I123" s="309">
        <v>18</v>
      </c>
      <c r="J123" s="309">
        <v>0</v>
      </c>
      <c r="K123" s="298">
        <f aca="true" t="shared" si="81" ref="K123:K133">SUM(I123:J123)</f>
        <v>18</v>
      </c>
      <c r="L123" s="309">
        <v>8</v>
      </c>
      <c r="M123" s="309">
        <v>2</v>
      </c>
      <c r="N123" s="298">
        <f aca="true" t="shared" si="82" ref="N123:N133">SUM(L123:M123)</f>
        <v>10</v>
      </c>
      <c r="O123" s="309">
        <v>16</v>
      </c>
      <c r="P123" s="309">
        <v>2</v>
      </c>
      <c r="Q123" s="298">
        <f aca="true" t="shared" si="83" ref="Q123:Q133">SUM(O123:P123)</f>
        <v>18</v>
      </c>
      <c r="R123" s="306">
        <f aca="true" t="shared" si="84" ref="R123:R129">L123*4</f>
        <v>32</v>
      </c>
      <c r="S123" s="306">
        <f aca="true" t="shared" si="85" ref="S123:S129">M123*4</f>
        <v>8</v>
      </c>
      <c r="T123" s="298">
        <f aca="true" t="shared" si="86" ref="T123:T133">SUM(R123:S123)</f>
        <v>40</v>
      </c>
      <c r="U123" s="306">
        <f aca="true" t="shared" si="87" ref="U123:U129">O123*4</f>
        <v>64</v>
      </c>
      <c r="V123" s="306">
        <f aca="true" t="shared" si="88" ref="V123:V129">P123*4</f>
        <v>8</v>
      </c>
      <c r="W123" s="298">
        <f aca="true" t="shared" si="89" ref="W123:W133">SUM(U123:V123)</f>
        <v>72</v>
      </c>
    </row>
    <row r="124" spans="1:23" ht="15">
      <c r="A124" s="485"/>
      <c r="B124" s="300" t="s">
        <v>15</v>
      </c>
      <c r="C124" s="309">
        <v>0</v>
      </c>
      <c r="D124" s="309">
        <v>0</v>
      </c>
      <c r="E124" s="309">
        <f t="shared" si="79"/>
        <v>0</v>
      </c>
      <c r="F124" s="309">
        <v>0</v>
      </c>
      <c r="G124" s="309">
        <v>0</v>
      </c>
      <c r="H124" s="298">
        <f t="shared" si="80"/>
        <v>0</v>
      </c>
      <c r="I124" s="309">
        <v>16</v>
      </c>
      <c r="J124" s="309">
        <v>1</v>
      </c>
      <c r="K124" s="298">
        <f t="shared" si="81"/>
        <v>17</v>
      </c>
      <c r="L124" s="309">
        <v>4</v>
      </c>
      <c r="M124" s="309">
        <v>0</v>
      </c>
      <c r="N124" s="298">
        <f t="shared" si="82"/>
        <v>4</v>
      </c>
      <c r="O124" s="309">
        <v>12</v>
      </c>
      <c r="P124" s="309">
        <v>0</v>
      </c>
      <c r="Q124" s="298">
        <f t="shared" si="83"/>
        <v>12</v>
      </c>
      <c r="R124" s="306">
        <f t="shared" si="84"/>
        <v>16</v>
      </c>
      <c r="S124" s="306">
        <f t="shared" si="85"/>
        <v>0</v>
      </c>
      <c r="T124" s="298">
        <f t="shared" si="86"/>
        <v>16</v>
      </c>
      <c r="U124" s="306">
        <f t="shared" si="87"/>
        <v>48</v>
      </c>
      <c r="V124" s="306">
        <f t="shared" si="88"/>
        <v>0</v>
      </c>
      <c r="W124" s="298">
        <f t="shared" si="89"/>
        <v>48</v>
      </c>
    </row>
    <row r="125" spans="1:23" ht="15">
      <c r="A125" s="485"/>
      <c r="B125" s="300" t="s">
        <v>16</v>
      </c>
      <c r="C125" s="309">
        <v>0</v>
      </c>
      <c r="D125" s="309">
        <v>0</v>
      </c>
      <c r="E125" s="309">
        <f t="shared" si="79"/>
        <v>0</v>
      </c>
      <c r="F125" s="309">
        <v>0</v>
      </c>
      <c r="G125" s="309">
        <v>0</v>
      </c>
      <c r="H125" s="298">
        <f t="shared" si="80"/>
        <v>0</v>
      </c>
      <c r="I125" s="309">
        <f>17+2</f>
        <v>19</v>
      </c>
      <c r="J125" s="309">
        <v>0</v>
      </c>
      <c r="K125" s="298">
        <f t="shared" si="81"/>
        <v>19</v>
      </c>
      <c r="L125" s="309">
        <v>4</v>
      </c>
      <c r="M125" s="309">
        <v>0</v>
      </c>
      <c r="N125" s="298">
        <f t="shared" si="82"/>
        <v>4</v>
      </c>
      <c r="O125" s="309">
        <v>12</v>
      </c>
      <c r="P125" s="309">
        <v>0</v>
      </c>
      <c r="Q125" s="298">
        <f t="shared" si="83"/>
        <v>12</v>
      </c>
      <c r="R125" s="306">
        <f t="shared" si="84"/>
        <v>16</v>
      </c>
      <c r="S125" s="306">
        <f t="shared" si="85"/>
        <v>0</v>
      </c>
      <c r="T125" s="298">
        <f t="shared" si="86"/>
        <v>16</v>
      </c>
      <c r="U125" s="306">
        <f t="shared" si="87"/>
        <v>48</v>
      </c>
      <c r="V125" s="306">
        <f t="shared" si="88"/>
        <v>0</v>
      </c>
      <c r="W125" s="298">
        <f t="shared" si="89"/>
        <v>48</v>
      </c>
    </row>
    <row r="126" spans="1:23" ht="15">
      <c r="A126" s="485"/>
      <c r="B126" s="300" t="s">
        <v>17</v>
      </c>
      <c r="C126" s="309">
        <v>0</v>
      </c>
      <c r="D126" s="309">
        <v>0</v>
      </c>
      <c r="E126" s="309">
        <f t="shared" si="79"/>
        <v>0</v>
      </c>
      <c r="F126" s="309">
        <v>0</v>
      </c>
      <c r="G126" s="309">
        <v>0</v>
      </c>
      <c r="H126" s="298">
        <f t="shared" si="80"/>
        <v>0</v>
      </c>
      <c r="I126" s="309">
        <f>6+3</f>
        <v>9</v>
      </c>
      <c r="J126" s="309">
        <v>0</v>
      </c>
      <c r="K126" s="298">
        <f t="shared" si="81"/>
        <v>9</v>
      </c>
      <c r="L126" s="309">
        <v>8</v>
      </c>
      <c r="M126" s="309">
        <v>2</v>
      </c>
      <c r="N126" s="298">
        <f t="shared" si="82"/>
        <v>10</v>
      </c>
      <c r="O126" s="309">
        <v>17</v>
      </c>
      <c r="P126" s="309">
        <v>4</v>
      </c>
      <c r="Q126" s="298">
        <f t="shared" si="83"/>
        <v>21</v>
      </c>
      <c r="R126" s="306">
        <f t="shared" si="84"/>
        <v>32</v>
      </c>
      <c r="S126" s="306">
        <f t="shared" si="85"/>
        <v>8</v>
      </c>
      <c r="T126" s="298">
        <f t="shared" si="86"/>
        <v>40</v>
      </c>
      <c r="U126" s="306">
        <f t="shared" si="87"/>
        <v>68</v>
      </c>
      <c r="V126" s="306">
        <f t="shared" si="88"/>
        <v>16</v>
      </c>
      <c r="W126" s="298">
        <f t="shared" si="89"/>
        <v>84</v>
      </c>
    </row>
    <row r="127" spans="1:23" ht="15">
      <c r="A127" s="485"/>
      <c r="B127" s="300" t="s">
        <v>18</v>
      </c>
      <c r="C127" s="309">
        <v>0</v>
      </c>
      <c r="D127" s="309">
        <v>0</v>
      </c>
      <c r="E127" s="309">
        <f t="shared" si="79"/>
        <v>0</v>
      </c>
      <c r="F127" s="309">
        <v>0</v>
      </c>
      <c r="G127" s="309">
        <v>0</v>
      </c>
      <c r="H127" s="298">
        <f t="shared" si="80"/>
        <v>0</v>
      </c>
      <c r="I127" s="309">
        <v>11</v>
      </c>
      <c r="J127" s="309">
        <v>0</v>
      </c>
      <c r="K127" s="298">
        <f t="shared" si="81"/>
        <v>11</v>
      </c>
      <c r="L127" s="309">
        <v>32</v>
      </c>
      <c r="M127" s="309">
        <v>19</v>
      </c>
      <c r="N127" s="298">
        <f t="shared" si="82"/>
        <v>51</v>
      </c>
      <c r="O127" s="309">
        <v>36</v>
      </c>
      <c r="P127" s="309">
        <v>16</v>
      </c>
      <c r="Q127" s="298">
        <f t="shared" si="83"/>
        <v>52</v>
      </c>
      <c r="R127" s="306">
        <f t="shared" si="84"/>
        <v>128</v>
      </c>
      <c r="S127" s="306">
        <f t="shared" si="85"/>
        <v>76</v>
      </c>
      <c r="T127" s="298">
        <f t="shared" si="86"/>
        <v>204</v>
      </c>
      <c r="U127" s="306">
        <f t="shared" si="87"/>
        <v>144</v>
      </c>
      <c r="V127" s="306">
        <f t="shared" si="88"/>
        <v>64</v>
      </c>
      <c r="W127" s="298">
        <f t="shared" si="89"/>
        <v>208</v>
      </c>
    </row>
    <row r="128" spans="1:39" ht="15.75">
      <c r="A128" s="485"/>
      <c r="B128" s="300" t="s">
        <v>19</v>
      </c>
      <c r="C128" s="299">
        <v>0</v>
      </c>
      <c r="D128" s="299">
        <v>0</v>
      </c>
      <c r="E128" s="299">
        <v>0</v>
      </c>
      <c r="F128" s="299">
        <v>0</v>
      </c>
      <c r="G128" s="299">
        <v>0</v>
      </c>
      <c r="H128" s="298">
        <f t="shared" si="80"/>
        <v>0</v>
      </c>
      <c r="I128" s="299">
        <f>6+3</f>
        <v>9</v>
      </c>
      <c r="J128" s="299">
        <v>0</v>
      </c>
      <c r="K128" s="298">
        <f t="shared" si="81"/>
        <v>9</v>
      </c>
      <c r="L128" s="299">
        <v>8</v>
      </c>
      <c r="M128" s="299">
        <v>2</v>
      </c>
      <c r="N128" s="298">
        <f t="shared" si="82"/>
        <v>10</v>
      </c>
      <c r="O128" s="299">
        <v>17</v>
      </c>
      <c r="P128" s="299">
        <v>4</v>
      </c>
      <c r="Q128" s="298">
        <f t="shared" si="83"/>
        <v>21</v>
      </c>
      <c r="R128" s="306">
        <f t="shared" si="84"/>
        <v>32</v>
      </c>
      <c r="S128" s="306">
        <f t="shared" si="85"/>
        <v>8</v>
      </c>
      <c r="T128" s="298">
        <f t="shared" si="86"/>
        <v>40</v>
      </c>
      <c r="U128" s="306">
        <f t="shared" si="87"/>
        <v>68</v>
      </c>
      <c r="V128" s="306">
        <f t="shared" si="88"/>
        <v>16</v>
      </c>
      <c r="W128" s="298">
        <f t="shared" si="89"/>
        <v>84</v>
      </c>
      <c r="Y128" s="309">
        <v>0</v>
      </c>
      <c r="Z128" s="309">
        <v>0</v>
      </c>
      <c r="AA128" s="309">
        <f>SUM(Y128:Z128)</f>
        <v>0</v>
      </c>
      <c r="AB128" s="309">
        <v>2</v>
      </c>
      <c r="AC128" s="309">
        <v>0</v>
      </c>
      <c r="AD128" s="309">
        <f>SUM(AB128:AC128)</f>
        <v>2</v>
      </c>
      <c r="AE128" s="309">
        <f>18+21</f>
        <v>39</v>
      </c>
      <c r="AF128" s="309">
        <f>3+2</f>
        <v>5</v>
      </c>
      <c r="AG128" s="309">
        <f>SUM(AE128:AF128)</f>
        <v>44</v>
      </c>
      <c r="AH128" s="309">
        <v>3</v>
      </c>
      <c r="AI128" s="309">
        <v>1</v>
      </c>
      <c r="AJ128" s="309">
        <f>SUM(AH128:AI128)</f>
        <v>4</v>
      </c>
      <c r="AK128" s="309">
        <v>3</v>
      </c>
      <c r="AL128" s="309">
        <v>2</v>
      </c>
      <c r="AM128" s="309">
        <f>SUM(AK128:AL128)</f>
        <v>5</v>
      </c>
    </row>
    <row r="129" spans="1:23" ht="15">
      <c r="A129" s="485"/>
      <c r="B129" s="300" t="s">
        <v>20</v>
      </c>
      <c r="C129" s="302">
        <v>0</v>
      </c>
      <c r="D129" s="302">
        <v>0</v>
      </c>
      <c r="E129" s="302">
        <f>SUM(C129:D129)</f>
        <v>0</v>
      </c>
      <c r="F129" s="302">
        <v>0</v>
      </c>
      <c r="G129" s="302">
        <v>0</v>
      </c>
      <c r="H129" s="298">
        <f t="shared" si="80"/>
        <v>0</v>
      </c>
      <c r="I129" s="302">
        <v>6</v>
      </c>
      <c r="J129" s="302">
        <v>0</v>
      </c>
      <c r="K129" s="298">
        <f t="shared" si="81"/>
        <v>6</v>
      </c>
      <c r="L129" s="302">
        <v>4</v>
      </c>
      <c r="M129" s="302">
        <v>0</v>
      </c>
      <c r="N129" s="298">
        <f t="shared" si="82"/>
        <v>4</v>
      </c>
      <c r="O129" s="302">
        <v>16</v>
      </c>
      <c r="P129" s="302">
        <v>0</v>
      </c>
      <c r="Q129" s="298">
        <f t="shared" si="83"/>
        <v>16</v>
      </c>
      <c r="R129" s="313">
        <f t="shared" si="84"/>
        <v>16</v>
      </c>
      <c r="S129" s="313">
        <f t="shared" si="85"/>
        <v>0</v>
      </c>
      <c r="T129" s="298">
        <f t="shared" si="86"/>
        <v>16</v>
      </c>
      <c r="U129" s="313">
        <f t="shared" si="87"/>
        <v>64</v>
      </c>
      <c r="V129" s="313">
        <f t="shared" si="88"/>
        <v>0</v>
      </c>
      <c r="W129" s="298">
        <f t="shared" si="89"/>
        <v>64</v>
      </c>
    </row>
    <row r="130" spans="1:23" ht="15">
      <c r="A130" s="485"/>
      <c r="B130" s="300" t="s">
        <v>21</v>
      </c>
      <c r="C130" s="301">
        <v>0</v>
      </c>
      <c r="D130" s="301">
        <v>0</v>
      </c>
      <c r="E130" s="301">
        <f>SUM(C130:D130)</f>
        <v>0</v>
      </c>
      <c r="F130" s="301">
        <v>6</v>
      </c>
      <c r="G130" s="301">
        <v>0</v>
      </c>
      <c r="H130" s="298">
        <f t="shared" si="80"/>
        <v>6</v>
      </c>
      <c r="I130" s="301">
        <f>6+3+47</f>
        <v>56</v>
      </c>
      <c r="J130" s="301">
        <v>0</v>
      </c>
      <c r="K130" s="298">
        <f t="shared" si="81"/>
        <v>56</v>
      </c>
      <c r="L130" s="301">
        <f>8+283</f>
        <v>291</v>
      </c>
      <c r="M130" s="301">
        <f>2</f>
        <v>2</v>
      </c>
      <c r="N130" s="298">
        <f t="shared" si="82"/>
        <v>293</v>
      </c>
      <c r="O130" s="301">
        <f>17</f>
        <v>17</v>
      </c>
      <c r="P130" s="301">
        <f>4</f>
        <v>4</v>
      </c>
      <c r="Q130" s="298">
        <f t="shared" si="83"/>
        <v>21</v>
      </c>
      <c r="R130" s="306">
        <v>32</v>
      </c>
      <c r="S130" s="306">
        <v>8</v>
      </c>
      <c r="T130" s="298">
        <f t="shared" si="86"/>
        <v>40</v>
      </c>
      <c r="U130" s="306">
        <v>68</v>
      </c>
      <c r="V130" s="306">
        <v>16</v>
      </c>
      <c r="W130" s="298">
        <f t="shared" si="89"/>
        <v>84</v>
      </c>
    </row>
    <row r="131" spans="1:23" ht="15.75">
      <c r="A131" s="485"/>
      <c r="B131" s="300" t="s">
        <v>22</v>
      </c>
      <c r="C131" s="299">
        <v>0</v>
      </c>
      <c r="D131" s="299">
        <v>0</v>
      </c>
      <c r="E131" s="299">
        <v>0</v>
      </c>
      <c r="F131" s="299">
        <v>0</v>
      </c>
      <c r="G131" s="299">
        <v>0</v>
      </c>
      <c r="H131" s="298">
        <f t="shared" si="80"/>
        <v>0</v>
      </c>
      <c r="I131" s="299">
        <f>11+11+2</f>
        <v>24</v>
      </c>
      <c r="J131" s="299">
        <v>1</v>
      </c>
      <c r="K131" s="298">
        <f t="shared" si="81"/>
        <v>25</v>
      </c>
      <c r="L131" s="299">
        <v>0</v>
      </c>
      <c r="M131" s="299">
        <v>0</v>
      </c>
      <c r="N131" s="298">
        <f t="shared" si="82"/>
        <v>0</v>
      </c>
      <c r="O131" s="299">
        <v>0</v>
      </c>
      <c r="P131" s="299">
        <v>0</v>
      </c>
      <c r="Q131" s="298">
        <f t="shared" si="83"/>
        <v>0</v>
      </c>
      <c r="R131" s="306">
        <f aca="true" t="shared" si="90" ref="R131:S133">L131*4</f>
        <v>0</v>
      </c>
      <c r="S131" s="306">
        <f t="shared" si="90"/>
        <v>0</v>
      </c>
      <c r="T131" s="298">
        <f t="shared" si="86"/>
        <v>0</v>
      </c>
      <c r="U131" s="306">
        <f aca="true" t="shared" si="91" ref="U131:V133">O131*4</f>
        <v>0</v>
      </c>
      <c r="V131" s="306">
        <f t="shared" si="91"/>
        <v>0</v>
      </c>
      <c r="W131" s="298">
        <f t="shared" si="89"/>
        <v>0</v>
      </c>
    </row>
    <row r="132" spans="1:23" ht="15">
      <c r="A132" s="485"/>
      <c r="B132" s="300" t="s">
        <v>23</v>
      </c>
      <c r="C132" s="301">
        <v>0</v>
      </c>
      <c r="D132" s="301">
        <v>0</v>
      </c>
      <c r="E132" s="301">
        <f>SUM(C132:D132)</f>
        <v>0</v>
      </c>
      <c r="F132" s="301">
        <v>0</v>
      </c>
      <c r="G132" s="301">
        <v>0</v>
      </c>
      <c r="H132" s="298">
        <f t="shared" si="80"/>
        <v>0</v>
      </c>
      <c r="I132" s="301">
        <v>0</v>
      </c>
      <c r="J132" s="301">
        <v>0</v>
      </c>
      <c r="K132" s="298">
        <f t="shared" si="81"/>
        <v>0</v>
      </c>
      <c r="L132" s="301">
        <v>8</v>
      </c>
      <c r="M132" s="301">
        <v>0</v>
      </c>
      <c r="N132" s="298">
        <f t="shared" si="82"/>
        <v>8</v>
      </c>
      <c r="O132" s="301">
        <v>12</v>
      </c>
      <c r="P132" s="301">
        <v>0</v>
      </c>
      <c r="Q132" s="298">
        <f t="shared" si="83"/>
        <v>12</v>
      </c>
      <c r="R132" s="306">
        <f t="shared" si="90"/>
        <v>32</v>
      </c>
      <c r="S132" s="306">
        <f t="shared" si="90"/>
        <v>0</v>
      </c>
      <c r="T132" s="298">
        <f t="shared" si="86"/>
        <v>32</v>
      </c>
      <c r="U132" s="306">
        <f t="shared" si="91"/>
        <v>48</v>
      </c>
      <c r="V132" s="306">
        <f t="shared" si="91"/>
        <v>0</v>
      </c>
      <c r="W132" s="298">
        <f t="shared" si="89"/>
        <v>48</v>
      </c>
    </row>
    <row r="133" spans="1:23" ht="15">
      <c r="A133" s="485"/>
      <c r="B133" s="303" t="s">
        <v>24</v>
      </c>
      <c r="C133" s="304">
        <v>0</v>
      </c>
      <c r="D133" s="304">
        <v>0</v>
      </c>
      <c r="E133" s="304">
        <f>SUM(C133:D133)</f>
        <v>0</v>
      </c>
      <c r="F133" s="304">
        <v>0</v>
      </c>
      <c r="G133" s="304">
        <v>0</v>
      </c>
      <c r="H133" s="310">
        <f t="shared" si="80"/>
        <v>0</v>
      </c>
      <c r="I133" s="304">
        <v>0</v>
      </c>
      <c r="J133" s="304">
        <v>0</v>
      </c>
      <c r="K133" s="310">
        <f t="shared" si="81"/>
        <v>0</v>
      </c>
      <c r="L133" s="304">
        <v>9</v>
      </c>
      <c r="M133" s="304">
        <v>1</v>
      </c>
      <c r="N133" s="310">
        <f t="shared" si="82"/>
        <v>10</v>
      </c>
      <c r="O133" s="304">
        <v>21</v>
      </c>
      <c r="P133" s="304">
        <v>4</v>
      </c>
      <c r="Q133" s="310">
        <f t="shared" si="83"/>
        <v>25</v>
      </c>
      <c r="R133" s="314">
        <f t="shared" si="90"/>
        <v>36</v>
      </c>
      <c r="S133" s="314">
        <f t="shared" si="90"/>
        <v>4</v>
      </c>
      <c r="T133" s="310">
        <f t="shared" si="86"/>
        <v>40</v>
      </c>
      <c r="U133" s="314">
        <f t="shared" si="91"/>
        <v>84</v>
      </c>
      <c r="V133" s="314">
        <f t="shared" si="91"/>
        <v>16</v>
      </c>
      <c r="W133" s="310">
        <f t="shared" si="89"/>
        <v>100</v>
      </c>
    </row>
    <row r="134" spans="1:23" ht="15">
      <c r="A134" s="485"/>
      <c r="B134" s="305"/>
      <c r="C134" s="301"/>
      <c r="D134" s="301"/>
      <c r="E134" s="301"/>
      <c r="F134" s="301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</row>
    <row r="135" spans="1:23" ht="15">
      <c r="A135" s="485"/>
      <c r="B135" s="300" t="s">
        <v>49</v>
      </c>
      <c r="C135" s="307">
        <f aca="true" t="shared" si="92" ref="C135:W135">SUM(C122:C133)</f>
        <v>0</v>
      </c>
      <c r="D135" s="307">
        <f t="shared" si="92"/>
        <v>0</v>
      </c>
      <c r="E135" s="307">
        <f t="shared" si="92"/>
        <v>0</v>
      </c>
      <c r="F135" s="307">
        <f t="shared" si="92"/>
        <v>6</v>
      </c>
      <c r="G135" s="308">
        <f t="shared" si="92"/>
        <v>0</v>
      </c>
      <c r="H135" s="308">
        <f t="shared" si="92"/>
        <v>6</v>
      </c>
      <c r="I135" s="308">
        <f t="shared" si="92"/>
        <v>186</v>
      </c>
      <c r="J135" s="308">
        <f t="shared" si="92"/>
        <v>2</v>
      </c>
      <c r="K135" s="308">
        <f t="shared" si="92"/>
        <v>188</v>
      </c>
      <c r="L135" s="308">
        <f t="shared" si="92"/>
        <v>380</v>
      </c>
      <c r="M135" s="308">
        <f t="shared" si="92"/>
        <v>29</v>
      </c>
      <c r="N135" s="308">
        <f t="shared" si="92"/>
        <v>409</v>
      </c>
      <c r="O135" s="308">
        <f t="shared" si="92"/>
        <v>184</v>
      </c>
      <c r="P135" s="308">
        <f t="shared" si="92"/>
        <v>35</v>
      </c>
      <c r="Q135" s="308">
        <f t="shared" si="92"/>
        <v>219</v>
      </c>
      <c r="R135" s="308">
        <f t="shared" si="92"/>
        <v>388</v>
      </c>
      <c r="S135" s="308">
        <f t="shared" si="92"/>
        <v>116</v>
      </c>
      <c r="T135" s="308">
        <f t="shared" si="92"/>
        <v>504</v>
      </c>
      <c r="U135" s="308">
        <f t="shared" si="92"/>
        <v>736</v>
      </c>
      <c r="V135" s="308">
        <f t="shared" si="92"/>
        <v>140</v>
      </c>
      <c r="W135" s="308">
        <f t="shared" si="92"/>
        <v>876</v>
      </c>
    </row>
    <row r="136" spans="7:23" ht="14.25"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</row>
    <row r="137" spans="1:23" ht="14.25">
      <c r="A137" s="234" t="s">
        <v>50</v>
      </c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</row>
    <row r="138" spans="2:23" ht="12.75">
      <c r="B138" s="294" t="s">
        <v>1</v>
      </c>
      <c r="C138" s="486" t="s">
        <v>76</v>
      </c>
      <c r="D138" s="487"/>
      <c r="E138" s="488"/>
      <c r="F138" s="486" t="s">
        <v>2</v>
      </c>
      <c r="G138" s="487"/>
      <c r="H138" s="488"/>
      <c r="I138" s="486" t="s">
        <v>3</v>
      </c>
      <c r="J138" s="487"/>
      <c r="K138" s="488"/>
      <c r="L138" s="486" t="s">
        <v>4</v>
      </c>
      <c r="M138" s="487"/>
      <c r="N138" s="488"/>
      <c r="O138" s="486" t="s">
        <v>5</v>
      </c>
      <c r="P138" s="487"/>
      <c r="Q138" s="488"/>
      <c r="R138" s="486" t="s">
        <v>131</v>
      </c>
      <c r="S138" s="487"/>
      <c r="T138" s="488"/>
      <c r="U138" s="486" t="s">
        <v>132</v>
      </c>
      <c r="V138" s="487"/>
      <c r="W138" s="488"/>
    </row>
    <row r="139" spans="2:23" ht="12.75">
      <c r="B139" s="295"/>
      <c r="C139" s="230" t="s">
        <v>7</v>
      </c>
      <c r="D139" s="230" t="s">
        <v>8</v>
      </c>
      <c r="E139" s="230" t="s">
        <v>6</v>
      </c>
      <c r="F139" s="230" t="s">
        <v>7</v>
      </c>
      <c r="G139" s="230" t="s">
        <v>8</v>
      </c>
      <c r="H139" s="230" t="s">
        <v>6</v>
      </c>
      <c r="I139" s="230" t="s">
        <v>7</v>
      </c>
      <c r="J139" s="230" t="s">
        <v>8</v>
      </c>
      <c r="K139" s="230" t="s">
        <v>6</v>
      </c>
      <c r="L139" s="230" t="s">
        <v>7</v>
      </c>
      <c r="M139" s="230" t="s">
        <v>8</v>
      </c>
      <c r="N139" s="230" t="s">
        <v>6</v>
      </c>
      <c r="O139" s="230" t="s">
        <v>7</v>
      </c>
      <c r="P139" s="230" t="s">
        <v>8</v>
      </c>
      <c r="Q139" s="230" t="s">
        <v>6</v>
      </c>
      <c r="R139" s="230" t="s">
        <v>7</v>
      </c>
      <c r="S139" s="230" t="s">
        <v>8</v>
      </c>
      <c r="T139" s="230" t="s">
        <v>6</v>
      </c>
      <c r="U139" s="230" t="s">
        <v>7</v>
      </c>
      <c r="V139" s="230" t="s">
        <v>8</v>
      </c>
      <c r="W139" s="230" t="s">
        <v>6</v>
      </c>
    </row>
    <row r="140" spans="1:23" ht="15">
      <c r="A140" s="485" t="s">
        <v>50</v>
      </c>
      <c r="B140" s="296"/>
      <c r="C140" s="296"/>
      <c r="D140" s="296"/>
      <c r="E140" s="296"/>
      <c r="F140" s="296"/>
      <c r="G140" s="296"/>
      <c r="H140" s="296"/>
      <c r="I140" s="296"/>
      <c r="J140" s="296"/>
      <c r="K140" s="296"/>
      <c r="L140" s="296"/>
      <c r="M140" s="296"/>
      <c r="N140" s="296"/>
      <c r="O140" s="296"/>
      <c r="P140" s="296"/>
      <c r="Q140" s="296"/>
      <c r="R140" s="296"/>
      <c r="S140" s="296"/>
      <c r="T140" s="296"/>
      <c r="U140" s="296"/>
      <c r="V140" s="296"/>
      <c r="W140" s="296"/>
    </row>
    <row r="141" spans="1:23" ht="15">
      <c r="A141" s="485"/>
      <c r="B141" s="297" t="s">
        <v>9</v>
      </c>
      <c r="C141" s="309">
        <v>0</v>
      </c>
      <c r="D141" s="309">
        <v>0</v>
      </c>
      <c r="E141" s="309">
        <f aca="true" t="shared" si="93" ref="E141:E149">SUM(C141:D141)</f>
        <v>0</v>
      </c>
      <c r="F141" s="309">
        <v>0</v>
      </c>
      <c r="G141" s="309">
        <v>0</v>
      </c>
      <c r="H141" s="298">
        <f>SUM(F141:G141)</f>
        <v>0</v>
      </c>
      <c r="I141" s="309">
        <v>4</v>
      </c>
      <c r="J141" s="309">
        <v>0</v>
      </c>
      <c r="K141" s="298">
        <f>SUM(I141:J141)</f>
        <v>4</v>
      </c>
      <c r="L141" s="309">
        <v>0</v>
      </c>
      <c r="M141" s="309">
        <v>0</v>
      </c>
      <c r="N141" s="298">
        <f>SUM(L141:M141)</f>
        <v>0</v>
      </c>
      <c r="O141" s="309">
        <v>0</v>
      </c>
      <c r="P141" s="309">
        <v>0</v>
      </c>
      <c r="Q141" s="298">
        <f>SUM(O141:P141)</f>
        <v>0</v>
      </c>
      <c r="R141" s="306">
        <f>L141*4</f>
        <v>0</v>
      </c>
      <c r="S141" s="306">
        <f>M141*4</f>
        <v>0</v>
      </c>
      <c r="T141" s="298">
        <f>SUM(R141:S141)</f>
        <v>0</v>
      </c>
      <c r="U141" s="306">
        <f>O141*4</f>
        <v>0</v>
      </c>
      <c r="V141" s="306">
        <f>P141*4</f>
        <v>0</v>
      </c>
      <c r="W141" s="298">
        <f>SUM(U141:V141)</f>
        <v>0</v>
      </c>
    </row>
    <row r="142" spans="1:23" ht="15">
      <c r="A142" s="485"/>
      <c r="B142" s="300" t="s">
        <v>14</v>
      </c>
      <c r="C142" s="301">
        <v>0</v>
      </c>
      <c r="D142" s="301">
        <v>0</v>
      </c>
      <c r="E142" s="301">
        <f t="shared" si="93"/>
        <v>0</v>
      </c>
      <c r="F142" s="301">
        <v>0</v>
      </c>
      <c r="G142" s="301">
        <v>0</v>
      </c>
      <c r="H142" s="298">
        <f aca="true" t="shared" si="94" ref="H142:H152">SUM(F142:G142)</f>
        <v>0</v>
      </c>
      <c r="I142" s="301">
        <v>4</v>
      </c>
      <c r="J142" s="301">
        <v>0</v>
      </c>
      <c r="K142" s="298">
        <f aca="true" t="shared" si="95" ref="K142:K152">SUM(I142:J142)</f>
        <v>4</v>
      </c>
      <c r="L142" s="301">
        <v>0</v>
      </c>
      <c r="M142" s="301">
        <v>0</v>
      </c>
      <c r="N142" s="298">
        <f aca="true" t="shared" si="96" ref="N142:N152">SUM(L142:M142)</f>
        <v>0</v>
      </c>
      <c r="O142" s="301">
        <v>0</v>
      </c>
      <c r="P142" s="301">
        <v>0</v>
      </c>
      <c r="Q142" s="298">
        <f aca="true" t="shared" si="97" ref="Q142:Q152">SUM(O142:P142)</f>
        <v>0</v>
      </c>
      <c r="R142" s="306">
        <f aca="true" t="shared" si="98" ref="R142:R148">L142*4</f>
        <v>0</v>
      </c>
      <c r="S142" s="306">
        <f aca="true" t="shared" si="99" ref="S142:S149">M142*4</f>
        <v>0</v>
      </c>
      <c r="T142" s="298">
        <f aca="true" t="shared" si="100" ref="T142:T152">SUM(R142:S142)</f>
        <v>0</v>
      </c>
      <c r="U142" s="306">
        <f aca="true" t="shared" si="101" ref="U142:U149">O142*4</f>
        <v>0</v>
      </c>
      <c r="V142" s="306">
        <f aca="true" t="shared" si="102" ref="V142:V149">P142*4</f>
        <v>0</v>
      </c>
      <c r="W142" s="298">
        <f aca="true" t="shared" si="103" ref="W142:W152">SUM(U142:V142)</f>
        <v>0</v>
      </c>
    </row>
    <row r="143" spans="1:23" ht="15">
      <c r="A143" s="485"/>
      <c r="B143" s="300" t="s">
        <v>15</v>
      </c>
      <c r="C143" s="309">
        <v>0</v>
      </c>
      <c r="D143" s="309">
        <v>0</v>
      </c>
      <c r="E143" s="309">
        <f t="shared" si="93"/>
        <v>0</v>
      </c>
      <c r="F143" s="309">
        <v>0</v>
      </c>
      <c r="G143" s="309">
        <v>0</v>
      </c>
      <c r="H143" s="298">
        <f t="shared" si="94"/>
        <v>0</v>
      </c>
      <c r="I143" s="309">
        <f>7+1</f>
        <v>8</v>
      </c>
      <c r="J143" s="309">
        <v>0</v>
      </c>
      <c r="K143" s="298">
        <f t="shared" si="95"/>
        <v>8</v>
      </c>
      <c r="L143" s="309">
        <v>0</v>
      </c>
      <c r="M143" s="309">
        <v>0</v>
      </c>
      <c r="N143" s="298">
        <f t="shared" si="96"/>
        <v>0</v>
      </c>
      <c r="O143" s="309">
        <v>0</v>
      </c>
      <c r="P143" s="309">
        <v>0</v>
      </c>
      <c r="Q143" s="298">
        <f t="shared" si="97"/>
        <v>0</v>
      </c>
      <c r="R143" s="306">
        <f t="shared" si="98"/>
        <v>0</v>
      </c>
      <c r="S143" s="306">
        <f t="shared" si="99"/>
        <v>0</v>
      </c>
      <c r="T143" s="298">
        <f t="shared" si="100"/>
        <v>0</v>
      </c>
      <c r="U143" s="306">
        <f t="shared" si="101"/>
        <v>0</v>
      </c>
      <c r="V143" s="306">
        <f t="shared" si="102"/>
        <v>0</v>
      </c>
      <c r="W143" s="298">
        <f t="shared" si="103"/>
        <v>0</v>
      </c>
    </row>
    <row r="144" spans="1:23" ht="15">
      <c r="A144" s="485"/>
      <c r="B144" s="300" t="s">
        <v>16</v>
      </c>
      <c r="C144" s="309">
        <v>0</v>
      </c>
      <c r="D144" s="309">
        <v>0</v>
      </c>
      <c r="E144" s="309">
        <f t="shared" si="93"/>
        <v>0</v>
      </c>
      <c r="F144" s="309">
        <v>0</v>
      </c>
      <c r="G144" s="309">
        <v>0</v>
      </c>
      <c r="H144" s="298">
        <f t="shared" si="94"/>
        <v>0</v>
      </c>
      <c r="I144" s="309">
        <f>9+1</f>
        <v>10</v>
      </c>
      <c r="J144" s="309">
        <v>0</v>
      </c>
      <c r="K144" s="298">
        <f t="shared" si="95"/>
        <v>10</v>
      </c>
      <c r="L144" s="309">
        <v>0</v>
      </c>
      <c r="M144" s="309">
        <v>0</v>
      </c>
      <c r="N144" s="298">
        <f t="shared" si="96"/>
        <v>0</v>
      </c>
      <c r="O144" s="309">
        <v>0</v>
      </c>
      <c r="P144" s="309">
        <v>0</v>
      </c>
      <c r="Q144" s="298">
        <f t="shared" si="97"/>
        <v>0</v>
      </c>
      <c r="R144" s="306">
        <f t="shared" si="98"/>
        <v>0</v>
      </c>
      <c r="S144" s="306">
        <f t="shared" si="99"/>
        <v>0</v>
      </c>
      <c r="T144" s="298">
        <f t="shared" si="100"/>
        <v>0</v>
      </c>
      <c r="U144" s="306">
        <f t="shared" si="101"/>
        <v>0</v>
      </c>
      <c r="V144" s="306">
        <f t="shared" si="102"/>
        <v>0</v>
      </c>
      <c r="W144" s="298">
        <f t="shared" si="103"/>
        <v>0</v>
      </c>
    </row>
    <row r="145" spans="1:23" ht="15">
      <c r="A145" s="485"/>
      <c r="B145" s="300" t="s">
        <v>17</v>
      </c>
      <c r="C145" s="309">
        <v>0</v>
      </c>
      <c r="D145" s="309">
        <v>0</v>
      </c>
      <c r="E145" s="309">
        <f t="shared" si="93"/>
        <v>0</v>
      </c>
      <c r="F145" s="309">
        <v>0</v>
      </c>
      <c r="G145" s="309">
        <v>0</v>
      </c>
      <c r="H145" s="298">
        <f t="shared" si="94"/>
        <v>0</v>
      </c>
      <c r="I145" s="309">
        <v>3</v>
      </c>
      <c r="J145" s="309">
        <v>0</v>
      </c>
      <c r="K145" s="298">
        <f t="shared" si="95"/>
        <v>3</v>
      </c>
      <c r="L145" s="309">
        <v>0</v>
      </c>
      <c r="M145" s="309">
        <v>0</v>
      </c>
      <c r="N145" s="298">
        <f t="shared" si="96"/>
        <v>0</v>
      </c>
      <c r="O145" s="309">
        <v>0</v>
      </c>
      <c r="P145" s="309">
        <v>0</v>
      </c>
      <c r="Q145" s="298">
        <f t="shared" si="97"/>
        <v>0</v>
      </c>
      <c r="R145" s="306">
        <f t="shared" si="98"/>
        <v>0</v>
      </c>
      <c r="S145" s="306">
        <f t="shared" si="99"/>
        <v>0</v>
      </c>
      <c r="T145" s="298">
        <f t="shared" si="100"/>
        <v>0</v>
      </c>
      <c r="U145" s="306">
        <f t="shared" si="101"/>
        <v>0</v>
      </c>
      <c r="V145" s="306">
        <f t="shared" si="102"/>
        <v>0</v>
      </c>
      <c r="W145" s="298">
        <f t="shared" si="103"/>
        <v>0</v>
      </c>
    </row>
    <row r="146" spans="1:23" ht="15">
      <c r="A146" s="485"/>
      <c r="B146" s="300" t="s">
        <v>18</v>
      </c>
      <c r="C146" s="309">
        <v>0</v>
      </c>
      <c r="D146" s="309">
        <v>0</v>
      </c>
      <c r="E146" s="309">
        <f t="shared" si="93"/>
        <v>0</v>
      </c>
      <c r="F146" s="309">
        <v>0</v>
      </c>
      <c r="G146" s="309">
        <v>0</v>
      </c>
      <c r="H146" s="298">
        <f t="shared" si="94"/>
        <v>0</v>
      </c>
      <c r="I146" s="309">
        <f>7+1</f>
        <v>8</v>
      </c>
      <c r="J146" s="309">
        <v>0</v>
      </c>
      <c r="K146" s="298">
        <f t="shared" si="95"/>
        <v>8</v>
      </c>
      <c r="L146" s="309">
        <v>0</v>
      </c>
      <c r="M146" s="309">
        <v>0</v>
      </c>
      <c r="N146" s="298">
        <f t="shared" si="96"/>
        <v>0</v>
      </c>
      <c r="O146" s="309">
        <v>0</v>
      </c>
      <c r="P146" s="309">
        <v>0</v>
      </c>
      <c r="Q146" s="298">
        <f t="shared" si="97"/>
        <v>0</v>
      </c>
      <c r="R146" s="306">
        <f t="shared" si="98"/>
        <v>0</v>
      </c>
      <c r="S146" s="306">
        <f t="shared" si="99"/>
        <v>0</v>
      </c>
      <c r="T146" s="298">
        <f t="shared" si="100"/>
        <v>0</v>
      </c>
      <c r="U146" s="306">
        <f t="shared" si="101"/>
        <v>0</v>
      </c>
      <c r="V146" s="306">
        <f t="shared" si="102"/>
        <v>0</v>
      </c>
      <c r="W146" s="298">
        <f t="shared" si="103"/>
        <v>0</v>
      </c>
    </row>
    <row r="147" spans="1:23" ht="15">
      <c r="A147" s="485"/>
      <c r="B147" s="300" t="s">
        <v>19</v>
      </c>
      <c r="C147" s="309">
        <v>0</v>
      </c>
      <c r="D147" s="309">
        <v>0</v>
      </c>
      <c r="E147" s="309">
        <f t="shared" si="93"/>
        <v>0</v>
      </c>
      <c r="F147" s="309">
        <v>0</v>
      </c>
      <c r="G147" s="309">
        <v>0</v>
      </c>
      <c r="H147" s="298">
        <f t="shared" si="94"/>
        <v>0</v>
      </c>
      <c r="I147" s="309">
        <v>3</v>
      </c>
      <c r="J147" s="309">
        <v>0</v>
      </c>
      <c r="K147" s="298">
        <f t="shared" si="95"/>
        <v>3</v>
      </c>
      <c r="L147" s="309">
        <v>0</v>
      </c>
      <c r="M147" s="309">
        <v>0</v>
      </c>
      <c r="N147" s="298">
        <f t="shared" si="96"/>
        <v>0</v>
      </c>
      <c r="O147" s="309">
        <v>0</v>
      </c>
      <c r="P147" s="309">
        <v>0</v>
      </c>
      <c r="Q147" s="298">
        <f t="shared" si="97"/>
        <v>0</v>
      </c>
      <c r="R147" s="306">
        <f t="shared" si="98"/>
        <v>0</v>
      </c>
      <c r="S147" s="306">
        <f t="shared" si="99"/>
        <v>0</v>
      </c>
      <c r="T147" s="298">
        <f t="shared" si="100"/>
        <v>0</v>
      </c>
      <c r="U147" s="306">
        <f t="shared" si="101"/>
        <v>0</v>
      </c>
      <c r="V147" s="306">
        <f t="shared" si="102"/>
        <v>0</v>
      </c>
      <c r="W147" s="298">
        <f t="shared" si="103"/>
        <v>0</v>
      </c>
    </row>
    <row r="148" spans="1:23" ht="15">
      <c r="A148" s="485"/>
      <c r="B148" s="300" t="s">
        <v>20</v>
      </c>
      <c r="C148" s="302">
        <v>0</v>
      </c>
      <c r="D148" s="302">
        <v>0</v>
      </c>
      <c r="E148" s="302">
        <f t="shared" si="93"/>
        <v>0</v>
      </c>
      <c r="F148" s="302">
        <v>0</v>
      </c>
      <c r="G148" s="302">
        <v>0</v>
      </c>
      <c r="H148" s="298">
        <f t="shared" si="94"/>
        <v>0</v>
      </c>
      <c r="I148" s="302">
        <f>9+1</f>
        <v>10</v>
      </c>
      <c r="J148" s="302">
        <v>0</v>
      </c>
      <c r="K148" s="298">
        <f t="shared" si="95"/>
        <v>10</v>
      </c>
      <c r="L148" s="302">
        <v>0</v>
      </c>
      <c r="M148" s="302">
        <v>0</v>
      </c>
      <c r="N148" s="298">
        <f t="shared" si="96"/>
        <v>0</v>
      </c>
      <c r="O148" s="302">
        <v>0</v>
      </c>
      <c r="P148" s="302">
        <v>0</v>
      </c>
      <c r="Q148" s="298">
        <f t="shared" si="97"/>
        <v>0</v>
      </c>
      <c r="R148" s="313">
        <f t="shared" si="98"/>
        <v>0</v>
      </c>
      <c r="S148" s="313">
        <f t="shared" si="99"/>
        <v>0</v>
      </c>
      <c r="T148" s="298">
        <f t="shared" si="100"/>
        <v>0</v>
      </c>
      <c r="U148" s="313">
        <f t="shared" si="101"/>
        <v>0</v>
      </c>
      <c r="V148" s="313">
        <f t="shared" si="102"/>
        <v>0</v>
      </c>
      <c r="W148" s="298">
        <f t="shared" si="103"/>
        <v>0</v>
      </c>
    </row>
    <row r="149" spans="1:23" ht="15">
      <c r="A149" s="485"/>
      <c r="B149" s="300" t="s">
        <v>21</v>
      </c>
      <c r="C149" s="301">
        <v>0</v>
      </c>
      <c r="D149" s="301">
        <v>0</v>
      </c>
      <c r="E149" s="301">
        <f t="shared" si="93"/>
        <v>0</v>
      </c>
      <c r="F149" s="301">
        <v>24</v>
      </c>
      <c r="G149" s="301">
        <v>0</v>
      </c>
      <c r="H149" s="298">
        <f t="shared" si="94"/>
        <v>24</v>
      </c>
      <c r="I149" s="301">
        <f>11+2+107</f>
        <v>120</v>
      </c>
      <c r="J149" s="301">
        <v>0</v>
      </c>
      <c r="K149" s="298">
        <f t="shared" si="95"/>
        <v>120</v>
      </c>
      <c r="L149" s="301">
        <v>489</v>
      </c>
      <c r="M149" s="301">
        <v>0</v>
      </c>
      <c r="N149" s="298">
        <f t="shared" si="96"/>
        <v>489</v>
      </c>
      <c r="O149" s="301">
        <v>0</v>
      </c>
      <c r="P149" s="301">
        <v>0</v>
      </c>
      <c r="Q149" s="298">
        <f t="shared" si="97"/>
        <v>0</v>
      </c>
      <c r="R149" s="306">
        <v>0</v>
      </c>
      <c r="S149" s="306">
        <f t="shared" si="99"/>
        <v>0</v>
      </c>
      <c r="T149" s="298">
        <f t="shared" si="100"/>
        <v>0</v>
      </c>
      <c r="U149" s="306">
        <f t="shared" si="101"/>
        <v>0</v>
      </c>
      <c r="V149" s="306">
        <f t="shared" si="102"/>
        <v>0</v>
      </c>
      <c r="W149" s="298">
        <f t="shared" si="103"/>
        <v>0</v>
      </c>
    </row>
    <row r="150" spans="1:23" ht="15.75">
      <c r="A150" s="485"/>
      <c r="B150" s="300" t="s">
        <v>22</v>
      </c>
      <c r="C150" s="299">
        <v>0</v>
      </c>
      <c r="D150" s="299">
        <v>0</v>
      </c>
      <c r="E150" s="299">
        <v>0</v>
      </c>
      <c r="F150" s="299">
        <v>0</v>
      </c>
      <c r="G150" s="299">
        <v>0</v>
      </c>
      <c r="H150" s="298">
        <f t="shared" si="94"/>
        <v>0</v>
      </c>
      <c r="I150" s="299">
        <v>2</v>
      </c>
      <c r="J150" s="299">
        <v>0</v>
      </c>
      <c r="K150" s="298">
        <f t="shared" si="95"/>
        <v>2</v>
      </c>
      <c r="L150" s="299">
        <v>0</v>
      </c>
      <c r="M150" s="299">
        <v>0</v>
      </c>
      <c r="N150" s="298">
        <f t="shared" si="96"/>
        <v>0</v>
      </c>
      <c r="O150" s="299">
        <v>0</v>
      </c>
      <c r="P150" s="299">
        <v>0</v>
      </c>
      <c r="Q150" s="298">
        <f t="shared" si="97"/>
        <v>0</v>
      </c>
      <c r="R150" s="306">
        <f aca="true" t="shared" si="104" ref="R150:S152">L150*4</f>
        <v>0</v>
      </c>
      <c r="S150" s="306">
        <f t="shared" si="104"/>
        <v>0</v>
      </c>
      <c r="T150" s="298">
        <f t="shared" si="100"/>
        <v>0</v>
      </c>
      <c r="U150" s="306">
        <f aca="true" t="shared" si="105" ref="U150:V152">O150*4</f>
        <v>0</v>
      </c>
      <c r="V150" s="306">
        <f t="shared" si="105"/>
        <v>0</v>
      </c>
      <c r="W150" s="298">
        <f t="shared" si="103"/>
        <v>0</v>
      </c>
    </row>
    <row r="151" spans="1:23" ht="15">
      <c r="A151" s="485"/>
      <c r="B151" s="300" t="s">
        <v>23</v>
      </c>
      <c r="C151" s="301">
        <v>0</v>
      </c>
      <c r="D151" s="301">
        <v>0</v>
      </c>
      <c r="E151" s="301">
        <f>SUM(C151:D151)</f>
        <v>0</v>
      </c>
      <c r="F151" s="301">
        <v>0</v>
      </c>
      <c r="G151" s="301">
        <v>0</v>
      </c>
      <c r="H151" s="298">
        <f t="shared" si="94"/>
        <v>0</v>
      </c>
      <c r="I151" s="301">
        <v>5</v>
      </c>
      <c r="J151" s="301">
        <v>0</v>
      </c>
      <c r="K151" s="298">
        <f t="shared" si="95"/>
        <v>5</v>
      </c>
      <c r="L151" s="301">
        <v>0</v>
      </c>
      <c r="M151" s="301">
        <v>0</v>
      </c>
      <c r="N151" s="298">
        <f t="shared" si="96"/>
        <v>0</v>
      </c>
      <c r="O151" s="301">
        <v>0</v>
      </c>
      <c r="P151" s="301">
        <v>0</v>
      </c>
      <c r="Q151" s="298">
        <f t="shared" si="97"/>
        <v>0</v>
      </c>
      <c r="R151" s="306">
        <f t="shared" si="104"/>
        <v>0</v>
      </c>
      <c r="S151" s="306">
        <f t="shared" si="104"/>
        <v>0</v>
      </c>
      <c r="T151" s="298">
        <f t="shared" si="100"/>
        <v>0</v>
      </c>
      <c r="U151" s="306">
        <f t="shared" si="105"/>
        <v>0</v>
      </c>
      <c r="V151" s="306">
        <f t="shared" si="105"/>
        <v>0</v>
      </c>
      <c r="W151" s="298">
        <f t="shared" si="103"/>
        <v>0</v>
      </c>
    </row>
    <row r="152" spans="1:23" ht="15">
      <c r="A152" s="485"/>
      <c r="B152" s="303" t="s">
        <v>24</v>
      </c>
      <c r="C152" s="304">
        <v>0</v>
      </c>
      <c r="D152" s="304">
        <v>0</v>
      </c>
      <c r="E152" s="304">
        <f>SUM(C152:D152)</f>
        <v>0</v>
      </c>
      <c r="F152" s="304">
        <v>0</v>
      </c>
      <c r="G152" s="304">
        <v>0</v>
      </c>
      <c r="H152" s="310">
        <f t="shared" si="94"/>
        <v>0</v>
      </c>
      <c r="I152" s="304">
        <v>5</v>
      </c>
      <c r="J152" s="304">
        <v>0</v>
      </c>
      <c r="K152" s="310">
        <f t="shared" si="95"/>
        <v>5</v>
      </c>
      <c r="L152" s="304">
        <v>0</v>
      </c>
      <c r="M152" s="304">
        <v>0</v>
      </c>
      <c r="N152" s="310">
        <f t="shared" si="96"/>
        <v>0</v>
      </c>
      <c r="O152" s="304">
        <v>0</v>
      </c>
      <c r="P152" s="304">
        <v>0</v>
      </c>
      <c r="Q152" s="310">
        <f t="shared" si="97"/>
        <v>0</v>
      </c>
      <c r="R152" s="314">
        <f t="shared" si="104"/>
        <v>0</v>
      </c>
      <c r="S152" s="314">
        <f t="shared" si="104"/>
        <v>0</v>
      </c>
      <c r="T152" s="310">
        <f t="shared" si="100"/>
        <v>0</v>
      </c>
      <c r="U152" s="314">
        <f t="shared" si="105"/>
        <v>0</v>
      </c>
      <c r="V152" s="314">
        <f t="shared" si="105"/>
        <v>0</v>
      </c>
      <c r="W152" s="310">
        <f t="shared" si="103"/>
        <v>0</v>
      </c>
    </row>
    <row r="153" spans="1:23" ht="15">
      <c r="A153" s="485"/>
      <c r="B153" s="305"/>
      <c r="C153" s="301"/>
      <c r="D153" s="301"/>
      <c r="E153" s="301"/>
      <c r="F153" s="301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  <c r="S153" s="306"/>
      <c r="T153" s="306"/>
      <c r="U153" s="306"/>
      <c r="V153" s="306"/>
      <c r="W153" s="306"/>
    </row>
    <row r="154" spans="1:23" ht="15">
      <c r="A154" s="485"/>
      <c r="B154" s="300" t="s">
        <v>50</v>
      </c>
      <c r="C154" s="309">
        <f aca="true" t="shared" si="106" ref="C154:W154">SUM(C141:C152)</f>
        <v>0</v>
      </c>
      <c r="D154" s="309">
        <f t="shared" si="106"/>
        <v>0</v>
      </c>
      <c r="E154" s="309">
        <f t="shared" si="106"/>
        <v>0</v>
      </c>
      <c r="F154" s="309">
        <f t="shared" si="106"/>
        <v>24</v>
      </c>
      <c r="G154" s="315">
        <f t="shared" si="106"/>
        <v>0</v>
      </c>
      <c r="H154" s="315">
        <f t="shared" si="106"/>
        <v>24</v>
      </c>
      <c r="I154" s="315">
        <f t="shared" si="106"/>
        <v>182</v>
      </c>
      <c r="J154" s="315">
        <f t="shared" si="106"/>
        <v>0</v>
      </c>
      <c r="K154" s="315">
        <f t="shared" si="106"/>
        <v>182</v>
      </c>
      <c r="L154" s="315">
        <f t="shared" si="106"/>
        <v>489</v>
      </c>
      <c r="M154" s="315">
        <f t="shared" si="106"/>
        <v>0</v>
      </c>
      <c r="N154" s="315">
        <f t="shared" si="106"/>
        <v>489</v>
      </c>
      <c r="O154" s="315">
        <f t="shared" si="106"/>
        <v>0</v>
      </c>
      <c r="P154" s="315">
        <f t="shared" si="106"/>
        <v>0</v>
      </c>
      <c r="Q154" s="315">
        <f t="shared" si="106"/>
        <v>0</v>
      </c>
      <c r="R154" s="315">
        <f t="shared" si="106"/>
        <v>0</v>
      </c>
      <c r="S154" s="315">
        <f t="shared" si="106"/>
        <v>0</v>
      </c>
      <c r="T154" s="315">
        <f t="shared" si="106"/>
        <v>0</v>
      </c>
      <c r="U154" s="315">
        <f t="shared" si="106"/>
        <v>0</v>
      </c>
      <c r="V154" s="315">
        <f t="shared" si="106"/>
        <v>0</v>
      </c>
      <c r="W154" s="315">
        <f t="shared" si="106"/>
        <v>0</v>
      </c>
    </row>
    <row r="155" spans="7:23" ht="14.25"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</row>
    <row r="156" spans="1:23" ht="14.25">
      <c r="A156" s="234" t="s">
        <v>51</v>
      </c>
      <c r="G156" s="236"/>
      <c r="H156" s="236"/>
      <c r="I156" s="236"/>
      <c r="J156" s="236"/>
      <c r="K156" s="236"/>
      <c r="L156" s="236"/>
      <c r="M156" s="236"/>
      <c r="N156" s="236"/>
      <c r="O156" s="236"/>
      <c r="P156" s="236"/>
      <c r="Q156" s="236"/>
      <c r="R156" s="236"/>
      <c r="S156" s="236"/>
      <c r="T156" s="236"/>
      <c r="U156" s="236"/>
      <c r="V156" s="236"/>
      <c r="W156" s="236"/>
    </row>
    <row r="157" spans="2:23" ht="12.75">
      <c r="B157" s="294" t="s">
        <v>1</v>
      </c>
      <c r="C157" s="486" t="s">
        <v>76</v>
      </c>
      <c r="D157" s="487"/>
      <c r="E157" s="488"/>
      <c r="F157" s="486" t="s">
        <v>2</v>
      </c>
      <c r="G157" s="487"/>
      <c r="H157" s="488"/>
      <c r="I157" s="486" t="s">
        <v>3</v>
      </c>
      <c r="J157" s="487"/>
      <c r="K157" s="488"/>
      <c r="L157" s="486" t="s">
        <v>4</v>
      </c>
      <c r="M157" s="487"/>
      <c r="N157" s="488"/>
      <c r="O157" s="486" t="s">
        <v>5</v>
      </c>
      <c r="P157" s="487"/>
      <c r="Q157" s="488"/>
      <c r="R157" s="486" t="s">
        <v>131</v>
      </c>
      <c r="S157" s="487"/>
      <c r="T157" s="488"/>
      <c r="U157" s="486" t="s">
        <v>132</v>
      </c>
      <c r="V157" s="487"/>
      <c r="W157" s="488"/>
    </row>
    <row r="158" spans="2:23" ht="12.75">
      <c r="B158" s="295"/>
      <c r="C158" s="230" t="s">
        <v>7</v>
      </c>
      <c r="D158" s="230" t="s">
        <v>8</v>
      </c>
      <c r="E158" s="230" t="s">
        <v>6</v>
      </c>
      <c r="F158" s="230" t="s">
        <v>7</v>
      </c>
      <c r="G158" s="230" t="s">
        <v>8</v>
      </c>
      <c r="H158" s="230" t="s">
        <v>6</v>
      </c>
      <c r="I158" s="230" t="s">
        <v>7</v>
      </c>
      <c r="J158" s="230" t="s">
        <v>8</v>
      </c>
      <c r="K158" s="230" t="s">
        <v>6</v>
      </c>
      <c r="L158" s="230" t="s">
        <v>7</v>
      </c>
      <c r="M158" s="230" t="s">
        <v>8</v>
      </c>
      <c r="N158" s="230" t="s">
        <v>6</v>
      </c>
      <c r="O158" s="230" t="s">
        <v>7</v>
      </c>
      <c r="P158" s="230" t="s">
        <v>8</v>
      </c>
      <c r="Q158" s="230" t="s">
        <v>6</v>
      </c>
      <c r="R158" s="230" t="s">
        <v>7</v>
      </c>
      <c r="S158" s="230" t="s">
        <v>8</v>
      </c>
      <c r="T158" s="230" t="s">
        <v>6</v>
      </c>
      <c r="U158" s="230" t="s">
        <v>7</v>
      </c>
      <c r="V158" s="230" t="s">
        <v>8</v>
      </c>
      <c r="W158" s="230" t="s">
        <v>6</v>
      </c>
    </row>
    <row r="159" spans="1:23" ht="15">
      <c r="A159" s="485" t="s">
        <v>51</v>
      </c>
      <c r="B159" s="296"/>
      <c r="C159" s="296"/>
      <c r="D159" s="296"/>
      <c r="E159" s="296"/>
      <c r="F159" s="296"/>
      <c r="G159" s="296"/>
      <c r="H159" s="296"/>
      <c r="I159" s="296"/>
      <c r="J159" s="296"/>
      <c r="K159" s="296"/>
      <c r="L159" s="296"/>
      <c r="M159" s="296"/>
      <c r="N159" s="296"/>
      <c r="O159" s="296"/>
      <c r="P159" s="296"/>
      <c r="Q159" s="296"/>
      <c r="R159" s="296"/>
      <c r="S159" s="296"/>
      <c r="T159" s="296"/>
      <c r="U159" s="296"/>
      <c r="V159" s="296"/>
      <c r="W159" s="296"/>
    </row>
    <row r="160" spans="1:23" ht="15">
      <c r="A160" s="485"/>
      <c r="B160" s="297" t="s">
        <v>9</v>
      </c>
      <c r="C160" s="309">
        <v>0</v>
      </c>
      <c r="D160" s="309">
        <v>0</v>
      </c>
      <c r="E160" s="309">
        <f aca="true" t="shared" si="107" ref="E160:E168">SUM(C160:D160)</f>
        <v>0</v>
      </c>
      <c r="F160" s="309">
        <v>0</v>
      </c>
      <c r="G160" s="309">
        <v>0</v>
      </c>
      <c r="H160" s="298">
        <f>SUM(F160:G160)</f>
        <v>0</v>
      </c>
      <c r="I160" s="309">
        <v>0</v>
      </c>
      <c r="J160" s="309">
        <v>0</v>
      </c>
      <c r="K160" s="298">
        <f>SUM(I160:J160)</f>
        <v>0</v>
      </c>
      <c r="L160" s="309">
        <v>32</v>
      </c>
      <c r="M160" s="309">
        <v>4</v>
      </c>
      <c r="N160" s="298">
        <f>SUM(L160:M160)</f>
        <v>36</v>
      </c>
      <c r="O160" s="309">
        <v>20</v>
      </c>
      <c r="P160" s="309">
        <v>7</v>
      </c>
      <c r="Q160" s="298">
        <f>SUM(O160:P160)</f>
        <v>27</v>
      </c>
      <c r="R160" s="306">
        <f>L160*4</f>
        <v>128</v>
      </c>
      <c r="S160" s="306">
        <f>M160*4</f>
        <v>16</v>
      </c>
      <c r="T160" s="298">
        <f>SUM(R160:S160)</f>
        <v>144</v>
      </c>
      <c r="U160" s="306">
        <f>O160*4</f>
        <v>80</v>
      </c>
      <c r="V160" s="306">
        <f>P160*4</f>
        <v>28</v>
      </c>
      <c r="W160" s="298">
        <f>SUM(U160:V160)</f>
        <v>108</v>
      </c>
    </row>
    <row r="161" spans="1:23" ht="15">
      <c r="A161" s="485"/>
      <c r="B161" s="300" t="s">
        <v>14</v>
      </c>
      <c r="C161" s="309">
        <v>0</v>
      </c>
      <c r="D161" s="309">
        <v>0</v>
      </c>
      <c r="E161" s="309">
        <f t="shared" si="107"/>
        <v>0</v>
      </c>
      <c r="F161" s="309">
        <v>0</v>
      </c>
      <c r="G161" s="309">
        <v>0</v>
      </c>
      <c r="H161" s="298">
        <f aca="true" t="shared" si="108" ref="H161:H171">SUM(F161:G161)</f>
        <v>0</v>
      </c>
      <c r="I161" s="309">
        <v>0</v>
      </c>
      <c r="J161" s="309">
        <v>0</v>
      </c>
      <c r="K161" s="298">
        <f aca="true" t="shared" si="109" ref="K161:K171">SUM(I161:J161)</f>
        <v>0</v>
      </c>
      <c r="L161" s="309">
        <v>35</v>
      </c>
      <c r="M161" s="309">
        <v>5</v>
      </c>
      <c r="N161" s="298">
        <f aca="true" t="shared" si="110" ref="N161:N171">SUM(L161:M161)</f>
        <v>40</v>
      </c>
      <c r="O161" s="309">
        <v>25</v>
      </c>
      <c r="P161" s="309">
        <v>6</v>
      </c>
      <c r="Q161" s="298">
        <f aca="true" t="shared" si="111" ref="Q161:Q171">SUM(O161:P161)</f>
        <v>31</v>
      </c>
      <c r="R161" s="306">
        <f aca="true" t="shared" si="112" ref="R161:R167">L161*4</f>
        <v>140</v>
      </c>
      <c r="S161" s="306">
        <f aca="true" t="shared" si="113" ref="S161:S167">M161*4</f>
        <v>20</v>
      </c>
      <c r="T161" s="298">
        <f aca="true" t="shared" si="114" ref="T161:T171">SUM(R161:S161)</f>
        <v>160</v>
      </c>
      <c r="U161" s="306">
        <f aca="true" t="shared" si="115" ref="U161:U167">O161*4</f>
        <v>100</v>
      </c>
      <c r="V161" s="306">
        <f aca="true" t="shared" si="116" ref="V161:V167">P161*4</f>
        <v>24</v>
      </c>
      <c r="W161" s="298">
        <f aca="true" t="shared" si="117" ref="W161:W171">SUM(U161:V161)</f>
        <v>124</v>
      </c>
    </row>
    <row r="162" spans="1:23" ht="15">
      <c r="A162" s="485"/>
      <c r="B162" s="300" t="s">
        <v>15</v>
      </c>
      <c r="C162" s="309">
        <v>0</v>
      </c>
      <c r="D162" s="309">
        <v>0</v>
      </c>
      <c r="E162" s="309">
        <f t="shared" si="107"/>
        <v>0</v>
      </c>
      <c r="F162" s="309">
        <v>0</v>
      </c>
      <c r="G162" s="309">
        <v>0</v>
      </c>
      <c r="H162" s="298">
        <f t="shared" si="108"/>
        <v>0</v>
      </c>
      <c r="I162" s="309">
        <v>0</v>
      </c>
      <c r="J162" s="309">
        <v>0</v>
      </c>
      <c r="K162" s="298">
        <f t="shared" si="109"/>
        <v>0</v>
      </c>
      <c r="L162" s="309">
        <v>35</v>
      </c>
      <c r="M162" s="309">
        <v>4</v>
      </c>
      <c r="N162" s="298">
        <f t="shared" si="110"/>
        <v>39</v>
      </c>
      <c r="O162" s="309">
        <v>25</v>
      </c>
      <c r="P162" s="309">
        <v>3</v>
      </c>
      <c r="Q162" s="298">
        <f t="shared" si="111"/>
        <v>28</v>
      </c>
      <c r="R162" s="306">
        <f t="shared" si="112"/>
        <v>140</v>
      </c>
      <c r="S162" s="306">
        <f t="shared" si="113"/>
        <v>16</v>
      </c>
      <c r="T162" s="298">
        <f t="shared" si="114"/>
        <v>156</v>
      </c>
      <c r="U162" s="306">
        <f t="shared" si="115"/>
        <v>100</v>
      </c>
      <c r="V162" s="306">
        <f t="shared" si="116"/>
        <v>12</v>
      </c>
      <c r="W162" s="298">
        <f t="shared" si="117"/>
        <v>112</v>
      </c>
    </row>
    <row r="163" spans="1:23" ht="15">
      <c r="A163" s="485"/>
      <c r="B163" s="300" t="s">
        <v>16</v>
      </c>
      <c r="C163" s="309">
        <v>0</v>
      </c>
      <c r="D163" s="309">
        <v>0</v>
      </c>
      <c r="E163" s="309">
        <f t="shared" si="107"/>
        <v>0</v>
      </c>
      <c r="F163" s="309">
        <v>0</v>
      </c>
      <c r="G163" s="309">
        <v>0</v>
      </c>
      <c r="H163" s="298">
        <f t="shared" si="108"/>
        <v>0</v>
      </c>
      <c r="I163" s="309">
        <v>0</v>
      </c>
      <c r="J163" s="309">
        <v>0</v>
      </c>
      <c r="K163" s="298">
        <f t="shared" si="109"/>
        <v>0</v>
      </c>
      <c r="L163" s="309">
        <v>28</v>
      </c>
      <c r="M163" s="309">
        <v>4</v>
      </c>
      <c r="N163" s="298">
        <f t="shared" si="110"/>
        <v>32</v>
      </c>
      <c r="O163" s="309">
        <v>36</v>
      </c>
      <c r="P163" s="309">
        <v>6</v>
      </c>
      <c r="Q163" s="298">
        <f t="shared" si="111"/>
        <v>42</v>
      </c>
      <c r="R163" s="306">
        <f t="shared" si="112"/>
        <v>112</v>
      </c>
      <c r="S163" s="306">
        <f t="shared" si="113"/>
        <v>16</v>
      </c>
      <c r="T163" s="298">
        <f t="shared" si="114"/>
        <v>128</v>
      </c>
      <c r="U163" s="306">
        <f t="shared" si="115"/>
        <v>144</v>
      </c>
      <c r="V163" s="306">
        <f t="shared" si="116"/>
        <v>24</v>
      </c>
      <c r="W163" s="298">
        <f t="shared" si="117"/>
        <v>168</v>
      </c>
    </row>
    <row r="164" spans="1:23" ht="15">
      <c r="A164" s="485"/>
      <c r="B164" s="300" t="s">
        <v>17</v>
      </c>
      <c r="C164" s="309">
        <v>0</v>
      </c>
      <c r="D164" s="309">
        <v>0</v>
      </c>
      <c r="E164" s="309">
        <f t="shared" si="107"/>
        <v>0</v>
      </c>
      <c r="F164" s="309">
        <v>0</v>
      </c>
      <c r="G164" s="309">
        <v>0</v>
      </c>
      <c r="H164" s="298">
        <f t="shared" si="108"/>
        <v>0</v>
      </c>
      <c r="I164" s="309">
        <v>0</v>
      </c>
      <c r="J164" s="309">
        <v>0</v>
      </c>
      <c r="K164" s="298">
        <f t="shared" si="109"/>
        <v>0</v>
      </c>
      <c r="L164" s="309">
        <v>25</v>
      </c>
      <c r="M164" s="309">
        <v>2</v>
      </c>
      <c r="N164" s="298">
        <f t="shared" si="110"/>
        <v>27</v>
      </c>
      <c r="O164" s="309">
        <v>30</v>
      </c>
      <c r="P164" s="309">
        <v>4</v>
      </c>
      <c r="Q164" s="298">
        <f t="shared" si="111"/>
        <v>34</v>
      </c>
      <c r="R164" s="306">
        <f t="shared" si="112"/>
        <v>100</v>
      </c>
      <c r="S164" s="306">
        <f t="shared" si="113"/>
        <v>8</v>
      </c>
      <c r="T164" s="298">
        <f t="shared" si="114"/>
        <v>108</v>
      </c>
      <c r="U164" s="306">
        <f t="shared" si="115"/>
        <v>120</v>
      </c>
      <c r="V164" s="306">
        <f t="shared" si="116"/>
        <v>16</v>
      </c>
      <c r="W164" s="298">
        <f t="shared" si="117"/>
        <v>136</v>
      </c>
    </row>
    <row r="165" spans="1:23" ht="15">
      <c r="A165" s="485"/>
      <c r="B165" s="300" t="s">
        <v>18</v>
      </c>
      <c r="C165" s="309">
        <v>0</v>
      </c>
      <c r="D165" s="309">
        <v>0</v>
      </c>
      <c r="E165" s="309">
        <f t="shared" si="107"/>
        <v>0</v>
      </c>
      <c r="F165" s="309">
        <v>0</v>
      </c>
      <c r="G165" s="309">
        <v>0</v>
      </c>
      <c r="H165" s="298">
        <f t="shared" si="108"/>
        <v>0</v>
      </c>
      <c r="I165" s="309">
        <v>0</v>
      </c>
      <c r="J165" s="309">
        <v>0</v>
      </c>
      <c r="K165" s="298">
        <f t="shared" si="109"/>
        <v>0</v>
      </c>
      <c r="L165" s="309">
        <v>30</v>
      </c>
      <c r="M165" s="309">
        <v>4</v>
      </c>
      <c r="N165" s="298">
        <f t="shared" si="110"/>
        <v>34</v>
      </c>
      <c r="O165" s="309">
        <v>25</v>
      </c>
      <c r="P165" s="309">
        <v>6</v>
      </c>
      <c r="Q165" s="298">
        <f t="shared" si="111"/>
        <v>31</v>
      </c>
      <c r="R165" s="306">
        <f t="shared" si="112"/>
        <v>120</v>
      </c>
      <c r="S165" s="306">
        <f t="shared" si="113"/>
        <v>16</v>
      </c>
      <c r="T165" s="298">
        <f t="shared" si="114"/>
        <v>136</v>
      </c>
      <c r="U165" s="306">
        <f t="shared" si="115"/>
        <v>100</v>
      </c>
      <c r="V165" s="306">
        <f t="shared" si="116"/>
        <v>24</v>
      </c>
      <c r="W165" s="298">
        <f t="shared" si="117"/>
        <v>124</v>
      </c>
    </row>
    <row r="166" spans="1:23" ht="15">
      <c r="A166" s="485"/>
      <c r="B166" s="300" t="s">
        <v>19</v>
      </c>
      <c r="C166" s="309">
        <v>0</v>
      </c>
      <c r="D166" s="309">
        <v>0</v>
      </c>
      <c r="E166" s="309">
        <f t="shared" si="107"/>
        <v>0</v>
      </c>
      <c r="F166" s="309">
        <v>0</v>
      </c>
      <c r="G166" s="309">
        <v>0</v>
      </c>
      <c r="H166" s="298">
        <f t="shared" si="108"/>
        <v>0</v>
      </c>
      <c r="I166" s="309">
        <v>0</v>
      </c>
      <c r="J166" s="309">
        <v>0</v>
      </c>
      <c r="K166" s="298">
        <f t="shared" si="109"/>
        <v>0</v>
      </c>
      <c r="L166" s="309">
        <v>25</v>
      </c>
      <c r="M166" s="309">
        <v>2</v>
      </c>
      <c r="N166" s="298">
        <f t="shared" si="110"/>
        <v>27</v>
      </c>
      <c r="O166" s="309">
        <v>30</v>
      </c>
      <c r="P166" s="309">
        <v>4</v>
      </c>
      <c r="Q166" s="298">
        <f t="shared" si="111"/>
        <v>34</v>
      </c>
      <c r="R166" s="306">
        <f t="shared" si="112"/>
        <v>100</v>
      </c>
      <c r="S166" s="306">
        <f t="shared" si="113"/>
        <v>8</v>
      </c>
      <c r="T166" s="298">
        <f t="shared" si="114"/>
        <v>108</v>
      </c>
      <c r="U166" s="306">
        <f t="shared" si="115"/>
        <v>120</v>
      </c>
      <c r="V166" s="306">
        <f t="shared" si="116"/>
        <v>16</v>
      </c>
      <c r="W166" s="298">
        <f t="shared" si="117"/>
        <v>136</v>
      </c>
    </row>
    <row r="167" spans="1:23" ht="15">
      <c r="A167" s="485"/>
      <c r="B167" s="300" t="s">
        <v>20</v>
      </c>
      <c r="C167" s="302">
        <v>0</v>
      </c>
      <c r="D167" s="302">
        <v>0</v>
      </c>
      <c r="E167" s="302">
        <f t="shared" si="107"/>
        <v>0</v>
      </c>
      <c r="F167" s="302">
        <v>0</v>
      </c>
      <c r="G167" s="302">
        <v>0</v>
      </c>
      <c r="H167" s="298">
        <f t="shared" si="108"/>
        <v>0</v>
      </c>
      <c r="I167" s="302">
        <v>0</v>
      </c>
      <c r="J167" s="302">
        <v>0</v>
      </c>
      <c r="K167" s="298">
        <f t="shared" si="109"/>
        <v>0</v>
      </c>
      <c r="L167" s="302">
        <v>30</v>
      </c>
      <c r="M167" s="302">
        <v>6</v>
      </c>
      <c r="N167" s="298">
        <f t="shared" si="110"/>
        <v>36</v>
      </c>
      <c r="O167" s="302">
        <v>37</v>
      </c>
      <c r="P167" s="302">
        <v>8</v>
      </c>
      <c r="Q167" s="298">
        <f t="shared" si="111"/>
        <v>45</v>
      </c>
      <c r="R167" s="313">
        <f t="shared" si="112"/>
        <v>120</v>
      </c>
      <c r="S167" s="313">
        <f t="shared" si="113"/>
        <v>24</v>
      </c>
      <c r="T167" s="298">
        <f t="shared" si="114"/>
        <v>144</v>
      </c>
      <c r="U167" s="313">
        <f t="shared" si="115"/>
        <v>148</v>
      </c>
      <c r="V167" s="313">
        <f t="shared" si="116"/>
        <v>32</v>
      </c>
      <c r="W167" s="298">
        <f t="shared" si="117"/>
        <v>180</v>
      </c>
    </row>
    <row r="168" spans="1:23" ht="15">
      <c r="A168" s="485"/>
      <c r="B168" s="300" t="s">
        <v>21</v>
      </c>
      <c r="C168" s="301">
        <v>0</v>
      </c>
      <c r="D168" s="301">
        <v>0</v>
      </c>
      <c r="E168" s="301">
        <f t="shared" si="107"/>
        <v>0</v>
      </c>
      <c r="F168" s="301">
        <v>20</v>
      </c>
      <c r="G168" s="301">
        <v>0</v>
      </c>
      <c r="H168" s="298">
        <f t="shared" si="108"/>
        <v>20</v>
      </c>
      <c r="I168" s="301">
        <v>10</v>
      </c>
      <c r="J168" s="301">
        <v>0</v>
      </c>
      <c r="K168" s="298">
        <f t="shared" si="109"/>
        <v>10</v>
      </c>
      <c r="L168" s="301">
        <f>40+203</f>
        <v>243</v>
      </c>
      <c r="M168" s="301">
        <v>10</v>
      </c>
      <c r="N168" s="298">
        <f t="shared" si="110"/>
        <v>253</v>
      </c>
      <c r="O168" s="301">
        <f>40+121</f>
        <v>161</v>
      </c>
      <c r="P168" s="301">
        <v>15</v>
      </c>
      <c r="Q168" s="298">
        <f t="shared" si="111"/>
        <v>176</v>
      </c>
      <c r="R168" s="306">
        <v>160</v>
      </c>
      <c r="S168" s="306">
        <v>40</v>
      </c>
      <c r="T168" s="298">
        <f t="shared" si="114"/>
        <v>200</v>
      </c>
      <c r="U168" s="306">
        <v>160</v>
      </c>
      <c r="V168" s="306">
        <v>60</v>
      </c>
      <c r="W168" s="298">
        <f t="shared" si="117"/>
        <v>220</v>
      </c>
    </row>
    <row r="169" spans="1:23" ht="15.75">
      <c r="A169" s="485"/>
      <c r="B169" s="300" t="s">
        <v>22</v>
      </c>
      <c r="C169" s="299">
        <v>0</v>
      </c>
      <c r="D169" s="299">
        <v>0</v>
      </c>
      <c r="E169" s="299">
        <v>0</v>
      </c>
      <c r="F169" s="299">
        <v>0</v>
      </c>
      <c r="G169" s="299">
        <v>0</v>
      </c>
      <c r="H169" s="298">
        <f t="shared" si="108"/>
        <v>0</v>
      </c>
      <c r="I169" s="299">
        <v>0</v>
      </c>
      <c r="J169" s="299">
        <v>0</v>
      </c>
      <c r="K169" s="298">
        <f t="shared" si="109"/>
        <v>0</v>
      </c>
      <c r="L169" s="299">
        <v>25</v>
      </c>
      <c r="M169" s="299">
        <v>5</v>
      </c>
      <c r="N169" s="298">
        <f t="shared" si="110"/>
        <v>30</v>
      </c>
      <c r="O169" s="299">
        <v>32</v>
      </c>
      <c r="P169" s="299">
        <v>6</v>
      </c>
      <c r="Q169" s="298">
        <f t="shared" si="111"/>
        <v>38</v>
      </c>
      <c r="R169" s="306">
        <f aca="true" t="shared" si="118" ref="R169:S171">L169*4</f>
        <v>100</v>
      </c>
      <c r="S169" s="306">
        <f t="shared" si="118"/>
        <v>20</v>
      </c>
      <c r="T169" s="298">
        <f t="shared" si="114"/>
        <v>120</v>
      </c>
      <c r="U169" s="306">
        <f aca="true" t="shared" si="119" ref="U169:V171">O169*4</f>
        <v>128</v>
      </c>
      <c r="V169" s="306">
        <f t="shared" si="119"/>
        <v>24</v>
      </c>
      <c r="W169" s="298">
        <f t="shared" si="117"/>
        <v>152</v>
      </c>
    </row>
    <row r="170" spans="1:23" ht="15">
      <c r="A170" s="485"/>
      <c r="B170" s="300" t="s">
        <v>23</v>
      </c>
      <c r="C170" s="301">
        <v>0</v>
      </c>
      <c r="D170" s="301">
        <v>0</v>
      </c>
      <c r="E170" s="301">
        <f>SUM(C170:D170)</f>
        <v>0</v>
      </c>
      <c r="F170" s="301">
        <v>0</v>
      </c>
      <c r="G170" s="301">
        <v>0</v>
      </c>
      <c r="H170" s="298">
        <f t="shared" si="108"/>
        <v>0</v>
      </c>
      <c r="I170" s="301">
        <v>0</v>
      </c>
      <c r="J170" s="301">
        <v>0</v>
      </c>
      <c r="K170" s="298">
        <f t="shared" si="109"/>
        <v>0</v>
      </c>
      <c r="L170" s="301">
        <v>29</v>
      </c>
      <c r="M170" s="301">
        <v>5</v>
      </c>
      <c r="N170" s="298">
        <f t="shared" si="110"/>
        <v>34</v>
      </c>
      <c r="O170" s="301">
        <v>32</v>
      </c>
      <c r="P170" s="301">
        <v>7</v>
      </c>
      <c r="Q170" s="298">
        <f t="shared" si="111"/>
        <v>39</v>
      </c>
      <c r="R170" s="306">
        <f t="shared" si="118"/>
        <v>116</v>
      </c>
      <c r="S170" s="306">
        <f t="shared" si="118"/>
        <v>20</v>
      </c>
      <c r="T170" s="298">
        <f t="shared" si="114"/>
        <v>136</v>
      </c>
      <c r="U170" s="306">
        <f t="shared" si="119"/>
        <v>128</v>
      </c>
      <c r="V170" s="306">
        <f t="shared" si="119"/>
        <v>28</v>
      </c>
      <c r="W170" s="298">
        <f t="shared" si="117"/>
        <v>156</v>
      </c>
    </row>
    <row r="171" spans="1:23" ht="15">
      <c r="A171" s="485"/>
      <c r="B171" s="303" t="s">
        <v>24</v>
      </c>
      <c r="C171" s="304">
        <v>0</v>
      </c>
      <c r="D171" s="304">
        <v>0</v>
      </c>
      <c r="E171" s="304">
        <f>SUM(C171:D171)</f>
        <v>0</v>
      </c>
      <c r="F171" s="304">
        <v>0</v>
      </c>
      <c r="G171" s="304">
        <v>0</v>
      </c>
      <c r="H171" s="310">
        <f t="shared" si="108"/>
        <v>0</v>
      </c>
      <c r="I171" s="304">
        <v>0</v>
      </c>
      <c r="J171" s="304">
        <v>0</v>
      </c>
      <c r="K171" s="310">
        <f t="shared" si="109"/>
        <v>0</v>
      </c>
      <c r="L171" s="304">
        <v>32</v>
      </c>
      <c r="M171" s="304">
        <v>7</v>
      </c>
      <c r="N171" s="310">
        <f t="shared" si="110"/>
        <v>39</v>
      </c>
      <c r="O171" s="304">
        <v>35</v>
      </c>
      <c r="P171" s="304">
        <v>9</v>
      </c>
      <c r="Q171" s="310">
        <f t="shared" si="111"/>
        <v>44</v>
      </c>
      <c r="R171" s="314">
        <f t="shared" si="118"/>
        <v>128</v>
      </c>
      <c r="S171" s="314">
        <f t="shared" si="118"/>
        <v>28</v>
      </c>
      <c r="T171" s="310">
        <f t="shared" si="114"/>
        <v>156</v>
      </c>
      <c r="U171" s="314">
        <f t="shared" si="119"/>
        <v>140</v>
      </c>
      <c r="V171" s="314">
        <f t="shared" si="119"/>
        <v>36</v>
      </c>
      <c r="W171" s="310">
        <f t="shared" si="117"/>
        <v>176</v>
      </c>
    </row>
    <row r="172" spans="1:23" ht="15">
      <c r="A172" s="485"/>
      <c r="B172" s="305"/>
      <c r="C172" s="301"/>
      <c r="D172" s="301"/>
      <c r="E172" s="301"/>
      <c r="F172" s="301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  <c r="S172" s="306"/>
      <c r="T172" s="306"/>
      <c r="U172" s="306"/>
      <c r="V172" s="306"/>
      <c r="W172" s="306"/>
    </row>
    <row r="173" spans="1:23" ht="15">
      <c r="A173" s="485"/>
      <c r="B173" s="300" t="s">
        <v>51</v>
      </c>
      <c r="C173" s="307">
        <f aca="true" t="shared" si="120" ref="C173:W173">SUM(C160:C171)</f>
        <v>0</v>
      </c>
      <c r="D173" s="307">
        <f t="shared" si="120"/>
        <v>0</v>
      </c>
      <c r="E173" s="307">
        <f t="shared" si="120"/>
        <v>0</v>
      </c>
      <c r="F173" s="307">
        <f t="shared" si="120"/>
        <v>20</v>
      </c>
      <c r="G173" s="308">
        <f t="shared" si="120"/>
        <v>0</v>
      </c>
      <c r="H173" s="308">
        <f t="shared" si="120"/>
        <v>20</v>
      </c>
      <c r="I173" s="308">
        <f t="shared" si="120"/>
        <v>10</v>
      </c>
      <c r="J173" s="308">
        <f t="shared" si="120"/>
        <v>0</v>
      </c>
      <c r="K173" s="308">
        <f t="shared" si="120"/>
        <v>10</v>
      </c>
      <c r="L173" s="308">
        <f t="shared" si="120"/>
        <v>569</v>
      </c>
      <c r="M173" s="308">
        <f t="shared" si="120"/>
        <v>58</v>
      </c>
      <c r="N173" s="308">
        <f t="shared" si="120"/>
        <v>627</v>
      </c>
      <c r="O173" s="308">
        <f t="shared" si="120"/>
        <v>488</v>
      </c>
      <c r="P173" s="308">
        <f t="shared" si="120"/>
        <v>81</v>
      </c>
      <c r="Q173" s="308">
        <f t="shared" si="120"/>
        <v>569</v>
      </c>
      <c r="R173" s="308">
        <f t="shared" si="120"/>
        <v>1464</v>
      </c>
      <c r="S173" s="308">
        <f t="shared" si="120"/>
        <v>232</v>
      </c>
      <c r="T173" s="308">
        <f t="shared" si="120"/>
        <v>1696</v>
      </c>
      <c r="U173" s="308">
        <f t="shared" si="120"/>
        <v>1468</v>
      </c>
      <c r="V173" s="308">
        <f t="shared" si="120"/>
        <v>324</v>
      </c>
      <c r="W173" s="308">
        <f t="shared" si="120"/>
        <v>1792</v>
      </c>
    </row>
    <row r="174" spans="7:23" ht="14.25">
      <c r="G174" s="236"/>
      <c r="H174" s="236"/>
      <c r="I174" s="236"/>
      <c r="J174" s="236"/>
      <c r="K174" s="236"/>
      <c r="L174" s="236"/>
      <c r="M174" s="236"/>
      <c r="N174" s="236"/>
      <c r="O174" s="236"/>
      <c r="P174" s="236"/>
      <c r="Q174" s="236"/>
      <c r="R174" s="236"/>
      <c r="S174" s="236"/>
      <c r="T174" s="236"/>
      <c r="U174" s="236"/>
      <c r="V174" s="236"/>
      <c r="W174" s="236"/>
    </row>
    <row r="175" spans="1:23" ht="14.25">
      <c r="A175" s="234" t="s">
        <v>52</v>
      </c>
      <c r="G175" s="236"/>
      <c r="H175" s="236"/>
      <c r="I175" s="236"/>
      <c r="J175" s="236"/>
      <c r="K175" s="236"/>
      <c r="L175" s="236"/>
      <c r="M175" s="236"/>
      <c r="N175" s="236"/>
      <c r="O175" s="236"/>
      <c r="P175" s="236"/>
      <c r="Q175" s="236"/>
      <c r="R175" s="236"/>
      <c r="S175" s="236"/>
      <c r="T175" s="236"/>
      <c r="U175" s="236"/>
      <c r="V175" s="236"/>
      <c r="W175" s="236"/>
    </row>
    <row r="176" spans="2:23" ht="12.75">
      <c r="B176" s="294" t="s">
        <v>1</v>
      </c>
      <c r="C176" s="486" t="s">
        <v>76</v>
      </c>
      <c r="D176" s="487"/>
      <c r="E176" s="488"/>
      <c r="F176" s="486" t="s">
        <v>2</v>
      </c>
      <c r="G176" s="487"/>
      <c r="H176" s="488"/>
      <c r="I176" s="486" t="s">
        <v>3</v>
      </c>
      <c r="J176" s="487"/>
      <c r="K176" s="488"/>
      <c r="L176" s="486" t="s">
        <v>4</v>
      </c>
      <c r="M176" s="487"/>
      <c r="N176" s="488"/>
      <c r="O176" s="486" t="s">
        <v>5</v>
      </c>
      <c r="P176" s="487"/>
      <c r="Q176" s="488"/>
      <c r="R176" s="486" t="s">
        <v>131</v>
      </c>
      <c r="S176" s="487"/>
      <c r="T176" s="488"/>
      <c r="U176" s="486" t="s">
        <v>132</v>
      </c>
      <c r="V176" s="487"/>
      <c r="W176" s="488"/>
    </row>
    <row r="177" spans="2:23" ht="12.75">
      <c r="B177" s="295"/>
      <c r="C177" s="230" t="s">
        <v>7</v>
      </c>
      <c r="D177" s="230" t="s">
        <v>8</v>
      </c>
      <c r="E177" s="230" t="s">
        <v>6</v>
      </c>
      <c r="F177" s="230" t="s">
        <v>7</v>
      </c>
      <c r="G177" s="230" t="s">
        <v>8</v>
      </c>
      <c r="H177" s="230" t="s">
        <v>6</v>
      </c>
      <c r="I177" s="230" t="s">
        <v>7</v>
      </c>
      <c r="J177" s="230" t="s">
        <v>8</v>
      </c>
      <c r="K177" s="230" t="s">
        <v>6</v>
      </c>
      <c r="L177" s="230" t="s">
        <v>7</v>
      </c>
      <c r="M177" s="230" t="s">
        <v>8</v>
      </c>
      <c r="N177" s="230" t="s">
        <v>6</v>
      </c>
      <c r="O177" s="230" t="s">
        <v>7</v>
      </c>
      <c r="P177" s="230" t="s">
        <v>8</v>
      </c>
      <c r="Q177" s="230" t="s">
        <v>6</v>
      </c>
      <c r="R177" s="230" t="s">
        <v>7</v>
      </c>
      <c r="S177" s="230" t="s">
        <v>8</v>
      </c>
      <c r="T177" s="230" t="s">
        <v>6</v>
      </c>
      <c r="U177" s="230" t="s">
        <v>7</v>
      </c>
      <c r="V177" s="230" t="s">
        <v>8</v>
      </c>
      <c r="W177" s="230" t="s">
        <v>6</v>
      </c>
    </row>
    <row r="178" spans="1:23" ht="15">
      <c r="A178" s="485" t="s">
        <v>52</v>
      </c>
      <c r="B178" s="296"/>
      <c r="C178" s="296"/>
      <c r="D178" s="296"/>
      <c r="E178" s="296"/>
      <c r="F178" s="296"/>
      <c r="G178" s="296"/>
      <c r="H178" s="296"/>
      <c r="I178" s="296"/>
      <c r="J178" s="296"/>
      <c r="K178" s="296"/>
      <c r="L178" s="296"/>
      <c r="M178" s="296"/>
      <c r="N178" s="296"/>
      <c r="O178" s="296"/>
      <c r="P178" s="296"/>
      <c r="Q178" s="296"/>
      <c r="R178" s="296"/>
      <c r="S178" s="296"/>
      <c r="T178" s="296"/>
      <c r="U178" s="296"/>
      <c r="V178" s="296"/>
      <c r="W178" s="296"/>
    </row>
    <row r="179" spans="1:23" ht="15">
      <c r="A179" s="485"/>
      <c r="B179" s="297" t="s">
        <v>9</v>
      </c>
      <c r="C179" s="309">
        <v>0</v>
      </c>
      <c r="D179" s="309">
        <v>0</v>
      </c>
      <c r="E179" s="309">
        <f aca="true" t="shared" si="121" ref="E179:E187">SUM(C179:D179)</f>
        <v>0</v>
      </c>
      <c r="F179" s="309">
        <v>0</v>
      </c>
      <c r="G179" s="309">
        <v>0</v>
      </c>
      <c r="H179" s="298">
        <f>SUM(F179:G179)</f>
        <v>0</v>
      </c>
      <c r="I179" s="309">
        <v>0</v>
      </c>
      <c r="J179" s="309">
        <v>0</v>
      </c>
      <c r="K179" s="298">
        <f>SUM(I179:J179)</f>
        <v>0</v>
      </c>
      <c r="L179" s="309">
        <v>1</v>
      </c>
      <c r="M179" s="309">
        <v>0</v>
      </c>
      <c r="N179" s="298">
        <f>SUM(L179:M179)</f>
        <v>1</v>
      </c>
      <c r="O179" s="309">
        <v>2</v>
      </c>
      <c r="P179" s="309">
        <v>0</v>
      </c>
      <c r="Q179" s="298">
        <f>SUM(O179:P179)</f>
        <v>2</v>
      </c>
      <c r="R179" s="306">
        <f>L179*4</f>
        <v>4</v>
      </c>
      <c r="S179" s="306">
        <f>M179*4</f>
        <v>0</v>
      </c>
      <c r="T179" s="298">
        <f>SUM(R179:S179)</f>
        <v>4</v>
      </c>
      <c r="U179" s="306">
        <f>O179*4</f>
        <v>8</v>
      </c>
      <c r="V179" s="306">
        <f>P179*4</f>
        <v>0</v>
      </c>
      <c r="W179" s="298">
        <f>SUM(U179:V179)</f>
        <v>8</v>
      </c>
    </row>
    <row r="180" spans="1:23" ht="15">
      <c r="A180" s="485"/>
      <c r="B180" s="300" t="s">
        <v>14</v>
      </c>
      <c r="C180" s="309">
        <v>0</v>
      </c>
      <c r="D180" s="309">
        <v>0</v>
      </c>
      <c r="E180" s="309">
        <f t="shared" si="121"/>
        <v>0</v>
      </c>
      <c r="F180" s="309">
        <v>0</v>
      </c>
      <c r="G180" s="309">
        <v>0</v>
      </c>
      <c r="H180" s="298">
        <f aca="true" t="shared" si="122" ref="H180:H190">SUM(F180:G180)</f>
        <v>0</v>
      </c>
      <c r="I180" s="309">
        <v>0</v>
      </c>
      <c r="J180" s="309">
        <v>0</v>
      </c>
      <c r="K180" s="298">
        <f aca="true" t="shared" si="123" ref="K180:K190">SUM(I180:J180)</f>
        <v>0</v>
      </c>
      <c r="L180" s="309">
        <v>2</v>
      </c>
      <c r="M180" s="309">
        <v>0</v>
      </c>
      <c r="N180" s="298">
        <f aca="true" t="shared" si="124" ref="N180:N190">SUM(L180:M180)</f>
        <v>2</v>
      </c>
      <c r="O180" s="309">
        <v>2</v>
      </c>
      <c r="P180" s="309">
        <v>0</v>
      </c>
      <c r="Q180" s="298">
        <f aca="true" t="shared" si="125" ref="Q180:Q190">SUM(O180:P180)</f>
        <v>2</v>
      </c>
      <c r="R180" s="306">
        <f aca="true" t="shared" si="126" ref="R180:R186">L180*4</f>
        <v>8</v>
      </c>
      <c r="S180" s="306">
        <f aca="true" t="shared" si="127" ref="S180:S186">M180*4</f>
        <v>0</v>
      </c>
      <c r="T180" s="298">
        <f aca="true" t="shared" si="128" ref="T180:T190">SUM(R180:S180)</f>
        <v>8</v>
      </c>
      <c r="U180" s="306">
        <f aca="true" t="shared" si="129" ref="U180:U186">O180*4</f>
        <v>8</v>
      </c>
      <c r="V180" s="306">
        <f aca="true" t="shared" si="130" ref="V180:V186">P180*4</f>
        <v>0</v>
      </c>
      <c r="W180" s="298">
        <f aca="true" t="shared" si="131" ref="W180:W190">SUM(U180:V180)</f>
        <v>8</v>
      </c>
    </row>
    <row r="181" spans="1:23" ht="15">
      <c r="A181" s="485"/>
      <c r="B181" s="300" t="s">
        <v>15</v>
      </c>
      <c r="C181" s="309">
        <v>0</v>
      </c>
      <c r="D181" s="309">
        <v>0</v>
      </c>
      <c r="E181" s="309">
        <f t="shared" si="121"/>
        <v>0</v>
      </c>
      <c r="F181" s="309">
        <v>0</v>
      </c>
      <c r="G181" s="309">
        <v>0</v>
      </c>
      <c r="H181" s="298">
        <f t="shared" si="122"/>
        <v>0</v>
      </c>
      <c r="I181" s="309">
        <v>0</v>
      </c>
      <c r="J181" s="309">
        <v>0</v>
      </c>
      <c r="K181" s="298">
        <f t="shared" si="123"/>
        <v>0</v>
      </c>
      <c r="L181" s="309">
        <v>1</v>
      </c>
      <c r="M181" s="309">
        <v>0</v>
      </c>
      <c r="N181" s="298">
        <f t="shared" si="124"/>
        <v>1</v>
      </c>
      <c r="O181" s="309">
        <v>2</v>
      </c>
      <c r="P181" s="309">
        <v>0</v>
      </c>
      <c r="Q181" s="298">
        <f t="shared" si="125"/>
        <v>2</v>
      </c>
      <c r="R181" s="306">
        <f t="shared" si="126"/>
        <v>4</v>
      </c>
      <c r="S181" s="306">
        <f t="shared" si="127"/>
        <v>0</v>
      </c>
      <c r="T181" s="298">
        <f t="shared" si="128"/>
        <v>4</v>
      </c>
      <c r="U181" s="306">
        <f t="shared" si="129"/>
        <v>8</v>
      </c>
      <c r="V181" s="306">
        <f t="shared" si="130"/>
        <v>0</v>
      </c>
      <c r="W181" s="298">
        <f t="shared" si="131"/>
        <v>8</v>
      </c>
    </row>
    <row r="182" spans="1:23" ht="15">
      <c r="A182" s="485"/>
      <c r="B182" s="300" t="s">
        <v>16</v>
      </c>
      <c r="C182" s="309">
        <v>0</v>
      </c>
      <c r="D182" s="309">
        <v>0</v>
      </c>
      <c r="E182" s="309">
        <f t="shared" si="121"/>
        <v>0</v>
      </c>
      <c r="F182" s="309">
        <v>0</v>
      </c>
      <c r="G182" s="309">
        <v>0</v>
      </c>
      <c r="H182" s="298">
        <f t="shared" si="122"/>
        <v>0</v>
      </c>
      <c r="I182" s="309">
        <v>0</v>
      </c>
      <c r="J182" s="309">
        <v>0</v>
      </c>
      <c r="K182" s="298">
        <f t="shared" si="123"/>
        <v>0</v>
      </c>
      <c r="L182" s="309">
        <v>1</v>
      </c>
      <c r="M182" s="309">
        <v>0</v>
      </c>
      <c r="N182" s="298">
        <f t="shared" si="124"/>
        <v>1</v>
      </c>
      <c r="O182" s="309">
        <v>2</v>
      </c>
      <c r="P182" s="309">
        <v>0</v>
      </c>
      <c r="Q182" s="298">
        <f t="shared" si="125"/>
        <v>2</v>
      </c>
      <c r="R182" s="306">
        <f t="shared" si="126"/>
        <v>4</v>
      </c>
      <c r="S182" s="306">
        <f t="shared" si="127"/>
        <v>0</v>
      </c>
      <c r="T182" s="298">
        <f t="shared" si="128"/>
        <v>4</v>
      </c>
      <c r="U182" s="306">
        <f t="shared" si="129"/>
        <v>8</v>
      </c>
      <c r="V182" s="306">
        <f t="shared" si="130"/>
        <v>0</v>
      </c>
      <c r="W182" s="298">
        <f t="shared" si="131"/>
        <v>8</v>
      </c>
    </row>
    <row r="183" spans="1:23" ht="15">
      <c r="A183" s="485"/>
      <c r="B183" s="300" t="s">
        <v>17</v>
      </c>
      <c r="C183" s="309">
        <v>0</v>
      </c>
      <c r="D183" s="309">
        <v>0</v>
      </c>
      <c r="E183" s="309">
        <f t="shared" si="121"/>
        <v>0</v>
      </c>
      <c r="F183" s="309">
        <v>0</v>
      </c>
      <c r="G183" s="309">
        <v>0</v>
      </c>
      <c r="H183" s="298">
        <f t="shared" si="122"/>
        <v>0</v>
      </c>
      <c r="I183" s="309">
        <v>0</v>
      </c>
      <c r="J183" s="309">
        <v>0</v>
      </c>
      <c r="K183" s="298">
        <f t="shared" si="123"/>
        <v>0</v>
      </c>
      <c r="L183" s="309">
        <v>2</v>
      </c>
      <c r="M183" s="309">
        <v>0</v>
      </c>
      <c r="N183" s="298">
        <f t="shared" si="124"/>
        <v>2</v>
      </c>
      <c r="O183" s="309">
        <v>2</v>
      </c>
      <c r="P183" s="309">
        <v>0</v>
      </c>
      <c r="Q183" s="298">
        <f t="shared" si="125"/>
        <v>2</v>
      </c>
      <c r="R183" s="306">
        <f t="shared" si="126"/>
        <v>8</v>
      </c>
      <c r="S183" s="306">
        <f t="shared" si="127"/>
        <v>0</v>
      </c>
      <c r="T183" s="298">
        <f t="shared" si="128"/>
        <v>8</v>
      </c>
      <c r="U183" s="306">
        <f t="shared" si="129"/>
        <v>8</v>
      </c>
      <c r="V183" s="306">
        <f t="shared" si="130"/>
        <v>0</v>
      </c>
      <c r="W183" s="298">
        <f t="shared" si="131"/>
        <v>8</v>
      </c>
    </row>
    <row r="184" spans="1:23" ht="15">
      <c r="A184" s="485"/>
      <c r="B184" s="300" t="s">
        <v>18</v>
      </c>
      <c r="C184" s="307">
        <v>0</v>
      </c>
      <c r="D184" s="307">
        <v>0</v>
      </c>
      <c r="E184" s="307">
        <f t="shared" si="121"/>
        <v>0</v>
      </c>
      <c r="F184" s="307">
        <v>0</v>
      </c>
      <c r="G184" s="307">
        <v>0</v>
      </c>
      <c r="H184" s="298">
        <f t="shared" si="122"/>
        <v>0</v>
      </c>
      <c r="I184" s="307">
        <v>0</v>
      </c>
      <c r="J184" s="307">
        <v>0</v>
      </c>
      <c r="K184" s="298">
        <f t="shared" si="123"/>
        <v>0</v>
      </c>
      <c r="L184" s="307">
        <v>2</v>
      </c>
      <c r="M184" s="307">
        <v>0</v>
      </c>
      <c r="N184" s="298">
        <f t="shared" si="124"/>
        <v>2</v>
      </c>
      <c r="O184" s="307">
        <v>3</v>
      </c>
      <c r="P184" s="307">
        <v>0</v>
      </c>
      <c r="Q184" s="298">
        <f t="shared" si="125"/>
        <v>3</v>
      </c>
      <c r="R184" s="306">
        <f t="shared" si="126"/>
        <v>8</v>
      </c>
      <c r="S184" s="306">
        <f t="shared" si="127"/>
        <v>0</v>
      </c>
      <c r="T184" s="298">
        <f t="shared" si="128"/>
        <v>8</v>
      </c>
      <c r="U184" s="306">
        <f t="shared" si="129"/>
        <v>12</v>
      </c>
      <c r="V184" s="306">
        <f t="shared" si="130"/>
        <v>0</v>
      </c>
      <c r="W184" s="298">
        <f t="shared" si="131"/>
        <v>12</v>
      </c>
    </row>
    <row r="185" spans="1:23" ht="15">
      <c r="A185" s="485"/>
      <c r="B185" s="300" t="s">
        <v>19</v>
      </c>
      <c r="C185" s="309">
        <v>0</v>
      </c>
      <c r="D185" s="309">
        <v>0</v>
      </c>
      <c r="E185" s="309">
        <f t="shared" si="121"/>
        <v>0</v>
      </c>
      <c r="F185" s="309">
        <v>0</v>
      </c>
      <c r="G185" s="309">
        <v>0</v>
      </c>
      <c r="H185" s="298">
        <f t="shared" si="122"/>
        <v>0</v>
      </c>
      <c r="I185" s="309">
        <v>0</v>
      </c>
      <c r="J185" s="309">
        <v>0</v>
      </c>
      <c r="K185" s="298">
        <f t="shared" si="123"/>
        <v>0</v>
      </c>
      <c r="L185" s="309">
        <v>2</v>
      </c>
      <c r="M185" s="309">
        <v>0</v>
      </c>
      <c r="N185" s="298">
        <f t="shared" si="124"/>
        <v>2</v>
      </c>
      <c r="O185" s="309">
        <v>2</v>
      </c>
      <c r="P185" s="309">
        <v>0</v>
      </c>
      <c r="Q185" s="298">
        <f t="shared" si="125"/>
        <v>2</v>
      </c>
      <c r="R185" s="306">
        <f t="shared" si="126"/>
        <v>8</v>
      </c>
      <c r="S185" s="306">
        <f t="shared" si="127"/>
        <v>0</v>
      </c>
      <c r="T185" s="298">
        <f t="shared" si="128"/>
        <v>8</v>
      </c>
      <c r="U185" s="306">
        <f t="shared" si="129"/>
        <v>8</v>
      </c>
      <c r="V185" s="306">
        <f t="shared" si="130"/>
        <v>0</v>
      </c>
      <c r="W185" s="298">
        <f t="shared" si="131"/>
        <v>8</v>
      </c>
    </row>
    <row r="186" spans="1:23" ht="15">
      <c r="A186" s="485"/>
      <c r="B186" s="300" t="s">
        <v>20</v>
      </c>
      <c r="C186" s="302">
        <v>0</v>
      </c>
      <c r="D186" s="302">
        <v>0</v>
      </c>
      <c r="E186" s="302">
        <f t="shared" si="121"/>
        <v>0</v>
      </c>
      <c r="F186" s="302">
        <v>0</v>
      </c>
      <c r="G186" s="302">
        <v>0</v>
      </c>
      <c r="H186" s="298">
        <f t="shared" si="122"/>
        <v>0</v>
      </c>
      <c r="I186" s="302">
        <v>0</v>
      </c>
      <c r="J186" s="302">
        <v>0</v>
      </c>
      <c r="K186" s="298">
        <f t="shared" si="123"/>
        <v>0</v>
      </c>
      <c r="L186" s="302">
        <v>1</v>
      </c>
      <c r="M186" s="302">
        <v>0</v>
      </c>
      <c r="N186" s="298">
        <f t="shared" si="124"/>
        <v>1</v>
      </c>
      <c r="O186" s="302">
        <v>2</v>
      </c>
      <c r="P186" s="302">
        <v>0</v>
      </c>
      <c r="Q186" s="298">
        <f t="shared" si="125"/>
        <v>2</v>
      </c>
      <c r="R186" s="313">
        <f t="shared" si="126"/>
        <v>4</v>
      </c>
      <c r="S186" s="313">
        <f t="shared" si="127"/>
        <v>0</v>
      </c>
      <c r="T186" s="298">
        <f t="shared" si="128"/>
        <v>4</v>
      </c>
      <c r="U186" s="313">
        <f t="shared" si="129"/>
        <v>8</v>
      </c>
      <c r="V186" s="313">
        <f t="shared" si="130"/>
        <v>0</v>
      </c>
      <c r="W186" s="298">
        <f t="shared" si="131"/>
        <v>8</v>
      </c>
    </row>
    <row r="187" spans="1:23" ht="15">
      <c r="A187" s="485"/>
      <c r="B187" s="300" t="s">
        <v>21</v>
      </c>
      <c r="C187" s="301">
        <v>0</v>
      </c>
      <c r="D187" s="301">
        <v>0</v>
      </c>
      <c r="E187" s="301">
        <f t="shared" si="121"/>
        <v>0</v>
      </c>
      <c r="F187" s="301">
        <v>12</v>
      </c>
      <c r="G187" s="301">
        <v>0</v>
      </c>
      <c r="H187" s="298">
        <f t="shared" si="122"/>
        <v>12</v>
      </c>
      <c r="I187" s="301">
        <v>3</v>
      </c>
      <c r="J187" s="301">
        <v>0</v>
      </c>
      <c r="K187" s="298">
        <f t="shared" si="123"/>
        <v>3</v>
      </c>
      <c r="L187" s="301">
        <f>2+63</f>
        <v>65</v>
      </c>
      <c r="M187" s="301">
        <v>0</v>
      </c>
      <c r="N187" s="298">
        <f t="shared" si="124"/>
        <v>65</v>
      </c>
      <c r="O187" s="301">
        <f>2+53</f>
        <v>55</v>
      </c>
      <c r="P187" s="301">
        <v>0</v>
      </c>
      <c r="Q187" s="298">
        <f t="shared" si="125"/>
        <v>55</v>
      </c>
      <c r="R187" s="306">
        <v>8</v>
      </c>
      <c r="S187" s="306">
        <v>0</v>
      </c>
      <c r="T187" s="298">
        <f t="shared" si="128"/>
        <v>8</v>
      </c>
      <c r="U187" s="306">
        <v>8</v>
      </c>
      <c r="V187" s="306">
        <v>0</v>
      </c>
      <c r="W187" s="298">
        <f t="shared" si="131"/>
        <v>8</v>
      </c>
    </row>
    <row r="188" spans="1:23" ht="15.75">
      <c r="A188" s="485"/>
      <c r="B188" s="300" t="s">
        <v>22</v>
      </c>
      <c r="C188" s="299">
        <v>0</v>
      </c>
      <c r="D188" s="299">
        <v>0</v>
      </c>
      <c r="E188" s="299">
        <v>0</v>
      </c>
      <c r="F188" s="299">
        <v>0</v>
      </c>
      <c r="G188" s="299">
        <v>0</v>
      </c>
      <c r="H188" s="298">
        <f t="shared" si="122"/>
        <v>0</v>
      </c>
      <c r="I188" s="299">
        <v>0</v>
      </c>
      <c r="J188" s="299">
        <v>0</v>
      </c>
      <c r="K188" s="298">
        <f t="shared" si="123"/>
        <v>0</v>
      </c>
      <c r="L188" s="299">
        <v>2</v>
      </c>
      <c r="M188" s="299">
        <v>0</v>
      </c>
      <c r="N188" s="298">
        <f t="shared" si="124"/>
        <v>2</v>
      </c>
      <c r="O188" s="299">
        <v>3</v>
      </c>
      <c r="P188" s="299">
        <v>0</v>
      </c>
      <c r="Q188" s="298">
        <f t="shared" si="125"/>
        <v>3</v>
      </c>
      <c r="R188" s="306">
        <f aca="true" t="shared" si="132" ref="R188:S190">L188*4</f>
        <v>8</v>
      </c>
      <c r="S188" s="306">
        <f t="shared" si="132"/>
        <v>0</v>
      </c>
      <c r="T188" s="298">
        <f t="shared" si="128"/>
        <v>8</v>
      </c>
      <c r="U188" s="306">
        <f aca="true" t="shared" si="133" ref="U188:V190">O188*4</f>
        <v>12</v>
      </c>
      <c r="V188" s="306">
        <f t="shared" si="133"/>
        <v>0</v>
      </c>
      <c r="W188" s="298">
        <f t="shared" si="131"/>
        <v>12</v>
      </c>
    </row>
    <row r="189" spans="1:23" ht="15">
      <c r="A189" s="485"/>
      <c r="B189" s="300" t="s">
        <v>23</v>
      </c>
      <c r="C189" s="301">
        <v>0</v>
      </c>
      <c r="D189" s="301">
        <v>0</v>
      </c>
      <c r="E189" s="301">
        <f>SUM(C189:D189)</f>
        <v>0</v>
      </c>
      <c r="F189" s="301">
        <v>0</v>
      </c>
      <c r="G189" s="301">
        <v>0</v>
      </c>
      <c r="H189" s="298">
        <f t="shared" si="122"/>
        <v>0</v>
      </c>
      <c r="I189" s="301">
        <v>0</v>
      </c>
      <c r="J189" s="301">
        <v>0</v>
      </c>
      <c r="K189" s="298">
        <f t="shared" si="123"/>
        <v>0</v>
      </c>
      <c r="L189" s="301">
        <v>2</v>
      </c>
      <c r="M189" s="301">
        <v>0</v>
      </c>
      <c r="N189" s="298">
        <f t="shared" si="124"/>
        <v>2</v>
      </c>
      <c r="O189" s="301">
        <v>3</v>
      </c>
      <c r="P189" s="301">
        <v>0</v>
      </c>
      <c r="Q189" s="298">
        <f t="shared" si="125"/>
        <v>3</v>
      </c>
      <c r="R189" s="306">
        <f t="shared" si="132"/>
        <v>8</v>
      </c>
      <c r="S189" s="306">
        <f t="shared" si="132"/>
        <v>0</v>
      </c>
      <c r="T189" s="298">
        <f t="shared" si="128"/>
        <v>8</v>
      </c>
      <c r="U189" s="306">
        <f t="shared" si="133"/>
        <v>12</v>
      </c>
      <c r="V189" s="306">
        <f t="shared" si="133"/>
        <v>0</v>
      </c>
      <c r="W189" s="298">
        <f t="shared" si="131"/>
        <v>12</v>
      </c>
    </row>
    <row r="190" spans="1:23" ht="15">
      <c r="A190" s="485"/>
      <c r="B190" s="303" t="s">
        <v>24</v>
      </c>
      <c r="C190" s="304">
        <v>0</v>
      </c>
      <c r="D190" s="304">
        <v>0</v>
      </c>
      <c r="E190" s="304">
        <f>SUM(C190:D190)</f>
        <v>0</v>
      </c>
      <c r="F190" s="304">
        <v>0</v>
      </c>
      <c r="G190" s="304">
        <v>0</v>
      </c>
      <c r="H190" s="310">
        <f t="shared" si="122"/>
        <v>0</v>
      </c>
      <c r="I190" s="304">
        <v>0</v>
      </c>
      <c r="J190" s="304">
        <v>0</v>
      </c>
      <c r="K190" s="310">
        <f t="shared" si="123"/>
        <v>0</v>
      </c>
      <c r="L190" s="304">
        <v>2</v>
      </c>
      <c r="M190" s="304">
        <v>0</v>
      </c>
      <c r="N190" s="310">
        <f t="shared" si="124"/>
        <v>2</v>
      </c>
      <c r="O190" s="304">
        <v>3</v>
      </c>
      <c r="P190" s="304">
        <v>0</v>
      </c>
      <c r="Q190" s="310">
        <f t="shared" si="125"/>
        <v>3</v>
      </c>
      <c r="R190" s="314">
        <f t="shared" si="132"/>
        <v>8</v>
      </c>
      <c r="S190" s="314">
        <f t="shared" si="132"/>
        <v>0</v>
      </c>
      <c r="T190" s="310">
        <f t="shared" si="128"/>
        <v>8</v>
      </c>
      <c r="U190" s="314">
        <f t="shared" si="133"/>
        <v>12</v>
      </c>
      <c r="V190" s="314">
        <f t="shared" si="133"/>
        <v>0</v>
      </c>
      <c r="W190" s="310">
        <f t="shared" si="131"/>
        <v>12</v>
      </c>
    </row>
    <row r="191" spans="1:23" ht="15">
      <c r="A191" s="485"/>
      <c r="B191" s="305"/>
      <c r="C191" s="301"/>
      <c r="D191" s="301"/>
      <c r="E191" s="301"/>
      <c r="F191" s="301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</row>
    <row r="192" spans="1:23" ht="15">
      <c r="A192" s="485"/>
      <c r="B192" s="300" t="s">
        <v>52</v>
      </c>
      <c r="C192" s="307">
        <f aca="true" t="shared" si="134" ref="C192:W192">SUM(C179:C190)</f>
        <v>0</v>
      </c>
      <c r="D192" s="307">
        <f t="shared" si="134"/>
        <v>0</v>
      </c>
      <c r="E192" s="307">
        <f t="shared" si="134"/>
        <v>0</v>
      </c>
      <c r="F192" s="307">
        <f t="shared" si="134"/>
        <v>12</v>
      </c>
      <c r="G192" s="308">
        <f t="shared" si="134"/>
        <v>0</v>
      </c>
      <c r="H192" s="308">
        <f t="shared" si="134"/>
        <v>12</v>
      </c>
      <c r="I192" s="308">
        <f t="shared" si="134"/>
        <v>3</v>
      </c>
      <c r="J192" s="308">
        <f t="shared" si="134"/>
        <v>0</v>
      </c>
      <c r="K192" s="308">
        <f t="shared" si="134"/>
        <v>3</v>
      </c>
      <c r="L192" s="308">
        <f t="shared" si="134"/>
        <v>83</v>
      </c>
      <c r="M192" s="308">
        <f t="shared" si="134"/>
        <v>0</v>
      </c>
      <c r="N192" s="308">
        <f t="shared" si="134"/>
        <v>83</v>
      </c>
      <c r="O192" s="308">
        <f t="shared" si="134"/>
        <v>81</v>
      </c>
      <c r="P192" s="308">
        <f t="shared" si="134"/>
        <v>0</v>
      </c>
      <c r="Q192" s="308">
        <f t="shared" si="134"/>
        <v>81</v>
      </c>
      <c r="R192" s="308">
        <f t="shared" si="134"/>
        <v>80</v>
      </c>
      <c r="S192" s="308">
        <f t="shared" si="134"/>
        <v>0</v>
      </c>
      <c r="T192" s="308">
        <f t="shared" si="134"/>
        <v>80</v>
      </c>
      <c r="U192" s="308">
        <f t="shared" si="134"/>
        <v>112</v>
      </c>
      <c r="V192" s="308">
        <f t="shared" si="134"/>
        <v>0</v>
      </c>
      <c r="W192" s="308">
        <f t="shared" si="134"/>
        <v>112</v>
      </c>
    </row>
    <row r="193" spans="7:23" ht="14.25">
      <c r="G193" s="236"/>
      <c r="H193" s="236"/>
      <c r="I193" s="236"/>
      <c r="J193" s="236"/>
      <c r="K193" s="236"/>
      <c r="L193" s="236"/>
      <c r="M193" s="236"/>
      <c r="N193" s="236"/>
      <c r="O193" s="236"/>
      <c r="P193" s="236"/>
      <c r="Q193" s="236"/>
      <c r="R193" s="236"/>
      <c r="S193" s="236"/>
      <c r="T193" s="236"/>
      <c r="U193" s="236"/>
      <c r="V193" s="236"/>
      <c r="W193" s="236"/>
    </row>
    <row r="194" spans="1:23" ht="14.25">
      <c r="A194" s="234" t="s">
        <v>53</v>
      </c>
      <c r="G194" s="236"/>
      <c r="H194" s="236"/>
      <c r="I194" s="236"/>
      <c r="J194" s="236"/>
      <c r="K194" s="236"/>
      <c r="L194" s="236"/>
      <c r="M194" s="236"/>
      <c r="N194" s="236"/>
      <c r="O194" s="236"/>
      <c r="P194" s="236"/>
      <c r="Q194" s="236"/>
      <c r="R194" s="236"/>
      <c r="S194" s="236"/>
      <c r="T194" s="236"/>
      <c r="U194" s="236"/>
      <c r="V194" s="236"/>
      <c r="W194" s="236"/>
    </row>
    <row r="195" spans="2:23" ht="12.75">
      <c r="B195" s="294" t="s">
        <v>1</v>
      </c>
      <c r="C195" s="486" t="s">
        <v>76</v>
      </c>
      <c r="D195" s="487"/>
      <c r="E195" s="488"/>
      <c r="F195" s="486" t="s">
        <v>2</v>
      </c>
      <c r="G195" s="487"/>
      <c r="H195" s="488"/>
      <c r="I195" s="486" t="s">
        <v>3</v>
      </c>
      <c r="J195" s="487"/>
      <c r="K195" s="488"/>
      <c r="L195" s="486" t="s">
        <v>4</v>
      </c>
      <c r="M195" s="487"/>
      <c r="N195" s="488"/>
      <c r="O195" s="486" t="s">
        <v>5</v>
      </c>
      <c r="P195" s="487"/>
      <c r="Q195" s="488"/>
      <c r="R195" s="486" t="s">
        <v>131</v>
      </c>
      <c r="S195" s="487"/>
      <c r="T195" s="488"/>
      <c r="U195" s="486" t="s">
        <v>132</v>
      </c>
      <c r="V195" s="487"/>
      <c r="W195" s="488"/>
    </row>
    <row r="196" spans="2:23" ht="12.75">
      <c r="B196" s="295"/>
      <c r="C196" s="230" t="s">
        <v>7</v>
      </c>
      <c r="D196" s="230" t="s">
        <v>8</v>
      </c>
      <c r="E196" s="230" t="s">
        <v>6</v>
      </c>
      <c r="F196" s="230" t="s">
        <v>7</v>
      </c>
      <c r="G196" s="230" t="s">
        <v>8</v>
      </c>
      <c r="H196" s="230" t="s">
        <v>6</v>
      </c>
      <c r="I196" s="230" t="s">
        <v>7</v>
      </c>
      <c r="J196" s="230" t="s">
        <v>8</v>
      </c>
      <c r="K196" s="230" t="s">
        <v>6</v>
      </c>
      <c r="L196" s="230" t="s">
        <v>7</v>
      </c>
      <c r="M196" s="230" t="s">
        <v>8</v>
      </c>
      <c r="N196" s="230" t="s">
        <v>6</v>
      </c>
      <c r="O196" s="230" t="s">
        <v>7</v>
      </c>
      <c r="P196" s="230" t="s">
        <v>8</v>
      </c>
      <c r="Q196" s="230" t="s">
        <v>6</v>
      </c>
      <c r="R196" s="230" t="s">
        <v>7</v>
      </c>
      <c r="S196" s="230" t="s">
        <v>8</v>
      </c>
      <c r="T196" s="230" t="s">
        <v>6</v>
      </c>
      <c r="U196" s="230" t="s">
        <v>7</v>
      </c>
      <c r="V196" s="230" t="s">
        <v>8</v>
      </c>
      <c r="W196" s="230" t="s">
        <v>6</v>
      </c>
    </row>
    <row r="197" spans="1:23" ht="15">
      <c r="A197" s="485" t="s">
        <v>53</v>
      </c>
      <c r="B197" s="296"/>
      <c r="C197" s="296"/>
      <c r="D197" s="296"/>
      <c r="E197" s="296"/>
      <c r="F197" s="296"/>
      <c r="G197" s="296"/>
      <c r="H197" s="296"/>
      <c r="I197" s="296"/>
      <c r="J197" s="296"/>
      <c r="K197" s="296"/>
      <c r="L197" s="296"/>
      <c r="M197" s="296"/>
      <c r="N197" s="296"/>
      <c r="O197" s="296"/>
      <c r="P197" s="296"/>
      <c r="Q197" s="296"/>
      <c r="R197" s="296"/>
      <c r="S197" s="296"/>
      <c r="T197" s="296"/>
      <c r="U197" s="296"/>
      <c r="V197" s="296"/>
      <c r="W197" s="296"/>
    </row>
    <row r="198" spans="1:23" ht="15">
      <c r="A198" s="485"/>
      <c r="B198" s="297" t="s">
        <v>9</v>
      </c>
      <c r="C198" s="298">
        <v>0</v>
      </c>
      <c r="D198" s="298">
        <v>0</v>
      </c>
      <c r="E198" s="298">
        <f>SUM(C198:D198)</f>
        <v>0</v>
      </c>
      <c r="F198" s="298">
        <v>0</v>
      </c>
      <c r="G198" s="298">
        <v>0</v>
      </c>
      <c r="H198" s="298">
        <f>SUM(F198:G198)</f>
        <v>0</v>
      </c>
      <c r="I198" s="298">
        <v>0</v>
      </c>
      <c r="J198" s="298">
        <v>0</v>
      </c>
      <c r="K198" s="298">
        <f>SUM(I198:J198)</f>
        <v>0</v>
      </c>
      <c r="L198" s="298">
        <v>0</v>
      </c>
      <c r="M198" s="298">
        <v>0</v>
      </c>
      <c r="N198" s="298">
        <f>SUM(L198:M198)</f>
        <v>0</v>
      </c>
      <c r="O198" s="298">
        <v>0</v>
      </c>
      <c r="P198" s="298">
        <v>0</v>
      </c>
      <c r="Q198" s="298">
        <f>SUM(O198:P198)</f>
        <v>0</v>
      </c>
      <c r="R198" s="306">
        <f>L198*4</f>
        <v>0</v>
      </c>
      <c r="S198" s="306">
        <f>M198*4</f>
        <v>0</v>
      </c>
      <c r="T198" s="298">
        <f>SUM(R198:S198)</f>
        <v>0</v>
      </c>
      <c r="U198" s="306">
        <f>O198*4</f>
        <v>0</v>
      </c>
      <c r="V198" s="306">
        <f>P198*4</f>
        <v>0</v>
      </c>
      <c r="W198" s="298">
        <f>SUM(U198:V198)</f>
        <v>0</v>
      </c>
    </row>
    <row r="199" spans="1:23" ht="15">
      <c r="A199" s="485"/>
      <c r="B199" s="300" t="s">
        <v>14</v>
      </c>
      <c r="C199" s="301">
        <v>0</v>
      </c>
      <c r="D199" s="301">
        <v>0</v>
      </c>
      <c r="E199" s="301">
        <f>SUM(C199:D199)</f>
        <v>0</v>
      </c>
      <c r="F199" s="301">
        <v>0</v>
      </c>
      <c r="G199" s="301">
        <v>0</v>
      </c>
      <c r="H199" s="298">
        <f aca="true" t="shared" si="135" ref="H199:H209">SUM(F199:G199)</f>
        <v>0</v>
      </c>
      <c r="I199" s="301">
        <v>0</v>
      </c>
      <c r="J199" s="301">
        <v>0</v>
      </c>
      <c r="K199" s="298">
        <f aca="true" t="shared" si="136" ref="K199:K209">SUM(I199:J199)</f>
        <v>0</v>
      </c>
      <c r="L199" s="301">
        <v>0</v>
      </c>
      <c r="M199" s="301">
        <v>0</v>
      </c>
      <c r="N199" s="298">
        <f aca="true" t="shared" si="137" ref="N199:N209">SUM(L199:M199)</f>
        <v>0</v>
      </c>
      <c r="O199" s="301">
        <v>0</v>
      </c>
      <c r="P199" s="301">
        <v>0</v>
      </c>
      <c r="Q199" s="298">
        <f aca="true" t="shared" si="138" ref="Q199:Q209">SUM(O199:P199)</f>
        <v>0</v>
      </c>
      <c r="R199" s="306">
        <f aca="true" t="shared" si="139" ref="R199:R205">L199*4</f>
        <v>0</v>
      </c>
      <c r="S199" s="306">
        <f aca="true" t="shared" si="140" ref="S199:S206">M199*4</f>
        <v>0</v>
      </c>
      <c r="T199" s="298">
        <f aca="true" t="shared" si="141" ref="T199:T209">SUM(R199:S199)</f>
        <v>0</v>
      </c>
      <c r="U199" s="306">
        <f aca="true" t="shared" si="142" ref="U199:U205">O199*4</f>
        <v>0</v>
      </c>
      <c r="V199" s="306">
        <f aca="true" t="shared" si="143" ref="V199:V206">P199*4</f>
        <v>0</v>
      </c>
      <c r="W199" s="298">
        <f aca="true" t="shared" si="144" ref="W199:W209">SUM(U199:V199)</f>
        <v>0</v>
      </c>
    </row>
    <row r="200" spans="1:23" ht="15">
      <c r="A200" s="485"/>
      <c r="B200" s="300" t="s">
        <v>15</v>
      </c>
      <c r="C200" s="301">
        <v>0</v>
      </c>
      <c r="D200" s="301">
        <v>0</v>
      </c>
      <c r="E200" s="301">
        <f>SUM(C200:D200)</f>
        <v>0</v>
      </c>
      <c r="F200" s="301">
        <v>0</v>
      </c>
      <c r="G200" s="301">
        <v>0</v>
      </c>
      <c r="H200" s="298">
        <f t="shared" si="135"/>
        <v>0</v>
      </c>
      <c r="I200" s="301">
        <v>0</v>
      </c>
      <c r="J200" s="301">
        <v>0</v>
      </c>
      <c r="K200" s="298">
        <f t="shared" si="136"/>
        <v>0</v>
      </c>
      <c r="L200" s="301">
        <v>0</v>
      </c>
      <c r="M200" s="301">
        <v>0</v>
      </c>
      <c r="N200" s="298">
        <f t="shared" si="137"/>
        <v>0</v>
      </c>
      <c r="O200" s="301">
        <v>0</v>
      </c>
      <c r="P200" s="301">
        <v>0</v>
      </c>
      <c r="Q200" s="298">
        <f t="shared" si="138"/>
        <v>0</v>
      </c>
      <c r="R200" s="306">
        <f t="shared" si="139"/>
        <v>0</v>
      </c>
      <c r="S200" s="306">
        <f t="shared" si="140"/>
        <v>0</v>
      </c>
      <c r="T200" s="298">
        <f t="shared" si="141"/>
        <v>0</v>
      </c>
      <c r="U200" s="306">
        <f t="shared" si="142"/>
        <v>0</v>
      </c>
      <c r="V200" s="306">
        <f t="shared" si="143"/>
        <v>0</v>
      </c>
      <c r="W200" s="298">
        <f t="shared" si="144"/>
        <v>0</v>
      </c>
    </row>
    <row r="201" spans="1:23" ht="15.75">
      <c r="A201" s="485"/>
      <c r="B201" s="300" t="s">
        <v>16</v>
      </c>
      <c r="C201" s="301">
        <v>0</v>
      </c>
      <c r="D201" s="299">
        <v>0</v>
      </c>
      <c r="E201" s="299">
        <v>0</v>
      </c>
      <c r="F201" s="301">
        <v>0</v>
      </c>
      <c r="G201" s="299">
        <v>0</v>
      </c>
      <c r="H201" s="298">
        <f t="shared" si="135"/>
        <v>0</v>
      </c>
      <c r="I201" s="301">
        <v>0</v>
      </c>
      <c r="J201" s="299">
        <v>0</v>
      </c>
      <c r="K201" s="298">
        <f t="shared" si="136"/>
        <v>0</v>
      </c>
      <c r="L201" s="301">
        <v>0</v>
      </c>
      <c r="M201" s="299">
        <v>0</v>
      </c>
      <c r="N201" s="298">
        <f t="shared" si="137"/>
        <v>0</v>
      </c>
      <c r="O201" s="301">
        <v>0</v>
      </c>
      <c r="P201" s="299">
        <v>0</v>
      </c>
      <c r="Q201" s="298">
        <f t="shared" si="138"/>
        <v>0</v>
      </c>
      <c r="R201" s="306">
        <f t="shared" si="139"/>
        <v>0</v>
      </c>
      <c r="S201" s="306">
        <f t="shared" si="140"/>
        <v>0</v>
      </c>
      <c r="T201" s="298">
        <f t="shared" si="141"/>
        <v>0</v>
      </c>
      <c r="U201" s="306">
        <f t="shared" si="142"/>
        <v>0</v>
      </c>
      <c r="V201" s="306">
        <f t="shared" si="143"/>
        <v>0</v>
      </c>
      <c r="W201" s="298">
        <f t="shared" si="144"/>
        <v>0</v>
      </c>
    </row>
    <row r="202" spans="1:23" ht="15">
      <c r="A202" s="485"/>
      <c r="B202" s="300" t="s">
        <v>17</v>
      </c>
      <c r="C202" s="298">
        <v>0</v>
      </c>
      <c r="D202" s="298">
        <v>0</v>
      </c>
      <c r="E202" s="298">
        <f>SUM(C202:D202)</f>
        <v>0</v>
      </c>
      <c r="F202" s="298">
        <v>0</v>
      </c>
      <c r="G202" s="298">
        <v>0</v>
      </c>
      <c r="H202" s="298">
        <f t="shared" si="135"/>
        <v>0</v>
      </c>
      <c r="I202" s="298">
        <v>0</v>
      </c>
      <c r="J202" s="298">
        <v>0</v>
      </c>
      <c r="K202" s="298">
        <f t="shared" si="136"/>
        <v>0</v>
      </c>
      <c r="L202" s="298">
        <v>0</v>
      </c>
      <c r="M202" s="298">
        <v>0</v>
      </c>
      <c r="N202" s="298">
        <f t="shared" si="137"/>
        <v>0</v>
      </c>
      <c r="O202" s="298">
        <v>0</v>
      </c>
      <c r="P202" s="298">
        <v>0</v>
      </c>
      <c r="Q202" s="298">
        <f t="shared" si="138"/>
        <v>0</v>
      </c>
      <c r="R202" s="306">
        <f t="shared" si="139"/>
        <v>0</v>
      </c>
      <c r="S202" s="306">
        <f t="shared" si="140"/>
        <v>0</v>
      </c>
      <c r="T202" s="298">
        <f t="shared" si="141"/>
        <v>0</v>
      </c>
      <c r="U202" s="306">
        <f t="shared" si="142"/>
        <v>0</v>
      </c>
      <c r="V202" s="306">
        <f t="shared" si="143"/>
        <v>0</v>
      </c>
      <c r="W202" s="298">
        <f t="shared" si="144"/>
        <v>0</v>
      </c>
    </row>
    <row r="203" spans="1:23" ht="15">
      <c r="A203" s="485"/>
      <c r="B203" s="300" t="s">
        <v>18</v>
      </c>
      <c r="C203" s="301">
        <v>0</v>
      </c>
      <c r="D203" s="301">
        <v>0</v>
      </c>
      <c r="E203" s="301">
        <f>SUM(C203:D203)</f>
        <v>0</v>
      </c>
      <c r="F203" s="301">
        <v>0</v>
      </c>
      <c r="G203" s="301">
        <v>0</v>
      </c>
      <c r="H203" s="298">
        <f t="shared" si="135"/>
        <v>0</v>
      </c>
      <c r="I203" s="301">
        <v>0</v>
      </c>
      <c r="J203" s="301">
        <v>0</v>
      </c>
      <c r="K203" s="298">
        <f t="shared" si="136"/>
        <v>0</v>
      </c>
      <c r="L203" s="301">
        <v>0</v>
      </c>
      <c r="M203" s="301">
        <v>0</v>
      </c>
      <c r="N203" s="298">
        <f t="shared" si="137"/>
        <v>0</v>
      </c>
      <c r="O203" s="301">
        <v>0</v>
      </c>
      <c r="P203" s="301">
        <v>0</v>
      </c>
      <c r="Q203" s="298">
        <f t="shared" si="138"/>
        <v>0</v>
      </c>
      <c r="R203" s="306">
        <f t="shared" si="139"/>
        <v>0</v>
      </c>
      <c r="S203" s="306">
        <f t="shared" si="140"/>
        <v>0</v>
      </c>
      <c r="T203" s="298">
        <f t="shared" si="141"/>
        <v>0</v>
      </c>
      <c r="U203" s="306">
        <f t="shared" si="142"/>
        <v>0</v>
      </c>
      <c r="V203" s="306">
        <f t="shared" si="143"/>
        <v>0</v>
      </c>
      <c r="W203" s="298">
        <f t="shared" si="144"/>
        <v>0</v>
      </c>
    </row>
    <row r="204" spans="1:23" ht="15.75">
      <c r="A204" s="485"/>
      <c r="B204" s="300" t="s">
        <v>19</v>
      </c>
      <c r="C204" s="299">
        <v>0</v>
      </c>
      <c r="D204" s="299">
        <v>0</v>
      </c>
      <c r="E204" s="299">
        <v>0</v>
      </c>
      <c r="F204" s="299">
        <v>0</v>
      </c>
      <c r="G204" s="299">
        <v>0</v>
      </c>
      <c r="H204" s="298">
        <f t="shared" si="135"/>
        <v>0</v>
      </c>
      <c r="I204" s="299">
        <v>0</v>
      </c>
      <c r="J204" s="299">
        <v>0</v>
      </c>
      <c r="K204" s="298">
        <f t="shared" si="136"/>
        <v>0</v>
      </c>
      <c r="L204" s="299">
        <v>0</v>
      </c>
      <c r="M204" s="299">
        <v>0</v>
      </c>
      <c r="N204" s="298">
        <f t="shared" si="137"/>
        <v>0</v>
      </c>
      <c r="O204" s="299">
        <v>0</v>
      </c>
      <c r="P204" s="299">
        <v>0</v>
      </c>
      <c r="Q204" s="298">
        <f t="shared" si="138"/>
        <v>0</v>
      </c>
      <c r="R204" s="306">
        <f t="shared" si="139"/>
        <v>0</v>
      </c>
      <c r="S204" s="306">
        <f t="shared" si="140"/>
        <v>0</v>
      </c>
      <c r="T204" s="298">
        <f t="shared" si="141"/>
        <v>0</v>
      </c>
      <c r="U204" s="306">
        <f t="shared" si="142"/>
        <v>0</v>
      </c>
      <c r="V204" s="306">
        <f t="shared" si="143"/>
        <v>0</v>
      </c>
      <c r="W204" s="298">
        <f t="shared" si="144"/>
        <v>0</v>
      </c>
    </row>
    <row r="205" spans="1:23" ht="15">
      <c r="A205" s="485"/>
      <c r="B205" s="300" t="s">
        <v>20</v>
      </c>
      <c r="C205" s="302">
        <v>0</v>
      </c>
      <c r="D205" s="302">
        <v>0</v>
      </c>
      <c r="E205" s="302">
        <f>SUM(C205:D205)</f>
        <v>0</v>
      </c>
      <c r="F205" s="302">
        <v>0</v>
      </c>
      <c r="G205" s="302">
        <v>0</v>
      </c>
      <c r="H205" s="298">
        <f t="shared" si="135"/>
        <v>0</v>
      </c>
      <c r="I205" s="302">
        <v>0</v>
      </c>
      <c r="J205" s="302">
        <v>0</v>
      </c>
      <c r="K205" s="298">
        <f t="shared" si="136"/>
        <v>0</v>
      </c>
      <c r="L205" s="302">
        <v>5</v>
      </c>
      <c r="M205" s="302">
        <v>0</v>
      </c>
      <c r="N205" s="298">
        <f t="shared" si="137"/>
        <v>5</v>
      </c>
      <c r="O205" s="302">
        <v>0</v>
      </c>
      <c r="P205" s="302">
        <v>0</v>
      </c>
      <c r="Q205" s="298">
        <f t="shared" si="138"/>
        <v>0</v>
      </c>
      <c r="R205" s="313">
        <f t="shared" si="139"/>
        <v>20</v>
      </c>
      <c r="S205" s="313">
        <f t="shared" si="140"/>
        <v>0</v>
      </c>
      <c r="T205" s="298">
        <f t="shared" si="141"/>
        <v>20</v>
      </c>
      <c r="U205" s="313">
        <f t="shared" si="142"/>
        <v>0</v>
      </c>
      <c r="V205" s="313">
        <f t="shared" si="143"/>
        <v>0</v>
      </c>
      <c r="W205" s="298">
        <f t="shared" si="144"/>
        <v>0</v>
      </c>
    </row>
    <row r="206" spans="1:23" ht="15">
      <c r="A206" s="485"/>
      <c r="B206" s="300" t="s">
        <v>21</v>
      </c>
      <c r="C206" s="301">
        <v>0</v>
      </c>
      <c r="D206" s="301">
        <v>0</v>
      </c>
      <c r="E206" s="301">
        <f>SUM(C206:D206)</f>
        <v>0</v>
      </c>
      <c r="F206" s="301">
        <v>117</v>
      </c>
      <c r="G206" s="301">
        <v>0</v>
      </c>
      <c r="H206" s="298">
        <f t="shared" si="135"/>
        <v>117</v>
      </c>
      <c r="I206" s="301">
        <v>19</v>
      </c>
      <c r="J206" s="301">
        <v>0</v>
      </c>
      <c r="K206" s="298">
        <f t="shared" si="136"/>
        <v>19</v>
      </c>
      <c r="L206" s="301">
        <v>373</v>
      </c>
      <c r="M206" s="301">
        <v>0</v>
      </c>
      <c r="N206" s="298">
        <f t="shared" si="137"/>
        <v>373</v>
      </c>
      <c r="O206" s="301">
        <v>92</v>
      </c>
      <c r="P206" s="301">
        <v>0</v>
      </c>
      <c r="Q206" s="298">
        <f t="shared" si="138"/>
        <v>92</v>
      </c>
      <c r="R206" s="306">
        <v>0</v>
      </c>
      <c r="S206" s="306">
        <f t="shared" si="140"/>
        <v>0</v>
      </c>
      <c r="T206" s="298">
        <f t="shared" si="141"/>
        <v>0</v>
      </c>
      <c r="U206" s="306">
        <v>0</v>
      </c>
      <c r="V206" s="306">
        <f t="shared" si="143"/>
        <v>0</v>
      </c>
      <c r="W206" s="298">
        <f t="shared" si="144"/>
        <v>0</v>
      </c>
    </row>
    <row r="207" spans="1:23" ht="15.75">
      <c r="A207" s="485"/>
      <c r="B207" s="300" t="s">
        <v>22</v>
      </c>
      <c r="C207" s="299">
        <v>0</v>
      </c>
      <c r="D207" s="299">
        <v>0</v>
      </c>
      <c r="E207" s="299">
        <v>0</v>
      </c>
      <c r="F207" s="299">
        <v>0</v>
      </c>
      <c r="G207" s="299">
        <v>0</v>
      </c>
      <c r="H207" s="298">
        <f t="shared" si="135"/>
        <v>0</v>
      </c>
      <c r="I207" s="299">
        <v>0</v>
      </c>
      <c r="J207" s="299">
        <v>0</v>
      </c>
      <c r="K207" s="298">
        <f t="shared" si="136"/>
        <v>0</v>
      </c>
      <c r="L207" s="299">
        <v>10</v>
      </c>
      <c r="M207" s="299">
        <v>0</v>
      </c>
      <c r="N207" s="298">
        <f t="shared" si="137"/>
        <v>10</v>
      </c>
      <c r="O207" s="299">
        <v>10</v>
      </c>
      <c r="P207" s="299">
        <v>0</v>
      </c>
      <c r="Q207" s="298">
        <f t="shared" si="138"/>
        <v>10</v>
      </c>
      <c r="R207" s="306">
        <f aca="true" t="shared" si="145" ref="R207:S209">L207*4</f>
        <v>40</v>
      </c>
      <c r="S207" s="306">
        <f t="shared" si="145"/>
        <v>0</v>
      </c>
      <c r="T207" s="298">
        <f t="shared" si="141"/>
        <v>40</v>
      </c>
      <c r="U207" s="306">
        <f aca="true" t="shared" si="146" ref="U207:V209">O207*4</f>
        <v>40</v>
      </c>
      <c r="V207" s="306">
        <f t="shared" si="146"/>
        <v>0</v>
      </c>
      <c r="W207" s="298">
        <f t="shared" si="144"/>
        <v>40</v>
      </c>
    </row>
    <row r="208" spans="1:23" ht="15">
      <c r="A208" s="485"/>
      <c r="B208" s="300" t="s">
        <v>23</v>
      </c>
      <c r="C208" s="301">
        <v>0</v>
      </c>
      <c r="D208" s="301">
        <v>0</v>
      </c>
      <c r="E208" s="301">
        <f>SUM(C208:D208)</f>
        <v>0</v>
      </c>
      <c r="F208" s="301">
        <v>0</v>
      </c>
      <c r="G208" s="301">
        <v>0</v>
      </c>
      <c r="H208" s="298">
        <f t="shared" si="135"/>
        <v>0</v>
      </c>
      <c r="I208" s="301">
        <v>0</v>
      </c>
      <c r="J208" s="301">
        <v>0</v>
      </c>
      <c r="K208" s="298">
        <f t="shared" si="136"/>
        <v>0</v>
      </c>
      <c r="L208" s="301">
        <v>10</v>
      </c>
      <c r="M208" s="301">
        <v>0</v>
      </c>
      <c r="N208" s="298">
        <f t="shared" si="137"/>
        <v>10</v>
      </c>
      <c r="O208" s="301">
        <v>10</v>
      </c>
      <c r="P208" s="301">
        <v>0</v>
      </c>
      <c r="Q208" s="298">
        <f t="shared" si="138"/>
        <v>10</v>
      </c>
      <c r="R208" s="306">
        <f t="shared" si="145"/>
        <v>40</v>
      </c>
      <c r="S208" s="306">
        <f t="shared" si="145"/>
        <v>0</v>
      </c>
      <c r="T208" s="298">
        <f t="shared" si="141"/>
        <v>40</v>
      </c>
      <c r="U208" s="306">
        <f t="shared" si="146"/>
        <v>40</v>
      </c>
      <c r="V208" s="306">
        <f t="shared" si="146"/>
        <v>0</v>
      </c>
      <c r="W208" s="298">
        <f t="shared" si="144"/>
        <v>40</v>
      </c>
    </row>
    <row r="209" spans="1:23" ht="15">
      <c r="A209" s="485"/>
      <c r="B209" s="303" t="s">
        <v>24</v>
      </c>
      <c r="C209" s="304">
        <v>0</v>
      </c>
      <c r="D209" s="304">
        <v>0</v>
      </c>
      <c r="E209" s="304">
        <f>SUM(C209:D209)</f>
        <v>0</v>
      </c>
      <c r="F209" s="304">
        <v>0</v>
      </c>
      <c r="G209" s="304">
        <v>0</v>
      </c>
      <c r="H209" s="310">
        <f t="shared" si="135"/>
        <v>0</v>
      </c>
      <c r="I209" s="304">
        <v>0</v>
      </c>
      <c r="J209" s="304">
        <v>0</v>
      </c>
      <c r="K209" s="310">
        <f t="shared" si="136"/>
        <v>0</v>
      </c>
      <c r="L209" s="304">
        <v>10</v>
      </c>
      <c r="M209" s="304">
        <v>0</v>
      </c>
      <c r="N209" s="310">
        <f t="shared" si="137"/>
        <v>10</v>
      </c>
      <c r="O209" s="304">
        <v>10</v>
      </c>
      <c r="P209" s="304">
        <v>0</v>
      </c>
      <c r="Q209" s="310">
        <f t="shared" si="138"/>
        <v>10</v>
      </c>
      <c r="R209" s="314">
        <f t="shared" si="145"/>
        <v>40</v>
      </c>
      <c r="S209" s="314">
        <f t="shared" si="145"/>
        <v>0</v>
      </c>
      <c r="T209" s="310">
        <f t="shared" si="141"/>
        <v>40</v>
      </c>
      <c r="U209" s="314">
        <f t="shared" si="146"/>
        <v>40</v>
      </c>
      <c r="V209" s="314">
        <f t="shared" si="146"/>
        <v>0</v>
      </c>
      <c r="W209" s="310">
        <f t="shared" si="144"/>
        <v>40</v>
      </c>
    </row>
    <row r="210" spans="1:23" ht="15">
      <c r="A210" s="485"/>
      <c r="B210" s="305"/>
      <c r="C210" s="301"/>
      <c r="D210" s="301"/>
      <c r="E210" s="301"/>
      <c r="F210" s="301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  <c r="S210" s="306"/>
      <c r="T210" s="306"/>
      <c r="U210" s="306"/>
      <c r="V210" s="306"/>
      <c r="W210" s="306"/>
    </row>
    <row r="211" spans="1:23" ht="15">
      <c r="A211" s="485"/>
      <c r="B211" s="300" t="s">
        <v>53</v>
      </c>
      <c r="C211" s="307">
        <f>SUM(C198:C209)</f>
        <v>0</v>
      </c>
      <c r="D211" s="307">
        <f aca="true" t="shared" si="147" ref="D211:W211">SUM(D198:D209)</f>
        <v>0</v>
      </c>
      <c r="E211" s="307">
        <f t="shared" si="147"/>
        <v>0</v>
      </c>
      <c r="F211" s="307">
        <f t="shared" si="147"/>
        <v>117</v>
      </c>
      <c r="G211" s="308">
        <f t="shared" si="147"/>
        <v>0</v>
      </c>
      <c r="H211" s="308">
        <f t="shared" si="147"/>
        <v>117</v>
      </c>
      <c r="I211" s="308">
        <f t="shared" si="147"/>
        <v>19</v>
      </c>
      <c r="J211" s="308">
        <f t="shared" si="147"/>
        <v>0</v>
      </c>
      <c r="K211" s="308">
        <f t="shared" si="147"/>
        <v>19</v>
      </c>
      <c r="L211" s="308">
        <f t="shared" si="147"/>
        <v>408</v>
      </c>
      <c r="M211" s="308">
        <f t="shared" si="147"/>
        <v>0</v>
      </c>
      <c r="N211" s="308">
        <f t="shared" si="147"/>
        <v>408</v>
      </c>
      <c r="O211" s="308">
        <f t="shared" si="147"/>
        <v>122</v>
      </c>
      <c r="P211" s="308">
        <f t="shared" si="147"/>
        <v>0</v>
      </c>
      <c r="Q211" s="308">
        <f t="shared" si="147"/>
        <v>122</v>
      </c>
      <c r="R211" s="308">
        <f t="shared" si="147"/>
        <v>140</v>
      </c>
      <c r="S211" s="308">
        <f t="shared" si="147"/>
        <v>0</v>
      </c>
      <c r="T211" s="308">
        <f t="shared" si="147"/>
        <v>140</v>
      </c>
      <c r="U211" s="308">
        <f t="shared" si="147"/>
        <v>120</v>
      </c>
      <c r="V211" s="308">
        <f t="shared" si="147"/>
        <v>0</v>
      </c>
      <c r="W211" s="308">
        <f t="shared" si="147"/>
        <v>120</v>
      </c>
    </row>
    <row r="212" spans="7:23" ht="14.25">
      <c r="G212" s="236"/>
      <c r="H212" s="236"/>
      <c r="I212" s="236"/>
      <c r="J212" s="236"/>
      <c r="K212" s="236"/>
      <c r="L212" s="236"/>
      <c r="M212" s="236"/>
      <c r="N212" s="236"/>
      <c r="O212" s="236"/>
      <c r="P212" s="236"/>
      <c r="Q212" s="236"/>
      <c r="R212" s="236"/>
      <c r="S212" s="236"/>
      <c r="T212" s="236"/>
      <c r="U212" s="236"/>
      <c r="V212" s="236"/>
      <c r="W212" s="236"/>
    </row>
    <row r="213" spans="1:23" ht="14.25">
      <c r="A213" s="234" t="s">
        <v>54</v>
      </c>
      <c r="G213" s="236"/>
      <c r="H213" s="236"/>
      <c r="I213" s="236"/>
      <c r="J213" s="236"/>
      <c r="K213" s="236"/>
      <c r="L213" s="236"/>
      <c r="M213" s="236"/>
      <c r="N213" s="236"/>
      <c r="O213" s="236"/>
      <c r="P213" s="236"/>
      <c r="Q213" s="236"/>
      <c r="R213" s="236"/>
      <c r="S213" s="236"/>
      <c r="T213" s="236"/>
      <c r="U213" s="236"/>
      <c r="V213" s="236"/>
      <c r="W213" s="236"/>
    </row>
    <row r="214" spans="2:23" ht="12.75">
      <c r="B214" s="294" t="s">
        <v>1</v>
      </c>
      <c r="C214" s="486" t="s">
        <v>76</v>
      </c>
      <c r="D214" s="487"/>
      <c r="E214" s="488"/>
      <c r="F214" s="486" t="s">
        <v>2</v>
      </c>
      <c r="G214" s="487"/>
      <c r="H214" s="488"/>
      <c r="I214" s="486" t="s">
        <v>3</v>
      </c>
      <c r="J214" s="487"/>
      <c r="K214" s="488"/>
      <c r="L214" s="486" t="s">
        <v>4</v>
      </c>
      <c r="M214" s="487"/>
      <c r="N214" s="488"/>
      <c r="O214" s="486" t="s">
        <v>5</v>
      </c>
      <c r="P214" s="487"/>
      <c r="Q214" s="488"/>
      <c r="R214" s="486" t="s">
        <v>131</v>
      </c>
      <c r="S214" s="487"/>
      <c r="T214" s="488"/>
      <c r="U214" s="486" t="s">
        <v>132</v>
      </c>
      <c r="V214" s="487"/>
      <c r="W214" s="488"/>
    </row>
    <row r="215" spans="2:23" ht="12.75">
      <c r="B215" s="295"/>
      <c r="C215" s="230" t="s">
        <v>7</v>
      </c>
      <c r="D215" s="230" t="s">
        <v>8</v>
      </c>
      <c r="E215" s="230" t="s">
        <v>6</v>
      </c>
      <c r="F215" s="230" t="s">
        <v>7</v>
      </c>
      <c r="G215" s="230" t="s">
        <v>8</v>
      </c>
      <c r="H215" s="230" t="s">
        <v>6</v>
      </c>
      <c r="I215" s="230" t="s">
        <v>7</v>
      </c>
      <c r="J215" s="230" t="s">
        <v>8</v>
      </c>
      <c r="K215" s="230" t="s">
        <v>6</v>
      </c>
      <c r="L215" s="230" t="s">
        <v>7</v>
      </c>
      <c r="M215" s="230" t="s">
        <v>8</v>
      </c>
      <c r="N215" s="230" t="s">
        <v>6</v>
      </c>
      <c r="O215" s="230" t="s">
        <v>7</v>
      </c>
      <c r="P215" s="230" t="s">
        <v>8</v>
      </c>
      <c r="Q215" s="230" t="s">
        <v>6</v>
      </c>
      <c r="R215" s="230" t="s">
        <v>7</v>
      </c>
      <c r="S215" s="230" t="s">
        <v>8</v>
      </c>
      <c r="T215" s="230" t="s">
        <v>6</v>
      </c>
      <c r="U215" s="230" t="s">
        <v>7</v>
      </c>
      <c r="V215" s="230" t="s">
        <v>8</v>
      </c>
      <c r="W215" s="230" t="s">
        <v>6</v>
      </c>
    </row>
    <row r="216" spans="1:23" ht="15">
      <c r="A216" s="485" t="s">
        <v>54</v>
      </c>
      <c r="B216" s="296"/>
      <c r="C216" s="296"/>
      <c r="D216" s="296"/>
      <c r="E216" s="296"/>
      <c r="F216" s="296"/>
      <c r="G216" s="296"/>
      <c r="H216" s="296"/>
      <c r="I216" s="296"/>
      <c r="J216" s="296"/>
      <c r="K216" s="296"/>
      <c r="L216" s="296"/>
      <c r="M216" s="296"/>
      <c r="N216" s="296"/>
      <c r="O216" s="296"/>
      <c r="P216" s="296"/>
      <c r="Q216" s="296"/>
      <c r="R216" s="296"/>
      <c r="S216" s="296"/>
      <c r="T216" s="296"/>
      <c r="U216" s="296"/>
      <c r="V216" s="296"/>
      <c r="W216" s="296"/>
    </row>
    <row r="217" spans="1:23" ht="15">
      <c r="A217" s="485"/>
      <c r="B217" s="297" t="s">
        <v>9</v>
      </c>
      <c r="C217" s="309">
        <v>0</v>
      </c>
      <c r="D217" s="309">
        <v>0</v>
      </c>
      <c r="E217" s="309">
        <f aca="true" t="shared" si="148" ref="E217:E225">SUM(C217:D217)</f>
        <v>0</v>
      </c>
      <c r="F217" s="309">
        <v>0</v>
      </c>
      <c r="G217" s="309">
        <v>0</v>
      </c>
      <c r="H217" s="298">
        <f>SUM(F217:G217)</f>
        <v>0</v>
      </c>
      <c r="I217" s="309">
        <v>0</v>
      </c>
      <c r="J217" s="309">
        <v>0</v>
      </c>
      <c r="K217" s="298">
        <f>SUM(I217:J217)</f>
        <v>0</v>
      </c>
      <c r="L217" s="309">
        <v>0</v>
      </c>
      <c r="M217" s="309">
        <v>0</v>
      </c>
      <c r="N217" s="298">
        <f>SUM(L217:M217)</f>
        <v>0</v>
      </c>
      <c r="O217" s="309">
        <v>0</v>
      </c>
      <c r="P217" s="309">
        <v>0</v>
      </c>
      <c r="Q217" s="298">
        <f>SUM(O217:P217)</f>
        <v>0</v>
      </c>
      <c r="R217" s="306">
        <f>L217*4</f>
        <v>0</v>
      </c>
      <c r="S217" s="306">
        <f>M217*4</f>
        <v>0</v>
      </c>
      <c r="T217" s="298">
        <f>SUM(R217:S217)</f>
        <v>0</v>
      </c>
      <c r="U217" s="306">
        <f>O217*4</f>
        <v>0</v>
      </c>
      <c r="V217" s="306">
        <f>P217*4</f>
        <v>0</v>
      </c>
      <c r="W217" s="298">
        <f>SUM(U217:V217)</f>
        <v>0</v>
      </c>
    </row>
    <row r="218" spans="1:23" ht="15">
      <c r="A218" s="485"/>
      <c r="B218" s="300" t="s">
        <v>14</v>
      </c>
      <c r="C218" s="309">
        <v>0</v>
      </c>
      <c r="D218" s="309">
        <v>0</v>
      </c>
      <c r="E218" s="309">
        <f t="shared" si="148"/>
        <v>0</v>
      </c>
      <c r="F218" s="309">
        <v>0</v>
      </c>
      <c r="G218" s="309">
        <v>0</v>
      </c>
      <c r="H218" s="298">
        <f aca="true" t="shared" si="149" ref="H218:H228">SUM(F218:G218)</f>
        <v>0</v>
      </c>
      <c r="I218" s="309">
        <v>0</v>
      </c>
      <c r="J218" s="309">
        <v>0</v>
      </c>
      <c r="K218" s="298">
        <f aca="true" t="shared" si="150" ref="K218:K228">SUM(I218:J218)</f>
        <v>0</v>
      </c>
      <c r="L218" s="309">
        <v>45</v>
      </c>
      <c r="M218" s="309">
        <v>20</v>
      </c>
      <c r="N218" s="298">
        <f aca="true" t="shared" si="151" ref="N218:N228">SUM(L218:M218)</f>
        <v>65</v>
      </c>
      <c r="O218" s="309">
        <v>4</v>
      </c>
      <c r="P218" s="309">
        <v>0</v>
      </c>
      <c r="Q218" s="298">
        <f aca="true" t="shared" si="152" ref="Q218:Q228">SUM(O218:P218)</f>
        <v>4</v>
      </c>
      <c r="R218" s="306">
        <f aca="true" t="shared" si="153" ref="R218:R224">L218*4</f>
        <v>180</v>
      </c>
      <c r="S218" s="306">
        <f aca="true" t="shared" si="154" ref="S218:S224">M218*4</f>
        <v>80</v>
      </c>
      <c r="T218" s="298">
        <f aca="true" t="shared" si="155" ref="T218:T228">SUM(R218:S218)</f>
        <v>260</v>
      </c>
      <c r="U218" s="306">
        <f aca="true" t="shared" si="156" ref="U218:U224">O218*4</f>
        <v>16</v>
      </c>
      <c r="V218" s="306">
        <f aca="true" t="shared" si="157" ref="V218:V224">P218*4</f>
        <v>0</v>
      </c>
      <c r="W218" s="298">
        <f aca="true" t="shared" si="158" ref="W218:W228">SUM(U218:V218)</f>
        <v>16</v>
      </c>
    </row>
    <row r="219" spans="1:23" ht="15">
      <c r="A219" s="485"/>
      <c r="B219" s="300" t="s">
        <v>15</v>
      </c>
      <c r="C219" s="309">
        <v>0</v>
      </c>
      <c r="D219" s="309">
        <v>0</v>
      </c>
      <c r="E219" s="309">
        <f t="shared" si="148"/>
        <v>0</v>
      </c>
      <c r="F219" s="309">
        <v>0</v>
      </c>
      <c r="G219" s="309">
        <v>0</v>
      </c>
      <c r="H219" s="298">
        <f t="shared" si="149"/>
        <v>0</v>
      </c>
      <c r="I219" s="309">
        <v>0</v>
      </c>
      <c r="J219" s="309">
        <v>0</v>
      </c>
      <c r="K219" s="298">
        <f t="shared" si="150"/>
        <v>0</v>
      </c>
      <c r="L219" s="309">
        <v>38</v>
      </c>
      <c r="M219" s="309">
        <v>14</v>
      </c>
      <c r="N219" s="298">
        <f t="shared" si="151"/>
        <v>52</v>
      </c>
      <c r="O219" s="309">
        <v>4</v>
      </c>
      <c r="P219" s="309">
        <v>0</v>
      </c>
      <c r="Q219" s="298">
        <f t="shared" si="152"/>
        <v>4</v>
      </c>
      <c r="R219" s="306">
        <f t="shared" si="153"/>
        <v>152</v>
      </c>
      <c r="S219" s="306">
        <f t="shared" si="154"/>
        <v>56</v>
      </c>
      <c r="T219" s="298">
        <f t="shared" si="155"/>
        <v>208</v>
      </c>
      <c r="U219" s="306">
        <f t="shared" si="156"/>
        <v>16</v>
      </c>
      <c r="V219" s="306">
        <f t="shared" si="157"/>
        <v>0</v>
      </c>
      <c r="W219" s="298">
        <f t="shared" si="158"/>
        <v>16</v>
      </c>
    </row>
    <row r="220" spans="1:23" ht="15">
      <c r="A220" s="485"/>
      <c r="B220" s="300" t="s">
        <v>16</v>
      </c>
      <c r="C220" s="309">
        <v>0</v>
      </c>
      <c r="D220" s="309">
        <v>0</v>
      </c>
      <c r="E220" s="309">
        <f t="shared" si="148"/>
        <v>0</v>
      </c>
      <c r="F220" s="309">
        <v>0</v>
      </c>
      <c r="G220" s="309">
        <v>0</v>
      </c>
      <c r="H220" s="298">
        <f t="shared" si="149"/>
        <v>0</v>
      </c>
      <c r="I220" s="309">
        <v>0</v>
      </c>
      <c r="J220" s="309">
        <v>0</v>
      </c>
      <c r="K220" s="298">
        <f t="shared" si="150"/>
        <v>0</v>
      </c>
      <c r="L220" s="309">
        <v>35</v>
      </c>
      <c r="M220" s="309">
        <v>15</v>
      </c>
      <c r="N220" s="298">
        <f t="shared" si="151"/>
        <v>50</v>
      </c>
      <c r="O220" s="309">
        <v>9</v>
      </c>
      <c r="P220" s="309">
        <v>0</v>
      </c>
      <c r="Q220" s="298">
        <f t="shared" si="152"/>
        <v>9</v>
      </c>
      <c r="R220" s="306">
        <f t="shared" si="153"/>
        <v>140</v>
      </c>
      <c r="S220" s="306">
        <f t="shared" si="154"/>
        <v>60</v>
      </c>
      <c r="T220" s="298">
        <f t="shared" si="155"/>
        <v>200</v>
      </c>
      <c r="U220" s="306">
        <f t="shared" si="156"/>
        <v>36</v>
      </c>
      <c r="V220" s="306">
        <f t="shared" si="157"/>
        <v>0</v>
      </c>
      <c r="W220" s="298">
        <f t="shared" si="158"/>
        <v>36</v>
      </c>
    </row>
    <row r="221" spans="1:23" ht="15">
      <c r="A221" s="485"/>
      <c r="B221" s="300" t="s">
        <v>17</v>
      </c>
      <c r="C221" s="309">
        <v>0</v>
      </c>
      <c r="D221" s="309">
        <v>0</v>
      </c>
      <c r="E221" s="309">
        <f t="shared" si="148"/>
        <v>0</v>
      </c>
      <c r="F221" s="309">
        <v>0</v>
      </c>
      <c r="G221" s="309">
        <v>0</v>
      </c>
      <c r="H221" s="298">
        <f t="shared" si="149"/>
        <v>0</v>
      </c>
      <c r="I221" s="309">
        <v>0</v>
      </c>
      <c r="J221" s="309">
        <v>0</v>
      </c>
      <c r="K221" s="298">
        <f t="shared" si="150"/>
        <v>0</v>
      </c>
      <c r="L221" s="309">
        <v>36</v>
      </c>
      <c r="M221" s="309">
        <v>14</v>
      </c>
      <c r="N221" s="298">
        <f t="shared" si="151"/>
        <v>50</v>
      </c>
      <c r="O221" s="309">
        <v>10</v>
      </c>
      <c r="P221" s="309">
        <v>0</v>
      </c>
      <c r="Q221" s="298">
        <f t="shared" si="152"/>
        <v>10</v>
      </c>
      <c r="R221" s="306">
        <f t="shared" si="153"/>
        <v>144</v>
      </c>
      <c r="S221" s="306">
        <f t="shared" si="154"/>
        <v>56</v>
      </c>
      <c r="T221" s="298">
        <f t="shared" si="155"/>
        <v>200</v>
      </c>
      <c r="U221" s="306">
        <f t="shared" si="156"/>
        <v>40</v>
      </c>
      <c r="V221" s="306">
        <f t="shared" si="157"/>
        <v>0</v>
      </c>
      <c r="W221" s="298">
        <f t="shared" si="158"/>
        <v>40</v>
      </c>
    </row>
    <row r="222" spans="1:23" ht="15">
      <c r="A222" s="485"/>
      <c r="B222" s="300" t="s">
        <v>18</v>
      </c>
      <c r="C222" s="309">
        <v>0</v>
      </c>
      <c r="D222" s="309">
        <v>0</v>
      </c>
      <c r="E222" s="309">
        <f t="shared" si="148"/>
        <v>0</v>
      </c>
      <c r="F222" s="309">
        <f>5+1</f>
        <v>6</v>
      </c>
      <c r="G222" s="309">
        <v>2</v>
      </c>
      <c r="H222" s="298">
        <f t="shared" si="149"/>
        <v>8</v>
      </c>
      <c r="I222" s="309">
        <v>0</v>
      </c>
      <c r="J222" s="309">
        <v>0</v>
      </c>
      <c r="K222" s="298">
        <f t="shared" si="150"/>
        <v>0</v>
      </c>
      <c r="L222" s="309">
        <v>42</v>
      </c>
      <c r="M222" s="309">
        <v>16</v>
      </c>
      <c r="N222" s="298">
        <f t="shared" si="151"/>
        <v>58</v>
      </c>
      <c r="O222" s="309">
        <v>8</v>
      </c>
      <c r="P222" s="309">
        <v>0</v>
      </c>
      <c r="Q222" s="298">
        <f t="shared" si="152"/>
        <v>8</v>
      </c>
      <c r="R222" s="306">
        <f t="shared" si="153"/>
        <v>168</v>
      </c>
      <c r="S222" s="306">
        <f t="shared" si="154"/>
        <v>64</v>
      </c>
      <c r="T222" s="298">
        <f t="shared" si="155"/>
        <v>232</v>
      </c>
      <c r="U222" s="306">
        <f t="shared" si="156"/>
        <v>32</v>
      </c>
      <c r="V222" s="306">
        <f t="shared" si="157"/>
        <v>0</v>
      </c>
      <c r="W222" s="298">
        <f t="shared" si="158"/>
        <v>32</v>
      </c>
    </row>
    <row r="223" spans="1:23" ht="15">
      <c r="A223" s="485"/>
      <c r="B223" s="300" t="s">
        <v>19</v>
      </c>
      <c r="C223" s="309">
        <v>0</v>
      </c>
      <c r="D223" s="309">
        <v>0</v>
      </c>
      <c r="E223" s="309">
        <f t="shared" si="148"/>
        <v>0</v>
      </c>
      <c r="F223" s="309">
        <v>0</v>
      </c>
      <c r="G223" s="309">
        <v>0</v>
      </c>
      <c r="H223" s="298">
        <f t="shared" si="149"/>
        <v>0</v>
      </c>
      <c r="I223" s="309">
        <v>0</v>
      </c>
      <c r="J223" s="309">
        <v>0</v>
      </c>
      <c r="K223" s="298">
        <f t="shared" si="150"/>
        <v>0</v>
      </c>
      <c r="L223" s="309">
        <v>36</v>
      </c>
      <c r="M223" s="309">
        <v>14</v>
      </c>
      <c r="N223" s="298">
        <f t="shared" si="151"/>
        <v>50</v>
      </c>
      <c r="O223" s="309">
        <v>10</v>
      </c>
      <c r="P223" s="309">
        <v>0</v>
      </c>
      <c r="Q223" s="298">
        <f t="shared" si="152"/>
        <v>10</v>
      </c>
      <c r="R223" s="306">
        <f t="shared" si="153"/>
        <v>144</v>
      </c>
      <c r="S223" s="306">
        <f t="shared" si="154"/>
        <v>56</v>
      </c>
      <c r="T223" s="298">
        <f t="shared" si="155"/>
        <v>200</v>
      </c>
      <c r="U223" s="306">
        <f t="shared" si="156"/>
        <v>40</v>
      </c>
      <c r="V223" s="306">
        <f t="shared" si="157"/>
        <v>0</v>
      </c>
      <c r="W223" s="298">
        <f t="shared" si="158"/>
        <v>40</v>
      </c>
    </row>
    <row r="224" spans="1:23" ht="15">
      <c r="A224" s="485"/>
      <c r="B224" s="300" t="s">
        <v>20</v>
      </c>
      <c r="C224" s="302">
        <v>0</v>
      </c>
      <c r="D224" s="302">
        <v>0</v>
      </c>
      <c r="E224" s="302">
        <f t="shared" si="148"/>
        <v>0</v>
      </c>
      <c r="F224" s="302">
        <v>1</v>
      </c>
      <c r="G224" s="302">
        <v>0</v>
      </c>
      <c r="H224" s="298">
        <f t="shared" si="149"/>
        <v>1</v>
      </c>
      <c r="I224" s="302">
        <v>0</v>
      </c>
      <c r="J224" s="302">
        <v>0</v>
      </c>
      <c r="K224" s="298">
        <f t="shared" si="150"/>
        <v>0</v>
      </c>
      <c r="L224" s="302">
        <v>48</v>
      </c>
      <c r="M224" s="302">
        <v>19</v>
      </c>
      <c r="N224" s="298">
        <f t="shared" si="151"/>
        <v>67</v>
      </c>
      <c r="O224" s="302">
        <v>10</v>
      </c>
      <c r="P224" s="302">
        <v>0</v>
      </c>
      <c r="Q224" s="298">
        <f t="shared" si="152"/>
        <v>10</v>
      </c>
      <c r="R224" s="313">
        <f t="shared" si="153"/>
        <v>192</v>
      </c>
      <c r="S224" s="313">
        <f t="shared" si="154"/>
        <v>76</v>
      </c>
      <c r="T224" s="298">
        <f t="shared" si="155"/>
        <v>268</v>
      </c>
      <c r="U224" s="313">
        <f t="shared" si="156"/>
        <v>40</v>
      </c>
      <c r="V224" s="313">
        <f t="shared" si="157"/>
        <v>0</v>
      </c>
      <c r="W224" s="298">
        <f t="shared" si="158"/>
        <v>40</v>
      </c>
    </row>
    <row r="225" spans="1:23" ht="15">
      <c r="A225" s="485"/>
      <c r="B225" s="300" t="s">
        <v>21</v>
      </c>
      <c r="C225" s="301">
        <v>0</v>
      </c>
      <c r="D225" s="301">
        <v>0</v>
      </c>
      <c r="E225" s="301">
        <f t="shared" si="148"/>
        <v>0</v>
      </c>
      <c r="F225" s="301">
        <v>47</v>
      </c>
      <c r="G225" s="301">
        <v>0</v>
      </c>
      <c r="H225" s="298">
        <f t="shared" si="149"/>
        <v>47</v>
      </c>
      <c r="I225" s="301">
        <v>0</v>
      </c>
      <c r="J225" s="301">
        <v>0</v>
      </c>
      <c r="K225" s="298">
        <f t="shared" si="150"/>
        <v>0</v>
      </c>
      <c r="L225" s="301">
        <f>36+172</f>
        <v>208</v>
      </c>
      <c r="M225" s="301">
        <f>14</f>
        <v>14</v>
      </c>
      <c r="N225" s="298">
        <f t="shared" si="151"/>
        <v>222</v>
      </c>
      <c r="O225" s="301">
        <f>10+3</f>
        <v>13</v>
      </c>
      <c r="P225" s="301">
        <v>0</v>
      </c>
      <c r="Q225" s="298">
        <f t="shared" si="152"/>
        <v>13</v>
      </c>
      <c r="R225" s="306">
        <v>144</v>
      </c>
      <c r="S225" s="306">
        <v>56</v>
      </c>
      <c r="T225" s="298">
        <f t="shared" si="155"/>
        <v>200</v>
      </c>
      <c r="U225" s="306">
        <v>40</v>
      </c>
      <c r="V225" s="306">
        <v>0</v>
      </c>
      <c r="W225" s="298">
        <f t="shared" si="158"/>
        <v>40</v>
      </c>
    </row>
    <row r="226" spans="1:23" ht="15.75">
      <c r="A226" s="485"/>
      <c r="B226" s="300" t="s">
        <v>22</v>
      </c>
      <c r="C226" s="299">
        <v>0</v>
      </c>
      <c r="D226" s="299">
        <v>0</v>
      </c>
      <c r="E226" s="299">
        <v>0</v>
      </c>
      <c r="F226" s="299">
        <v>0</v>
      </c>
      <c r="G226" s="299">
        <v>0</v>
      </c>
      <c r="H226" s="298">
        <f t="shared" si="149"/>
        <v>0</v>
      </c>
      <c r="I226" s="299">
        <v>0</v>
      </c>
      <c r="J226" s="299">
        <v>0</v>
      </c>
      <c r="K226" s="298">
        <f t="shared" si="150"/>
        <v>0</v>
      </c>
      <c r="L226" s="299">
        <v>46</v>
      </c>
      <c r="M226" s="299">
        <v>8</v>
      </c>
      <c r="N226" s="298">
        <f t="shared" si="151"/>
        <v>54</v>
      </c>
      <c r="O226" s="299">
        <v>6</v>
      </c>
      <c r="P226" s="299">
        <v>2</v>
      </c>
      <c r="Q226" s="298">
        <f t="shared" si="152"/>
        <v>8</v>
      </c>
      <c r="R226" s="306">
        <f aca="true" t="shared" si="159" ref="R226:S228">L226*4</f>
        <v>184</v>
      </c>
      <c r="S226" s="306">
        <f t="shared" si="159"/>
        <v>32</v>
      </c>
      <c r="T226" s="298">
        <f t="shared" si="155"/>
        <v>216</v>
      </c>
      <c r="U226" s="306">
        <f aca="true" t="shared" si="160" ref="U226:V228">O226*4</f>
        <v>24</v>
      </c>
      <c r="V226" s="306">
        <f t="shared" si="160"/>
        <v>8</v>
      </c>
      <c r="W226" s="298">
        <f t="shared" si="158"/>
        <v>32</v>
      </c>
    </row>
    <row r="227" spans="1:23" ht="15">
      <c r="A227" s="485"/>
      <c r="B227" s="300" t="s">
        <v>23</v>
      </c>
      <c r="C227" s="301">
        <v>0</v>
      </c>
      <c r="D227" s="301">
        <v>0</v>
      </c>
      <c r="E227" s="301">
        <f>SUM(C227:D227)</f>
        <v>0</v>
      </c>
      <c r="F227" s="301">
        <v>0</v>
      </c>
      <c r="G227" s="301">
        <v>0</v>
      </c>
      <c r="H227" s="298">
        <f t="shared" si="149"/>
        <v>0</v>
      </c>
      <c r="I227" s="301">
        <v>0</v>
      </c>
      <c r="J227" s="301">
        <v>0</v>
      </c>
      <c r="K227" s="298">
        <f t="shared" si="150"/>
        <v>0</v>
      </c>
      <c r="L227" s="301">
        <v>42</v>
      </c>
      <c r="M227" s="301">
        <v>4</v>
      </c>
      <c r="N227" s="298">
        <f t="shared" si="151"/>
        <v>46</v>
      </c>
      <c r="O227" s="301">
        <v>6</v>
      </c>
      <c r="P227" s="301">
        <v>0</v>
      </c>
      <c r="Q227" s="298">
        <f t="shared" si="152"/>
        <v>6</v>
      </c>
      <c r="R227" s="306">
        <f t="shared" si="159"/>
        <v>168</v>
      </c>
      <c r="S227" s="306">
        <f t="shared" si="159"/>
        <v>16</v>
      </c>
      <c r="T227" s="298">
        <f t="shared" si="155"/>
        <v>184</v>
      </c>
      <c r="U227" s="306">
        <f t="shared" si="160"/>
        <v>24</v>
      </c>
      <c r="V227" s="306">
        <f t="shared" si="160"/>
        <v>0</v>
      </c>
      <c r="W227" s="298">
        <f t="shared" si="158"/>
        <v>24</v>
      </c>
    </row>
    <row r="228" spans="1:23" ht="15">
      <c r="A228" s="485"/>
      <c r="B228" s="303" t="s">
        <v>24</v>
      </c>
      <c r="C228" s="304">
        <v>0</v>
      </c>
      <c r="D228" s="304">
        <v>0</v>
      </c>
      <c r="E228" s="304">
        <f>SUM(C228:D228)</f>
        <v>0</v>
      </c>
      <c r="F228" s="304">
        <v>0</v>
      </c>
      <c r="G228" s="304">
        <v>0</v>
      </c>
      <c r="H228" s="310">
        <f t="shared" si="149"/>
        <v>0</v>
      </c>
      <c r="I228" s="304">
        <v>0</v>
      </c>
      <c r="J228" s="304">
        <v>0</v>
      </c>
      <c r="K228" s="310">
        <f t="shared" si="150"/>
        <v>0</v>
      </c>
      <c r="L228" s="304">
        <v>45</v>
      </c>
      <c r="M228" s="304">
        <v>3</v>
      </c>
      <c r="N228" s="310">
        <f t="shared" si="151"/>
        <v>48</v>
      </c>
      <c r="O228" s="304">
        <v>8</v>
      </c>
      <c r="P228" s="304">
        <v>0</v>
      </c>
      <c r="Q228" s="310">
        <f t="shared" si="152"/>
        <v>8</v>
      </c>
      <c r="R228" s="314">
        <f t="shared" si="159"/>
        <v>180</v>
      </c>
      <c r="S228" s="314">
        <f t="shared" si="159"/>
        <v>12</v>
      </c>
      <c r="T228" s="310">
        <f t="shared" si="155"/>
        <v>192</v>
      </c>
      <c r="U228" s="314">
        <f t="shared" si="160"/>
        <v>32</v>
      </c>
      <c r="V228" s="314">
        <f t="shared" si="160"/>
        <v>0</v>
      </c>
      <c r="W228" s="310">
        <f t="shared" si="158"/>
        <v>32</v>
      </c>
    </row>
    <row r="229" spans="1:23" ht="15">
      <c r="A229" s="485"/>
      <c r="B229" s="305"/>
      <c r="C229" s="301"/>
      <c r="D229" s="301"/>
      <c r="E229" s="301"/>
      <c r="F229" s="301"/>
      <c r="G229" s="306"/>
      <c r="H229" s="306"/>
      <c r="I229" s="306"/>
      <c r="J229" s="306"/>
      <c r="K229" s="306"/>
      <c r="L229" s="306"/>
      <c r="M229" s="306"/>
      <c r="N229" s="306"/>
      <c r="O229" s="306"/>
      <c r="P229" s="306"/>
      <c r="Q229" s="306"/>
      <c r="R229" s="306"/>
      <c r="S229" s="306"/>
      <c r="T229" s="306"/>
      <c r="U229" s="306"/>
      <c r="V229" s="306"/>
      <c r="W229" s="306"/>
    </row>
    <row r="230" spans="1:23" ht="15">
      <c r="A230" s="485"/>
      <c r="B230" s="300" t="s">
        <v>54</v>
      </c>
      <c r="C230" s="309">
        <f aca="true" t="shared" si="161" ref="C230:W230">SUM(C217:C228)</f>
        <v>0</v>
      </c>
      <c r="D230" s="309">
        <f t="shared" si="161"/>
        <v>0</v>
      </c>
      <c r="E230" s="309">
        <f t="shared" si="161"/>
        <v>0</v>
      </c>
      <c r="F230" s="309">
        <f t="shared" si="161"/>
        <v>54</v>
      </c>
      <c r="G230" s="315">
        <f t="shared" si="161"/>
        <v>2</v>
      </c>
      <c r="H230" s="315">
        <f t="shared" si="161"/>
        <v>56</v>
      </c>
      <c r="I230" s="315">
        <f t="shared" si="161"/>
        <v>0</v>
      </c>
      <c r="J230" s="315">
        <f t="shared" si="161"/>
        <v>0</v>
      </c>
      <c r="K230" s="315">
        <f t="shared" si="161"/>
        <v>0</v>
      </c>
      <c r="L230" s="315">
        <f t="shared" si="161"/>
        <v>621</v>
      </c>
      <c r="M230" s="315">
        <f t="shared" si="161"/>
        <v>141</v>
      </c>
      <c r="N230" s="315">
        <f t="shared" si="161"/>
        <v>762</v>
      </c>
      <c r="O230" s="315">
        <f t="shared" si="161"/>
        <v>88</v>
      </c>
      <c r="P230" s="315">
        <f t="shared" si="161"/>
        <v>2</v>
      </c>
      <c r="Q230" s="315">
        <f t="shared" si="161"/>
        <v>90</v>
      </c>
      <c r="R230" s="315">
        <f t="shared" si="161"/>
        <v>1796</v>
      </c>
      <c r="S230" s="315">
        <f t="shared" si="161"/>
        <v>564</v>
      </c>
      <c r="T230" s="315">
        <f t="shared" si="161"/>
        <v>2360</v>
      </c>
      <c r="U230" s="315">
        <f t="shared" si="161"/>
        <v>340</v>
      </c>
      <c r="V230" s="315">
        <f t="shared" si="161"/>
        <v>8</v>
      </c>
      <c r="W230" s="315">
        <f t="shared" si="161"/>
        <v>348</v>
      </c>
    </row>
    <row r="231" spans="7:23" ht="14.25">
      <c r="G231" s="236"/>
      <c r="H231" s="236"/>
      <c r="I231" s="236"/>
      <c r="J231" s="236"/>
      <c r="K231" s="236"/>
      <c r="L231" s="236"/>
      <c r="M231" s="236"/>
      <c r="N231" s="236"/>
      <c r="O231" s="236"/>
      <c r="P231" s="236"/>
      <c r="Q231" s="236"/>
      <c r="R231" s="236"/>
      <c r="S231" s="236"/>
      <c r="T231" s="236"/>
      <c r="U231" s="236"/>
      <c r="V231" s="236"/>
      <c r="W231" s="236"/>
    </row>
    <row r="232" spans="1:23" ht="14.25">
      <c r="A232" s="234" t="s">
        <v>55</v>
      </c>
      <c r="G232" s="236"/>
      <c r="H232" s="236"/>
      <c r="I232" s="236"/>
      <c r="J232" s="236"/>
      <c r="K232" s="236"/>
      <c r="L232" s="236"/>
      <c r="M232" s="236"/>
      <c r="N232" s="236"/>
      <c r="O232" s="236"/>
      <c r="P232" s="236"/>
      <c r="Q232" s="236"/>
      <c r="R232" s="236"/>
      <c r="S232" s="236"/>
      <c r="T232" s="236"/>
      <c r="U232" s="236"/>
      <c r="V232" s="236"/>
      <c r="W232" s="236"/>
    </row>
    <row r="233" spans="2:23" ht="12.75">
      <c r="B233" s="294" t="s">
        <v>1</v>
      </c>
      <c r="C233" s="486" t="s">
        <v>76</v>
      </c>
      <c r="D233" s="487"/>
      <c r="E233" s="488"/>
      <c r="F233" s="486" t="s">
        <v>2</v>
      </c>
      <c r="G233" s="487"/>
      <c r="H233" s="488"/>
      <c r="I233" s="486" t="s">
        <v>3</v>
      </c>
      <c r="J233" s="487"/>
      <c r="K233" s="488"/>
      <c r="L233" s="486" t="s">
        <v>4</v>
      </c>
      <c r="M233" s="487"/>
      <c r="N233" s="488"/>
      <c r="O233" s="486" t="s">
        <v>5</v>
      </c>
      <c r="P233" s="487"/>
      <c r="Q233" s="488"/>
      <c r="R233" s="486" t="s">
        <v>131</v>
      </c>
      <c r="S233" s="487"/>
      <c r="T233" s="488"/>
      <c r="U233" s="486" t="s">
        <v>132</v>
      </c>
      <c r="V233" s="487"/>
      <c r="W233" s="488"/>
    </row>
    <row r="234" spans="2:23" ht="12.75">
      <c r="B234" s="295"/>
      <c r="C234" s="230" t="s">
        <v>7</v>
      </c>
      <c r="D234" s="230" t="s">
        <v>8</v>
      </c>
      <c r="E234" s="230" t="s">
        <v>6</v>
      </c>
      <c r="F234" s="230" t="s">
        <v>7</v>
      </c>
      <c r="G234" s="230" t="s">
        <v>8</v>
      </c>
      <c r="H234" s="230" t="s">
        <v>6</v>
      </c>
      <c r="I234" s="230" t="s">
        <v>7</v>
      </c>
      <c r="J234" s="230" t="s">
        <v>8</v>
      </c>
      <c r="K234" s="230" t="s">
        <v>6</v>
      </c>
      <c r="L234" s="230" t="s">
        <v>7</v>
      </c>
      <c r="M234" s="230" t="s">
        <v>8</v>
      </c>
      <c r="N234" s="230" t="s">
        <v>6</v>
      </c>
      <c r="O234" s="230" t="s">
        <v>7</v>
      </c>
      <c r="P234" s="230" t="s">
        <v>8</v>
      </c>
      <c r="Q234" s="230" t="s">
        <v>6</v>
      </c>
      <c r="R234" s="230" t="s">
        <v>7</v>
      </c>
      <c r="S234" s="230" t="s">
        <v>8</v>
      </c>
      <c r="T234" s="230" t="s">
        <v>6</v>
      </c>
      <c r="U234" s="230" t="s">
        <v>7</v>
      </c>
      <c r="V234" s="230" t="s">
        <v>8</v>
      </c>
      <c r="W234" s="230" t="s">
        <v>6</v>
      </c>
    </row>
    <row r="235" spans="1:23" ht="15">
      <c r="A235" s="485" t="s">
        <v>55</v>
      </c>
      <c r="B235" s="296"/>
      <c r="C235" s="296"/>
      <c r="D235" s="296"/>
      <c r="E235" s="296"/>
      <c r="F235" s="296"/>
      <c r="G235" s="296"/>
      <c r="H235" s="296"/>
      <c r="I235" s="296"/>
      <c r="J235" s="296"/>
      <c r="K235" s="296"/>
      <c r="L235" s="296"/>
      <c r="M235" s="296"/>
      <c r="N235" s="296"/>
      <c r="O235" s="296"/>
      <c r="P235" s="296"/>
      <c r="Q235" s="296"/>
      <c r="R235" s="296"/>
      <c r="S235" s="296"/>
      <c r="T235" s="296"/>
      <c r="U235" s="296"/>
      <c r="V235" s="296"/>
      <c r="W235" s="296"/>
    </row>
    <row r="236" spans="1:23" ht="15">
      <c r="A236" s="485"/>
      <c r="B236" s="297" t="s">
        <v>9</v>
      </c>
      <c r="C236" s="301">
        <v>0</v>
      </c>
      <c r="D236" s="301">
        <v>0</v>
      </c>
      <c r="E236" s="301">
        <f aca="true" t="shared" si="162" ref="E236:E244">SUM(C236:D236)</f>
        <v>0</v>
      </c>
      <c r="F236" s="301">
        <v>0</v>
      </c>
      <c r="G236" s="301">
        <v>0</v>
      </c>
      <c r="H236" s="298">
        <f>SUM(F236:G236)</f>
        <v>0</v>
      </c>
      <c r="I236" s="301">
        <v>0</v>
      </c>
      <c r="J236" s="301">
        <v>0</v>
      </c>
      <c r="K236" s="298">
        <f>SUM(I236:J236)</f>
        <v>0</v>
      </c>
      <c r="L236" s="301">
        <v>17</v>
      </c>
      <c r="M236" s="301">
        <v>4</v>
      </c>
      <c r="N236" s="298">
        <f>SUM(L236:M236)</f>
        <v>21</v>
      </c>
      <c r="O236" s="301">
        <v>1</v>
      </c>
      <c r="P236" s="301">
        <v>1</v>
      </c>
      <c r="Q236" s="298">
        <f>SUM(O236:P236)</f>
        <v>2</v>
      </c>
      <c r="R236" s="306">
        <f>L236*4</f>
        <v>68</v>
      </c>
      <c r="S236" s="306">
        <f>M236*4</f>
        <v>16</v>
      </c>
      <c r="T236" s="298">
        <f>SUM(R236:S236)</f>
        <v>84</v>
      </c>
      <c r="U236" s="306">
        <f>O236*4</f>
        <v>4</v>
      </c>
      <c r="V236" s="306">
        <f>P236*4</f>
        <v>4</v>
      </c>
      <c r="W236" s="298">
        <f>SUM(U236:V236)</f>
        <v>8</v>
      </c>
    </row>
    <row r="237" spans="1:23" ht="15">
      <c r="A237" s="485"/>
      <c r="B237" s="300" t="s">
        <v>14</v>
      </c>
      <c r="C237" s="301">
        <v>0</v>
      </c>
      <c r="D237" s="301">
        <v>0</v>
      </c>
      <c r="E237" s="301">
        <f t="shared" si="162"/>
        <v>0</v>
      </c>
      <c r="F237" s="301">
        <v>0</v>
      </c>
      <c r="G237" s="301">
        <v>0</v>
      </c>
      <c r="H237" s="298">
        <f aca="true" t="shared" si="163" ref="H237:H247">SUM(F237:G237)</f>
        <v>0</v>
      </c>
      <c r="I237" s="301">
        <v>0</v>
      </c>
      <c r="J237" s="301">
        <v>0</v>
      </c>
      <c r="K237" s="298">
        <f aca="true" t="shared" si="164" ref="K237:K247">SUM(I237:J237)</f>
        <v>0</v>
      </c>
      <c r="L237" s="301">
        <v>14</v>
      </c>
      <c r="M237" s="301">
        <v>3</v>
      </c>
      <c r="N237" s="298">
        <f aca="true" t="shared" si="165" ref="N237:N247">SUM(L237:M237)</f>
        <v>17</v>
      </c>
      <c r="O237" s="301">
        <v>1</v>
      </c>
      <c r="P237" s="301">
        <v>2</v>
      </c>
      <c r="Q237" s="298">
        <f aca="true" t="shared" si="166" ref="Q237:Q247">SUM(O237:P237)</f>
        <v>3</v>
      </c>
      <c r="R237" s="306">
        <f aca="true" t="shared" si="167" ref="R237:R243">L237*4</f>
        <v>56</v>
      </c>
      <c r="S237" s="306">
        <f aca="true" t="shared" si="168" ref="S237:S243">M237*4</f>
        <v>12</v>
      </c>
      <c r="T237" s="298">
        <f aca="true" t="shared" si="169" ref="T237:T247">SUM(R237:S237)</f>
        <v>68</v>
      </c>
      <c r="U237" s="306">
        <f aca="true" t="shared" si="170" ref="U237:U243">O237*4</f>
        <v>4</v>
      </c>
      <c r="V237" s="306">
        <f aca="true" t="shared" si="171" ref="V237:V243">P237*4</f>
        <v>8</v>
      </c>
      <c r="W237" s="298">
        <f aca="true" t="shared" si="172" ref="W237:W247">SUM(U237:V237)</f>
        <v>12</v>
      </c>
    </row>
    <row r="238" spans="1:23" ht="15">
      <c r="A238" s="485"/>
      <c r="B238" s="300" t="s">
        <v>55</v>
      </c>
      <c r="C238" s="301">
        <v>0</v>
      </c>
      <c r="D238" s="301">
        <v>0</v>
      </c>
      <c r="E238" s="301">
        <f t="shared" si="162"/>
        <v>0</v>
      </c>
      <c r="F238" s="301">
        <v>0</v>
      </c>
      <c r="G238" s="301">
        <v>0</v>
      </c>
      <c r="H238" s="298">
        <f t="shared" si="163"/>
        <v>0</v>
      </c>
      <c r="I238" s="301">
        <v>0</v>
      </c>
      <c r="J238" s="301">
        <v>0</v>
      </c>
      <c r="K238" s="298">
        <f t="shared" si="164"/>
        <v>0</v>
      </c>
      <c r="L238" s="301">
        <v>17</v>
      </c>
      <c r="M238" s="301">
        <v>2</v>
      </c>
      <c r="N238" s="298">
        <f t="shared" si="165"/>
        <v>19</v>
      </c>
      <c r="O238" s="301">
        <v>2</v>
      </c>
      <c r="P238" s="301">
        <v>0</v>
      </c>
      <c r="Q238" s="298">
        <f t="shared" si="166"/>
        <v>2</v>
      </c>
      <c r="R238" s="306">
        <f t="shared" si="167"/>
        <v>68</v>
      </c>
      <c r="S238" s="306">
        <f t="shared" si="168"/>
        <v>8</v>
      </c>
      <c r="T238" s="298">
        <f t="shared" si="169"/>
        <v>76</v>
      </c>
      <c r="U238" s="306">
        <f t="shared" si="170"/>
        <v>8</v>
      </c>
      <c r="V238" s="306">
        <f t="shared" si="171"/>
        <v>0</v>
      </c>
      <c r="W238" s="298">
        <f t="shared" si="172"/>
        <v>8</v>
      </c>
    </row>
    <row r="239" spans="1:23" ht="15">
      <c r="A239" s="485"/>
      <c r="B239" s="300" t="s">
        <v>16</v>
      </c>
      <c r="C239" s="301">
        <v>0</v>
      </c>
      <c r="D239" s="301">
        <v>0</v>
      </c>
      <c r="E239" s="301">
        <f t="shared" si="162"/>
        <v>0</v>
      </c>
      <c r="F239" s="301">
        <v>0</v>
      </c>
      <c r="G239" s="301">
        <v>0</v>
      </c>
      <c r="H239" s="298">
        <f t="shared" si="163"/>
        <v>0</v>
      </c>
      <c r="I239" s="301">
        <v>0</v>
      </c>
      <c r="J239" s="301">
        <v>0</v>
      </c>
      <c r="K239" s="298">
        <f t="shared" si="164"/>
        <v>0</v>
      </c>
      <c r="L239" s="301">
        <v>21</v>
      </c>
      <c r="M239" s="301">
        <v>4</v>
      </c>
      <c r="N239" s="298">
        <f t="shared" si="165"/>
        <v>25</v>
      </c>
      <c r="O239" s="301">
        <v>1</v>
      </c>
      <c r="P239" s="301">
        <v>1</v>
      </c>
      <c r="Q239" s="298">
        <f t="shared" si="166"/>
        <v>2</v>
      </c>
      <c r="R239" s="306">
        <f t="shared" si="167"/>
        <v>84</v>
      </c>
      <c r="S239" s="306">
        <f t="shared" si="168"/>
        <v>16</v>
      </c>
      <c r="T239" s="298">
        <f t="shared" si="169"/>
        <v>100</v>
      </c>
      <c r="U239" s="306">
        <f t="shared" si="170"/>
        <v>4</v>
      </c>
      <c r="V239" s="306">
        <f t="shared" si="171"/>
        <v>4</v>
      </c>
      <c r="W239" s="298">
        <f t="shared" si="172"/>
        <v>8</v>
      </c>
    </row>
    <row r="240" spans="1:23" ht="15">
      <c r="A240" s="485"/>
      <c r="B240" s="300" t="s">
        <v>17</v>
      </c>
      <c r="C240" s="301">
        <v>0</v>
      </c>
      <c r="D240" s="301">
        <v>0</v>
      </c>
      <c r="E240" s="301">
        <f t="shared" si="162"/>
        <v>0</v>
      </c>
      <c r="F240" s="301">
        <v>0</v>
      </c>
      <c r="G240" s="301">
        <v>0</v>
      </c>
      <c r="H240" s="298">
        <f t="shared" si="163"/>
        <v>0</v>
      </c>
      <c r="I240" s="301">
        <v>0</v>
      </c>
      <c r="J240" s="301">
        <v>0</v>
      </c>
      <c r="K240" s="298">
        <f t="shared" si="164"/>
        <v>0</v>
      </c>
      <c r="L240" s="301">
        <v>14</v>
      </c>
      <c r="M240" s="301">
        <v>6</v>
      </c>
      <c r="N240" s="298">
        <f t="shared" si="165"/>
        <v>20</v>
      </c>
      <c r="O240" s="301">
        <v>2</v>
      </c>
      <c r="P240" s="301">
        <v>1</v>
      </c>
      <c r="Q240" s="298">
        <f t="shared" si="166"/>
        <v>3</v>
      </c>
      <c r="R240" s="306">
        <f t="shared" si="167"/>
        <v>56</v>
      </c>
      <c r="S240" s="306">
        <f t="shared" si="168"/>
        <v>24</v>
      </c>
      <c r="T240" s="298">
        <f t="shared" si="169"/>
        <v>80</v>
      </c>
      <c r="U240" s="306">
        <f t="shared" si="170"/>
        <v>8</v>
      </c>
      <c r="V240" s="306">
        <f t="shared" si="171"/>
        <v>4</v>
      </c>
      <c r="W240" s="298">
        <f t="shared" si="172"/>
        <v>12</v>
      </c>
    </row>
    <row r="241" spans="1:23" ht="15">
      <c r="A241" s="485"/>
      <c r="B241" s="300" t="s">
        <v>18</v>
      </c>
      <c r="C241" s="301">
        <v>0</v>
      </c>
      <c r="D241" s="301">
        <v>0</v>
      </c>
      <c r="E241" s="301">
        <f t="shared" si="162"/>
        <v>0</v>
      </c>
      <c r="F241" s="301">
        <v>0</v>
      </c>
      <c r="G241" s="301">
        <v>0</v>
      </c>
      <c r="H241" s="298">
        <f t="shared" si="163"/>
        <v>0</v>
      </c>
      <c r="I241" s="301">
        <v>0</v>
      </c>
      <c r="J241" s="301">
        <v>0</v>
      </c>
      <c r="K241" s="298">
        <f t="shared" si="164"/>
        <v>0</v>
      </c>
      <c r="L241" s="301">
        <v>16</v>
      </c>
      <c r="M241" s="301">
        <v>4</v>
      </c>
      <c r="N241" s="298">
        <f t="shared" si="165"/>
        <v>20</v>
      </c>
      <c r="O241" s="301">
        <v>5</v>
      </c>
      <c r="P241" s="301">
        <v>2</v>
      </c>
      <c r="Q241" s="298">
        <f t="shared" si="166"/>
        <v>7</v>
      </c>
      <c r="R241" s="306">
        <f t="shared" si="167"/>
        <v>64</v>
      </c>
      <c r="S241" s="306">
        <f t="shared" si="168"/>
        <v>16</v>
      </c>
      <c r="T241" s="298">
        <f t="shared" si="169"/>
        <v>80</v>
      </c>
      <c r="U241" s="306">
        <f t="shared" si="170"/>
        <v>20</v>
      </c>
      <c r="V241" s="306">
        <f t="shared" si="171"/>
        <v>8</v>
      </c>
      <c r="W241" s="298">
        <f t="shared" si="172"/>
        <v>28</v>
      </c>
    </row>
    <row r="242" spans="1:23" ht="15">
      <c r="A242" s="485"/>
      <c r="B242" s="300" t="s">
        <v>19</v>
      </c>
      <c r="C242" s="301">
        <v>0</v>
      </c>
      <c r="D242" s="301">
        <v>0</v>
      </c>
      <c r="E242" s="301">
        <f t="shared" si="162"/>
        <v>0</v>
      </c>
      <c r="F242" s="301">
        <v>0</v>
      </c>
      <c r="G242" s="301">
        <v>0</v>
      </c>
      <c r="H242" s="298">
        <f t="shared" si="163"/>
        <v>0</v>
      </c>
      <c r="I242" s="301">
        <v>0</v>
      </c>
      <c r="J242" s="301">
        <v>0</v>
      </c>
      <c r="K242" s="298">
        <f t="shared" si="164"/>
        <v>0</v>
      </c>
      <c r="L242" s="301">
        <v>14</v>
      </c>
      <c r="M242" s="301">
        <v>6</v>
      </c>
      <c r="N242" s="298">
        <f t="shared" si="165"/>
        <v>20</v>
      </c>
      <c r="O242" s="301">
        <v>2</v>
      </c>
      <c r="P242" s="301">
        <v>1</v>
      </c>
      <c r="Q242" s="298">
        <f t="shared" si="166"/>
        <v>3</v>
      </c>
      <c r="R242" s="306">
        <f t="shared" si="167"/>
        <v>56</v>
      </c>
      <c r="S242" s="306">
        <f t="shared" si="168"/>
        <v>24</v>
      </c>
      <c r="T242" s="298">
        <f t="shared" si="169"/>
        <v>80</v>
      </c>
      <c r="U242" s="306">
        <f t="shared" si="170"/>
        <v>8</v>
      </c>
      <c r="V242" s="306">
        <f t="shared" si="171"/>
        <v>4</v>
      </c>
      <c r="W242" s="298">
        <f t="shared" si="172"/>
        <v>12</v>
      </c>
    </row>
    <row r="243" spans="1:23" ht="15">
      <c r="A243" s="485"/>
      <c r="B243" s="300" t="s">
        <v>20</v>
      </c>
      <c r="C243" s="302">
        <v>0</v>
      </c>
      <c r="D243" s="302">
        <v>0</v>
      </c>
      <c r="E243" s="302">
        <f t="shared" si="162"/>
        <v>0</v>
      </c>
      <c r="F243" s="302">
        <v>0</v>
      </c>
      <c r="G243" s="302">
        <v>0</v>
      </c>
      <c r="H243" s="298">
        <f t="shared" si="163"/>
        <v>0</v>
      </c>
      <c r="I243" s="302">
        <v>0</v>
      </c>
      <c r="J243" s="302">
        <v>0</v>
      </c>
      <c r="K243" s="298">
        <f t="shared" si="164"/>
        <v>0</v>
      </c>
      <c r="L243" s="302">
        <v>19</v>
      </c>
      <c r="M243" s="302">
        <v>4</v>
      </c>
      <c r="N243" s="298">
        <f t="shared" si="165"/>
        <v>23</v>
      </c>
      <c r="O243" s="302">
        <v>6</v>
      </c>
      <c r="P243" s="302">
        <v>2</v>
      </c>
      <c r="Q243" s="298">
        <f t="shared" si="166"/>
        <v>8</v>
      </c>
      <c r="R243" s="313">
        <f t="shared" si="167"/>
        <v>76</v>
      </c>
      <c r="S243" s="313">
        <f t="shared" si="168"/>
        <v>16</v>
      </c>
      <c r="T243" s="298">
        <f t="shared" si="169"/>
        <v>92</v>
      </c>
      <c r="U243" s="313">
        <f t="shared" si="170"/>
        <v>24</v>
      </c>
      <c r="V243" s="313">
        <f t="shared" si="171"/>
        <v>8</v>
      </c>
      <c r="W243" s="298">
        <f t="shared" si="172"/>
        <v>32</v>
      </c>
    </row>
    <row r="244" spans="1:23" ht="15">
      <c r="A244" s="485"/>
      <c r="B244" s="300" t="s">
        <v>21</v>
      </c>
      <c r="C244" s="301">
        <v>0</v>
      </c>
      <c r="D244" s="301">
        <v>0</v>
      </c>
      <c r="E244" s="301">
        <f t="shared" si="162"/>
        <v>0</v>
      </c>
      <c r="F244" s="301">
        <v>81</v>
      </c>
      <c r="G244" s="301">
        <v>0</v>
      </c>
      <c r="H244" s="298">
        <f t="shared" si="163"/>
        <v>81</v>
      </c>
      <c r="I244" s="301">
        <v>2</v>
      </c>
      <c r="J244" s="301">
        <v>0</v>
      </c>
      <c r="K244" s="298">
        <f t="shared" si="164"/>
        <v>2</v>
      </c>
      <c r="L244" s="301">
        <f>12+1515</f>
        <v>1527</v>
      </c>
      <c r="M244" s="301">
        <v>4</v>
      </c>
      <c r="N244" s="298">
        <f t="shared" si="165"/>
        <v>1531</v>
      </c>
      <c r="O244" s="301">
        <f>4+4</f>
        <v>8</v>
      </c>
      <c r="P244" s="301">
        <v>2</v>
      </c>
      <c r="Q244" s="298">
        <f t="shared" si="166"/>
        <v>10</v>
      </c>
      <c r="R244" s="306">
        <v>48</v>
      </c>
      <c r="S244" s="306">
        <v>16</v>
      </c>
      <c r="T244" s="298">
        <f t="shared" si="169"/>
        <v>64</v>
      </c>
      <c r="U244" s="306">
        <v>16</v>
      </c>
      <c r="V244" s="306">
        <v>8</v>
      </c>
      <c r="W244" s="298">
        <f t="shared" si="172"/>
        <v>24</v>
      </c>
    </row>
    <row r="245" spans="1:23" ht="15.75">
      <c r="A245" s="485"/>
      <c r="B245" s="300" t="s">
        <v>22</v>
      </c>
      <c r="C245" s="299">
        <v>0</v>
      </c>
      <c r="D245" s="299">
        <v>0</v>
      </c>
      <c r="E245" s="299">
        <v>0</v>
      </c>
      <c r="F245" s="299">
        <v>0</v>
      </c>
      <c r="G245" s="299">
        <v>0</v>
      </c>
      <c r="H245" s="298">
        <f t="shared" si="163"/>
        <v>0</v>
      </c>
      <c r="I245" s="299">
        <v>0</v>
      </c>
      <c r="J245" s="299">
        <v>0</v>
      </c>
      <c r="K245" s="298">
        <f t="shared" si="164"/>
        <v>0</v>
      </c>
      <c r="L245" s="299">
        <v>8</v>
      </c>
      <c r="M245" s="299">
        <v>4</v>
      </c>
      <c r="N245" s="298">
        <f t="shared" si="165"/>
        <v>12</v>
      </c>
      <c r="O245" s="299">
        <v>2</v>
      </c>
      <c r="P245" s="299">
        <v>0</v>
      </c>
      <c r="Q245" s="298">
        <f t="shared" si="166"/>
        <v>2</v>
      </c>
      <c r="R245" s="306">
        <f aca="true" t="shared" si="173" ref="R245:S247">L245*4</f>
        <v>32</v>
      </c>
      <c r="S245" s="306">
        <f t="shared" si="173"/>
        <v>16</v>
      </c>
      <c r="T245" s="298">
        <f t="shared" si="169"/>
        <v>48</v>
      </c>
      <c r="U245" s="306">
        <f aca="true" t="shared" si="174" ref="U245:V247">O245*4</f>
        <v>8</v>
      </c>
      <c r="V245" s="306">
        <f t="shared" si="174"/>
        <v>0</v>
      </c>
      <c r="W245" s="298">
        <f t="shared" si="172"/>
        <v>8</v>
      </c>
    </row>
    <row r="246" spans="1:23" ht="15">
      <c r="A246" s="485"/>
      <c r="B246" s="300" t="s">
        <v>23</v>
      </c>
      <c r="C246" s="301">
        <v>0</v>
      </c>
      <c r="D246" s="301">
        <v>0</v>
      </c>
      <c r="E246" s="301">
        <f>SUM(C246:D246)</f>
        <v>0</v>
      </c>
      <c r="F246" s="301">
        <v>0</v>
      </c>
      <c r="G246" s="301">
        <v>0</v>
      </c>
      <c r="H246" s="298">
        <f t="shared" si="163"/>
        <v>0</v>
      </c>
      <c r="I246" s="301">
        <v>0</v>
      </c>
      <c r="J246" s="301">
        <v>0</v>
      </c>
      <c r="K246" s="298">
        <f t="shared" si="164"/>
        <v>0</v>
      </c>
      <c r="L246" s="301">
        <v>12</v>
      </c>
      <c r="M246" s="301">
        <v>3</v>
      </c>
      <c r="N246" s="298">
        <f t="shared" si="165"/>
        <v>15</v>
      </c>
      <c r="O246" s="301">
        <v>2</v>
      </c>
      <c r="P246" s="301">
        <v>1</v>
      </c>
      <c r="Q246" s="298">
        <f t="shared" si="166"/>
        <v>3</v>
      </c>
      <c r="R246" s="306">
        <f t="shared" si="173"/>
        <v>48</v>
      </c>
      <c r="S246" s="306">
        <f t="shared" si="173"/>
        <v>12</v>
      </c>
      <c r="T246" s="298">
        <f t="shared" si="169"/>
        <v>60</v>
      </c>
      <c r="U246" s="306">
        <f t="shared" si="174"/>
        <v>8</v>
      </c>
      <c r="V246" s="306">
        <f t="shared" si="174"/>
        <v>4</v>
      </c>
      <c r="W246" s="298">
        <f t="shared" si="172"/>
        <v>12</v>
      </c>
    </row>
    <row r="247" spans="1:23" ht="15">
      <c r="A247" s="485"/>
      <c r="B247" s="303" t="s">
        <v>24</v>
      </c>
      <c r="C247" s="304">
        <v>0</v>
      </c>
      <c r="D247" s="304">
        <v>0</v>
      </c>
      <c r="E247" s="304">
        <f>SUM(C247:D247)</f>
        <v>0</v>
      </c>
      <c r="F247" s="304">
        <v>0</v>
      </c>
      <c r="G247" s="304">
        <v>0</v>
      </c>
      <c r="H247" s="310">
        <f t="shared" si="163"/>
        <v>0</v>
      </c>
      <c r="I247" s="304">
        <v>0</v>
      </c>
      <c r="J247" s="304">
        <v>0</v>
      </c>
      <c r="K247" s="310">
        <f t="shared" si="164"/>
        <v>0</v>
      </c>
      <c r="L247" s="304">
        <v>12</v>
      </c>
      <c r="M247" s="304">
        <v>3</v>
      </c>
      <c r="N247" s="310">
        <f t="shared" si="165"/>
        <v>15</v>
      </c>
      <c r="O247" s="304">
        <v>2</v>
      </c>
      <c r="P247" s="304">
        <v>1</v>
      </c>
      <c r="Q247" s="310">
        <f t="shared" si="166"/>
        <v>3</v>
      </c>
      <c r="R247" s="314">
        <f t="shared" si="173"/>
        <v>48</v>
      </c>
      <c r="S247" s="314">
        <f t="shared" si="173"/>
        <v>12</v>
      </c>
      <c r="T247" s="310">
        <f t="shared" si="169"/>
        <v>60</v>
      </c>
      <c r="U247" s="314">
        <f t="shared" si="174"/>
        <v>8</v>
      </c>
      <c r="V247" s="314">
        <f t="shared" si="174"/>
        <v>4</v>
      </c>
      <c r="W247" s="310">
        <f t="shared" si="172"/>
        <v>12</v>
      </c>
    </row>
    <row r="248" spans="1:23" ht="15">
      <c r="A248" s="485"/>
      <c r="B248" s="305"/>
      <c r="C248" s="301"/>
      <c r="D248" s="301"/>
      <c r="E248" s="301"/>
      <c r="F248" s="301"/>
      <c r="G248" s="306"/>
      <c r="H248" s="306"/>
      <c r="I248" s="306"/>
      <c r="J248" s="306"/>
      <c r="K248" s="306"/>
      <c r="L248" s="306"/>
      <c r="M248" s="306"/>
      <c r="N248" s="306"/>
      <c r="O248" s="306"/>
      <c r="P248" s="306"/>
      <c r="Q248" s="306"/>
      <c r="R248" s="306"/>
      <c r="S248" s="306"/>
      <c r="T248" s="306"/>
      <c r="U248" s="306"/>
      <c r="V248" s="306"/>
      <c r="W248" s="306"/>
    </row>
    <row r="249" spans="1:23" ht="15">
      <c r="A249" s="485"/>
      <c r="B249" s="300" t="s">
        <v>55</v>
      </c>
      <c r="C249" s="307">
        <f aca="true" t="shared" si="175" ref="C249:W249">SUM(C236:C247)</f>
        <v>0</v>
      </c>
      <c r="D249" s="307">
        <f t="shared" si="175"/>
        <v>0</v>
      </c>
      <c r="E249" s="307">
        <f t="shared" si="175"/>
        <v>0</v>
      </c>
      <c r="F249" s="307">
        <f t="shared" si="175"/>
        <v>81</v>
      </c>
      <c r="G249" s="308">
        <f t="shared" si="175"/>
        <v>0</v>
      </c>
      <c r="H249" s="308">
        <f t="shared" si="175"/>
        <v>81</v>
      </c>
      <c r="I249" s="308">
        <f t="shared" si="175"/>
        <v>2</v>
      </c>
      <c r="J249" s="308">
        <f t="shared" si="175"/>
        <v>0</v>
      </c>
      <c r="K249" s="308">
        <f t="shared" si="175"/>
        <v>2</v>
      </c>
      <c r="L249" s="308">
        <f t="shared" si="175"/>
        <v>1691</v>
      </c>
      <c r="M249" s="308">
        <f t="shared" si="175"/>
        <v>47</v>
      </c>
      <c r="N249" s="308">
        <f t="shared" si="175"/>
        <v>1738</v>
      </c>
      <c r="O249" s="308">
        <f t="shared" si="175"/>
        <v>34</v>
      </c>
      <c r="P249" s="308">
        <f t="shared" si="175"/>
        <v>14</v>
      </c>
      <c r="Q249" s="308">
        <f t="shared" si="175"/>
        <v>48</v>
      </c>
      <c r="R249" s="308">
        <f t="shared" si="175"/>
        <v>704</v>
      </c>
      <c r="S249" s="308">
        <f t="shared" si="175"/>
        <v>188</v>
      </c>
      <c r="T249" s="308">
        <f t="shared" si="175"/>
        <v>892</v>
      </c>
      <c r="U249" s="308">
        <f t="shared" si="175"/>
        <v>120</v>
      </c>
      <c r="V249" s="308">
        <f t="shared" si="175"/>
        <v>56</v>
      </c>
      <c r="W249" s="308">
        <f t="shared" si="175"/>
        <v>176</v>
      </c>
    </row>
    <row r="250" spans="7:23" ht="14.25">
      <c r="G250" s="236"/>
      <c r="H250" s="236"/>
      <c r="I250" s="236"/>
      <c r="J250" s="236"/>
      <c r="K250" s="236"/>
      <c r="L250" s="236"/>
      <c r="M250" s="236"/>
      <c r="N250" s="236"/>
      <c r="O250" s="236"/>
      <c r="P250" s="236"/>
      <c r="Q250" s="236"/>
      <c r="R250" s="236"/>
      <c r="S250" s="236"/>
      <c r="T250" s="236"/>
      <c r="U250" s="236"/>
      <c r="V250" s="236"/>
      <c r="W250" s="236"/>
    </row>
    <row r="251" spans="1:23" ht="14.25">
      <c r="A251" s="234" t="s">
        <v>56</v>
      </c>
      <c r="G251" s="236"/>
      <c r="H251" s="236"/>
      <c r="I251" s="236"/>
      <c r="J251" s="236"/>
      <c r="K251" s="236"/>
      <c r="L251" s="236"/>
      <c r="M251" s="236"/>
      <c r="N251" s="236"/>
      <c r="O251" s="236"/>
      <c r="P251" s="236"/>
      <c r="Q251" s="236"/>
      <c r="R251" s="236"/>
      <c r="S251" s="236"/>
      <c r="T251" s="236"/>
      <c r="U251" s="236"/>
      <c r="V251" s="236"/>
      <c r="W251" s="236"/>
    </row>
    <row r="252" spans="2:23" ht="12.75">
      <c r="B252" s="294" t="s">
        <v>1</v>
      </c>
      <c r="C252" s="486" t="s">
        <v>76</v>
      </c>
      <c r="D252" s="487"/>
      <c r="E252" s="488"/>
      <c r="F252" s="486" t="s">
        <v>2</v>
      </c>
      <c r="G252" s="487"/>
      <c r="H252" s="488"/>
      <c r="I252" s="486" t="s">
        <v>3</v>
      </c>
      <c r="J252" s="487"/>
      <c r="K252" s="488"/>
      <c r="L252" s="486" t="s">
        <v>4</v>
      </c>
      <c r="M252" s="487"/>
      <c r="N252" s="488"/>
      <c r="O252" s="486" t="s">
        <v>5</v>
      </c>
      <c r="P252" s="487"/>
      <c r="Q252" s="488"/>
      <c r="R252" s="486" t="s">
        <v>131</v>
      </c>
      <c r="S252" s="487"/>
      <c r="T252" s="488"/>
      <c r="U252" s="486" t="s">
        <v>132</v>
      </c>
      <c r="V252" s="487"/>
      <c r="W252" s="488"/>
    </row>
    <row r="253" spans="2:23" ht="12.75">
      <c r="B253" s="295"/>
      <c r="C253" s="230" t="s">
        <v>7</v>
      </c>
      <c r="D253" s="230" t="s">
        <v>8</v>
      </c>
      <c r="E253" s="230" t="s">
        <v>6</v>
      </c>
      <c r="F253" s="230" t="s">
        <v>7</v>
      </c>
      <c r="G253" s="230" t="s">
        <v>8</v>
      </c>
      <c r="H253" s="230" t="s">
        <v>6</v>
      </c>
      <c r="I253" s="230" t="s">
        <v>7</v>
      </c>
      <c r="J253" s="230" t="s">
        <v>8</v>
      </c>
      <c r="K253" s="230" t="s">
        <v>6</v>
      </c>
      <c r="L253" s="230" t="s">
        <v>7</v>
      </c>
      <c r="M253" s="230" t="s">
        <v>8</v>
      </c>
      <c r="N253" s="230" t="s">
        <v>6</v>
      </c>
      <c r="O253" s="230" t="s">
        <v>7</v>
      </c>
      <c r="P253" s="230" t="s">
        <v>8</v>
      </c>
      <c r="Q253" s="230" t="s">
        <v>6</v>
      </c>
      <c r="R253" s="230" t="s">
        <v>7</v>
      </c>
      <c r="S253" s="230" t="s">
        <v>8</v>
      </c>
      <c r="T253" s="230" t="s">
        <v>6</v>
      </c>
      <c r="U253" s="230" t="s">
        <v>7</v>
      </c>
      <c r="V253" s="230" t="s">
        <v>8</v>
      </c>
      <c r="W253" s="230" t="s">
        <v>6</v>
      </c>
    </row>
    <row r="254" spans="1:23" ht="15">
      <c r="A254" s="485" t="s">
        <v>56</v>
      </c>
      <c r="B254" s="296"/>
      <c r="C254" s="296"/>
      <c r="D254" s="296"/>
      <c r="E254" s="296"/>
      <c r="F254" s="296"/>
      <c r="G254" s="296"/>
      <c r="H254" s="296"/>
      <c r="I254" s="296"/>
      <c r="J254" s="296"/>
      <c r="K254" s="296"/>
      <c r="L254" s="296"/>
      <c r="M254" s="296"/>
      <c r="N254" s="296"/>
      <c r="O254" s="296"/>
      <c r="P254" s="296"/>
      <c r="Q254" s="296"/>
      <c r="R254" s="296"/>
      <c r="S254" s="296"/>
      <c r="T254" s="296"/>
      <c r="U254" s="296"/>
      <c r="V254" s="296"/>
      <c r="W254" s="296"/>
    </row>
    <row r="255" spans="1:23" ht="15">
      <c r="A255" s="485"/>
      <c r="B255" s="297" t="s">
        <v>9</v>
      </c>
      <c r="C255" s="301">
        <v>0</v>
      </c>
      <c r="D255" s="301">
        <v>0</v>
      </c>
      <c r="E255" s="301">
        <f aca="true" t="shared" si="176" ref="E255:E263">SUM(C255:D255)</f>
        <v>0</v>
      </c>
      <c r="F255" s="301">
        <v>0</v>
      </c>
      <c r="G255" s="301">
        <v>0</v>
      </c>
      <c r="H255" s="298">
        <f>SUM(F255:G255)</f>
        <v>0</v>
      </c>
      <c r="I255" s="301">
        <v>2</v>
      </c>
      <c r="J255" s="301">
        <v>0</v>
      </c>
      <c r="K255" s="298">
        <f>SUM(I255:J255)</f>
        <v>2</v>
      </c>
      <c r="L255" s="301">
        <v>10</v>
      </c>
      <c r="M255" s="301">
        <v>0</v>
      </c>
      <c r="N255" s="298">
        <f>SUM(L255:M255)</f>
        <v>10</v>
      </c>
      <c r="O255" s="301">
        <v>14</v>
      </c>
      <c r="P255" s="301">
        <v>0</v>
      </c>
      <c r="Q255" s="298">
        <f>SUM(O255:P255)</f>
        <v>14</v>
      </c>
      <c r="R255" s="306">
        <f>L255*4</f>
        <v>40</v>
      </c>
      <c r="S255" s="306">
        <f>M255*4</f>
        <v>0</v>
      </c>
      <c r="T255" s="298">
        <f>SUM(R255:S255)</f>
        <v>40</v>
      </c>
      <c r="U255" s="306">
        <f>O255*4</f>
        <v>56</v>
      </c>
      <c r="V255" s="306">
        <f>P255*4</f>
        <v>0</v>
      </c>
      <c r="W255" s="298">
        <f>SUM(U255:V255)</f>
        <v>56</v>
      </c>
    </row>
    <row r="256" spans="1:23" ht="15">
      <c r="A256" s="485"/>
      <c r="B256" s="300" t="s">
        <v>14</v>
      </c>
      <c r="C256" s="301">
        <v>0</v>
      </c>
      <c r="D256" s="301">
        <v>0</v>
      </c>
      <c r="E256" s="301">
        <f t="shared" si="176"/>
        <v>0</v>
      </c>
      <c r="F256" s="301">
        <v>1</v>
      </c>
      <c r="G256" s="301">
        <v>1</v>
      </c>
      <c r="H256" s="298">
        <f aca="true" t="shared" si="177" ref="H256:H266">SUM(F256:G256)</f>
        <v>2</v>
      </c>
      <c r="I256" s="301">
        <v>2</v>
      </c>
      <c r="J256" s="301">
        <v>1</v>
      </c>
      <c r="K256" s="298">
        <f aca="true" t="shared" si="178" ref="K256:K266">SUM(I256:J256)</f>
        <v>3</v>
      </c>
      <c r="L256" s="301">
        <v>15</v>
      </c>
      <c r="M256" s="301">
        <v>1</v>
      </c>
      <c r="N256" s="298">
        <f aca="true" t="shared" si="179" ref="N256:N266">SUM(L256:M256)</f>
        <v>16</v>
      </c>
      <c r="O256" s="301">
        <v>20</v>
      </c>
      <c r="P256" s="301">
        <v>0</v>
      </c>
      <c r="Q256" s="298">
        <f aca="true" t="shared" si="180" ref="Q256:Q266">SUM(O256:P256)</f>
        <v>20</v>
      </c>
      <c r="R256" s="306">
        <f aca="true" t="shared" si="181" ref="R256:R262">L256*4</f>
        <v>60</v>
      </c>
      <c r="S256" s="306">
        <f aca="true" t="shared" si="182" ref="S256:S262">M256*4</f>
        <v>4</v>
      </c>
      <c r="T256" s="298">
        <f aca="true" t="shared" si="183" ref="T256:T266">SUM(R256:S256)</f>
        <v>64</v>
      </c>
      <c r="U256" s="306">
        <f aca="true" t="shared" si="184" ref="U256:U262">O256*4</f>
        <v>80</v>
      </c>
      <c r="V256" s="306">
        <f aca="true" t="shared" si="185" ref="V256:V262">P256*4</f>
        <v>0</v>
      </c>
      <c r="W256" s="298">
        <f aca="true" t="shared" si="186" ref="W256:W266">SUM(U256:V256)</f>
        <v>80</v>
      </c>
    </row>
    <row r="257" spans="1:23" ht="15">
      <c r="A257" s="485"/>
      <c r="B257" s="300" t="s">
        <v>15</v>
      </c>
      <c r="C257" s="301">
        <v>0</v>
      </c>
      <c r="D257" s="301">
        <v>0</v>
      </c>
      <c r="E257" s="301">
        <f t="shared" si="176"/>
        <v>0</v>
      </c>
      <c r="F257" s="301">
        <v>2</v>
      </c>
      <c r="G257" s="301">
        <v>0</v>
      </c>
      <c r="H257" s="298">
        <f t="shared" si="177"/>
        <v>2</v>
      </c>
      <c r="I257" s="301">
        <v>1</v>
      </c>
      <c r="J257" s="301">
        <v>0</v>
      </c>
      <c r="K257" s="298">
        <f t="shared" si="178"/>
        <v>1</v>
      </c>
      <c r="L257" s="301">
        <v>15</v>
      </c>
      <c r="M257" s="301">
        <v>1</v>
      </c>
      <c r="N257" s="298">
        <f t="shared" si="179"/>
        <v>16</v>
      </c>
      <c r="O257" s="301">
        <v>12</v>
      </c>
      <c r="P257" s="301">
        <v>2</v>
      </c>
      <c r="Q257" s="298">
        <f t="shared" si="180"/>
        <v>14</v>
      </c>
      <c r="R257" s="306">
        <f t="shared" si="181"/>
        <v>60</v>
      </c>
      <c r="S257" s="306">
        <f t="shared" si="182"/>
        <v>4</v>
      </c>
      <c r="T257" s="298">
        <f t="shared" si="183"/>
        <v>64</v>
      </c>
      <c r="U257" s="306">
        <f t="shared" si="184"/>
        <v>48</v>
      </c>
      <c r="V257" s="306">
        <f t="shared" si="185"/>
        <v>8</v>
      </c>
      <c r="W257" s="298">
        <f t="shared" si="186"/>
        <v>56</v>
      </c>
    </row>
    <row r="258" spans="1:23" ht="15">
      <c r="A258" s="485"/>
      <c r="B258" s="300" t="s">
        <v>16</v>
      </c>
      <c r="C258" s="301">
        <v>0</v>
      </c>
      <c r="D258" s="301">
        <v>0</v>
      </c>
      <c r="E258" s="301">
        <f t="shared" si="176"/>
        <v>0</v>
      </c>
      <c r="F258" s="301">
        <v>4</v>
      </c>
      <c r="G258" s="301">
        <v>0</v>
      </c>
      <c r="H258" s="298">
        <f t="shared" si="177"/>
        <v>4</v>
      </c>
      <c r="I258" s="301">
        <v>2</v>
      </c>
      <c r="J258" s="301">
        <v>1</v>
      </c>
      <c r="K258" s="298">
        <f t="shared" si="178"/>
        <v>3</v>
      </c>
      <c r="L258" s="301">
        <v>10</v>
      </c>
      <c r="M258" s="301">
        <v>1</v>
      </c>
      <c r="N258" s="298">
        <f t="shared" si="179"/>
        <v>11</v>
      </c>
      <c r="O258" s="301">
        <v>14</v>
      </c>
      <c r="P258" s="301">
        <v>0</v>
      </c>
      <c r="Q258" s="298">
        <f t="shared" si="180"/>
        <v>14</v>
      </c>
      <c r="R258" s="306">
        <f t="shared" si="181"/>
        <v>40</v>
      </c>
      <c r="S258" s="306">
        <f t="shared" si="182"/>
        <v>4</v>
      </c>
      <c r="T258" s="298">
        <f t="shared" si="183"/>
        <v>44</v>
      </c>
      <c r="U258" s="306">
        <f t="shared" si="184"/>
        <v>56</v>
      </c>
      <c r="V258" s="306">
        <f t="shared" si="185"/>
        <v>0</v>
      </c>
      <c r="W258" s="298">
        <f t="shared" si="186"/>
        <v>56</v>
      </c>
    </row>
    <row r="259" spans="1:23" ht="15">
      <c r="A259" s="485"/>
      <c r="B259" s="300" t="s">
        <v>17</v>
      </c>
      <c r="C259" s="301">
        <v>0</v>
      </c>
      <c r="D259" s="301">
        <v>0</v>
      </c>
      <c r="E259" s="301">
        <f t="shared" si="176"/>
        <v>0</v>
      </c>
      <c r="F259" s="301">
        <f>5+1</f>
        <v>6</v>
      </c>
      <c r="G259" s="301">
        <v>1</v>
      </c>
      <c r="H259" s="298">
        <f t="shared" si="177"/>
        <v>7</v>
      </c>
      <c r="I259" s="301">
        <v>4</v>
      </c>
      <c r="J259" s="301">
        <v>0</v>
      </c>
      <c r="K259" s="298">
        <f t="shared" si="178"/>
        <v>4</v>
      </c>
      <c r="L259" s="301">
        <v>15</v>
      </c>
      <c r="M259" s="301">
        <v>1</v>
      </c>
      <c r="N259" s="298">
        <f t="shared" si="179"/>
        <v>16</v>
      </c>
      <c r="O259" s="301">
        <v>17</v>
      </c>
      <c r="P259" s="301">
        <v>2</v>
      </c>
      <c r="Q259" s="298">
        <f t="shared" si="180"/>
        <v>19</v>
      </c>
      <c r="R259" s="306">
        <f t="shared" si="181"/>
        <v>60</v>
      </c>
      <c r="S259" s="306">
        <f t="shared" si="182"/>
        <v>4</v>
      </c>
      <c r="T259" s="298">
        <f t="shared" si="183"/>
        <v>64</v>
      </c>
      <c r="U259" s="306">
        <f t="shared" si="184"/>
        <v>68</v>
      </c>
      <c r="V259" s="306">
        <f t="shared" si="185"/>
        <v>8</v>
      </c>
      <c r="W259" s="298">
        <f t="shared" si="186"/>
        <v>76</v>
      </c>
    </row>
    <row r="260" spans="1:23" ht="15">
      <c r="A260" s="485"/>
      <c r="B260" s="300" t="s">
        <v>18</v>
      </c>
      <c r="C260" s="301">
        <v>0</v>
      </c>
      <c r="D260" s="301">
        <v>0</v>
      </c>
      <c r="E260" s="301">
        <f t="shared" si="176"/>
        <v>0</v>
      </c>
      <c r="F260" s="301">
        <v>0</v>
      </c>
      <c r="G260" s="301">
        <v>0</v>
      </c>
      <c r="H260" s="298">
        <f t="shared" si="177"/>
        <v>0</v>
      </c>
      <c r="I260" s="301">
        <v>0</v>
      </c>
      <c r="J260" s="301">
        <v>0</v>
      </c>
      <c r="K260" s="298">
        <f t="shared" si="178"/>
        <v>0</v>
      </c>
      <c r="L260" s="301">
        <v>2</v>
      </c>
      <c r="M260" s="301">
        <v>0</v>
      </c>
      <c r="N260" s="298">
        <f t="shared" si="179"/>
        <v>2</v>
      </c>
      <c r="O260" s="301">
        <v>2</v>
      </c>
      <c r="P260" s="301">
        <v>1</v>
      </c>
      <c r="Q260" s="298">
        <f t="shared" si="180"/>
        <v>3</v>
      </c>
      <c r="R260" s="306">
        <f t="shared" si="181"/>
        <v>8</v>
      </c>
      <c r="S260" s="306">
        <f t="shared" si="182"/>
        <v>0</v>
      </c>
      <c r="T260" s="298">
        <f t="shared" si="183"/>
        <v>8</v>
      </c>
      <c r="U260" s="306">
        <f t="shared" si="184"/>
        <v>8</v>
      </c>
      <c r="V260" s="306">
        <f t="shared" si="185"/>
        <v>4</v>
      </c>
      <c r="W260" s="298">
        <f t="shared" si="186"/>
        <v>12</v>
      </c>
    </row>
    <row r="261" spans="1:23" ht="15">
      <c r="A261" s="485"/>
      <c r="B261" s="300" t="s">
        <v>19</v>
      </c>
      <c r="C261" s="301">
        <v>0</v>
      </c>
      <c r="D261" s="301">
        <v>0</v>
      </c>
      <c r="E261" s="301">
        <f t="shared" si="176"/>
        <v>0</v>
      </c>
      <c r="F261" s="301">
        <f>5+1</f>
        <v>6</v>
      </c>
      <c r="G261" s="301">
        <v>1</v>
      </c>
      <c r="H261" s="298">
        <f t="shared" si="177"/>
        <v>7</v>
      </c>
      <c r="I261" s="301">
        <v>4</v>
      </c>
      <c r="J261" s="301">
        <v>0</v>
      </c>
      <c r="K261" s="298">
        <f t="shared" si="178"/>
        <v>4</v>
      </c>
      <c r="L261" s="301">
        <v>15</v>
      </c>
      <c r="M261" s="301">
        <v>1</v>
      </c>
      <c r="N261" s="298">
        <f t="shared" si="179"/>
        <v>16</v>
      </c>
      <c r="O261" s="301">
        <v>17</v>
      </c>
      <c r="P261" s="301">
        <v>2</v>
      </c>
      <c r="Q261" s="298">
        <f t="shared" si="180"/>
        <v>19</v>
      </c>
      <c r="R261" s="306">
        <f t="shared" si="181"/>
        <v>60</v>
      </c>
      <c r="S261" s="306">
        <f t="shared" si="182"/>
        <v>4</v>
      </c>
      <c r="T261" s="298">
        <f t="shared" si="183"/>
        <v>64</v>
      </c>
      <c r="U261" s="306">
        <f t="shared" si="184"/>
        <v>68</v>
      </c>
      <c r="V261" s="306">
        <f t="shared" si="185"/>
        <v>8</v>
      </c>
      <c r="W261" s="298">
        <f t="shared" si="186"/>
        <v>76</v>
      </c>
    </row>
    <row r="262" spans="1:23" ht="15">
      <c r="A262" s="485"/>
      <c r="B262" s="300" t="s">
        <v>20</v>
      </c>
      <c r="C262" s="302">
        <v>0</v>
      </c>
      <c r="D262" s="302">
        <v>0</v>
      </c>
      <c r="E262" s="302">
        <f t="shared" si="176"/>
        <v>0</v>
      </c>
      <c r="F262" s="302">
        <v>0</v>
      </c>
      <c r="G262" s="302">
        <v>0</v>
      </c>
      <c r="H262" s="298">
        <f t="shared" si="177"/>
        <v>0</v>
      </c>
      <c r="I262" s="302">
        <v>0</v>
      </c>
      <c r="J262" s="302">
        <v>0</v>
      </c>
      <c r="K262" s="298">
        <f t="shared" si="178"/>
        <v>0</v>
      </c>
      <c r="L262" s="302">
        <v>4</v>
      </c>
      <c r="M262" s="302">
        <v>0</v>
      </c>
      <c r="N262" s="298">
        <f t="shared" si="179"/>
        <v>4</v>
      </c>
      <c r="O262" s="302">
        <v>6</v>
      </c>
      <c r="P262" s="302">
        <v>0</v>
      </c>
      <c r="Q262" s="298">
        <f t="shared" si="180"/>
        <v>6</v>
      </c>
      <c r="R262" s="313">
        <f t="shared" si="181"/>
        <v>16</v>
      </c>
      <c r="S262" s="313">
        <f t="shared" si="182"/>
        <v>0</v>
      </c>
      <c r="T262" s="298">
        <f t="shared" si="183"/>
        <v>16</v>
      </c>
      <c r="U262" s="313">
        <f t="shared" si="184"/>
        <v>24</v>
      </c>
      <c r="V262" s="313">
        <f t="shared" si="185"/>
        <v>0</v>
      </c>
      <c r="W262" s="298">
        <f t="shared" si="186"/>
        <v>24</v>
      </c>
    </row>
    <row r="263" spans="1:23" ht="15">
      <c r="A263" s="485"/>
      <c r="B263" s="300" t="s">
        <v>21</v>
      </c>
      <c r="C263" s="301">
        <v>0</v>
      </c>
      <c r="D263" s="301">
        <v>0</v>
      </c>
      <c r="E263" s="301">
        <f t="shared" si="176"/>
        <v>0</v>
      </c>
      <c r="F263" s="301">
        <f>5+1+9</f>
        <v>15</v>
      </c>
      <c r="G263" s="301">
        <v>1</v>
      </c>
      <c r="H263" s="298">
        <f t="shared" si="177"/>
        <v>16</v>
      </c>
      <c r="I263" s="301">
        <f>4+23</f>
        <v>27</v>
      </c>
      <c r="J263" s="301">
        <v>0</v>
      </c>
      <c r="K263" s="298">
        <f t="shared" si="178"/>
        <v>27</v>
      </c>
      <c r="L263" s="301">
        <f>15+142</f>
        <v>157</v>
      </c>
      <c r="M263" s="301">
        <v>1</v>
      </c>
      <c r="N263" s="298">
        <f t="shared" si="179"/>
        <v>158</v>
      </c>
      <c r="O263" s="301">
        <f>17+21</f>
        <v>38</v>
      </c>
      <c r="P263" s="301">
        <v>2</v>
      </c>
      <c r="Q263" s="298">
        <f t="shared" si="180"/>
        <v>40</v>
      </c>
      <c r="R263" s="306">
        <v>60</v>
      </c>
      <c r="S263" s="306">
        <v>4</v>
      </c>
      <c r="T263" s="298">
        <f t="shared" si="183"/>
        <v>64</v>
      </c>
      <c r="U263" s="306">
        <v>68</v>
      </c>
      <c r="V263" s="306">
        <v>8</v>
      </c>
      <c r="W263" s="298">
        <f t="shared" si="186"/>
        <v>76</v>
      </c>
    </row>
    <row r="264" spans="1:23" ht="15.75">
      <c r="A264" s="485"/>
      <c r="B264" s="300" t="s">
        <v>22</v>
      </c>
      <c r="C264" s="299">
        <v>0</v>
      </c>
      <c r="D264" s="299">
        <v>0</v>
      </c>
      <c r="E264" s="299">
        <v>0</v>
      </c>
      <c r="F264" s="299">
        <v>0</v>
      </c>
      <c r="G264" s="299">
        <v>0</v>
      </c>
      <c r="H264" s="298">
        <f t="shared" si="177"/>
        <v>0</v>
      </c>
      <c r="I264" s="299">
        <v>0</v>
      </c>
      <c r="J264" s="299">
        <v>0</v>
      </c>
      <c r="K264" s="298">
        <f t="shared" si="178"/>
        <v>0</v>
      </c>
      <c r="L264" s="299">
        <v>8</v>
      </c>
      <c r="M264" s="299">
        <v>0</v>
      </c>
      <c r="N264" s="298">
        <f t="shared" si="179"/>
        <v>8</v>
      </c>
      <c r="O264" s="299">
        <v>0</v>
      </c>
      <c r="P264" s="299">
        <v>6</v>
      </c>
      <c r="Q264" s="298">
        <f t="shared" si="180"/>
        <v>6</v>
      </c>
      <c r="R264" s="306">
        <f aca="true" t="shared" si="187" ref="R264:S266">L264*4</f>
        <v>32</v>
      </c>
      <c r="S264" s="306">
        <f t="shared" si="187"/>
        <v>0</v>
      </c>
      <c r="T264" s="298">
        <f t="shared" si="183"/>
        <v>32</v>
      </c>
      <c r="U264" s="306">
        <f aca="true" t="shared" si="188" ref="U264:V266">O264*4</f>
        <v>0</v>
      </c>
      <c r="V264" s="306">
        <f t="shared" si="188"/>
        <v>24</v>
      </c>
      <c r="W264" s="298">
        <f t="shared" si="186"/>
        <v>24</v>
      </c>
    </row>
    <row r="265" spans="1:23" ht="15">
      <c r="A265" s="485"/>
      <c r="B265" s="300" t="s">
        <v>23</v>
      </c>
      <c r="C265" s="301">
        <v>0</v>
      </c>
      <c r="D265" s="301">
        <v>0</v>
      </c>
      <c r="E265" s="301">
        <f>SUM(C265:D265)</f>
        <v>0</v>
      </c>
      <c r="F265" s="301">
        <v>0</v>
      </c>
      <c r="G265" s="301">
        <v>0</v>
      </c>
      <c r="H265" s="298">
        <f t="shared" si="177"/>
        <v>0</v>
      </c>
      <c r="I265" s="301">
        <v>0</v>
      </c>
      <c r="J265" s="301">
        <v>0</v>
      </c>
      <c r="K265" s="298">
        <f t="shared" si="178"/>
        <v>0</v>
      </c>
      <c r="L265" s="301">
        <v>2</v>
      </c>
      <c r="M265" s="301">
        <v>0</v>
      </c>
      <c r="N265" s="298">
        <f t="shared" si="179"/>
        <v>2</v>
      </c>
      <c r="O265" s="301">
        <v>15</v>
      </c>
      <c r="P265" s="301">
        <v>0</v>
      </c>
      <c r="Q265" s="298">
        <f t="shared" si="180"/>
        <v>15</v>
      </c>
      <c r="R265" s="306">
        <f t="shared" si="187"/>
        <v>8</v>
      </c>
      <c r="S265" s="306">
        <f t="shared" si="187"/>
        <v>0</v>
      </c>
      <c r="T265" s="298">
        <f t="shared" si="183"/>
        <v>8</v>
      </c>
      <c r="U265" s="306">
        <f t="shared" si="188"/>
        <v>60</v>
      </c>
      <c r="V265" s="306">
        <f t="shared" si="188"/>
        <v>0</v>
      </c>
      <c r="W265" s="298">
        <f t="shared" si="186"/>
        <v>60</v>
      </c>
    </row>
    <row r="266" spans="1:23" ht="15">
      <c r="A266" s="485"/>
      <c r="B266" s="303" t="s">
        <v>24</v>
      </c>
      <c r="C266" s="304">
        <v>0</v>
      </c>
      <c r="D266" s="304">
        <v>0</v>
      </c>
      <c r="E266" s="304">
        <f>SUM(C266:D266)</f>
        <v>0</v>
      </c>
      <c r="F266" s="304">
        <v>0</v>
      </c>
      <c r="G266" s="304">
        <v>0</v>
      </c>
      <c r="H266" s="310">
        <f t="shared" si="177"/>
        <v>0</v>
      </c>
      <c r="I266" s="304">
        <v>0</v>
      </c>
      <c r="J266" s="304">
        <v>0</v>
      </c>
      <c r="K266" s="310">
        <f t="shared" si="178"/>
        <v>0</v>
      </c>
      <c r="L266" s="304">
        <v>4</v>
      </c>
      <c r="M266" s="304">
        <v>0</v>
      </c>
      <c r="N266" s="310">
        <f t="shared" si="179"/>
        <v>4</v>
      </c>
      <c r="O266" s="304">
        <v>0</v>
      </c>
      <c r="P266" s="304">
        <v>0</v>
      </c>
      <c r="Q266" s="310">
        <f t="shared" si="180"/>
        <v>0</v>
      </c>
      <c r="R266" s="314">
        <f t="shared" si="187"/>
        <v>16</v>
      </c>
      <c r="S266" s="314">
        <f t="shared" si="187"/>
        <v>0</v>
      </c>
      <c r="T266" s="310">
        <f t="shared" si="183"/>
        <v>16</v>
      </c>
      <c r="U266" s="314">
        <f t="shared" si="188"/>
        <v>0</v>
      </c>
      <c r="V266" s="314">
        <f t="shared" si="188"/>
        <v>0</v>
      </c>
      <c r="W266" s="310">
        <f t="shared" si="186"/>
        <v>0</v>
      </c>
    </row>
    <row r="267" spans="1:23" ht="15">
      <c r="A267" s="485"/>
      <c r="B267" s="305"/>
      <c r="C267" s="301"/>
      <c r="D267" s="301"/>
      <c r="E267" s="301"/>
      <c r="F267" s="301"/>
      <c r="G267" s="306"/>
      <c r="H267" s="306"/>
      <c r="I267" s="306"/>
      <c r="J267" s="306"/>
      <c r="K267" s="306"/>
      <c r="L267" s="306"/>
      <c r="M267" s="306"/>
      <c r="N267" s="306"/>
      <c r="O267" s="306"/>
      <c r="P267" s="306"/>
      <c r="Q267" s="306"/>
      <c r="R267" s="306"/>
      <c r="S267" s="306"/>
      <c r="T267" s="306"/>
      <c r="U267" s="306"/>
      <c r="V267" s="306"/>
      <c r="W267" s="306"/>
    </row>
    <row r="268" spans="1:23" ht="15">
      <c r="A268" s="485"/>
      <c r="B268" s="300" t="s">
        <v>56</v>
      </c>
      <c r="C268" s="307">
        <f aca="true" t="shared" si="189" ref="C268:W268">SUM(C255:C266)</f>
        <v>0</v>
      </c>
      <c r="D268" s="307">
        <f t="shared" si="189"/>
        <v>0</v>
      </c>
      <c r="E268" s="307">
        <f t="shared" si="189"/>
        <v>0</v>
      </c>
      <c r="F268" s="307">
        <f t="shared" si="189"/>
        <v>34</v>
      </c>
      <c r="G268" s="308">
        <f t="shared" si="189"/>
        <v>4</v>
      </c>
      <c r="H268" s="308">
        <f t="shared" si="189"/>
        <v>38</v>
      </c>
      <c r="I268" s="308">
        <f t="shared" si="189"/>
        <v>42</v>
      </c>
      <c r="J268" s="308">
        <f t="shared" si="189"/>
        <v>2</v>
      </c>
      <c r="K268" s="308">
        <f t="shared" si="189"/>
        <v>44</v>
      </c>
      <c r="L268" s="308">
        <f t="shared" si="189"/>
        <v>257</v>
      </c>
      <c r="M268" s="308">
        <f t="shared" si="189"/>
        <v>6</v>
      </c>
      <c r="N268" s="308">
        <f t="shared" si="189"/>
        <v>263</v>
      </c>
      <c r="O268" s="308">
        <f t="shared" si="189"/>
        <v>155</v>
      </c>
      <c r="P268" s="308">
        <f t="shared" si="189"/>
        <v>15</v>
      </c>
      <c r="Q268" s="308">
        <f t="shared" si="189"/>
        <v>170</v>
      </c>
      <c r="R268" s="308">
        <f t="shared" si="189"/>
        <v>460</v>
      </c>
      <c r="S268" s="308">
        <f t="shared" si="189"/>
        <v>24</v>
      </c>
      <c r="T268" s="308">
        <f t="shared" si="189"/>
        <v>484</v>
      </c>
      <c r="U268" s="308">
        <f t="shared" si="189"/>
        <v>536</v>
      </c>
      <c r="V268" s="308">
        <f t="shared" si="189"/>
        <v>60</v>
      </c>
      <c r="W268" s="308">
        <f t="shared" si="189"/>
        <v>596</v>
      </c>
    </row>
    <row r="269" spans="1:23" ht="15">
      <c r="A269" s="316"/>
      <c r="B269" s="317"/>
      <c r="C269" s="318"/>
      <c r="D269" s="318"/>
      <c r="E269" s="318"/>
      <c r="F269" s="318"/>
      <c r="G269" s="319"/>
      <c r="H269" s="319"/>
      <c r="I269" s="319"/>
      <c r="J269" s="319"/>
      <c r="K269" s="319"/>
      <c r="L269" s="319"/>
      <c r="M269" s="319"/>
      <c r="N269" s="319"/>
      <c r="O269" s="319"/>
      <c r="P269" s="319"/>
      <c r="Q269" s="319"/>
      <c r="R269" s="319"/>
      <c r="S269" s="319"/>
      <c r="T269" s="319"/>
      <c r="U269" s="319"/>
      <c r="V269" s="319"/>
      <c r="W269" s="319"/>
    </row>
    <row r="270" spans="1:23" ht="12.75">
      <c r="A270" s="316"/>
      <c r="B270" s="489" t="s">
        <v>134</v>
      </c>
      <c r="C270" s="489"/>
      <c r="D270" s="489"/>
      <c r="E270" s="489"/>
      <c r="F270" s="489"/>
      <c r="G270" s="489"/>
      <c r="H270" s="489"/>
      <c r="I270" s="489"/>
      <c r="J270" s="489"/>
      <c r="K270" s="489"/>
      <c r="L270" s="489"/>
      <c r="M270" s="489"/>
      <c r="N270" s="489"/>
      <c r="O270" s="489"/>
      <c r="P270" s="489"/>
      <c r="Q270" s="489"/>
      <c r="R270" s="489"/>
      <c r="S270" s="489"/>
      <c r="T270" s="489"/>
      <c r="U270" s="489"/>
      <c r="V270" s="489"/>
      <c r="W270" s="489"/>
    </row>
    <row r="272" spans="2:23" ht="12.75">
      <c r="B272" s="294" t="s">
        <v>1</v>
      </c>
      <c r="C272" s="486" t="s">
        <v>76</v>
      </c>
      <c r="D272" s="487"/>
      <c r="E272" s="488"/>
      <c r="F272" s="486" t="s">
        <v>2</v>
      </c>
      <c r="G272" s="487"/>
      <c r="H272" s="488"/>
      <c r="I272" s="486" t="s">
        <v>3</v>
      </c>
      <c r="J272" s="487"/>
      <c r="K272" s="488"/>
      <c r="L272" s="486" t="s">
        <v>4</v>
      </c>
      <c r="M272" s="487"/>
      <c r="N272" s="488"/>
      <c r="O272" s="486" t="s">
        <v>5</v>
      </c>
      <c r="P272" s="487"/>
      <c r="Q272" s="488"/>
      <c r="R272" s="486" t="s">
        <v>131</v>
      </c>
      <c r="S272" s="487"/>
      <c r="T272" s="488"/>
      <c r="U272" s="486" t="s">
        <v>132</v>
      </c>
      <c r="V272" s="487"/>
      <c r="W272" s="488"/>
    </row>
    <row r="273" spans="2:23" ht="12.75">
      <c r="B273" s="295"/>
      <c r="C273" s="230" t="s">
        <v>7</v>
      </c>
      <c r="D273" s="230" t="s">
        <v>8</v>
      </c>
      <c r="E273" s="230" t="s">
        <v>6</v>
      </c>
      <c r="F273" s="230" t="s">
        <v>7</v>
      </c>
      <c r="G273" s="230" t="s">
        <v>8</v>
      </c>
      <c r="H273" s="230" t="s">
        <v>6</v>
      </c>
      <c r="I273" s="230" t="s">
        <v>7</v>
      </c>
      <c r="J273" s="230" t="s">
        <v>8</v>
      </c>
      <c r="K273" s="230" t="s">
        <v>6</v>
      </c>
      <c r="L273" s="230" t="s">
        <v>7</v>
      </c>
      <c r="M273" s="230" t="s">
        <v>8</v>
      </c>
      <c r="N273" s="230" t="s">
        <v>6</v>
      </c>
      <c r="O273" s="230" t="s">
        <v>7</v>
      </c>
      <c r="P273" s="230" t="s">
        <v>8</v>
      </c>
      <c r="Q273" s="230" t="s">
        <v>6</v>
      </c>
      <c r="R273" s="230" t="s">
        <v>7</v>
      </c>
      <c r="S273" s="230" t="s">
        <v>8</v>
      </c>
      <c r="T273" s="230" t="s">
        <v>6</v>
      </c>
      <c r="U273" s="230" t="s">
        <v>7</v>
      </c>
      <c r="V273" s="230" t="s">
        <v>8</v>
      </c>
      <c r="W273" s="230" t="s">
        <v>6</v>
      </c>
    </row>
    <row r="274" spans="1:23" ht="15">
      <c r="A274" s="234">
        <v>1</v>
      </c>
      <c r="B274" s="320" t="s">
        <v>43</v>
      </c>
      <c r="C274" s="321">
        <f>C21</f>
        <v>0</v>
      </c>
      <c r="D274" s="321">
        <f aca="true" t="shared" si="190" ref="D274:W274">D21</f>
        <v>0</v>
      </c>
      <c r="E274" s="321">
        <f t="shared" si="190"/>
        <v>0</v>
      </c>
      <c r="F274" s="282">
        <f t="shared" si="190"/>
        <v>311</v>
      </c>
      <c r="G274" s="282">
        <f t="shared" si="190"/>
        <v>20</v>
      </c>
      <c r="H274" s="282">
        <f t="shared" si="190"/>
        <v>331</v>
      </c>
      <c r="I274" s="282">
        <f t="shared" si="190"/>
        <v>871</v>
      </c>
      <c r="J274" s="282">
        <f t="shared" si="190"/>
        <v>67</v>
      </c>
      <c r="K274" s="282">
        <f t="shared" si="190"/>
        <v>1207</v>
      </c>
      <c r="L274" s="282">
        <f t="shared" si="190"/>
        <v>1631</v>
      </c>
      <c r="M274" s="282">
        <f t="shared" si="190"/>
        <v>51</v>
      </c>
      <c r="N274" s="282">
        <f t="shared" si="190"/>
        <v>1682</v>
      </c>
      <c r="O274" s="282">
        <f t="shared" si="190"/>
        <v>1303</v>
      </c>
      <c r="P274" s="282">
        <f t="shared" si="190"/>
        <v>55</v>
      </c>
      <c r="Q274" s="282">
        <f t="shared" si="190"/>
        <v>1358</v>
      </c>
      <c r="R274" s="282">
        <f t="shared" si="190"/>
        <v>4076</v>
      </c>
      <c r="S274" s="282">
        <f t="shared" si="190"/>
        <v>204</v>
      </c>
      <c r="T274" s="282">
        <f t="shared" si="190"/>
        <v>4280</v>
      </c>
      <c r="U274" s="282">
        <f t="shared" si="190"/>
        <v>3684</v>
      </c>
      <c r="V274" s="282">
        <f t="shared" si="190"/>
        <v>220</v>
      </c>
      <c r="W274" s="282">
        <f t="shared" si="190"/>
        <v>3904</v>
      </c>
    </row>
    <row r="275" spans="1:23" ht="15">
      <c r="A275" s="234">
        <v>2</v>
      </c>
      <c r="B275" s="322" t="s">
        <v>44</v>
      </c>
      <c r="C275" s="301">
        <f>C40</f>
        <v>0</v>
      </c>
      <c r="D275" s="301">
        <f aca="true" t="shared" si="191" ref="D275:W275">D40</f>
        <v>0</v>
      </c>
      <c r="E275" s="301">
        <f t="shared" si="191"/>
        <v>0</v>
      </c>
      <c r="F275" s="231">
        <f t="shared" si="191"/>
        <v>43</v>
      </c>
      <c r="G275" s="231">
        <f t="shared" si="191"/>
        <v>0</v>
      </c>
      <c r="H275" s="231">
        <f t="shared" si="191"/>
        <v>43</v>
      </c>
      <c r="I275" s="231">
        <f t="shared" si="191"/>
        <v>53</v>
      </c>
      <c r="J275" s="231">
        <f t="shared" si="191"/>
        <v>1</v>
      </c>
      <c r="K275" s="231">
        <f t="shared" si="191"/>
        <v>54</v>
      </c>
      <c r="L275" s="231">
        <f t="shared" si="191"/>
        <v>142</v>
      </c>
      <c r="M275" s="231">
        <f t="shared" si="191"/>
        <v>0</v>
      </c>
      <c r="N275" s="231">
        <f t="shared" si="191"/>
        <v>142</v>
      </c>
      <c r="O275" s="231">
        <f t="shared" si="191"/>
        <v>341</v>
      </c>
      <c r="P275" s="231">
        <f t="shared" si="191"/>
        <v>0</v>
      </c>
      <c r="Q275" s="231">
        <f t="shared" si="191"/>
        <v>341</v>
      </c>
      <c r="R275" s="231">
        <f t="shared" si="191"/>
        <v>0</v>
      </c>
      <c r="S275" s="231">
        <f t="shared" si="191"/>
        <v>0</v>
      </c>
      <c r="T275" s="231">
        <f t="shared" si="191"/>
        <v>0</v>
      </c>
      <c r="U275" s="231">
        <f t="shared" si="191"/>
        <v>4</v>
      </c>
      <c r="V275" s="231">
        <f t="shared" si="191"/>
        <v>0</v>
      </c>
      <c r="W275" s="231">
        <f t="shared" si="191"/>
        <v>4</v>
      </c>
    </row>
    <row r="276" spans="1:23" ht="12.75">
      <c r="A276" s="234">
        <v>3</v>
      </c>
      <c r="B276" s="322" t="s">
        <v>133</v>
      </c>
      <c r="C276" s="323">
        <f>C59</f>
        <v>0</v>
      </c>
      <c r="D276" s="323">
        <f aca="true" t="shared" si="192" ref="D276:W276">D59</f>
        <v>0</v>
      </c>
      <c r="E276" s="323">
        <f t="shared" si="192"/>
        <v>0</v>
      </c>
      <c r="F276" s="323">
        <f t="shared" si="192"/>
        <v>4</v>
      </c>
      <c r="G276" s="323">
        <f t="shared" si="192"/>
        <v>1</v>
      </c>
      <c r="H276" s="323">
        <f t="shared" si="192"/>
        <v>5</v>
      </c>
      <c r="I276" s="323">
        <f t="shared" si="192"/>
        <v>39</v>
      </c>
      <c r="J276" s="323">
        <f t="shared" si="192"/>
        <v>7</v>
      </c>
      <c r="K276" s="323">
        <f t="shared" si="192"/>
        <v>46</v>
      </c>
      <c r="L276" s="323">
        <f t="shared" si="192"/>
        <v>294</v>
      </c>
      <c r="M276" s="323">
        <f t="shared" si="192"/>
        <v>0</v>
      </c>
      <c r="N276" s="323">
        <f t="shared" si="192"/>
        <v>294</v>
      </c>
      <c r="O276" s="323">
        <f t="shared" si="192"/>
        <v>294</v>
      </c>
      <c r="P276" s="323">
        <f t="shared" si="192"/>
        <v>0</v>
      </c>
      <c r="Q276" s="323">
        <f t="shared" si="192"/>
        <v>294</v>
      </c>
      <c r="R276" s="323">
        <f t="shared" si="192"/>
        <v>564</v>
      </c>
      <c r="S276" s="323">
        <f t="shared" si="192"/>
        <v>0</v>
      </c>
      <c r="T276" s="323">
        <f t="shared" si="192"/>
        <v>564</v>
      </c>
      <c r="U276" s="323">
        <f t="shared" si="192"/>
        <v>772</v>
      </c>
      <c r="V276" s="323">
        <f t="shared" si="192"/>
        <v>0</v>
      </c>
      <c r="W276" s="323">
        <f t="shared" si="192"/>
        <v>772</v>
      </c>
    </row>
    <row r="277" spans="1:23" ht="12.75">
      <c r="A277" s="234">
        <v>4</v>
      </c>
      <c r="B277" s="322" t="s">
        <v>46</v>
      </c>
      <c r="C277" s="323">
        <f>C78</f>
        <v>0</v>
      </c>
      <c r="D277" s="323">
        <f aca="true" t="shared" si="193" ref="D277:W277">D78</f>
        <v>0</v>
      </c>
      <c r="E277" s="323">
        <f t="shared" si="193"/>
        <v>0</v>
      </c>
      <c r="F277" s="323">
        <f t="shared" si="193"/>
        <v>27</v>
      </c>
      <c r="G277" s="323">
        <f t="shared" si="193"/>
        <v>0</v>
      </c>
      <c r="H277" s="323">
        <f t="shared" si="193"/>
        <v>27</v>
      </c>
      <c r="I277" s="323">
        <f t="shared" si="193"/>
        <v>33</v>
      </c>
      <c r="J277" s="323">
        <f t="shared" si="193"/>
        <v>0</v>
      </c>
      <c r="K277" s="323">
        <f t="shared" si="193"/>
        <v>33</v>
      </c>
      <c r="L277" s="323">
        <f t="shared" si="193"/>
        <v>318</v>
      </c>
      <c r="M277" s="323">
        <f t="shared" si="193"/>
        <v>0</v>
      </c>
      <c r="N277" s="323">
        <f t="shared" si="193"/>
        <v>318</v>
      </c>
      <c r="O277" s="323">
        <f t="shared" si="193"/>
        <v>206</v>
      </c>
      <c r="P277" s="323">
        <f t="shared" si="193"/>
        <v>0</v>
      </c>
      <c r="Q277" s="323">
        <f t="shared" si="193"/>
        <v>206</v>
      </c>
      <c r="R277" s="323">
        <f t="shared" si="193"/>
        <v>0</v>
      </c>
      <c r="S277" s="323">
        <f t="shared" si="193"/>
        <v>0</v>
      </c>
      <c r="T277" s="323">
        <f t="shared" si="193"/>
        <v>0</v>
      </c>
      <c r="U277" s="323">
        <f t="shared" si="193"/>
        <v>0</v>
      </c>
      <c r="V277" s="323">
        <f t="shared" si="193"/>
        <v>0</v>
      </c>
      <c r="W277" s="323">
        <f t="shared" si="193"/>
        <v>0</v>
      </c>
    </row>
    <row r="278" spans="1:23" ht="12.75">
      <c r="A278" s="234">
        <v>5</v>
      </c>
      <c r="B278" s="322" t="s">
        <v>47</v>
      </c>
      <c r="C278" s="323">
        <v>0</v>
      </c>
      <c r="D278" s="323">
        <f aca="true" t="shared" si="194" ref="D278:W278">D97</f>
        <v>0</v>
      </c>
      <c r="E278" s="323">
        <f t="shared" si="194"/>
        <v>0</v>
      </c>
      <c r="F278" s="323">
        <f t="shared" si="194"/>
        <v>34</v>
      </c>
      <c r="G278" s="323">
        <f t="shared" si="194"/>
        <v>0</v>
      </c>
      <c r="H278" s="323">
        <f t="shared" si="194"/>
        <v>34</v>
      </c>
      <c r="I278" s="323">
        <f t="shared" si="194"/>
        <v>30</v>
      </c>
      <c r="J278" s="323">
        <f t="shared" si="194"/>
        <v>0</v>
      </c>
      <c r="K278" s="323">
        <f t="shared" si="194"/>
        <v>30</v>
      </c>
      <c r="L278" s="323">
        <f t="shared" si="194"/>
        <v>377</v>
      </c>
      <c r="M278" s="323">
        <f t="shared" si="194"/>
        <v>0</v>
      </c>
      <c r="N278" s="323">
        <f t="shared" si="194"/>
        <v>377</v>
      </c>
      <c r="O278" s="323">
        <f t="shared" si="194"/>
        <v>320</v>
      </c>
      <c r="P278" s="323">
        <f t="shared" si="194"/>
        <v>0</v>
      </c>
      <c r="Q278" s="323">
        <f t="shared" si="194"/>
        <v>320</v>
      </c>
      <c r="R278" s="323">
        <f t="shared" si="194"/>
        <v>440</v>
      </c>
      <c r="S278" s="323">
        <f t="shared" si="194"/>
        <v>0</v>
      </c>
      <c r="T278" s="323">
        <f t="shared" si="194"/>
        <v>440</v>
      </c>
      <c r="U278" s="323">
        <f t="shared" si="194"/>
        <v>924</v>
      </c>
      <c r="V278" s="323">
        <f t="shared" si="194"/>
        <v>0</v>
      </c>
      <c r="W278" s="323">
        <f t="shared" si="194"/>
        <v>924</v>
      </c>
    </row>
    <row r="279" spans="1:23" ht="12.75">
      <c r="A279" s="234">
        <v>6</v>
      </c>
      <c r="B279" s="322" t="s">
        <v>48</v>
      </c>
      <c r="C279" s="323">
        <f>C116</f>
        <v>0</v>
      </c>
      <c r="D279" s="323">
        <f aca="true" t="shared" si="195" ref="D279:W279">D116</f>
        <v>0</v>
      </c>
      <c r="E279" s="323">
        <f t="shared" si="195"/>
        <v>0</v>
      </c>
      <c r="F279" s="323">
        <f t="shared" si="195"/>
        <v>27</v>
      </c>
      <c r="G279" s="323">
        <f t="shared" si="195"/>
        <v>0</v>
      </c>
      <c r="H279" s="323">
        <f t="shared" si="195"/>
        <v>27</v>
      </c>
      <c r="I279" s="323">
        <f t="shared" si="195"/>
        <v>81</v>
      </c>
      <c r="J279" s="323">
        <f t="shared" si="195"/>
        <v>0</v>
      </c>
      <c r="K279" s="323">
        <f t="shared" si="195"/>
        <v>81</v>
      </c>
      <c r="L279" s="323">
        <f t="shared" si="195"/>
        <v>431</v>
      </c>
      <c r="M279" s="323">
        <f t="shared" si="195"/>
        <v>0</v>
      </c>
      <c r="N279" s="323">
        <f t="shared" si="195"/>
        <v>431</v>
      </c>
      <c r="O279" s="323">
        <f t="shared" si="195"/>
        <v>0</v>
      </c>
      <c r="P279" s="323">
        <f t="shared" si="195"/>
        <v>0</v>
      </c>
      <c r="Q279" s="323">
        <f t="shared" si="195"/>
        <v>0</v>
      </c>
      <c r="R279" s="323">
        <f t="shared" si="195"/>
        <v>0</v>
      </c>
      <c r="S279" s="323">
        <f t="shared" si="195"/>
        <v>0</v>
      </c>
      <c r="T279" s="323">
        <f t="shared" si="195"/>
        <v>0</v>
      </c>
      <c r="U279" s="323">
        <f t="shared" si="195"/>
        <v>0</v>
      </c>
      <c r="V279" s="323">
        <f t="shared" si="195"/>
        <v>0</v>
      </c>
      <c r="W279" s="323">
        <f t="shared" si="195"/>
        <v>0</v>
      </c>
    </row>
    <row r="280" spans="1:23" ht="12.75">
      <c r="A280" s="234">
        <v>7</v>
      </c>
      <c r="B280" s="322" t="s">
        <v>49</v>
      </c>
      <c r="C280" s="323">
        <f>C135</f>
        <v>0</v>
      </c>
      <c r="D280" s="323">
        <f aca="true" t="shared" si="196" ref="D280:W280">D135</f>
        <v>0</v>
      </c>
      <c r="E280" s="323">
        <f t="shared" si="196"/>
        <v>0</v>
      </c>
      <c r="F280" s="323">
        <f t="shared" si="196"/>
        <v>6</v>
      </c>
      <c r="G280" s="323">
        <f t="shared" si="196"/>
        <v>0</v>
      </c>
      <c r="H280" s="323">
        <f t="shared" si="196"/>
        <v>6</v>
      </c>
      <c r="I280" s="323">
        <f t="shared" si="196"/>
        <v>186</v>
      </c>
      <c r="J280" s="323">
        <f t="shared" si="196"/>
        <v>2</v>
      </c>
      <c r="K280" s="323">
        <f t="shared" si="196"/>
        <v>188</v>
      </c>
      <c r="L280" s="323">
        <f t="shared" si="196"/>
        <v>380</v>
      </c>
      <c r="M280" s="323">
        <f t="shared" si="196"/>
        <v>29</v>
      </c>
      <c r="N280" s="323">
        <f t="shared" si="196"/>
        <v>409</v>
      </c>
      <c r="O280" s="323">
        <f t="shared" si="196"/>
        <v>184</v>
      </c>
      <c r="P280" s="323">
        <f t="shared" si="196"/>
        <v>35</v>
      </c>
      <c r="Q280" s="323">
        <f t="shared" si="196"/>
        <v>219</v>
      </c>
      <c r="R280" s="323">
        <f t="shared" si="196"/>
        <v>388</v>
      </c>
      <c r="S280" s="323">
        <f t="shared" si="196"/>
        <v>116</v>
      </c>
      <c r="T280" s="323">
        <f t="shared" si="196"/>
        <v>504</v>
      </c>
      <c r="U280" s="323">
        <f t="shared" si="196"/>
        <v>736</v>
      </c>
      <c r="V280" s="323">
        <f t="shared" si="196"/>
        <v>140</v>
      </c>
      <c r="W280" s="323">
        <f t="shared" si="196"/>
        <v>876</v>
      </c>
    </row>
    <row r="281" spans="1:23" ht="12.75">
      <c r="A281" s="234">
        <v>8</v>
      </c>
      <c r="B281" s="322" t="s">
        <v>50</v>
      </c>
      <c r="C281" s="323">
        <f>C154</f>
        <v>0</v>
      </c>
      <c r="D281" s="323">
        <f aca="true" t="shared" si="197" ref="D281:W281">D154</f>
        <v>0</v>
      </c>
      <c r="E281" s="323">
        <f t="shared" si="197"/>
        <v>0</v>
      </c>
      <c r="F281" s="323">
        <f t="shared" si="197"/>
        <v>24</v>
      </c>
      <c r="G281" s="323">
        <f t="shared" si="197"/>
        <v>0</v>
      </c>
      <c r="H281" s="323">
        <f t="shared" si="197"/>
        <v>24</v>
      </c>
      <c r="I281" s="323">
        <f t="shared" si="197"/>
        <v>182</v>
      </c>
      <c r="J281" s="323">
        <f t="shared" si="197"/>
        <v>0</v>
      </c>
      <c r="K281" s="323">
        <f t="shared" si="197"/>
        <v>182</v>
      </c>
      <c r="L281" s="323">
        <f t="shared" si="197"/>
        <v>489</v>
      </c>
      <c r="M281" s="323">
        <f t="shared" si="197"/>
        <v>0</v>
      </c>
      <c r="N281" s="323">
        <f t="shared" si="197"/>
        <v>489</v>
      </c>
      <c r="O281" s="323">
        <f t="shared" si="197"/>
        <v>0</v>
      </c>
      <c r="P281" s="323">
        <f t="shared" si="197"/>
        <v>0</v>
      </c>
      <c r="Q281" s="323">
        <f t="shared" si="197"/>
        <v>0</v>
      </c>
      <c r="R281" s="323">
        <f t="shared" si="197"/>
        <v>0</v>
      </c>
      <c r="S281" s="323">
        <f t="shared" si="197"/>
        <v>0</v>
      </c>
      <c r="T281" s="323">
        <f t="shared" si="197"/>
        <v>0</v>
      </c>
      <c r="U281" s="323">
        <f t="shared" si="197"/>
        <v>0</v>
      </c>
      <c r="V281" s="323">
        <f t="shared" si="197"/>
        <v>0</v>
      </c>
      <c r="W281" s="323">
        <f t="shared" si="197"/>
        <v>0</v>
      </c>
    </row>
    <row r="282" spans="1:23" ht="12.75">
      <c r="A282" s="234">
        <v>9</v>
      </c>
      <c r="B282" s="322" t="s">
        <v>51</v>
      </c>
      <c r="C282" s="323">
        <f>C173</f>
        <v>0</v>
      </c>
      <c r="D282" s="323">
        <f aca="true" t="shared" si="198" ref="D282:W282">D173</f>
        <v>0</v>
      </c>
      <c r="E282" s="323">
        <f t="shared" si="198"/>
        <v>0</v>
      </c>
      <c r="F282" s="323">
        <f t="shared" si="198"/>
        <v>20</v>
      </c>
      <c r="G282" s="323">
        <f t="shared" si="198"/>
        <v>0</v>
      </c>
      <c r="H282" s="323">
        <f t="shared" si="198"/>
        <v>20</v>
      </c>
      <c r="I282" s="323">
        <f t="shared" si="198"/>
        <v>10</v>
      </c>
      <c r="J282" s="323">
        <f t="shared" si="198"/>
        <v>0</v>
      </c>
      <c r="K282" s="323">
        <f t="shared" si="198"/>
        <v>10</v>
      </c>
      <c r="L282" s="323">
        <f t="shared" si="198"/>
        <v>569</v>
      </c>
      <c r="M282" s="323">
        <f t="shared" si="198"/>
        <v>58</v>
      </c>
      <c r="N282" s="323">
        <f t="shared" si="198"/>
        <v>627</v>
      </c>
      <c r="O282" s="323">
        <f t="shared" si="198"/>
        <v>488</v>
      </c>
      <c r="P282" s="323">
        <f t="shared" si="198"/>
        <v>81</v>
      </c>
      <c r="Q282" s="323">
        <f t="shared" si="198"/>
        <v>569</v>
      </c>
      <c r="R282" s="323">
        <f t="shared" si="198"/>
        <v>1464</v>
      </c>
      <c r="S282" s="323">
        <f t="shared" si="198"/>
        <v>232</v>
      </c>
      <c r="T282" s="323">
        <f t="shared" si="198"/>
        <v>1696</v>
      </c>
      <c r="U282" s="323">
        <f t="shared" si="198"/>
        <v>1468</v>
      </c>
      <c r="V282" s="323">
        <f t="shared" si="198"/>
        <v>324</v>
      </c>
      <c r="W282" s="323">
        <f t="shared" si="198"/>
        <v>1792</v>
      </c>
    </row>
    <row r="283" spans="1:23" ht="12.75">
      <c r="A283" s="234">
        <v>10</v>
      </c>
      <c r="B283" s="322" t="s">
        <v>52</v>
      </c>
      <c r="C283" s="323">
        <f>C192</f>
        <v>0</v>
      </c>
      <c r="D283" s="323">
        <f aca="true" t="shared" si="199" ref="D283:W283">D192</f>
        <v>0</v>
      </c>
      <c r="E283" s="323">
        <f t="shared" si="199"/>
        <v>0</v>
      </c>
      <c r="F283" s="323">
        <f t="shared" si="199"/>
        <v>12</v>
      </c>
      <c r="G283" s="323">
        <f t="shared" si="199"/>
        <v>0</v>
      </c>
      <c r="H283" s="323">
        <f t="shared" si="199"/>
        <v>12</v>
      </c>
      <c r="I283" s="323">
        <f t="shared" si="199"/>
        <v>3</v>
      </c>
      <c r="J283" s="323">
        <f t="shared" si="199"/>
        <v>0</v>
      </c>
      <c r="K283" s="323">
        <f t="shared" si="199"/>
        <v>3</v>
      </c>
      <c r="L283" s="323">
        <f t="shared" si="199"/>
        <v>83</v>
      </c>
      <c r="M283" s="323">
        <f t="shared" si="199"/>
        <v>0</v>
      </c>
      <c r="N283" s="323">
        <f t="shared" si="199"/>
        <v>83</v>
      </c>
      <c r="O283" s="323">
        <f t="shared" si="199"/>
        <v>81</v>
      </c>
      <c r="P283" s="323">
        <f t="shared" si="199"/>
        <v>0</v>
      </c>
      <c r="Q283" s="323">
        <f t="shared" si="199"/>
        <v>81</v>
      </c>
      <c r="R283" s="323">
        <f t="shared" si="199"/>
        <v>80</v>
      </c>
      <c r="S283" s="323">
        <f t="shared" si="199"/>
        <v>0</v>
      </c>
      <c r="T283" s="323">
        <f t="shared" si="199"/>
        <v>80</v>
      </c>
      <c r="U283" s="323">
        <f t="shared" si="199"/>
        <v>112</v>
      </c>
      <c r="V283" s="323">
        <f t="shared" si="199"/>
        <v>0</v>
      </c>
      <c r="W283" s="323">
        <f t="shared" si="199"/>
        <v>112</v>
      </c>
    </row>
    <row r="284" spans="1:23" ht="12.75">
      <c r="A284" s="234">
        <v>11</v>
      </c>
      <c r="B284" s="322" t="s">
        <v>53</v>
      </c>
      <c r="C284" s="323">
        <f>C211</f>
        <v>0</v>
      </c>
      <c r="D284" s="323">
        <f aca="true" t="shared" si="200" ref="D284:W284">D211</f>
        <v>0</v>
      </c>
      <c r="E284" s="323">
        <f t="shared" si="200"/>
        <v>0</v>
      </c>
      <c r="F284" s="323">
        <f t="shared" si="200"/>
        <v>117</v>
      </c>
      <c r="G284" s="323">
        <f t="shared" si="200"/>
        <v>0</v>
      </c>
      <c r="H284" s="323">
        <f t="shared" si="200"/>
        <v>117</v>
      </c>
      <c r="I284" s="323">
        <f t="shared" si="200"/>
        <v>19</v>
      </c>
      <c r="J284" s="323">
        <f t="shared" si="200"/>
        <v>0</v>
      </c>
      <c r="K284" s="323">
        <f t="shared" si="200"/>
        <v>19</v>
      </c>
      <c r="L284" s="323">
        <f t="shared" si="200"/>
        <v>408</v>
      </c>
      <c r="M284" s="323">
        <f t="shared" si="200"/>
        <v>0</v>
      </c>
      <c r="N284" s="323">
        <f t="shared" si="200"/>
        <v>408</v>
      </c>
      <c r="O284" s="323">
        <f t="shared" si="200"/>
        <v>122</v>
      </c>
      <c r="P284" s="323">
        <f t="shared" si="200"/>
        <v>0</v>
      </c>
      <c r="Q284" s="323">
        <f t="shared" si="200"/>
        <v>122</v>
      </c>
      <c r="R284" s="323">
        <f t="shared" si="200"/>
        <v>140</v>
      </c>
      <c r="S284" s="323">
        <f t="shared" si="200"/>
        <v>0</v>
      </c>
      <c r="T284" s="323">
        <f t="shared" si="200"/>
        <v>140</v>
      </c>
      <c r="U284" s="323">
        <f t="shared" si="200"/>
        <v>120</v>
      </c>
      <c r="V284" s="323">
        <f t="shared" si="200"/>
        <v>0</v>
      </c>
      <c r="W284" s="323">
        <f t="shared" si="200"/>
        <v>120</v>
      </c>
    </row>
    <row r="285" spans="1:23" ht="12.75">
      <c r="A285" s="234">
        <v>12</v>
      </c>
      <c r="B285" s="322" t="s">
        <v>54</v>
      </c>
      <c r="C285" s="323">
        <f>C230</f>
        <v>0</v>
      </c>
      <c r="D285" s="323">
        <f aca="true" t="shared" si="201" ref="D285:W285">D230</f>
        <v>0</v>
      </c>
      <c r="E285" s="323">
        <f t="shared" si="201"/>
        <v>0</v>
      </c>
      <c r="F285" s="323">
        <f t="shared" si="201"/>
        <v>54</v>
      </c>
      <c r="G285" s="323">
        <f t="shared" si="201"/>
        <v>2</v>
      </c>
      <c r="H285" s="323">
        <f t="shared" si="201"/>
        <v>56</v>
      </c>
      <c r="I285" s="323">
        <f t="shared" si="201"/>
        <v>0</v>
      </c>
      <c r="J285" s="323">
        <f t="shared" si="201"/>
        <v>0</v>
      </c>
      <c r="K285" s="323">
        <f t="shared" si="201"/>
        <v>0</v>
      </c>
      <c r="L285" s="323">
        <f t="shared" si="201"/>
        <v>621</v>
      </c>
      <c r="M285" s="323">
        <f t="shared" si="201"/>
        <v>141</v>
      </c>
      <c r="N285" s="323">
        <f t="shared" si="201"/>
        <v>762</v>
      </c>
      <c r="O285" s="323">
        <f t="shared" si="201"/>
        <v>88</v>
      </c>
      <c r="P285" s="323">
        <f t="shared" si="201"/>
        <v>2</v>
      </c>
      <c r="Q285" s="323">
        <f t="shared" si="201"/>
        <v>90</v>
      </c>
      <c r="R285" s="323">
        <f t="shared" si="201"/>
        <v>1796</v>
      </c>
      <c r="S285" s="323">
        <f t="shared" si="201"/>
        <v>564</v>
      </c>
      <c r="T285" s="323">
        <f t="shared" si="201"/>
        <v>2360</v>
      </c>
      <c r="U285" s="323">
        <f t="shared" si="201"/>
        <v>340</v>
      </c>
      <c r="V285" s="323">
        <f t="shared" si="201"/>
        <v>8</v>
      </c>
      <c r="W285" s="323">
        <f t="shared" si="201"/>
        <v>348</v>
      </c>
    </row>
    <row r="286" spans="1:23" ht="12.75">
      <c r="A286" s="234">
        <v>13</v>
      </c>
      <c r="B286" s="322" t="s">
        <v>55</v>
      </c>
      <c r="C286" s="323">
        <f>C249</f>
        <v>0</v>
      </c>
      <c r="D286" s="323">
        <f aca="true" t="shared" si="202" ref="D286:W286">D249</f>
        <v>0</v>
      </c>
      <c r="E286" s="323">
        <f t="shared" si="202"/>
        <v>0</v>
      </c>
      <c r="F286" s="323">
        <f t="shared" si="202"/>
        <v>81</v>
      </c>
      <c r="G286" s="323">
        <f t="shared" si="202"/>
        <v>0</v>
      </c>
      <c r="H286" s="323">
        <f t="shared" si="202"/>
        <v>81</v>
      </c>
      <c r="I286" s="323">
        <f t="shared" si="202"/>
        <v>2</v>
      </c>
      <c r="J286" s="323">
        <f t="shared" si="202"/>
        <v>0</v>
      </c>
      <c r="K286" s="323">
        <f t="shared" si="202"/>
        <v>2</v>
      </c>
      <c r="L286" s="323">
        <f t="shared" si="202"/>
        <v>1691</v>
      </c>
      <c r="M286" s="323">
        <f t="shared" si="202"/>
        <v>47</v>
      </c>
      <c r="N286" s="323">
        <f t="shared" si="202"/>
        <v>1738</v>
      </c>
      <c r="O286" s="323">
        <f t="shared" si="202"/>
        <v>34</v>
      </c>
      <c r="P286" s="323">
        <f t="shared" si="202"/>
        <v>14</v>
      </c>
      <c r="Q286" s="323">
        <f t="shared" si="202"/>
        <v>48</v>
      </c>
      <c r="R286" s="323">
        <f t="shared" si="202"/>
        <v>704</v>
      </c>
      <c r="S286" s="323">
        <f t="shared" si="202"/>
        <v>188</v>
      </c>
      <c r="T286" s="323">
        <f t="shared" si="202"/>
        <v>892</v>
      </c>
      <c r="U286" s="323">
        <f t="shared" si="202"/>
        <v>120</v>
      </c>
      <c r="V286" s="323">
        <f t="shared" si="202"/>
        <v>56</v>
      </c>
      <c r="W286" s="323">
        <f t="shared" si="202"/>
        <v>176</v>
      </c>
    </row>
    <row r="287" spans="1:23" ht="12.75">
      <c r="A287" s="234">
        <v>14</v>
      </c>
      <c r="B287" s="322" t="s">
        <v>56</v>
      </c>
      <c r="C287" s="323">
        <f>C268</f>
        <v>0</v>
      </c>
      <c r="D287" s="323">
        <f aca="true" t="shared" si="203" ref="D287:W287">D268</f>
        <v>0</v>
      </c>
      <c r="E287" s="323">
        <f t="shared" si="203"/>
        <v>0</v>
      </c>
      <c r="F287" s="323">
        <f t="shared" si="203"/>
        <v>34</v>
      </c>
      <c r="G287" s="323">
        <f t="shared" si="203"/>
        <v>4</v>
      </c>
      <c r="H287" s="323">
        <f t="shared" si="203"/>
        <v>38</v>
      </c>
      <c r="I287" s="323">
        <f t="shared" si="203"/>
        <v>42</v>
      </c>
      <c r="J287" s="323">
        <f t="shared" si="203"/>
        <v>2</v>
      </c>
      <c r="K287" s="323">
        <f t="shared" si="203"/>
        <v>44</v>
      </c>
      <c r="L287" s="323">
        <f t="shared" si="203"/>
        <v>257</v>
      </c>
      <c r="M287" s="323">
        <f t="shared" si="203"/>
        <v>6</v>
      </c>
      <c r="N287" s="323">
        <f t="shared" si="203"/>
        <v>263</v>
      </c>
      <c r="O287" s="323">
        <f t="shared" si="203"/>
        <v>155</v>
      </c>
      <c r="P287" s="323">
        <f t="shared" si="203"/>
        <v>15</v>
      </c>
      <c r="Q287" s="323">
        <f t="shared" si="203"/>
        <v>170</v>
      </c>
      <c r="R287" s="323">
        <f t="shared" si="203"/>
        <v>460</v>
      </c>
      <c r="S287" s="323">
        <f t="shared" si="203"/>
        <v>24</v>
      </c>
      <c r="T287" s="323">
        <f t="shared" si="203"/>
        <v>484</v>
      </c>
      <c r="U287" s="323">
        <f t="shared" si="203"/>
        <v>536</v>
      </c>
      <c r="V287" s="323">
        <f t="shared" si="203"/>
        <v>60</v>
      </c>
      <c r="W287" s="323">
        <f t="shared" si="203"/>
        <v>596</v>
      </c>
    </row>
    <row r="288" spans="2:25" ht="15">
      <c r="B288" s="300" t="s">
        <v>135</v>
      </c>
      <c r="C288" s="309">
        <f>SUM(C274:C287)</f>
        <v>0</v>
      </c>
      <c r="D288" s="309">
        <f aca="true" t="shared" si="204" ref="D288:W288">SUM(D274:D287)</f>
        <v>0</v>
      </c>
      <c r="E288" s="309">
        <f t="shared" si="204"/>
        <v>0</v>
      </c>
      <c r="F288" s="309">
        <f t="shared" si="204"/>
        <v>794</v>
      </c>
      <c r="G288" s="309">
        <f t="shared" si="204"/>
        <v>27</v>
      </c>
      <c r="H288" s="309">
        <f t="shared" si="204"/>
        <v>821</v>
      </c>
      <c r="I288" s="309">
        <f t="shared" si="204"/>
        <v>1551</v>
      </c>
      <c r="J288" s="309">
        <f t="shared" si="204"/>
        <v>79</v>
      </c>
      <c r="K288" s="309">
        <f t="shared" si="204"/>
        <v>1899</v>
      </c>
      <c r="L288" s="309">
        <f t="shared" si="204"/>
        <v>7691</v>
      </c>
      <c r="M288" s="309">
        <f t="shared" si="204"/>
        <v>332</v>
      </c>
      <c r="N288" s="309">
        <f t="shared" si="204"/>
        <v>8023</v>
      </c>
      <c r="O288" s="309">
        <f t="shared" si="204"/>
        <v>3616</v>
      </c>
      <c r="P288" s="309">
        <f t="shared" si="204"/>
        <v>202</v>
      </c>
      <c r="Q288" s="309">
        <f t="shared" si="204"/>
        <v>3818</v>
      </c>
      <c r="R288" s="309">
        <f t="shared" si="204"/>
        <v>10112</v>
      </c>
      <c r="S288" s="309">
        <f t="shared" si="204"/>
        <v>1328</v>
      </c>
      <c r="T288" s="309">
        <f t="shared" si="204"/>
        <v>11440</v>
      </c>
      <c r="U288" s="309">
        <f t="shared" si="204"/>
        <v>8816</v>
      </c>
      <c r="V288" s="309">
        <f t="shared" si="204"/>
        <v>808</v>
      </c>
      <c r="W288" s="309">
        <f t="shared" si="204"/>
        <v>9624</v>
      </c>
      <c r="X288" s="327"/>
      <c r="Y288" s="327"/>
    </row>
    <row r="289" spans="2:23" s="290" customFormat="1" ht="15">
      <c r="B289" s="324" t="s">
        <v>58</v>
      </c>
      <c r="C289" s="325">
        <v>0</v>
      </c>
      <c r="D289" s="325">
        <v>0</v>
      </c>
      <c r="E289" s="325">
        <v>0</v>
      </c>
      <c r="F289" s="325">
        <v>962</v>
      </c>
      <c r="G289" s="325">
        <v>31</v>
      </c>
      <c r="H289" s="325">
        <v>993</v>
      </c>
      <c r="I289" s="325">
        <v>2165</v>
      </c>
      <c r="J289" s="325">
        <v>118</v>
      </c>
      <c r="K289" s="325">
        <v>2283</v>
      </c>
      <c r="L289" s="325">
        <v>7394</v>
      </c>
      <c r="M289" s="325">
        <v>309</v>
      </c>
      <c r="N289" s="325">
        <v>7703</v>
      </c>
      <c r="O289" s="325">
        <v>3516</v>
      </c>
      <c r="P289" s="325">
        <v>214</v>
      </c>
      <c r="Q289" s="325">
        <v>3730</v>
      </c>
      <c r="R289" s="325">
        <v>10208</v>
      </c>
      <c r="S289" s="325">
        <v>1236</v>
      </c>
      <c r="T289" s="325">
        <v>11444</v>
      </c>
      <c r="U289" s="325">
        <v>8068</v>
      </c>
      <c r="V289" s="325">
        <v>856</v>
      </c>
      <c r="W289" s="325">
        <v>8924</v>
      </c>
    </row>
    <row r="291" spans="12:19" ht="12.75">
      <c r="L291" s="326">
        <f>N288+T288</f>
        <v>19463</v>
      </c>
      <c r="S291" s="250" t="s">
        <v>98</v>
      </c>
    </row>
    <row r="292" spans="12:19" ht="12.75">
      <c r="L292" s="326">
        <f>Q288+W288</f>
        <v>13442</v>
      </c>
      <c r="S292" s="250"/>
    </row>
    <row r="293" ht="12.75">
      <c r="S293" s="250" t="s">
        <v>60</v>
      </c>
    </row>
    <row r="294" spans="5:19" ht="12.75">
      <c r="E294" s="234">
        <v>7343</v>
      </c>
      <c r="F294" s="234">
        <v>301</v>
      </c>
      <c r="G294" s="234">
        <f>SUM(E294:F294)</f>
        <v>7644</v>
      </c>
      <c r="H294" s="234">
        <v>0</v>
      </c>
      <c r="I294" s="234">
        <v>8720</v>
      </c>
      <c r="J294" s="234">
        <v>1204</v>
      </c>
      <c r="K294" s="234">
        <v>16063</v>
      </c>
      <c r="L294" s="234">
        <v>1505</v>
      </c>
      <c r="M294" s="234">
        <v>17568</v>
      </c>
      <c r="S294" s="250" t="s">
        <v>61</v>
      </c>
    </row>
    <row r="295" spans="5:19" ht="12.75">
      <c r="E295" s="234">
        <v>3302</v>
      </c>
      <c r="F295" s="234">
        <v>176</v>
      </c>
      <c r="G295" s="234">
        <v>0</v>
      </c>
      <c r="H295" s="234">
        <v>0</v>
      </c>
      <c r="I295" s="234">
        <v>7560</v>
      </c>
      <c r="J295" s="234">
        <v>704</v>
      </c>
      <c r="K295" s="234">
        <v>10862</v>
      </c>
      <c r="L295" s="234">
        <v>880</v>
      </c>
      <c r="M295" s="234">
        <v>11742</v>
      </c>
      <c r="S295" s="250"/>
    </row>
    <row r="296" ht="12.75">
      <c r="S296" s="250"/>
    </row>
    <row r="297" ht="12.75">
      <c r="S297" s="267" t="s">
        <v>62</v>
      </c>
    </row>
    <row r="298" ht="12.75">
      <c r="S298" s="250" t="s">
        <v>125</v>
      </c>
    </row>
  </sheetData>
  <sheetProtection/>
  <mergeCells count="121">
    <mergeCell ref="O24:Q24"/>
    <mergeCell ref="R24:T24"/>
    <mergeCell ref="U24:W24"/>
    <mergeCell ref="B1:W1"/>
    <mergeCell ref="C5:E5"/>
    <mergeCell ref="F5:H5"/>
    <mergeCell ref="I5:K5"/>
    <mergeCell ref="L5:N5"/>
    <mergeCell ref="O5:Q5"/>
    <mergeCell ref="R5:T5"/>
    <mergeCell ref="U5:W5"/>
    <mergeCell ref="C43:E43"/>
    <mergeCell ref="F43:H43"/>
    <mergeCell ref="I43:K43"/>
    <mergeCell ref="L43:N43"/>
    <mergeCell ref="O43:Q43"/>
    <mergeCell ref="R43:T43"/>
    <mergeCell ref="U43:W43"/>
    <mergeCell ref="C24:E24"/>
    <mergeCell ref="F24:H24"/>
    <mergeCell ref="U81:W81"/>
    <mergeCell ref="C62:E62"/>
    <mergeCell ref="F62:H62"/>
    <mergeCell ref="I62:K62"/>
    <mergeCell ref="L62:N62"/>
    <mergeCell ref="O62:Q62"/>
    <mergeCell ref="I24:K24"/>
    <mergeCell ref="L24:N24"/>
    <mergeCell ref="U100:W100"/>
    <mergeCell ref="R62:T62"/>
    <mergeCell ref="I100:K100"/>
    <mergeCell ref="L100:N100"/>
    <mergeCell ref="O100:Q100"/>
    <mergeCell ref="R100:T100"/>
    <mergeCell ref="U62:W62"/>
    <mergeCell ref="R81:T81"/>
    <mergeCell ref="R119:T119"/>
    <mergeCell ref="C81:E81"/>
    <mergeCell ref="F81:H81"/>
    <mergeCell ref="I81:K81"/>
    <mergeCell ref="L81:N81"/>
    <mergeCell ref="O81:Q81"/>
    <mergeCell ref="O138:Q138"/>
    <mergeCell ref="C119:E119"/>
    <mergeCell ref="F119:H119"/>
    <mergeCell ref="I119:K119"/>
    <mergeCell ref="L119:N119"/>
    <mergeCell ref="O119:Q119"/>
    <mergeCell ref="U138:W138"/>
    <mergeCell ref="U119:W119"/>
    <mergeCell ref="C100:E100"/>
    <mergeCell ref="F100:H100"/>
    <mergeCell ref="R157:T157"/>
    <mergeCell ref="U157:W157"/>
    <mergeCell ref="C138:E138"/>
    <mergeCell ref="F138:H138"/>
    <mergeCell ref="I138:K138"/>
    <mergeCell ref="L138:N138"/>
    <mergeCell ref="F157:H157"/>
    <mergeCell ref="I157:K157"/>
    <mergeCell ref="L157:N157"/>
    <mergeCell ref="O157:Q157"/>
    <mergeCell ref="U176:W176"/>
    <mergeCell ref="R138:T138"/>
    <mergeCell ref="I176:K176"/>
    <mergeCell ref="L176:N176"/>
    <mergeCell ref="O176:Q176"/>
    <mergeCell ref="R176:T176"/>
    <mergeCell ref="O214:Q214"/>
    <mergeCell ref="R214:T214"/>
    <mergeCell ref="C195:E195"/>
    <mergeCell ref="F195:H195"/>
    <mergeCell ref="I195:K195"/>
    <mergeCell ref="L195:N195"/>
    <mergeCell ref="O195:Q195"/>
    <mergeCell ref="R195:T195"/>
    <mergeCell ref="L233:N233"/>
    <mergeCell ref="O233:Q233"/>
    <mergeCell ref="R233:T233"/>
    <mergeCell ref="U195:W195"/>
    <mergeCell ref="C176:E176"/>
    <mergeCell ref="F176:H176"/>
    <mergeCell ref="C214:E214"/>
    <mergeCell ref="F214:H214"/>
    <mergeCell ref="I214:K214"/>
    <mergeCell ref="L214:N214"/>
    <mergeCell ref="F252:H252"/>
    <mergeCell ref="I252:K252"/>
    <mergeCell ref="L252:N252"/>
    <mergeCell ref="O252:Q252"/>
    <mergeCell ref="R252:T252"/>
    <mergeCell ref="U214:W214"/>
    <mergeCell ref="U233:W233"/>
    <mergeCell ref="U252:W252"/>
    <mergeCell ref="F233:H233"/>
    <mergeCell ref="I233:K233"/>
    <mergeCell ref="B270:W270"/>
    <mergeCell ref="C272:E272"/>
    <mergeCell ref="F272:H272"/>
    <mergeCell ref="I272:K272"/>
    <mergeCell ref="L272:N272"/>
    <mergeCell ref="O272:Q272"/>
    <mergeCell ref="R272:T272"/>
    <mergeCell ref="U272:W272"/>
    <mergeCell ref="C252:E252"/>
    <mergeCell ref="A8:A19"/>
    <mergeCell ref="A26:A40"/>
    <mergeCell ref="A45:A59"/>
    <mergeCell ref="A64:A78"/>
    <mergeCell ref="A83:A97"/>
    <mergeCell ref="A102:A116"/>
    <mergeCell ref="A235:A249"/>
    <mergeCell ref="C233:E233"/>
    <mergeCell ref="C157:E157"/>
    <mergeCell ref="A254:A268"/>
    <mergeCell ref="A121:A135"/>
    <mergeCell ref="A140:A154"/>
    <mergeCell ref="A159:A173"/>
    <mergeCell ref="A178:A192"/>
    <mergeCell ref="A197:A211"/>
    <mergeCell ref="A216:A230"/>
  </mergeCells>
  <printOptions/>
  <pageMargins left="0.3145833333333333" right="0.3145833333333333" top="1.1416666666666666" bottom="0.7479166666666667" header="0.3145833333333333" footer="0.3145833333333333"/>
  <pageSetup fitToHeight="1" fitToWidth="1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A413"/>
  <sheetViews>
    <sheetView zoomScale="80" zoomScaleNormal="80" zoomScalePageLayoutView="0" workbookViewId="0" topLeftCell="D1">
      <selection activeCell="N8" sqref="N8"/>
    </sheetView>
  </sheetViews>
  <sheetFormatPr defaultColWidth="9.140625" defaultRowHeight="15"/>
  <cols>
    <col min="1" max="1" width="4.421875" style="248" customWidth="1"/>
    <col min="2" max="2" width="17.8515625" style="248" customWidth="1"/>
    <col min="3" max="3" width="7.57421875" style="248" customWidth="1"/>
    <col min="4" max="4" width="7.8515625" style="248" customWidth="1"/>
    <col min="5" max="5" width="8.140625" style="248" customWidth="1"/>
    <col min="6" max="6" width="5.57421875" style="248" customWidth="1"/>
    <col min="7" max="7" width="4.7109375" style="248" bestFit="1" customWidth="1"/>
    <col min="8" max="8" width="6.140625" style="248" customWidth="1"/>
    <col min="9" max="9" width="11.8515625" style="248" customWidth="1"/>
    <col min="10" max="10" width="7.421875" style="248" customWidth="1"/>
    <col min="11" max="11" width="13.140625" style="248" customWidth="1"/>
    <col min="12" max="12" width="7.00390625" style="248" customWidth="1"/>
    <col min="13" max="13" width="9.140625" style="248" customWidth="1"/>
    <col min="14" max="14" width="4.57421875" style="248" customWidth="1"/>
    <col min="15" max="15" width="22.140625" style="248" customWidth="1"/>
    <col min="16" max="21" width="9.140625" style="248" customWidth="1"/>
    <col min="22" max="22" width="12.421875" style="248" customWidth="1"/>
    <col min="23" max="23" width="9.140625" style="248" customWidth="1"/>
    <col min="24" max="24" width="12.00390625" style="248" customWidth="1"/>
    <col min="25" max="26" width="13.00390625" style="248" customWidth="1"/>
    <col min="27" max="16384" width="9.140625" style="248" customWidth="1"/>
  </cols>
  <sheetData>
    <row r="1" spans="1:17" ht="12.75">
      <c r="A1" s="249" t="s">
        <v>136</v>
      </c>
      <c r="B1" s="249"/>
      <c r="C1" s="249"/>
      <c r="D1" s="249"/>
      <c r="N1" s="249" t="s">
        <v>136</v>
      </c>
      <c r="O1" s="249"/>
      <c r="P1" s="249"/>
      <c r="Q1" s="249"/>
    </row>
    <row r="3" spans="1:14" ht="12.75">
      <c r="A3" s="250" t="s">
        <v>137</v>
      </c>
      <c r="N3" s="250" t="s">
        <v>138</v>
      </c>
    </row>
    <row r="6" spans="1:26" ht="12.75">
      <c r="A6" s="251" t="s">
        <v>102</v>
      </c>
      <c r="B6" s="251" t="s">
        <v>103</v>
      </c>
      <c r="C6" s="491" t="s">
        <v>139</v>
      </c>
      <c r="D6" s="492"/>
      <c r="E6" s="491" t="s">
        <v>140</v>
      </c>
      <c r="F6" s="492"/>
      <c r="G6" s="491" t="s">
        <v>141</v>
      </c>
      <c r="H6" s="492"/>
      <c r="I6" s="491" t="s">
        <v>142</v>
      </c>
      <c r="J6" s="492"/>
      <c r="K6" s="491" t="s">
        <v>84</v>
      </c>
      <c r="L6" s="492"/>
      <c r="N6" s="251" t="s">
        <v>102</v>
      </c>
      <c r="O6" s="251" t="s">
        <v>103</v>
      </c>
      <c r="P6" s="491" t="s">
        <v>139</v>
      </c>
      <c r="Q6" s="492"/>
      <c r="R6" s="491" t="s">
        <v>140</v>
      </c>
      <c r="S6" s="492"/>
      <c r="T6" s="491" t="s">
        <v>141</v>
      </c>
      <c r="U6" s="492"/>
      <c r="V6" s="491" t="s">
        <v>142</v>
      </c>
      <c r="W6" s="492"/>
      <c r="X6" s="491" t="s">
        <v>6</v>
      </c>
      <c r="Y6" s="492"/>
      <c r="Z6" s="493" t="s">
        <v>84</v>
      </c>
    </row>
    <row r="7" spans="1:26" ht="12.75">
      <c r="A7" s="253"/>
      <c r="B7" s="253"/>
      <c r="C7" s="254" t="s">
        <v>143</v>
      </c>
      <c r="D7" s="254" t="s">
        <v>144</v>
      </c>
      <c r="E7" s="254" t="s">
        <v>143</v>
      </c>
      <c r="F7" s="254" t="s">
        <v>144</v>
      </c>
      <c r="G7" s="252" t="s">
        <v>143</v>
      </c>
      <c r="H7" s="254" t="s">
        <v>144</v>
      </c>
      <c r="I7" s="252" t="s">
        <v>143</v>
      </c>
      <c r="J7" s="254" t="s">
        <v>144</v>
      </c>
      <c r="K7" s="252" t="s">
        <v>143</v>
      </c>
      <c r="L7" s="254" t="s">
        <v>144</v>
      </c>
      <c r="N7" s="253"/>
      <c r="O7" s="253"/>
      <c r="P7" s="254" t="s">
        <v>143</v>
      </c>
      <c r="Q7" s="254" t="s">
        <v>144</v>
      </c>
      <c r="R7" s="254" t="s">
        <v>143</v>
      </c>
      <c r="S7" s="254" t="s">
        <v>144</v>
      </c>
      <c r="T7" s="252" t="s">
        <v>143</v>
      </c>
      <c r="U7" s="254" t="s">
        <v>144</v>
      </c>
      <c r="V7" s="252" t="s">
        <v>143</v>
      </c>
      <c r="W7" s="254" t="s">
        <v>144</v>
      </c>
      <c r="X7" s="252" t="s">
        <v>143</v>
      </c>
      <c r="Y7" s="254" t="s">
        <v>144</v>
      </c>
      <c r="Z7" s="494"/>
    </row>
    <row r="8" spans="1:26" ht="12.75">
      <c r="A8" s="255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N8" s="255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7"/>
    </row>
    <row r="9" spans="1:26" ht="12.75">
      <c r="A9" s="256">
        <v>1</v>
      </c>
      <c r="B9" s="257" t="s">
        <v>111</v>
      </c>
      <c r="C9" s="231">
        <v>20</v>
      </c>
      <c r="D9" s="231">
        <v>1</v>
      </c>
      <c r="E9" s="231">
        <v>1</v>
      </c>
      <c r="F9" s="231">
        <v>0</v>
      </c>
      <c r="G9" s="231">
        <v>0</v>
      </c>
      <c r="H9" s="231">
        <v>0</v>
      </c>
      <c r="I9" s="231">
        <v>0</v>
      </c>
      <c r="J9" s="231">
        <v>0</v>
      </c>
      <c r="K9" s="231">
        <v>21</v>
      </c>
      <c r="L9" s="231">
        <v>1</v>
      </c>
      <c r="N9" s="256">
        <v>1</v>
      </c>
      <c r="O9" s="257" t="s">
        <v>111</v>
      </c>
      <c r="P9" s="231">
        <f>C9+C42+C76+C109+C144+C179+C214+C250+C284+C320+C354+C389</f>
        <v>288</v>
      </c>
      <c r="Q9" s="231">
        <f>D9+D42+D76+D109+D144+D179+D214+D250+D284+D320+D354+D389</f>
        <v>25</v>
      </c>
      <c r="R9" s="231">
        <f>E9+E42+E76+E109+E144+E179+E214+E250+E284+E320+E354+E389</f>
        <v>831</v>
      </c>
      <c r="S9" s="231">
        <f>F9+F42+F76+F109+F144+F179+F214+F250+F284+F320+F354+F389</f>
        <v>14</v>
      </c>
      <c r="T9" s="231">
        <f aca="true" t="shared" si="0" ref="Q9:W20">G9+G42+G76+G109+G144+G179+G214+G250+G284+G320+G354+G389</f>
        <v>0</v>
      </c>
      <c r="U9" s="231">
        <f t="shared" si="0"/>
        <v>0</v>
      </c>
      <c r="V9" s="231">
        <f>I9+I42+I76+I109+I144+I179+I214+I250+I284+I320+I354+I389</f>
        <v>64</v>
      </c>
      <c r="W9" s="231">
        <f t="shared" si="0"/>
        <v>0</v>
      </c>
      <c r="X9" s="231">
        <f aca="true" t="shared" si="1" ref="X9:X20">SUM(P9+R9+T9+V9)</f>
        <v>1183</v>
      </c>
      <c r="Y9" s="231">
        <f>SUM(Q9+S9+U9+W9)</f>
        <v>39</v>
      </c>
      <c r="Z9" s="273">
        <f>SUM(X9:Y9)</f>
        <v>1222</v>
      </c>
    </row>
    <row r="10" spans="1:26" ht="12.75">
      <c r="A10" s="256">
        <v>2</v>
      </c>
      <c r="B10" s="257" t="s">
        <v>112</v>
      </c>
      <c r="C10" s="231">
        <v>0</v>
      </c>
      <c r="D10" s="231">
        <v>0</v>
      </c>
      <c r="E10" s="231">
        <v>0</v>
      </c>
      <c r="F10" s="231">
        <v>0</v>
      </c>
      <c r="G10" s="231">
        <v>0</v>
      </c>
      <c r="H10" s="231">
        <v>0</v>
      </c>
      <c r="I10" s="231">
        <v>0</v>
      </c>
      <c r="J10" s="231">
        <v>0</v>
      </c>
      <c r="K10" s="231">
        <v>0</v>
      </c>
      <c r="L10" s="231">
        <v>0</v>
      </c>
      <c r="N10" s="256">
        <v>2</v>
      </c>
      <c r="O10" s="257" t="s">
        <v>112</v>
      </c>
      <c r="P10" s="231">
        <f aca="true" t="shared" si="2" ref="P10:P20">C10+C43+C77+C110+C145+C180+C215+C251+C285+C321+C355+C390</f>
        <v>0</v>
      </c>
      <c r="Q10" s="231">
        <f t="shared" si="0"/>
        <v>0</v>
      </c>
      <c r="R10" s="231">
        <f t="shared" si="0"/>
        <v>0</v>
      </c>
      <c r="S10" s="231">
        <f t="shared" si="0"/>
        <v>0</v>
      </c>
      <c r="T10" s="231">
        <f t="shared" si="0"/>
        <v>0</v>
      </c>
      <c r="U10" s="231">
        <f t="shared" si="0"/>
        <v>0</v>
      </c>
      <c r="V10" s="231">
        <f t="shared" si="0"/>
        <v>0</v>
      </c>
      <c r="W10" s="231">
        <f t="shared" si="0"/>
        <v>0</v>
      </c>
      <c r="X10" s="231">
        <f t="shared" si="1"/>
        <v>0</v>
      </c>
      <c r="Y10" s="231">
        <f aca="true" t="shared" si="3" ref="Y10:Y20">SUM(Q10+S10+U10+W10)</f>
        <v>0</v>
      </c>
      <c r="Z10" s="273">
        <f>SUM(X10:Y10)</f>
        <v>0</v>
      </c>
    </row>
    <row r="11" spans="1:26" ht="12.75">
      <c r="A11" s="256">
        <v>3</v>
      </c>
      <c r="B11" s="257" t="s">
        <v>113</v>
      </c>
      <c r="C11" s="231">
        <v>92</v>
      </c>
      <c r="D11" s="231">
        <v>9</v>
      </c>
      <c r="E11" s="231">
        <v>14</v>
      </c>
      <c r="F11" s="231">
        <v>0</v>
      </c>
      <c r="G11" s="231">
        <v>18</v>
      </c>
      <c r="H11" s="231">
        <v>0</v>
      </c>
      <c r="I11" s="231">
        <v>1</v>
      </c>
      <c r="J11" s="231">
        <v>0</v>
      </c>
      <c r="K11" s="231">
        <v>125</v>
      </c>
      <c r="L11" s="231">
        <v>9</v>
      </c>
      <c r="N11" s="256">
        <v>3</v>
      </c>
      <c r="O11" s="257" t="s">
        <v>113</v>
      </c>
      <c r="P11" s="231">
        <f aca="true" t="shared" si="4" ref="P11:V11">C11+C44+C78+C111+C146+C181+C216+C252+C286+C322+C356+C391</f>
        <v>1092</v>
      </c>
      <c r="Q11" s="231">
        <f t="shared" si="4"/>
        <v>79</v>
      </c>
      <c r="R11" s="231">
        <f t="shared" si="4"/>
        <v>1010</v>
      </c>
      <c r="S11" s="231">
        <f t="shared" si="4"/>
        <v>27</v>
      </c>
      <c r="T11" s="231">
        <f t="shared" si="4"/>
        <v>146</v>
      </c>
      <c r="U11" s="231">
        <f t="shared" si="4"/>
        <v>1</v>
      </c>
      <c r="V11" s="231">
        <f t="shared" si="4"/>
        <v>50</v>
      </c>
      <c r="W11" s="231">
        <f t="shared" si="0"/>
        <v>0</v>
      </c>
      <c r="X11" s="231">
        <f t="shared" si="1"/>
        <v>2298</v>
      </c>
      <c r="Y11" s="231">
        <f t="shared" si="3"/>
        <v>107</v>
      </c>
      <c r="Z11" s="273">
        <f aca="true" t="shared" si="5" ref="Z11:Z23">SUM(X11:Y11)</f>
        <v>2405</v>
      </c>
    </row>
    <row r="12" spans="1:26" ht="12.75">
      <c r="A12" s="256">
        <v>4</v>
      </c>
      <c r="B12" s="257" t="s">
        <v>114</v>
      </c>
      <c r="C12" s="231">
        <v>0</v>
      </c>
      <c r="D12" s="231">
        <v>0</v>
      </c>
      <c r="E12" s="231">
        <v>0</v>
      </c>
      <c r="F12" s="231">
        <v>0</v>
      </c>
      <c r="G12" s="231">
        <v>0</v>
      </c>
      <c r="H12" s="231">
        <v>0</v>
      </c>
      <c r="I12" s="231">
        <v>0</v>
      </c>
      <c r="J12" s="231">
        <v>0</v>
      </c>
      <c r="K12" s="231">
        <v>0</v>
      </c>
      <c r="L12" s="231">
        <v>0</v>
      </c>
      <c r="N12" s="256">
        <v>4</v>
      </c>
      <c r="O12" s="257" t="s">
        <v>114</v>
      </c>
      <c r="P12" s="231">
        <f t="shared" si="2"/>
        <v>0</v>
      </c>
      <c r="Q12" s="231">
        <f t="shared" si="0"/>
        <v>0</v>
      </c>
      <c r="R12" s="231">
        <f t="shared" si="0"/>
        <v>0</v>
      </c>
      <c r="S12" s="231">
        <f t="shared" si="0"/>
        <v>0</v>
      </c>
      <c r="T12" s="231">
        <f t="shared" si="0"/>
        <v>0</v>
      </c>
      <c r="U12" s="231">
        <f t="shared" si="0"/>
        <v>0</v>
      </c>
      <c r="V12" s="231">
        <f t="shared" si="0"/>
        <v>0</v>
      </c>
      <c r="W12" s="231">
        <f t="shared" si="0"/>
        <v>0</v>
      </c>
      <c r="X12" s="231">
        <f t="shared" si="1"/>
        <v>0</v>
      </c>
      <c r="Y12" s="231">
        <f t="shared" si="3"/>
        <v>0</v>
      </c>
      <c r="Z12" s="273">
        <f t="shared" si="5"/>
        <v>0</v>
      </c>
    </row>
    <row r="13" spans="1:26" ht="12.75">
      <c r="A13" s="256">
        <v>5</v>
      </c>
      <c r="B13" s="257" t="s">
        <v>115</v>
      </c>
      <c r="C13" s="231">
        <v>0</v>
      </c>
      <c r="D13" s="231">
        <v>0</v>
      </c>
      <c r="E13" s="231">
        <v>185</v>
      </c>
      <c r="F13" s="231">
        <v>13</v>
      </c>
      <c r="G13" s="231">
        <v>0</v>
      </c>
      <c r="H13" s="231">
        <v>0</v>
      </c>
      <c r="I13" s="231">
        <v>740</v>
      </c>
      <c r="J13" s="231">
        <v>52</v>
      </c>
      <c r="K13" s="231">
        <v>925</v>
      </c>
      <c r="L13" s="231">
        <v>65</v>
      </c>
      <c r="N13" s="256">
        <v>5</v>
      </c>
      <c r="O13" s="257" t="s">
        <v>115</v>
      </c>
      <c r="P13" s="231">
        <f t="shared" si="2"/>
        <v>0</v>
      </c>
      <c r="Q13" s="231">
        <f t="shared" si="0"/>
        <v>0</v>
      </c>
      <c r="R13" s="231">
        <f aca="true" t="shared" si="6" ref="R13:W13">E13+E46+E80+E113+E148+E183+E218+E254+E288+E324+E358+E393</f>
        <v>9572</v>
      </c>
      <c r="S13" s="231">
        <f t="shared" si="6"/>
        <v>359</v>
      </c>
      <c r="T13" s="231">
        <f t="shared" si="0"/>
        <v>0</v>
      </c>
      <c r="U13" s="231">
        <f t="shared" si="0"/>
        <v>0</v>
      </c>
      <c r="V13" s="231">
        <f t="shared" si="6"/>
        <v>17104</v>
      </c>
      <c r="W13" s="231">
        <f t="shared" si="6"/>
        <v>1436</v>
      </c>
      <c r="X13" s="231">
        <f t="shared" si="1"/>
        <v>26676</v>
      </c>
      <c r="Y13" s="231">
        <f t="shared" si="3"/>
        <v>1795</v>
      </c>
      <c r="Z13" s="273">
        <f t="shared" si="5"/>
        <v>28471</v>
      </c>
    </row>
    <row r="14" spans="1:26" ht="12.75">
      <c r="A14" s="256">
        <v>6</v>
      </c>
      <c r="B14" s="257" t="s">
        <v>116</v>
      </c>
      <c r="C14" s="231">
        <v>0</v>
      </c>
      <c r="D14" s="231">
        <v>0</v>
      </c>
      <c r="E14" s="231">
        <v>162</v>
      </c>
      <c r="F14" s="231">
        <v>15</v>
      </c>
      <c r="G14" s="231">
        <v>0</v>
      </c>
      <c r="H14" s="231">
        <v>0</v>
      </c>
      <c r="I14" s="231">
        <v>648</v>
      </c>
      <c r="J14" s="231">
        <v>60</v>
      </c>
      <c r="K14" s="231">
        <v>810</v>
      </c>
      <c r="L14" s="231">
        <v>75</v>
      </c>
      <c r="N14" s="256">
        <v>6</v>
      </c>
      <c r="O14" s="257" t="s">
        <v>116</v>
      </c>
      <c r="P14" s="231">
        <f t="shared" si="2"/>
        <v>0</v>
      </c>
      <c r="Q14" s="231">
        <f t="shared" si="0"/>
        <v>0</v>
      </c>
      <c r="R14" s="231">
        <f aca="true" t="shared" si="7" ref="R14:W14">E14+E47+E81+E114+E149+E184+E219+E255+E289+E325+E359+E394</f>
        <v>5028</v>
      </c>
      <c r="S14" s="231">
        <f t="shared" si="7"/>
        <v>217</v>
      </c>
      <c r="T14" s="231">
        <f t="shared" si="0"/>
        <v>0</v>
      </c>
      <c r="U14" s="231">
        <f t="shared" si="0"/>
        <v>0</v>
      </c>
      <c r="V14" s="231">
        <f t="shared" si="7"/>
        <v>14464</v>
      </c>
      <c r="W14" s="231">
        <f t="shared" si="7"/>
        <v>868</v>
      </c>
      <c r="X14" s="231">
        <f t="shared" si="1"/>
        <v>19492</v>
      </c>
      <c r="Y14" s="231">
        <f t="shared" si="3"/>
        <v>1085</v>
      </c>
      <c r="Z14" s="273">
        <f t="shared" si="5"/>
        <v>20577</v>
      </c>
    </row>
    <row r="15" spans="1:26" ht="12.75">
      <c r="A15" s="256">
        <v>7</v>
      </c>
      <c r="B15" s="257" t="s">
        <v>117</v>
      </c>
      <c r="C15" s="231">
        <v>0</v>
      </c>
      <c r="D15" s="231">
        <v>0</v>
      </c>
      <c r="E15" s="231">
        <v>0</v>
      </c>
      <c r="F15" s="231">
        <v>0</v>
      </c>
      <c r="G15" s="231">
        <v>0</v>
      </c>
      <c r="H15" s="231">
        <v>0</v>
      </c>
      <c r="I15" s="231">
        <v>0</v>
      </c>
      <c r="J15" s="231">
        <v>0</v>
      </c>
      <c r="K15" s="231">
        <v>0</v>
      </c>
      <c r="L15" s="231">
        <v>0</v>
      </c>
      <c r="N15" s="256">
        <v>7</v>
      </c>
      <c r="O15" s="257" t="s">
        <v>117</v>
      </c>
      <c r="P15" s="231">
        <f t="shared" si="2"/>
        <v>0</v>
      </c>
      <c r="Q15" s="231">
        <f t="shared" si="0"/>
        <v>0</v>
      </c>
      <c r="R15" s="231">
        <f t="shared" si="0"/>
        <v>0</v>
      </c>
      <c r="S15" s="231">
        <f t="shared" si="0"/>
        <v>0</v>
      </c>
      <c r="T15" s="231">
        <f t="shared" si="0"/>
        <v>0</v>
      </c>
      <c r="U15" s="231">
        <f t="shared" si="0"/>
        <v>0</v>
      </c>
      <c r="V15" s="231">
        <f t="shared" si="0"/>
        <v>0</v>
      </c>
      <c r="W15" s="231">
        <f t="shared" si="0"/>
        <v>0</v>
      </c>
      <c r="X15" s="231">
        <f t="shared" si="1"/>
        <v>0</v>
      </c>
      <c r="Y15" s="231">
        <f t="shared" si="3"/>
        <v>0</v>
      </c>
      <c r="Z15" s="273">
        <f t="shared" si="5"/>
        <v>0</v>
      </c>
    </row>
    <row r="16" spans="1:26" ht="12.75">
      <c r="A16" s="256">
        <v>8</v>
      </c>
      <c r="B16" s="257" t="s">
        <v>118</v>
      </c>
      <c r="C16" s="231">
        <v>0</v>
      </c>
      <c r="D16" s="231">
        <v>0</v>
      </c>
      <c r="E16" s="231">
        <v>0</v>
      </c>
      <c r="F16" s="231">
        <v>0</v>
      </c>
      <c r="G16" s="231">
        <v>0</v>
      </c>
      <c r="H16" s="231">
        <v>0</v>
      </c>
      <c r="I16" s="231">
        <v>0</v>
      </c>
      <c r="J16" s="231">
        <v>0</v>
      </c>
      <c r="K16" s="231">
        <v>0</v>
      </c>
      <c r="L16" s="231">
        <v>0</v>
      </c>
      <c r="N16" s="256">
        <v>8</v>
      </c>
      <c r="O16" s="257" t="s">
        <v>118</v>
      </c>
      <c r="P16" s="231">
        <f t="shared" si="2"/>
        <v>0</v>
      </c>
      <c r="Q16" s="231">
        <f t="shared" si="0"/>
        <v>0</v>
      </c>
      <c r="R16" s="231">
        <f t="shared" si="0"/>
        <v>0</v>
      </c>
      <c r="S16" s="231">
        <f t="shared" si="0"/>
        <v>0</v>
      </c>
      <c r="T16" s="231">
        <f t="shared" si="0"/>
        <v>0</v>
      </c>
      <c r="U16" s="231">
        <f t="shared" si="0"/>
        <v>0</v>
      </c>
      <c r="V16" s="231">
        <f t="shared" si="0"/>
        <v>0</v>
      </c>
      <c r="W16" s="231">
        <f t="shared" si="0"/>
        <v>0</v>
      </c>
      <c r="X16" s="231">
        <f t="shared" si="1"/>
        <v>0</v>
      </c>
      <c r="Y16" s="231">
        <f t="shared" si="3"/>
        <v>0</v>
      </c>
      <c r="Z16" s="273">
        <f t="shared" si="5"/>
        <v>0</v>
      </c>
    </row>
    <row r="17" spans="1:26" ht="12.75">
      <c r="A17" s="256">
        <v>9</v>
      </c>
      <c r="B17" s="257" t="s">
        <v>119</v>
      </c>
      <c r="C17" s="231">
        <v>0</v>
      </c>
      <c r="D17" s="231">
        <v>0</v>
      </c>
      <c r="E17" s="231">
        <v>0</v>
      </c>
      <c r="F17" s="231">
        <v>0</v>
      </c>
      <c r="G17" s="231">
        <v>0</v>
      </c>
      <c r="H17" s="231">
        <v>0</v>
      </c>
      <c r="I17" s="231">
        <v>794300</v>
      </c>
      <c r="J17" s="231">
        <v>0</v>
      </c>
      <c r="K17" s="231">
        <v>794300</v>
      </c>
      <c r="L17" s="231">
        <v>0</v>
      </c>
      <c r="N17" s="256">
        <v>9</v>
      </c>
      <c r="O17" s="257" t="s">
        <v>119</v>
      </c>
      <c r="P17" s="231">
        <f t="shared" si="2"/>
        <v>0</v>
      </c>
      <c r="Q17" s="231">
        <f t="shared" si="0"/>
        <v>0</v>
      </c>
      <c r="R17" s="231">
        <f t="shared" si="0"/>
        <v>0</v>
      </c>
      <c r="S17" s="231">
        <f t="shared" si="0"/>
        <v>0</v>
      </c>
      <c r="T17" s="231">
        <f t="shared" si="0"/>
        <v>0</v>
      </c>
      <c r="U17" s="231">
        <f t="shared" si="0"/>
        <v>0</v>
      </c>
      <c r="V17" s="231">
        <f>I17+I50+I84+I117+I152+I187+I222+I258+I292+I328+I362+I397</f>
        <v>10780150</v>
      </c>
      <c r="W17" s="231">
        <f t="shared" si="0"/>
        <v>0</v>
      </c>
      <c r="X17" s="231">
        <f t="shared" si="1"/>
        <v>10780150</v>
      </c>
      <c r="Y17" s="231">
        <f t="shared" si="3"/>
        <v>0</v>
      </c>
      <c r="Z17" s="273">
        <f t="shared" si="5"/>
        <v>10780150</v>
      </c>
    </row>
    <row r="18" spans="1:26" ht="12.75">
      <c r="A18" s="256">
        <v>10</v>
      </c>
      <c r="B18" s="257" t="s">
        <v>120</v>
      </c>
      <c r="C18" s="231">
        <v>0</v>
      </c>
      <c r="D18" s="231">
        <v>0</v>
      </c>
      <c r="E18" s="231">
        <v>0</v>
      </c>
      <c r="F18" s="231">
        <v>0</v>
      </c>
      <c r="G18" s="231">
        <v>0</v>
      </c>
      <c r="H18" s="231">
        <v>0</v>
      </c>
      <c r="I18" s="231">
        <v>63625</v>
      </c>
      <c r="J18" s="231">
        <v>0</v>
      </c>
      <c r="K18" s="231">
        <v>63625</v>
      </c>
      <c r="L18" s="231">
        <v>0</v>
      </c>
      <c r="N18" s="256">
        <v>10</v>
      </c>
      <c r="O18" s="257" t="s">
        <v>120</v>
      </c>
      <c r="P18" s="231">
        <f t="shared" si="2"/>
        <v>0</v>
      </c>
      <c r="Q18" s="231">
        <f t="shared" si="0"/>
        <v>0</v>
      </c>
      <c r="R18" s="231">
        <f t="shared" si="0"/>
        <v>0</v>
      </c>
      <c r="S18" s="231">
        <f t="shared" si="0"/>
        <v>0</v>
      </c>
      <c r="T18" s="231">
        <f t="shared" si="0"/>
        <v>0</v>
      </c>
      <c r="U18" s="231">
        <f t="shared" si="0"/>
        <v>0</v>
      </c>
      <c r="V18" s="231">
        <f>I18+I51+I85+I118+I153+I188+I223+I259+I293+I329+I363+I398</f>
        <v>773148</v>
      </c>
      <c r="W18" s="231">
        <f t="shared" si="0"/>
        <v>0</v>
      </c>
      <c r="X18" s="231">
        <f t="shared" si="1"/>
        <v>773148</v>
      </c>
      <c r="Y18" s="231">
        <f t="shared" si="3"/>
        <v>0</v>
      </c>
      <c r="Z18" s="273">
        <f t="shared" si="5"/>
        <v>773148</v>
      </c>
    </row>
    <row r="19" spans="1:26" ht="12.75">
      <c r="A19" s="256">
        <v>11</v>
      </c>
      <c r="B19" s="257" t="s">
        <v>121</v>
      </c>
      <c r="C19" s="231">
        <v>0</v>
      </c>
      <c r="D19" s="231">
        <v>0</v>
      </c>
      <c r="E19" s="231">
        <v>0</v>
      </c>
      <c r="F19" s="231">
        <v>0</v>
      </c>
      <c r="G19" s="231">
        <v>0</v>
      </c>
      <c r="H19" s="231">
        <v>0</v>
      </c>
      <c r="I19" s="231">
        <v>9980</v>
      </c>
      <c r="J19" s="231">
        <v>0</v>
      </c>
      <c r="K19" s="231">
        <v>9980</v>
      </c>
      <c r="L19" s="231">
        <v>0</v>
      </c>
      <c r="N19" s="256">
        <v>11</v>
      </c>
      <c r="O19" s="257" t="s">
        <v>121</v>
      </c>
      <c r="P19" s="231">
        <f t="shared" si="2"/>
        <v>0</v>
      </c>
      <c r="Q19" s="231">
        <f t="shared" si="0"/>
        <v>0</v>
      </c>
      <c r="R19" s="231">
        <f t="shared" si="0"/>
        <v>0</v>
      </c>
      <c r="S19" s="231">
        <f t="shared" si="0"/>
        <v>0</v>
      </c>
      <c r="T19" s="231">
        <f t="shared" si="0"/>
        <v>0</v>
      </c>
      <c r="U19" s="231">
        <f t="shared" si="0"/>
        <v>0</v>
      </c>
      <c r="V19" s="231">
        <f>I19+I52+I86+I119+I154+I189+I224+I260+I294+I330+I364+I399</f>
        <v>118319.21979999999</v>
      </c>
      <c r="W19" s="231">
        <f t="shared" si="0"/>
        <v>0</v>
      </c>
      <c r="X19" s="231">
        <f t="shared" si="1"/>
        <v>118319.21979999999</v>
      </c>
      <c r="Y19" s="231">
        <f t="shared" si="3"/>
        <v>0</v>
      </c>
      <c r="Z19" s="273">
        <f t="shared" si="5"/>
        <v>118319.21979999999</v>
      </c>
    </row>
    <row r="20" spans="1:26" ht="12.75">
      <c r="A20" s="256">
        <v>12</v>
      </c>
      <c r="B20" s="257" t="s">
        <v>145</v>
      </c>
      <c r="C20" s="231">
        <v>0</v>
      </c>
      <c r="D20" s="231">
        <v>0</v>
      </c>
      <c r="E20" s="231">
        <v>0</v>
      </c>
      <c r="F20" s="231">
        <v>0</v>
      </c>
      <c r="G20" s="231">
        <v>0</v>
      </c>
      <c r="H20" s="231">
        <v>0</v>
      </c>
      <c r="I20" s="231">
        <v>2420</v>
      </c>
      <c r="J20" s="231">
        <v>0</v>
      </c>
      <c r="K20" s="231">
        <v>2420</v>
      </c>
      <c r="L20" s="231">
        <v>0</v>
      </c>
      <c r="N20" s="256">
        <v>12</v>
      </c>
      <c r="O20" s="257" t="s">
        <v>145</v>
      </c>
      <c r="P20" s="231">
        <f t="shared" si="2"/>
        <v>0</v>
      </c>
      <c r="Q20" s="231">
        <f t="shared" si="0"/>
        <v>0</v>
      </c>
      <c r="R20" s="231">
        <f t="shared" si="0"/>
        <v>0</v>
      </c>
      <c r="S20" s="231">
        <f t="shared" si="0"/>
        <v>0</v>
      </c>
      <c r="T20" s="231">
        <f t="shared" si="0"/>
        <v>0</v>
      </c>
      <c r="U20" s="231">
        <f t="shared" si="0"/>
        <v>0</v>
      </c>
      <c r="V20" s="231">
        <f>I20+I53+I87+I120+I155+I190+I225+I261+I295+I331+I365+I400</f>
        <v>33910</v>
      </c>
      <c r="W20" s="231">
        <f t="shared" si="0"/>
        <v>0</v>
      </c>
      <c r="X20" s="231">
        <f t="shared" si="1"/>
        <v>33910</v>
      </c>
      <c r="Y20" s="231">
        <f t="shared" si="3"/>
        <v>0</v>
      </c>
      <c r="Z20" s="273">
        <f t="shared" si="5"/>
        <v>33910</v>
      </c>
    </row>
    <row r="21" spans="1:26" ht="12.75">
      <c r="A21" s="256"/>
      <c r="B21" s="257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N21" s="256"/>
      <c r="O21" s="257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73">
        <f t="shared" si="5"/>
        <v>0</v>
      </c>
    </row>
    <row r="22" spans="1:26" ht="25.5">
      <c r="A22" s="257"/>
      <c r="B22" s="257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N22" s="261"/>
      <c r="O22" s="262" t="s">
        <v>146</v>
      </c>
      <c r="P22" s="263">
        <f aca="true" t="shared" si="8" ref="P22:Y22">SUM(P9:P15)</f>
        <v>1380</v>
      </c>
      <c r="Q22" s="263">
        <f t="shared" si="8"/>
        <v>104</v>
      </c>
      <c r="R22" s="263">
        <f t="shared" si="8"/>
        <v>16441</v>
      </c>
      <c r="S22" s="263">
        <f t="shared" si="8"/>
        <v>617</v>
      </c>
      <c r="T22" s="263">
        <f t="shared" si="8"/>
        <v>146</v>
      </c>
      <c r="U22" s="263">
        <f t="shared" si="8"/>
        <v>1</v>
      </c>
      <c r="V22" s="263">
        <f t="shared" si="8"/>
        <v>31682</v>
      </c>
      <c r="W22" s="263">
        <f t="shared" si="8"/>
        <v>2304</v>
      </c>
      <c r="X22" s="263">
        <f t="shared" si="8"/>
        <v>49649</v>
      </c>
      <c r="Y22" s="263">
        <f t="shared" si="8"/>
        <v>3026</v>
      </c>
      <c r="Z22" s="274">
        <f t="shared" si="5"/>
        <v>52675</v>
      </c>
    </row>
    <row r="23" spans="1:26" ht="12.75">
      <c r="A23" s="257"/>
      <c r="B23" s="257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N23" s="257"/>
      <c r="O23" s="264" t="s">
        <v>147</v>
      </c>
      <c r="P23" s="265">
        <f aca="true" t="shared" si="9" ref="P23:Y23">SUM(P9:P21)</f>
        <v>1380</v>
      </c>
      <c r="Q23" s="265">
        <f t="shared" si="9"/>
        <v>104</v>
      </c>
      <c r="R23" s="265">
        <f t="shared" si="9"/>
        <v>16441</v>
      </c>
      <c r="S23" s="265">
        <f t="shared" si="9"/>
        <v>617</v>
      </c>
      <c r="T23" s="265">
        <f t="shared" si="9"/>
        <v>146</v>
      </c>
      <c r="U23" s="265">
        <f t="shared" si="9"/>
        <v>1</v>
      </c>
      <c r="V23" s="265">
        <f t="shared" si="9"/>
        <v>11737209.2198</v>
      </c>
      <c r="W23" s="265">
        <f t="shared" si="9"/>
        <v>2304</v>
      </c>
      <c r="X23" s="265">
        <f t="shared" si="9"/>
        <v>11755176.2198</v>
      </c>
      <c r="Y23" s="265">
        <f t="shared" si="9"/>
        <v>3026</v>
      </c>
      <c r="Z23" s="275">
        <f t="shared" si="5"/>
        <v>11758202.2198</v>
      </c>
    </row>
    <row r="24" spans="1:26" ht="12.75">
      <c r="A24" s="253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N24" s="253"/>
      <c r="O24" s="253" t="s">
        <v>148</v>
      </c>
      <c r="P24" s="266">
        <v>1494</v>
      </c>
      <c r="Q24" s="266">
        <v>116</v>
      </c>
      <c r="R24" s="266">
        <v>12336</v>
      </c>
      <c r="S24" s="266">
        <v>549</v>
      </c>
      <c r="T24" s="266">
        <v>169</v>
      </c>
      <c r="U24" s="266">
        <v>5</v>
      </c>
      <c r="V24" s="266">
        <v>9289083.7516</v>
      </c>
      <c r="W24" s="266">
        <v>2092</v>
      </c>
      <c r="X24" s="266">
        <v>9303082.7516</v>
      </c>
      <c r="Y24" s="266">
        <v>2762</v>
      </c>
      <c r="Z24" s="266">
        <v>9305844.7516</v>
      </c>
    </row>
    <row r="26" spans="9:22" ht="12.75">
      <c r="I26" s="250" t="s">
        <v>149</v>
      </c>
      <c r="V26" s="259" t="s">
        <v>150</v>
      </c>
    </row>
    <row r="27" ht="12.75">
      <c r="V27" s="259"/>
    </row>
    <row r="28" spans="8:22" ht="12.75">
      <c r="H28" s="258"/>
      <c r="I28" s="259" t="s">
        <v>60</v>
      </c>
      <c r="V28" s="259" t="s">
        <v>60</v>
      </c>
    </row>
    <row r="29" spans="8:22" ht="12.75">
      <c r="H29" s="259"/>
      <c r="I29" s="259" t="s">
        <v>61</v>
      </c>
      <c r="V29" s="259" t="s">
        <v>61</v>
      </c>
    </row>
    <row r="30" spans="8:22" ht="12.75">
      <c r="H30" s="259"/>
      <c r="I30" s="259"/>
      <c r="U30" s="258"/>
      <c r="V30" s="259"/>
    </row>
    <row r="31" spans="8:22" ht="12.75">
      <c r="H31" s="259"/>
      <c r="J31" s="267"/>
      <c r="U31" s="259"/>
      <c r="V31" s="259"/>
    </row>
    <row r="32" spans="1:22" ht="12.75">
      <c r="A32" s="260" t="s">
        <v>151</v>
      </c>
      <c r="H32" s="259"/>
      <c r="I32" s="268" t="s">
        <v>62</v>
      </c>
      <c r="U32" s="259"/>
      <c r="V32" s="268" t="s">
        <v>62</v>
      </c>
    </row>
    <row r="33" spans="8:22" ht="12.75">
      <c r="H33" s="259"/>
      <c r="I33" s="259" t="s">
        <v>125</v>
      </c>
      <c r="U33" s="259"/>
      <c r="V33" s="259" t="s">
        <v>125</v>
      </c>
    </row>
    <row r="34" spans="1:23" ht="12.75">
      <c r="A34" s="249" t="s">
        <v>136</v>
      </c>
      <c r="B34" s="249"/>
      <c r="C34" s="249"/>
      <c r="D34" s="249"/>
      <c r="N34" s="260"/>
      <c r="U34" s="259"/>
      <c r="V34" s="268"/>
      <c r="W34" s="267"/>
    </row>
    <row r="35" spans="21:22" ht="12.75">
      <c r="U35" s="259"/>
      <c r="V35" s="259"/>
    </row>
    <row r="36" spans="1:23" ht="12.75">
      <c r="A36" s="250" t="s">
        <v>152</v>
      </c>
      <c r="U36" s="259"/>
      <c r="V36" s="268"/>
      <c r="W36" s="267"/>
    </row>
    <row r="37" ht="12.75">
      <c r="V37" s="259"/>
    </row>
    <row r="39" spans="1:27" ht="12.75">
      <c r="A39" s="251" t="s">
        <v>102</v>
      </c>
      <c r="B39" s="251" t="s">
        <v>103</v>
      </c>
      <c r="C39" s="491" t="s">
        <v>139</v>
      </c>
      <c r="D39" s="492"/>
      <c r="E39" s="491" t="s">
        <v>140</v>
      </c>
      <c r="F39" s="492"/>
      <c r="G39" s="491" t="s">
        <v>141</v>
      </c>
      <c r="H39" s="492"/>
      <c r="I39" s="491" t="s">
        <v>142</v>
      </c>
      <c r="J39" s="492"/>
      <c r="K39" s="491" t="s">
        <v>84</v>
      </c>
      <c r="L39" s="492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</row>
    <row r="40" spans="1:27" ht="12.75">
      <c r="A40" s="253"/>
      <c r="B40" s="253"/>
      <c r="C40" s="254" t="s">
        <v>143</v>
      </c>
      <c r="D40" s="254" t="s">
        <v>144</v>
      </c>
      <c r="E40" s="254" t="s">
        <v>143</v>
      </c>
      <c r="F40" s="254" t="s">
        <v>144</v>
      </c>
      <c r="G40" s="252" t="s">
        <v>143</v>
      </c>
      <c r="H40" s="254" t="s">
        <v>144</v>
      </c>
      <c r="I40" s="252" t="s">
        <v>143</v>
      </c>
      <c r="J40" s="254" t="s">
        <v>144</v>
      </c>
      <c r="K40" s="252" t="s">
        <v>143</v>
      </c>
      <c r="L40" s="254" t="s">
        <v>144</v>
      </c>
      <c r="N40" s="270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</row>
    <row r="41" spans="1:27" ht="12.75">
      <c r="A41" s="255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</row>
    <row r="42" spans="1:27" ht="12.75">
      <c r="A42" s="256">
        <v>1</v>
      </c>
      <c r="B42" s="257" t="s">
        <v>111</v>
      </c>
      <c r="C42" s="231">
        <v>19</v>
      </c>
      <c r="D42" s="231">
        <v>3</v>
      </c>
      <c r="E42" s="231">
        <v>2</v>
      </c>
      <c r="F42" s="231">
        <v>1</v>
      </c>
      <c r="G42" s="231">
        <v>0</v>
      </c>
      <c r="H42" s="231">
        <v>0</v>
      </c>
      <c r="I42" s="231">
        <v>0</v>
      </c>
      <c r="J42" s="231">
        <v>0</v>
      </c>
      <c r="K42" s="231">
        <v>21</v>
      </c>
      <c r="L42" s="231">
        <v>4</v>
      </c>
      <c r="N42" s="271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</row>
    <row r="43" spans="1:27" ht="12.75">
      <c r="A43" s="256">
        <v>2</v>
      </c>
      <c r="B43" s="257" t="s">
        <v>112</v>
      </c>
      <c r="C43" s="231">
        <v>0</v>
      </c>
      <c r="D43" s="231">
        <v>0</v>
      </c>
      <c r="E43" s="231">
        <v>0</v>
      </c>
      <c r="F43" s="231">
        <v>0</v>
      </c>
      <c r="G43" s="231">
        <v>0</v>
      </c>
      <c r="H43" s="231">
        <v>0</v>
      </c>
      <c r="I43" s="231">
        <v>0</v>
      </c>
      <c r="J43" s="231">
        <v>0</v>
      </c>
      <c r="K43" s="231">
        <v>0</v>
      </c>
      <c r="L43" s="231">
        <v>0</v>
      </c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</row>
    <row r="44" spans="1:27" ht="12.75">
      <c r="A44" s="256">
        <v>3</v>
      </c>
      <c r="B44" s="257" t="s">
        <v>113</v>
      </c>
      <c r="C44" s="231">
        <v>94</v>
      </c>
      <c r="D44" s="231">
        <v>6</v>
      </c>
      <c r="E44" s="231">
        <v>18</v>
      </c>
      <c r="F44" s="231">
        <v>2</v>
      </c>
      <c r="G44" s="231">
        <v>18</v>
      </c>
      <c r="H44" s="231">
        <v>0</v>
      </c>
      <c r="I44" s="231">
        <v>1</v>
      </c>
      <c r="J44" s="231">
        <v>0</v>
      </c>
      <c r="K44" s="231">
        <v>131</v>
      </c>
      <c r="L44" s="231">
        <v>8</v>
      </c>
      <c r="N44" s="269"/>
      <c r="O44" s="269"/>
      <c r="P44" s="495"/>
      <c r="Q44" s="495"/>
      <c r="R44" s="495"/>
      <c r="S44" s="495"/>
      <c r="T44" s="495"/>
      <c r="U44" s="495"/>
      <c r="V44" s="495"/>
      <c r="W44" s="495"/>
      <c r="X44" s="495"/>
      <c r="Y44" s="495"/>
      <c r="Z44" s="271"/>
      <c r="AA44" s="269"/>
    </row>
    <row r="45" spans="1:27" ht="12.75">
      <c r="A45" s="256">
        <v>4</v>
      </c>
      <c r="B45" s="257" t="s">
        <v>114</v>
      </c>
      <c r="C45" s="231">
        <v>0</v>
      </c>
      <c r="D45" s="231">
        <v>0</v>
      </c>
      <c r="E45" s="231">
        <v>0</v>
      </c>
      <c r="F45" s="231">
        <v>0</v>
      </c>
      <c r="G45" s="231">
        <v>0</v>
      </c>
      <c r="H45" s="231">
        <v>0</v>
      </c>
      <c r="I45" s="231">
        <v>0</v>
      </c>
      <c r="J45" s="231">
        <v>0</v>
      </c>
      <c r="K45" s="231">
        <v>0</v>
      </c>
      <c r="L45" s="231">
        <v>0</v>
      </c>
      <c r="N45" s="269"/>
      <c r="O45" s="269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69"/>
      <c r="AA45" s="269"/>
    </row>
    <row r="46" spans="1:27" ht="12.75">
      <c r="A46" s="256">
        <v>5</v>
      </c>
      <c r="B46" s="257" t="s">
        <v>115</v>
      </c>
      <c r="C46" s="231">
        <v>0</v>
      </c>
      <c r="D46" s="231">
        <v>0</v>
      </c>
      <c r="E46" s="231">
        <v>227</v>
      </c>
      <c r="F46" s="231">
        <v>35</v>
      </c>
      <c r="G46" s="231">
        <v>0</v>
      </c>
      <c r="H46" s="231">
        <v>0</v>
      </c>
      <c r="I46" s="231">
        <v>908</v>
      </c>
      <c r="J46" s="231">
        <v>140</v>
      </c>
      <c r="K46" s="231">
        <v>1135</v>
      </c>
      <c r="L46" s="231">
        <v>175</v>
      </c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</row>
    <row r="47" spans="1:27" ht="12.75">
      <c r="A47" s="256">
        <v>6</v>
      </c>
      <c r="B47" s="257" t="s">
        <v>116</v>
      </c>
      <c r="C47" s="231">
        <v>0</v>
      </c>
      <c r="D47" s="231">
        <v>0</v>
      </c>
      <c r="E47" s="231">
        <v>185</v>
      </c>
      <c r="F47" s="231">
        <v>16</v>
      </c>
      <c r="G47" s="231">
        <v>0</v>
      </c>
      <c r="H47" s="231">
        <v>0</v>
      </c>
      <c r="I47" s="231">
        <v>740</v>
      </c>
      <c r="J47" s="231">
        <v>64</v>
      </c>
      <c r="K47" s="231">
        <v>925</v>
      </c>
      <c r="L47" s="231">
        <v>80</v>
      </c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</row>
    <row r="48" spans="1:27" ht="12.75">
      <c r="A48" s="256">
        <v>7</v>
      </c>
      <c r="B48" s="257" t="s">
        <v>117</v>
      </c>
      <c r="C48" s="231">
        <v>0</v>
      </c>
      <c r="D48" s="231">
        <v>0</v>
      </c>
      <c r="E48" s="231">
        <v>0</v>
      </c>
      <c r="F48" s="231">
        <v>0</v>
      </c>
      <c r="G48" s="231">
        <v>0</v>
      </c>
      <c r="H48" s="231">
        <v>0</v>
      </c>
      <c r="I48" s="231">
        <v>0</v>
      </c>
      <c r="J48" s="231">
        <v>0</v>
      </c>
      <c r="K48" s="231">
        <v>0</v>
      </c>
      <c r="L48" s="231">
        <v>0</v>
      </c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</row>
    <row r="49" spans="1:27" ht="12.75">
      <c r="A49" s="256">
        <v>8</v>
      </c>
      <c r="B49" s="257" t="s">
        <v>118</v>
      </c>
      <c r="C49" s="231">
        <v>0</v>
      </c>
      <c r="D49" s="231">
        <v>0</v>
      </c>
      <c r="E49" s="231">
        <v>0</v>
      </c>
      <c r="F49" s="231">
        <v>0</v>
      </c>
      <c r="G49" s="231">
        <v>0</v>
      </c>
      <c r="H49" s="231">
        <v>0</v>
      </c>
      <c r="I49" s="231">
        <v>0</v>
      </c>
      <c r="J49" s="231">
        <v>0</v>
      </c>
      <c r="K49" s="231">
        <v>0</v>
      </c>
      <c r="L49" s="231">
        <v>0</v>
      </c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</row>
    <row r="50" spans="1:27" ht="12.75">
      <c r="A50" s="256">
        <v>9</v>
      </c>
      <c r="B50" s="257" t="s">
        <v>119</v>
      </c>
      <c r="C50" s="231">
        <v>0</v>
      </c>
      <c r="D50" s="231">
        <v>0</v>
      </c>
      <c r="E50" s="231">
        <v>0</v>
      </c>
      <c r="F50" s="231">
        <v>0</v>
      </c>
      <c r="G50" s="231">
        <v>0</v>
      </c>
      <c r="H50" s="231">
        <v>0</v>
      </c>
      <c r="I50" s="231">
        <v>773000</v>
      </c>
      <c r="J50" s="231">
        <v>0</v>
      </c>
      <c r="K50" s="231">
        <v>773000</v>
      </c>
      <c r="L50" s="231">
        <v>0</v>
      </c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</row>
    <row r="51" spans="1:27" ht="12.75">
      <c r="A51" s="256">
        <v>10</v>
      </c>
      <c r="B51" s="257" t="s">
        <v>120</v>
      </c>
      <c r="C51" s="231">
        <v>0</v>
      </c>
      <c r="D51" s="231">
        <v>0</v>
      </c>
      <c r="E51" s="231">
        <v>0</v>
      </c>
      <c r="F51" s="231">
        <v>0</v>
      </c>
      <c r="G51" s="231">
        <v>0</v>
      </c>
      <c r="H51" s="231">
        <v>0</v>
      </c>
      <c r="I51" s="231">
        <v>63756</v>
      </c>
      <c r="J51" s="231">
        <v>0</v>
      </c>
      <c r="K51" s="231">
        <v>63756</v>
      </c>
      <c r="L51" s="231">
        <v>0</v>
      </c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</row>
    <row r="52" spans="1:27" ht="12.75">
      <c r="A52" s="256">
        <v>11</v>
      </c>
      <c r="B52" s="257" t="s">
        <v>121</v>
      </c>
      <c r="C52" s="231">
        <v>0</v>
      </c>
      <c r="D52" s="231">
        <v>0</v>
      </c>
      <c r="E52" s="231">
        <v>0</v>
      </c>
      <c r="F52" s="231">
        <v>0</v>
      </c>
      <c r="G52" s="231">
        <v>0</v>
      </c>
      <c r="H52" s="231">
        <v>0</v>
      </c>
      <c r="I52" s="231">
        <v>9717</v>
      </c>
      <c r="J52" s="231">
        <v>0</v>
      </c>
      <c r="K52" s="231">
        <v>9717</v>
      </c>
      <c r="L52" s="231">
        <v>0</v>
      </c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</row>
    <row r="53" spans="1:27" ht="12.75">
      <c r="A53" s="256">
        <v>12</v>
      </c>
      <c r="B53" s="257" t="s">
        <v>145</v>
      </c>
      <c r="C53" s="231">
        <v>0</v>
      </c>
      <c r="D53" s="231">
        <v>0</v>
      </c>
      <c r="E53" s="231">
        <v>0</v>
      </c>
      <c r="F53" s="231">
        <v>0</v>
      </c>
      <c r="G53" s="231">
        <v>0</v>
      </c>
      <c r="H53" s="231">
        <v>0</v>
      </c>
      <c r="I53" s="231">
        <v>2420</v>
      </c>
      <c r="J53" s="231">
        <v>0</v>
      </c>
      <c r="K53" s="231">
        <v>2420</v>
      </c>
      <c r="L53" s="231">
        <v>0</v>
      </c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</row>
    <row r="54" spans="1:27" ht="12.75">
      <c r="A54" s="256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</row>
    <row r="55" spans="1:27" ht="12.75">
      <c r="A55" s="257"/>
      <c r="B55" s="257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</row>
    <row r="56" spans="1:27" ht="12.75">
      <c r="A56" s="257"/>
      <c r="B56" s="257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</row>
    <row r="57" spans="1:27" ht="12.75">
      <c r="A57" s="253"/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</row>
    <row r="58" spans="14:27" ht="12.75"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</row>
    <row r="59" spans="9:27" ht="12.75">
      <c r="I59" s="250" t="s">
        <v>153</v>
      </c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</row>
    <row r="60" spans="14:27" ht="12.75"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</row>
    <row r="61" spans="8:27" ht="12.75">
      <c r="H61" s="258"/>
      <c r="I61" s="259" t="s">
        <v>60</v>
      </c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</row>
    <row r="62" spans="8:27" ht="12.75">
      <c r="H62" s="259"/>
      <c r="I62" s="259" t="s">
        <v>61</v>
      </c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</row>
    <row r="63" spans="8:27" ht="12.75">
      <c r="H63" s="259"/>
      <c r="I63" s="25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69"/>
    </row>
    <row r="64" spans="8:27" ht="12.75">
      <c r="H64" s="259"/>
      <c r="I64" s="25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269"/>
      <c r="Z64" s="269"/>
      <c r="AA64" s="269"/>
    </row>
    <row r="65" spans="8:27" ht="12.75">
      <c r="H65" s="259"/>
      <c r="I65" s="268" t="s">
        <v>62</v>
      </c>
      <c r="J65" s="267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</row>
    <row r="66" spans="1:27" ht="12.75">
      <c r="A66" s="260" t="s">
        <v>151</v>
      </c>
      <c r="H66" s="259"/>
      <c r="I66" s="259" t="s">
        <v>125</v>
      </c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</row>
    <row r="67" spans="8:27" ht="12.75">
      <c r="H67" s="259"/>
      <c r="I67" s="25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</row>
    <row r="68" spans="1:27" ht="12.75">
      <c r="A68" s="249" t="s">
        <v>136</v>
      </c>
      <c r="B68" s="249"/>
      <c r="C68" s="249"/>
      <c r="D68" s="24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</row>
    <row r="69" spans="14:27" ht="12.75"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</row>
    <row r="70" spans="1:27" ht="12.75">
      <c r="A70" s="250" t="s">
        <v>154</v>
      </c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</row>
    <row r="71" spans="14:27" ht="12.75"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</row>
    <row r="72" spans="14:27" ht="12.75"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</row>
    <row r="73" spans="1:27" ht="12.75">
      <c r="A73" s="251" t="s">
        <v>102</v>
      </c>
      <c r="B73" s="251" t="s">
        <v>103</v>
      </c>
      <c r="C73" s="491" t="s">
        <v>139</v>
      </c>
      <c r="D73" s="492"/>
      <c r="E73" s="491" t="s">
        <v>140</v>
      </c>
      <c r="F73" s="492"/>
      <c r="G73" s="491" t="s">
        <v>141</v>
      </c>
      <c r="H73" s="492"/>
      <c r="I73" s="491" t="s">
        <v>142</v>
      </c>
      <c r="J73" s="492"/>
      <c r="K73" s="491" t="s">
        <v>84</v>
      </c>
      <c r="L73" s="492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</row>
    <row r="74" spans="1:27" ht="12.75">
      <c r="A74" s="253"/>
      <c r="B74" s="253"/>
      <c r="C74" s="254" t="s">
        <v>143</v>
      </c>
      <c r="D74" s="254" t="s">
        <v>144</v>
      </c>
      <c r="E74" s="254" t="s">
        <v>143</v>
      </c>
      <c r="F74" s="254" t="s">
        <v>144</v>
      </c>
      <c r="G74" s="252" t="s">
        <v>143</v>
      </c>
      <c r="H74" s="254" t="s">
        <v>144</v>
      </c>
      <c r="I74" s="252" t="s">
        <v>143</v>
      </c>
      <c r="J74" s="254" t="s">
        <v>144</v>
      </c>
      <c r="K74" s="252" t="s">
        <v>143</v>
      </c>
      <c r="L74" s="254" t="s">
        <v>144</v>
      </c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</row>
    <row r="75" spans="1:27" ht="12.75">
      <c r="A75" s="255"/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</row>
    <row r="76" spans="1:27" ht="12.75">
      <c r="A76" s="256">
        <v>1</v>
      </c>
      <c r="B76" s="257" t="s">
        <v>111</v>
      </c>
      <c r="C76" s="231">
        <v>20</v>
      </c>
      <c r="D76" s="231">
        <v>2</v>
      </c>
      <c r="E76" s="231">
        <v>3</v>
      </c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23</v>
      </c>
      <c r="L76" s="231">
        <v>2</v>
      </c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</row>
    <row r="77" spans="1:27" ht="12.75">
      <c r="A77" s="256">
        <v>2</v>
      </c>
      <c r="B77" s="257" t="s">
        <v>112</v>
      </c>
      <c r="C77" s="231">
        <v>0</v>
      </c>
      <c r="D77" s="231">
        <v>0</v>
      </c>
      <c r="E77" s="231">
        <v>0</v>
      </c>
      <c r="F77" s="231">
        <v>0</v>
      </c>
      <c r="G77" s="231">
        <v>0</v>
      </c>
      <c r="H77" s="231">
        <v>0</v>
      </c>
      <c r="I77" s="231">
        <v>0</v>
      </c>
      <c r="J77" s="231">
        <v>0</v>
      </c>
      <c r="K77" s="231">
        <v>0</v>
      </c>
      <c r="L77" s="231">
        <v>0</v>
      </c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</row>
    <row r="78" spans="1:27" ht="12.75">
      <c r="A78" s="256">
        <v>3</v>
      </c>
      <c r="B78" s="257" t="s">
        <v>113</v>
      </c>
      <c r="C78" s="231">
        <v>93</v>
      </c>
      <c r="D78" s="231">
        <v>7</v>
      </c>
      <c r="E78" s="231">
        <v>17</v>
      </c>
      <c r="F78" s="231">
        <v>0</v>
      </c>
      <c r="G78" s="231">
        <v>16</v>
      </c>
      <c r="H78" s="231">
        <v>1</v>
      </c>
      <c r="I78" s="231">
        <v>2</v>
      </c>
      <c r="J78" s="231">
        <v>0</v>
      </c>
      <c r="K78" s="231">
        <v>128</v>
      </c>
      <c r="L78" s="231">
        <v>8</v>
      </c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</row>
    <row r="79" spans="1:27" ht="12.75">
      <c r="A79" s="256">
        <v>4</v>
      </c>
      <c r="B79" s="257" t="s">
        <v>114</v>
      </c>
      <c r="C79" s="231">
        <v>0</v>
      </c>
      <c r="D79" s="231">
        <v>0</v>
      </c>
      <c r="E79" s="231">
        <v>0</v>
      </c>
      <c r="F79" s="231">
        <v>0</v>
      </c>
      <c r="G79" s="231">
        <v>0</v>
      </c>
      <c r="H79" s="231">
        <v>0</v>
      </c>
      <c r="I79" s="231">
        <v>0</v>
      </c>
      <c r="J79" s="231">
        <v>0</v>
      </c>
      <c r="K79" s="231">
        <v>0</v>
      </c>
      <c r="L79" s="231">
        <v>0</v>
      </c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</row>
    <row r="80" spans="1:27" ht="12.75">
      <c r="A80" s="256">
        <v>5</v>
      </c>
      <c r="B80" s="257" t="s">
        <v>115</v>
      </c>
      <c r="C80" s="231">
        <v>0</v>
      </c>
      <c r="D80" s="231">
        <v>0</v>
      </c>
      <c r="E80" s="231">
        <v>218</v>
      </c>
      <c r="F80" s="231">
        <v>25</v>
      </c>
      <c r="G80" s="231">
        <v>0</v>
      </c>
      <c r="H80" s="231">
        <v>0</v>
      </c>
      <c r="I80" s="231">
        <v>872</v>
      </c>
      <c r="J80" s="231">
        <v>100</v>
      </c>
      <c r="K80" s="231">
        <v>1090</v>
      </c>
      <c r="L80" s="231">
        <v>125</v>
      </c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</row>
    <row r="81" spans="1:27" ht="12.75">
      <c r="A81" s="256">
        <v>6</v>
      </c>
      <c r="B81" s="257" t="s">
        <v>116</v>
      </c>
      <c r="C81" s="231">
        <v>0</v>
      </c>
      <c r="D81" s="231">
        <v>0</v>
      </c>
      <c r="E81" s="231">
        <v>173</v>
      </c>
      <c r="F81" s="231">
        <v>11</v>
      </c>
      <c r="G81" s="231">
        <v>0</v>
      </c>
      <c r="H81" s="231">
        <v>0</v>
      </c>
      <c r="I81" s="231">
        <v>692</v>
      </c>
      <c r="J81" s="231">
        <v>44</v>
      </c>
      <c r="K81" s="231">
        <v>865</v>
      </c>
      <c r="L81" s="231">
        <v>55</v>
      </c>
      <c r="N81" s="269"/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</row>
    <row r="82" spans="1:27" ht="12.75">
      <c r="A82" s="256">
        <v>7</v>
      </c>
      <c r="B82" s="257" t="s">
        <v>117</v>
      </c>
      <c r="C82" s="231">
        <v>0</v>
      </c>
      <c r="D82" s="231">
        <v>0</v>
      </c>
      <c r="E82" s="231">
        <v>0</v>
      </c>
      <c r="F82" s="231">
        <v>0</v>
      </c>
      <c r="G82" s="231">
        <v>0</v>
      </c>
      <c r="H82" s="231">
        <v>0</v>
      </c>
      <c r="I82" s="231">
        <v>0</v>
      </c>
      <c r="J82" s="231">
        <v>0</v>
      </c>
      <c r="K82" s="231">
        <v>0</v>
      </c>
      <c r="L82" s="231">
        <v>0</v>
      </c>
      <c r="N82" s="269"/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</row>
    <row r="83" spans="1:27" ht="12.75">
      <c r="A83" s="256">
        <v>8</v>
      </c>
      <c r="B83" s="257" t="s">
        <v>118</v>
      </c>
      <c r="C83" s="231">
        <v>0</v>
      </c>
      <c r="D83" s="231">
        <v>0</v>
      </c>
      <c r="E83" s="231">
        <v>0</v>
      </c>
      <c r="F83" s="231">
        <v>0</v>
      </c>
      <c r="G83" s="231">
        <v>0</v>
      </c>
      <c r="H83" s="231">
        <v>0</v>
      </c>
      <c r="I83" s="231">
        <v>0</v>
      </c>
      <c r="J83" s="231">
        <v>0</v>
      </c>
      <c r="K83" s="231">
        <v>0</v>
      </c>
      <c r="L83" s="231">
        <v>0</v>
      </c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</row>
    <row r="84" spans="1:27" ht="12.75">
      <c r="A84" s="256">
        <v>9</v>
      </c>
      <c r="B84" s="257" t="s">
        <v>119</v>
      </c>
      <c r="C84" s="231">
        <v>0</v>
      </c>
      <c r="D84" s="231">
        <v>0</v>
      </c>
      <c r="E84" s="231">
        <v>0</v>
      </c>
      <c r="F84" s="231">
        <v>0</v>
      </c>
      <c r="G84" s="231">
        <v>0</v>
      </c>
      <c r="H84" s="231">
        <v>0</v>
      </c>
      <c r="I84" s="231">
        <v>836800</v>
      </c>
      <c r="J84" s="231">
        <v>0</v>
      </c>
      <c r="K84" s="231">
        <v>836800</v>
      </c>
      <c r="L84" s="231">
        <v>0</v>
      </c>
      <c r="N84" s="269"/>
      <c r="O84" s="269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  <c r="AA84" s="269"/>
    </row>
    <row r="85" spans="1:27" ht="12.75">
      <c r="A85" s="256">
        <v>10</v>
      </c>
      <c r="B85" s="257" t="s">
        <v>120</v>
      </c>
      <c r="C85" s="231">
        <v>0</v>
      </c>
      <c r="D85" s="231">
        <v>0</v>
      </c>
      <c r="E85" s="231">
        <v>0</v>
      </c>
      <c r="F85" s="231">
        <v>0</v>
      </c>
      <c r="G85" s="231">
        <v>0</v>
      </c>
      <c r="H85" s="231">
        <v>0</v>
      </c>
      <c r="I85" s="231">
        <v>63899</v>
      </c>
      <c r="J85" s="231">
        <v>0</v>
      </c>
      <c r="K85" s="231">
        <v>63899</v>
      </c>
      <c r="L85" s="231">
        <v>0</v>
      </c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</row>
    <row r="86" spans="1:12" ht="12.75">
      <c r="A86" s="256">
        <v>11</v>
      </c>
      <c r="B86" s="257" t="s">
        <v>121</v>
      </c>
      <c r="C86" s="231">
        <v>0</v>
      </c>
      <c r="D86" s="231">
        <v>0</v>
      </c>
      <c r="E86" s="231">
        <v>0</v>
      </c>
      <c r="F86" s="231">
        <v>0</v>
      </c>
      <c r="G86" s="231">
        <v>0</v>
      </c>
      <c r="H86" s="231">
        <v>0</v>
      </c>
      <c r="I86" s="231">
        <v>9725</v>
      </c>
      <c r="J86" s="231">
        <v>0</v>
      </c>
      <c r="K86" s="231">
        <v>9725</v>
      </c>
      <c r="L86" s="231">
        <v>0</v>
      </c>
    </row>
    <row r="87" spans="1:12" ht="12.75">
      <c r="A87" s="256">
        <v>12</v>
      </c>
      <c r="B87" s="257" t="s">
        <v>145</v>
      </c>
      <c r="C87" s="231">
        <v>0</v>
      </c>
      <c r="D87" s="231">
        <v>0</v>
      </c>
      <c r="E87" s="231">
        <v>0</v>
      </c>
      <c r="F87" s="231">
        <v>0</v>
      </c>
      <c r="G87" s="231">
        <v>0</v>
      </c>
      <c r="H87" s="231">
        <v>0</v>
      </c>
      <c r="I87" s="231">
        <v>2432</v>
      </c>
      <c r="J87" s="231">
        <v>0</v>
      </c>
      <c r="K87" s="231">
        <v>2432</v>
      </c>
      <c r="L87" s="231">
        <v>0</v>
      </c>
    </row>
    <row r="88" spans="1:12" ht="12.75">
      <c r="A88" s="256"/>
      <c r="B88" s="257"/>
      <c r="C88" s="231"/>
      <c r="D88" s="231"/>
      <c r="E88" s="231"/>
      <c r="F88" s="231"/>
      <c r="G88" s="231"/>
      <c r="H88" s="231"/>
      <c r="I88" s="231"/>
      <c r="J88" s="231"/>
      <c r="K88" s="231"/>
      <c r="L88" s="231"/>
    </row>
    <row r="89" spans="1:12" ht="12.75">
      <c r="A89" s="257"/>
      <c r="B89" s="257"/>
      <c r="C89" s="231"/>
      <c r="D89" s="231"/>
      <c r="E89" s="231"/>
      <c r="F89" s="231"/>
      <c r="G89" s="231"/>
      <c r="H89" s="231"/>
      <c r="I89" s="231"/>
      <c r="J89" s="231"/>
      <c r="K89" s="231"/>
      <c r="L89" s="231"/>
    </row>
    <row r="90" spans="1:12" ht="12.75">
      <c r="A90" s="257"/>
      <c r="B90" s="257"/>
      <c r="C90" s="231"/>
      <c r="D90" s="231"/>
      <c r="E90" s="231"/>
      <c r="F90" s="231"/>
      <c r="G90" s="231"/>
      <c r="H90" s="231"/>
      <c r="I90" s="231"/>
      <c r="J90" s="231"/>
      <c r="K90" s="231"/>
      <c r="L90" s="231"/>
    </row>
    <row r="91" spans="1:12" ht="12.75">
      <c r="A91" s="253"/>
      <c r="B91" s="253"/>
      <c r="C91" s="253"/>
      <c r="D91" s="253"/>
      <c r="E91" s="253"/>
      <c r="F91" s="253"/>
      <c r="G91" s="253"/>
      <c r="H91" s="253"/>
      <c r="I91" s="253"/>
      <c r="J91" s="253"/>
      <c r="K91" s="253"/>
      <c r="L91" s="253"/>
    </row>
    <row r="93" ht="12.75">
      <c r="I93" s="250" t="s">
        <v>155</v>
      </c>
    </row>
    <row r="95" spans="8:9" ht="12.75">
      <c r="H95" s="258"/>
      <c r="I95" s="259" t="s">
        <v>60</v>
      </c>
    </row>
    <row r="96" spans="8:9" ht="12.75">
      <c r="H96" s="259"/>
      <c r="I96" s="259" t="s">
        <v>61</v>
      </c>
    </row>
    <row r="97" spans="8:9" ht="12.75">
      <c r="H97" s="259"/>
      <c r="I97" s="259"/>
    </row>
    <row r="98" spans="8:9" ht="12.75">
      <c r="H98" s="259"/>
      <c r="I98" s="259"/>
    </row>
    <row r="99" spans="8:10" ht="12.75">
      <c r="H99" s="259"/>
      <c r="I99" s="268" t="s">
        <v>62</v>
      </c>
      <c r="J99" s="267"/>
    </row>
    <row r="100" spans="1:9" ht="12.75">
      <c r="A100" s="260" t="s">
        <v>151</v>
      </c>
      <c r="H100" s="259"/>
      <c r="I100" s="259" t="s">
        <v>125</v>
      </c>
    </row>
    <row r="101" spans="1:4" ht="12.75">
      <c r="A101" s="249" t="s">
        <v>136</v>
      </c>
      <c r="B101" s="249"/>
      <c r="C101" s="249"/>
      <c r="D101" s="249"/>
    </row>
    <row r="103" ht="12.75">
      <c r="A103" s="250" t="s">
        <v>156</v>
      </c>
    </row>
    <row r="106" spans="1:12" ht="12.75">
      <c r="A106" s="251" t="s">
        <v>102</v>
      </c>
      <c r="B106" s="251" t="s">
        <v>103</v>
      </c>
      <c r="C106" s="491" t="s">
        <v>139</v>
      </c>
      <c r="D106" s="492"/>
      <c r="E106" s="491" t="s">
        <v>140</v>
      </c>
      <c r="F106" s="492"/>
      <c r="G106" s="491" t="s">
        <v>141</v>
      </c>
      <c r="H106" s="492"/>
      <c r="I106" s="491" t="s">
        <v>142</v>
      </c>
      <c r="J106" s="492"/>
      <c r="K106" s="491" t="s">
        <v>84</v>
      </c>
      <c r="L106" s="492"/>
    </row>
    <row r="107" spans="1:12" ht="12.75">
      <c r="A107" s="253"/>
      <c r="B107" s="253"/>
      <c r="C107" s="254" t="s">
        <v>143</v>
      </c>
      <c r="D107" s="254" t="s">
        <v>144</v>
      </c>
      <c r="E107" s="254" t="s">
        <v>143</v>
      </c>
      <c r="F107" s="254" t="s">
        <v>144</v>
      </c>
      <c r="G107" s="252" t="s">
        <v>143</v>
      </c>
      <c r="H107" s="254" t="s">
        <v>144</v>
      </c>
      <c r="I107" s="252" t="s">
        <v>143</v>
      </c>
      <c r="J107" s="254" t="s">
        <v>144</v>
      </c>
      <c r="K107" s="252" t="s">
        <v>143</v>
      </c>
      <c r="L107" s="254" t="s">
        <v>144</v>
      </c>
    </row>
    <row r="108" spans="1:12" ht="12.75">
      <c r="A108" s="255"/>
      <c r="B108" s="251"/>
      <c r="C108" s="251"/>
      <c r="D108" s="251"/>
      <c r="E108" s="251"/>
      <c r="F108" s="251"/>
      <c r="G108" s="251"/>
      <c r="H108" s="251"/>
      <c r="I108" s="251"/>
      <c r="J108" s="251"/>
      <c r="K108" s="251"/>
      <c r="L108" s="251"/>
    </row>
    <row r="109" spans="1:12" ht="12.75">
      <c r="A109" s="256">
        <v>1</v>
      </c>
      <c r="B109" s="257" t="s">
        <v>111</v>
      </c>
      <c r="C109" s="231">
        <v>18</v>
      </c>
      <c r="D109" s="231">
        <v>2</v>
      </c>
      <c r="E109" s="231">
        <v>5</v>
      </c>
      <c r="F109" s="231">
        <v>0</v>
      </c>
      <c r="G109" s="231">
        <v>0</v>
      </c>
      <c r="H109" s="231">
        <v>0</v>
      </c>
      <c r="I109" s="231">
        <v>0</v>
      </c>
      <c r="J109" s="231">
        <v>0</v>
      </c>
      <c r="K109" s="231">
        <v>23</v>
      </c>
      <c r="L109" s="231">
        <v>2</v>
      </c>
    </row>
    <row r="110" spans="1:12" ht="12.75">
      <c r="A110" s="256">
        <v>2</v>
      </c>
      <c r="B110" s="257" t="s">
        <v>112</v>
      </c>
      <c r="C110" s="231">
        <v>0</v>
      </c>
      <c r="D110" s="231">
        <v>0</v>
      </c>
      <c r="E110" s="231">
        <v>0</v>
      </c>
      <c r="F110" s="231">
        <v>0</v>
      </c>
      <c r="G110" s="231">
        <v>0</v>
      </c>
      <c r="H110" s="231">
        <v>0</v>
      </c>
      <c r="I110" s="231">
        <v>0</v>
      </c>
      <c r="J110" s="231">
        <v>0</v>
      </c>
      <c r="K110" s="231">
        <v>0</v>
      </c>
      <c r="L110" s="231">
        <v>0</v>
      </c>
    </row>
    <row r="111" spans="1:12" ht="12.75">
      <c r="A111" s="256">
        <v>3</v>
      </c>
      <c r="B111" s="257" t="s">
        <v>113</v>
      </c>
      <c r="C111" s="231">
        <v>97</v>
      </c>
      <c r="D111" s="231">
        <v>8</v>
      </c>
      <c r="E111" s="231">
        <v>21</v>
      </c>
      <c r="F111" s="231">
        <v>1</v>
      </c>
      <c r="G111" s="231">
        <v>17</v>
      </c>
      <c r="H111" s="231">
        <v>0</v>
      </c>
      <c r="I111" s="231">
        <v>2</v>
      </c>
      <c r="J111" s="231">
        <v>0</v>
      </c>
      <c r="K111" s="231">
        <v>137</v>
      </c>
      <c r="L111" s="231">
        <v>9</v>
      </c>
    </row>
    <row r="112" spans="1:12" ht="12.75">
      <c r="A112" s="256">
        <v>4</v>
      </c>
      <c r="B112" s="257" t="s">
        <v>114</v>
      </c>
      <c r="C112" s="231">
        <v>0</v>
      </c>
      <c r="D112" s="231">
        <v>0</v>
      </c>
      <c r="E112" s="231">
        <v>0</v>
      </c>
      <c r="F112" s="231">
        <v>0</v>
      </c>
      <c r="G112" s="231">
        <v>0</v>
      </c>
      <c r="H112" s="231">
        <v>0</v>
      </c>
      <c r="I112" s="231">
        <v>0</v>
      </c>
      <c r="J112" s="231">
        <v>0</v>
      </c>
      <c r="K112" s="231">
        <v>0</v>
      </c>
      <c r="L112" s="231">
        <v>0</v>
      </c>
    </row>
    <row r="113" spans="1:12" ht="12.75">
      <c r="A113" s="256">
        <v>5</v>
      </c>
      <c r="B113" s="257" t="s">
        <v>115</v>
      </c>
      <c r="C113" s="231">
        <v>0</v>
      </c>
      <c r="D113" s="231">
        <v>0</v>
      </c>
      <c r="E113" s="231">
        <v>194</v>
      </c>
      <c r="F113" s="231">
        <v>29</v>
      </c>
      <c r="G113" s="231">
        <v>0</v>
      </c>
      <c r="H113" s="231">
        <v>0</v>
      </c>
      <c r="I113" s="231">
        <v>776</v>
      </c>
      <c r="J113" s="231">
        <v>116</v>
      </c>
      <c r="K113" s="231">
        <v>970</v>
      </c>
      <c r="L113" s="231">
        <v>145</v>
      </c>
    </row>
    <row r="114" spans="1:12" ht="12.75">
      <c r="A114" s="256">
        <v>6</v>
      </c>
      <c r="B114" s="257" t="s">
        <v>116</v>
      </c>
      <c r="C114" s="231">
        <v>0</v>
      </c>
      <c r="D114" s="231">
        <v>0</v>
      </c>
      <c r="E114" s="231">
        <v>177</v>
      </c>
      <c r="F114" s="231">
        <v>11</v>
      </c>
      <c r="G114" s="231">
        <v>0</v>
      </c>
      <c r="H114" s="231">
        <v>0</v>
      </c>
      <c r="I114" s="231">
        <v>708</v>
      </c>
      <c r="J114" s="231">
        <v>44</v>
      </c>
      <c r="K114" s="231">
        <v>885</v>
      </c>
      <c r="L114" s="231">
        <v>55</v>
      </c>
    </row>
    <row r="115" spans="1:12" ht="12.75">
      <c r="A115" s="256">
        <v>7</v>
      </c>
      <c r="B115" s="257" t="s">
        <v>117</v>
      </c>
      <c r="C115" s="231">
        <v>0</v>
      </c>
      <c r="D115" s="231">
        <v>0</v>
      </c>
      <c r="E115" s="231">
        <v>0</v>
      </c>
      <c r="F115" s="231">
        <v>0</v>
      </c>
      <c r="G115" s="231">
        <v>0</v>
      </c>
      <c r="H115" s="231">
        <v>0</v>
      </c>
      <c r="I115" s="231">
        <v>0</v>
      </c>
      <c r="J115" s="231">
        <v>0</v>
      </c>
      <c r="K115" s="231">
        <v>0</v>
      </c>
      <c r="L115" s="231">
        <v>0</v>
      </c>
    </row>
    <row r="116" spans="1:12" ht="12.75">
      <c r="A116" s="256">
        <v>8</v>
      </c>
      <c r="B116" s="257" t="s">
        <v>118</v>
      </c>
      <c r="C116" s="231">
        <v>0</v>
      </c>
      <c r="D116" s="231">
        <v>0</v>
      </c>
      <c r="E116" s="231">
        <v>0</v>
      </c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  <c r="L116" s="231">
        <v>0</v>
      </c>
    </row>
    <row r="117" spans="1:12" ht="12.75">
      <c r="A117" s="256">
        <v>9</v>
      </c>
      <c r="B117" s="257" t="s">
        <v>119</v>
      </c>
      <c r="C117" s="231">
        <v>0</v>
      </c>
      <c r="D117" s="231">
        <v>0</v>
      </c>
      <c r="E117" s="231">
        <v>0</v>
      </c>
      <c r="F117" s="231">
        <v>0</v>
      </c>
      <c r="G117" s="231">
        <v>0</v>
      </c>
      <c r="H117" s="231">
        <v>0</v>
      </c>
      <c r="I117" s="231">
        <v>847300</v>
      </c>
      <c r="J117" s="231">
        <v>0</v>
      </c>
      <c r="K117" s="231">
        <v>847300</v>
      </c>
      <c r="L117" s="231">
        <v>0</v>
      </c>
    </row>
    <row r="118" spans="1:12" ht="12.75">
      <c r="A118" s="256">
        <v>10</v>
      </c>
      <c r="B118" s="257" t="s">
        <v>120</v>
      </c>
      <c r="C118" s="231">
        <v>0</v>
      </c>
      <c r="D118" s="231">
        <v>0</v>
      </c>
      <c r="E118" s="231">
        <v>0</v>
      </c>
      <c r="F118" s="231">
        <v>0</v>
      </c>
      <c r="G118" s="231">
        <v>0</v>
      </c>
      <c r="H118" s="231">
        <v>0</v>
      </c>
      <c r="I118" s="231">
        <v>63986</v>
      </c>
      <c r="J118" s="231">
        <v>0</v>
      </c>
      <c r="K118" s="231">
        <v>63986</v>
      </c>
      <c r="L118" s="231">
        <v>0</v>
      </c>
    </row>
    <row r="119" spans="1:12" ht="12.75">
      <c r="A119" s="256">
        <v>11</v>
      </c>
      <c r="B119" s="257" t="s">
        <v>121</v>
      </c>
      <c r="C119" s="231">
        <v>0</v>
      </c>
      <c r="D119" s="231">
        <v>0</v>
      </c>
      <c r="E119" s="231">
        <v>0</v>
      </c>
      <c r="F119" s="231">
        <v>0</v>
      </c>
      <c r="G119" s="231">
        <v>0</v>
      </c>
      <c r="H119" s="231">
        <v>0</v>
      </c>
      <c r="I119" s="231">
        <v>9700</v>
      </c>
      <c r="J119" s="231">
        <v>0</v>
      </c>
      <c r="K119" s="231">
        <v>9700</v>
      </c>
      <c r="L119" s="231">
        <v>0</v>
      </c>
    </row>
    <row r="120" spans="1:12" ht="12.75">
      <c r="A120" s="256">
        <v>12</v>
      </c>
      <c r="B120" s="257" t="s">
        <v>145</v>
      </c>
      <c r="C120" s="231">
        <v>0</v>
      </c>
      <c r="D120" s="231">
        <v>0</v>
      </c>
      <c r="E120" s="231">
        <v>0</v>
      </c>
      <c r="F120" s="231">
        <v>0</v>
      </c>
      <c r="G120" s="231">
        <v>0</v>
      </c>
      <c r="H120" s="231">
        <v>0</v>
      </c>
      <c r="I120" s="231">
        <v>2445</v>
      </c>
      <c r="J120" s="231">
        <v>0</v>
      </c>
      <c r="K120" s="231">
        <v>2445</v>
      </c>
      <c r="L120" s="231">
        <v>0</v>
      </c>
    </row>
    <row r="121" spans="1:12" ht="12.75">
      <c r="A121" s="256"/>
      <c r="B121" s="257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</row>
    <row r="122" spans="1:12" ht="12.75">
      <c r="A122" s="257"/>
      <c r="B122" s="257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</row>
    <row r="123" spans="1:12" ht="12.75">
      <c r="A123" s="257"/>
      <c r="B123" s="257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</row>
    <row r="124" spans="1:12" ht="12.75">
      <c r="A124" s="253"/>
      <c r="B124" s="253"/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</row>
    <row r="126" ht="12.75">
      <c r="I126" s="259" t="s">
        <v>157</v>
      </c>
    </row>
    <row r="128" spans="8:9" ht="12.75">
      <c r="H128" s="258"/>
      <c r="I128" s="259" t="s">
        <v>60</v>
      </c>
    </row>
    <row r="129" spans="8:9" ht="12.75">
      <c r="H129" s="259"/>
      <c r="I129" s="259" t="s">
        <v>61</v>
      </c>
    </row>
    <row r="130" spans="8:9" ht="12.75">
      <c r="H130" s="259"/>
      <c r="I130" s="259"/>
    </row>
    <row r="131" spans="8:10" ht="12.75">
      <c r="H131" s="259"/>
      <c r="I131" s="268"/>
      <c r="J131" s="267"/>
    </row>
    <row r="132" spans="1:9" ht="12.75">
      <c r="A132" s="260" t="s">
        <v>151</v>
      </c>
      <c r="H132" s="259"/>
      <c r="I132" s="259"/>
    </row>
    <row r="133" spans="8:10" ht="12.75">
      <c r="H133" s="259"/>
      <c r="I133" s="268" t="s">
        <v>62</v>
      </c>
      <c r="J133" s="267"/>
    </row>
    <row r="134" spans="8:9" ht="12.75">
      <c r="H134" s="259"/>
      <c r="I134" s="259" t="s">
        <v>125</v>
      </c>
    </row>
    <row r="135" spans="8:9" ht="12.75">
      <c r="H135" s="259"/>
      <c r="I135" s="259"/>
    </row>
    <row r="136" spans="1:4" ht="12.75">
      <c r="A136" s="249" t="s">
        <v>136</v>
      </c>
      <c r="B136" s="249"/>
      <c r="C136" s="249"/>
      <c r="D136" s="249"/>
    </row>
    <row r="138" ht="12.75">
      <c r="A138" s="250" t="s">
        <v>158</v>
      </c>
    </row>
    <row r="141" spans="1:12" ht="12.75">
      <c r="A141" s="251" t="s">
        <v>102</v>
      </c>
      <c r="B141" s="251" t="s">
        <v>103</v>
      </c>
      <c r="C141" s="491" t="s">
        <v>139</v>
      </c>
      <c r="D141" s="492"/>
      <c r="E141" s="491" t="s">
        <v>140</v>
      </c>
      <c r="F141" s="492"/>
      <c r="G141" s="491" t="s">
        <v>141</v>
      </c>
      <c r="H141" s="492"/>
      <c r="I141" s="491" t="s">
        <v>142</v>
      </c>
      <c r="J141" s="492"/>
      <c r="K141" s="491" t="s">
        <v>84</v>
      </c>
      <c r="L141" s="492"/>
    </row>
    <row r="142" spans="1:12" ht="12.75">
      <c r="A142" s="253"/>
      <c r="B142" s="253"/>
      <c r="C142" s="254" t="s">
        <v>143</v>
      </c>
      <c r="D142" s="254" t="s">
        <v>144</v>
      </c>
      <c r="E142" s="254" t="s">
        <v>143</v>
      </c>
      <c r="F142" s="254" t="s">
        <v>144</v>
      </c>
      <c r="G142" s="252" t="s">
        <v>143</v>
      </c>
      <c r="H142" s="254" t="s">
        <v>144</v>
      </c>
      <c r="I142" s="252" t="s">
        <v>143</v>
      </c>
      <c r="J142" s="254" t="s">
        <v>144</v>
      </c>
      <c r="K142" s="252" t="s">
        <v>143</v>
      </c>
      <c r="L142" s="254" t="s">
        <v>144</v>
      </c>
    </row>
    <row r="143" spans="1:12" ht="12.75">
      <c r="A143" s="255"/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</row>
    <row r="144" spans="1:12" ht="12.75">
      <c r="A144" s="256">
        <v>1</v>
      </c>
      <c r="B144" s="257" t="s">
        <v>111</v>
      </c>
      <c r="C144" s="231">
        <v>33</v>
      </c>
      <c r="D144" s="231">
        <v>3</v>
      </c>
      <c r="E144" s="231">
        <v>6</v>
      </c>
      <c r="F144" s="231">
        <v>1</v>
      </c>
      <c r="G144" s="231">
        <v>0</v>
      </c>
      <c r="H144" s="231">
        <v>0</v>
      </c>
      <c r="I144" s="231">
        <v>1</v>
      </c>
      <c r="J144" s="231">
        <v>0</v>
      </c>
      <c r="K144" s="231">
        <v>40</v>
      </c>
      <c r="L144" s="231">
        <v>4</v>
      </c>
    </row>
    <row r="145" spans="1:12" ht="12.75">
      <c r="A145" s="256">
        <v>2</v>
      </c>
      <c r="B145" s="257" t="s">
        <v>112</v>
      </c>
      <c r="C145" s="231">
        <v>0</v>
      </c>
      <c r="D145" s="231">
        <v>0</v>
      </c>
      <c r="E145" s="231">
        <v>0</v>
      </c>
      <c r="F145" s="231">
        <v>0</v>
      </c>
      <c r="G145" s="231">
        <v>0</v>
      </c>
      <c r="H145" s="231">
        <v>0</v>
      </c>
      <c r="I145" s="231">
        <v>0</v>
      </c>
      <c r="J145" s="231">
        <v>0</v>
      </c>
      <c r="K145" s="231">
        <v>0</v>
      </c>
      <c r="L145" s="231">
        <v>0</v>
      </c>
    </row>
    <row r="146" spans="1:12" ht="12.75">
      <c r="A146" s="256">
        <v>3</v>
      </c>
      <c r="B146" s="257" t="s">
        <v>113</v>
      </c>
      <c r="C146" s="231">
        <v>116</v>
      </c>
      <c r="D146" s="231">
        <v>8</v>
      </c>
      <c r="E146" s="231">
        <v>22</v>
      </c>
      <c r="F146" s="231">
        <v>1</v>
      </c>
      <c r="G146" s="231">
        <v>6</v>
      </c>
      <c r="H146" s="231">
        <v>0</v>
      </c>
      <c r="I146" s="231">
        <v>1</v>
      </c>
      <c r="J146" s="231">
        <v>0</v>
      </c>
      <c r="K146" s="231">
        <v>145</v>
      </c>
      <c r="L146" s="231">
        <v>9</v>
      </c>
    </row>
    <row r="147" spans="1:12" ht="12.75">
      <c r="A147" s="256">
        <v>4</v>
      </c>
      <c r="B147" s="257" t="s">
        <v>114</v>
      </c>
      <c r="C147" s="231">
        <v>0</v>
      </c>
      <c r="D147" s="231">
        <v>0</v>
      </c>
      <c r="E147" s="231">
        <v>0</v>
      </c>
      <c r="F147" s="231">
        <v>0</v>
      </c>
      <c r="G147" s="231">
        <v>0</v>
      </c>
      <c r="H147" s="231">
        <v>0</v>
      </c>
      <c r="I147" s="231">
        <v>0</v>
      </c>
      <c r="J147" s="231">
        <v>0</v>
      </c>
      <c r="K147" s="231">
        <v>0</v>
      </c>
      <c r="L147" s="231">
        <v>0</v>
      </c>
    </row>
    <row r="148" spans="1:12" ht="12.75">
      <c r="A148" s="256">
        <v>5</v>
      </c>
      <c r="B148" s="257" t="s">
        <v>115</v>
      </c>
      <c r="C148" s="231">
        <v>0</v>
      </c>
      <c r="D148" s="231">
        <v>0</v>
      </c>
      <c r="E148" s="231">
        <v>216</v>
      </c>
      <c r="F148" s="231">
        <v>29</v>
      </c>
      <c r="G148" s="231">
        <v>0</v>
      </c>
      <c r="H148" s="231">
        <v>0</v>
      </c>
      <c r="I148" s="231">
        <v>864</v>
      </c>
      <c r="J148" s="231">
        <v>116</v>
      </c>
      <c r="K148" s="231">
        <v>1080</v>
      </c>
      <c r="L148" s="231">
        <v>145</v>
      </c>
    </row>
    <row r="149" spans="1:12" ht="12.75">
      <c r="A149" s="256">
        <v>6</v>
      </c>
      <c r="B149" s="257" t="s">
        <v>116</v>
      </c>
      <c r="C149" s="231">
        <v>0</v>
      </c>
      <c r="D149" s="231">
        <v>0</v>
      </c>
      <c r="E149" s="231">
        <v>200</v>
      </c>
      <c r="F149" s="231">
        <v>14</v>
      </c>
      <c r="G149" s="231">
        <v>0</v>
      </c>
      <c r="H149" s="231">
        <v>0</v>
      </c>
      <c r="I149" s="231">
        <v>800</v>
      </c>
      <c r="J149" s="231">
        <v>56</v>
      </c>
      <c r="K149" s="231">
        <v>1000</v>
      </c>
      <c r="L149" s="231">
        <v>70</v>
      </c>
    </row>
    <row r="150" spans="1:12" ht="12.75">
      <c r="A150" s="256">
        <v>7</v>
      </c>
      <c r="B150" s="257" t="s">
        <v>117</v>
      </c>
      <c r="C150" s="231">
        <v>0</v>
      </c>
      <c r="D150" s="231">
        <v>0</v>
      </c>
      <c r="E150" s="231">
        <v>0</v>
      </c>
      <c r="F150" s="231">
        <v>0</v>
      </c>
      <c r="G150" s="231">
        <v>0</v>
      </c>
      <c r="H150" s="231">
        <v>0</v>
      </c>
      <c r="I150" s="231">
        <v>0</v>
      </c>
      <c r="J150" s="231">
        <v>0</v>
      </c>
      <c r="K150" s="231">
        <v>0</v>
      </c>
      <c r="L150" s="231">
        <v>0</v>
      </c>
    </row>
    <row r="151" spans="1:12" ht="12.75">
      <c r="A151" s="256">
        <v>8</v>
      </c>
      <c r="B151" s="257" t="s">
        <v>118</v>
      </c>
      <c r="C151" s="231">
        <v>0</v>
      </c>
      <c r="D151" s="231">
        <v>0</v>
      </c>
      <c r="E151" s="231">
        <v>0</v>
      </c>
      <c r="F151" s="231">
        <v>0</v>
      </c>
      <c r="G151" s="231">
        <v>0</v>
      </c>
      <c r="H151" s="231">
        <v>0</v>
      </c>
      <c r="I151" s="231">
        <v>0</v>
      </c>
      <c r="J151" s="231">
        <v>0</v>
      </c>
      <c r="K151" s="231">
        <v>0</v>
      </c>
      <c r="L151" s="231">
        <v>0</v>
      </c>
    </row>
    <row r="152" spans="1:12" ht="12.75">
      <c r="A152" s="256">
        <v>9</v>
      </c>
      <c r="B152" s="257" t="s">
        <v>119</v>
      </c>
      <c r="C152" s="231">
        <v>0</v>
      </c>
      <c r="D152" s="231">
        <v>0</v>
      </c>
      <c r="E152" s="231">
        <v>0</v>
      </c>
      <c r="F152" s="231">
        <v>0</v>
      </c>
      <c r="G152" s="231">
        <v>0</v>
      </c>
      <c r="H152" s="231">
        <v>0</v>
      </c>
      <c r="I152" s="231">
        <v>856250</v>
      </c>
      <c r="J152" s="231">
        <v>0</v>
      </c>
      <c r="K152" s="231">
        <v>856250</v>
      </c>
      <c r="L152" s="231">
        <v>0</v>
      </c>
    </row>
    <row r="153" spans="1:12" ht="12.75">
      <c r="A153" s="256">
        <v>10</v>
      </c>
      <c r="B153" s="257" t="s">
        <v>120</v>
      </c>
      <c r="C153" s="231">
        <v>0</v>
      </c>
      <c r="D153" s="231">
        <v>0</v>
      </c>
      <c r="E153" s="231">
        <v>0</v>
      </c>
      <c r="F153" s="231">
        <v>0</v>
      </c>
      <c r="G153" s="231">
        <v>0</v>
      </c>
      <c r="H153" s="231">
        <v>0</v>
      </c>
      <c r="I153" s="231">
        <v>64133</v>
      </c>
      <c r="J153" s="231">
        <v>0</v>
      </c>
      <c r="K153" s="231">
        <v>64133</v>
      </c>
      <c r="L153" s="231">
        <v>0</v>
      </c>
    </row>
    <row r="154" spans="1:12" ht="12.75">
      <c r="A154" s="256">
        <v>11</v>
      </c>
      <c r="B154" s="257" t="s">
        <v>121</v>
      </c>
      <c r="C154" s="231">
        <v>0</v>
      </c>
      <c r="D154" s="231">
        <v>0</v>
      </c>
      <c r="E154" s="231">
        <v>0</v>
      </c>
      <c r="F154" s="231">
        <v>0</v>
      </c>
      <c r="G154" s="231">
        <v>0</v>
      </c>
      <c r="H154" s="231">
        <v>0</v>
      </c>
      <c r="I154" s="231">
        <v>9709</v>
      </c>
      <c r="J154" s="231">
        <v>0</v>
      </c>
      <c r="K154" s="231">
        <v>9709</v>
      </c>
      <c r="L154" s="231">
        <v>0</v>
      </c>
    </row>
    <row r="155" spans="1:12" ht="12.75">
      <c r="A155" s="256">
        <v>12</v>
      </c>
      <c r="B155" s="257" t="s">
        <v>145</v>
      </c>
      <c r="C155" s="231">
        <v>0</v>
      </c>
      <c r="D155" s="231">
        <v>0</v>
      </c>
      <c r="E155" s="231">
        <v>0</v>
      </c>
      <c r="F155" s="231">
        <v>0</v>
      </c>
      <c r="G155" s="231">
        <v>0</v>
      </c>
      <c r="H155" s="231">
        <v>0</v>
      </c>
      <c r="I155" s="231">
        <v>7270</v>
      </c>
      <c r="J155" s="231">
        <v>0</v>
      </c>
      <c r="K155" s="231">
        <v>7270</v>
      </c>
      <c r="L155" s="231">
        <v>0</v>
      </c>
    </row>
    <row r="156" spans="1:12" ht="12.75">
      <c r="A156" s="256"/>
      <c r="B156" s="257"/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</row>
    <row r="157" spans="1:12" ht="12.75">
      <c r="A157" s="257"/>
      <c r="B157" s="257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</row>
    <row r="158" spans="1:12" ht="12.75">
      <c r="A158" s="257"/>
      <c r="B158" s="257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</row>
    <row r="159" spans="1:12" ht="12.75">
      <c r="A159" s="253"/>
      <c r="B159" s="253"/>
      <c r="C159" s="253"/>
      <c r="D159" s="253"/>
      <c r="E159" s="253"/>
      <c r="F159" s="253"/>
      <c r="G159" s="253"/>
      <c r="H159" s="253"/>
      <c r="I159" s="253"/>
      <c r="J159" s="253"/>
      <c r="K159" s="253"/>
      <c r="L159" s="253"/>
    </row>
    <row r="161" ht="12.75">
      <c r="I161" s="250" t="s">
        <v>159</v>
      </c>
    </row>
    <row r="163" spans="8:9" ht="12.75">
      <c r="H163" s="258"/>
      <c r="I163" s="259" t="s">
        <v>60</v>
      </c>
    </row>
    <row r="164" spans="8:9" ht="12.75">
      <c r="H164" s="259"/>
      <c r="I164" s="259" t="s">
        <v>61</v>
      </c>
    </row>
    <row r="165" spans="8:9" ht="12.75">
      <c r="H165" s="259"/>
      <c r="I165" s="259"/>
    </row>
    <row r="166" spans="8:10" ht="12.75">
      <c r="H166" s="259"/>
      <c r="I166" s="268"/>
      <c r="J166" s="267"/>
    </row>
    <row r="167" spans="1:9" ht="12.75">
      <c r="A167" s="260" t="s">
        <v>151</v>
      </c>
      <c r="H167" s="259"/>
      <c r="I167" s="259"/>
    </row>
    <row r="168" spans="8:10" ht="12.75">
      <c r="H168" s="259"/>
      <c r="I168" s="268" t="s">
        <v>62</v>
      </c>
      <c r="J168" s="267"/>
    </row>
    <row r="169" spans="8:9" ht="12.75">
      <c r="H169" s="259"/>
      <c r="I169" s="259" t="s">
        <v>125</v>
      </c>
    </row>
    <row r="171" spans="1:4" ht="12.75">
      <c r="A171" s="249" t="s">
        <v>136</v>
      </c>
      <c r="B171" s="249"/>
      <c r="C171" s="249"/>
      <c r="D171" s="249"/>
    </row>
    <row r="173" ht="12.75">
      <c r="A173" s="250" t="s">
        <v>160</v>
      </c>
    </row>
    <row r="176" spans="1:12" ht="12.75">
      <c r="A176" s="251" t="s">
        <v>102</v>
      </c>
      <c r="B176" s="251" t="s">
        <v>103</v>
      </c>
      <c r="C176" s="491" t="s">
        <v>139</v>
      </c>
      <c r="D176" s="492"/>
      <c r="E176" s="491" t="s">
        <v>140</v>
      </c>
      <c r="F176" s="492"/>
      <c r="G176" s="491" t="s">
        <v>141</v>
      </c>
      <c r="H176" s="492"/>
      <c r="I176" s="491" t="s">
        <v>142</v>
      </c>
      <c r="J176" s="492"/>
      <c r="K176" s="491" t="s">
        <v>84</v>
      </c>
      <c r="L176" s="492"/>
    </row>
    <row r="177" spans="1:12" ht="12.75">
      <c r="A177" s="253"/>
      <c r="B177" s="253"/>
      <c r="C177" s="254" t="s">
        <v>143</v>
      </c>
      <c r="D177" s="254" t="s">
        <v>144</v>
      </c>
      <c r="E177" s="254" t="s">
        <v>143</v>
      </c>
      <c r="F177" s="254" t="s">
        <v>144</v>
      </c>
      <c r="G177" s="252" t="s">
        <v>143</v>
      </c>
      <c r="H177" s="254" t="s">
        <v>144</v>
      </c>
      <c r="I177" s="252" t="s">
        <v>143</v>
      </c>
      <c r="J177" s="254" t="s">
        <v>144</v>
      </c>
      <c r="K177" s="252" t="s">
        <v>143</v>
      </c>
      <c r="L177" s="254" t="s">
        <v>144</v>
      </c>
    </row>
    <row r="178" spans="1:12" ht="12.75">
      <c r="A178" s="255"/>
      <c r="B178" s="251"/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</row>
    <row r="179" spans="1:12" ht="12.75">
      <c r="A179" s="256">
        <v>1</v>
      </c>
      <c r="B179" s="257" t="s">
        <v>111</v>
      </c>
      <c r="C179" s="231">
        <v>20</v>
      </c>
      <c r="D179" s="231">
        <v>1</v>
      </c>
      <c r="E179" s="231">
        <v>7</v>
      </c>
      <c r="F179" s="231">
        <v>2</v>
      </c>
      <c r="G179" s="231">
        <v>0</v>
      </c>
      <c r="H179" s="231">
        <v>0</v>
      </c>
      <c r="I179" s="231">
        <v>1</v>
      </c>
      <c r="J179" s="231">
        <v>0</v>
      </c>
      <c r="K179" s="231">
        <v>28</v>
      </c>
      <c r="L179" s="231">
        <v>3</v>
      </c>
    </row>
    <row r="180" spans="1:12" ht="12.75">
      <c r="A180" s="256">
        <v>2</v>
      </c>
      <c r="B180" s="257" t="s">
        <v>112</v>
      </c>
      <c r="C180" s="231">
        <v>0</v>
      </c>
      <c r="D180" s="231">
        <v>0</v>
      </c>
      <c r="E180" s="231">
        <v>0</v>
      </c>
      <c r="F180" s="231">
        <v>0</v>
      </c>
      <c r="G180" s="231">
        <v>0</v>
      </c>
      <c r="H180" s="231">
        <v>0</v>
      </c>
      <c r="I180" s="231">
        <v>0</v>
      </c>
      <c r="J180" s="231">
        <v>0</v>
      </c>
      <c r="K180" s="231">
        <v>0</v>
      </c>
      <c r="L180" s="231">
        <v>0</v>
      </c>
    </row>
    <row r="181" spans="1:12" ht="12.75">
      <c r="A181" s="256">
        <v>3</v>
      </c>
      <c r="B181" s="257" t="s">
        <v>113</v>
      </c>
      <c r="C181" s="231">
        <v>87</v>
      </c>
      <c r="D181" s="231">
        <v>6</v>
      </c>
      <c r="E181" s="231">
        <v>24</v>
      </c>
      <c r="F181" s="231">
        <v>1</v>
      </c>
      <c r="G181" s="231">
        <v>11</v>
      </c>
      <c r="H181" s="231">
        <v>0</v>
      </c>
      <c r="I181" s="231">
        <v>4</v>
      </c>
      <c r="J181" s="231">
        <v>0</v>
      </c>
      <c r="K181" s="231">
        <v>126</v>
      </c>
      <c r="L181" s="231">
        <v>7</v>
      </c>
    </row>
    <row r="182" spans="1:12" ht="12.75">
      <c r="A182" s="256">
        <v>4</v>
      </c>
      <c r="B182" s="257" t="s">
        <v>114</v>
      </c>
      <c r="C182" s="231">
        <v>0</v>
      </c>
      <c r="D182" s="231">
        <v>0</v>
      </c>
      <c r="E182" s="231">
        <v>0</v>
      </c>
      <c r="F182" s="231">
        <v>0</v>
      </c>
      <c r="G182" s="231">
        <v>0</v>
      </c>
      <c r="H182" s="231">
        <v>0</v>
      </c>
      <c r="I182" s="231">
        <v>0</v>
      </c>
      <c r="J182" s="231">
        <v>0</v>
      </c>
      <c r="K182" s="231">
        <v>0</v>
      </c>
      <c r="L182" s="231">
        <v>0</v>
      </c>
    </row>
    <row r="183" spans="1:12" ht="12.75">
      <c r="A183" s="256">
        <v>5</v>
      </c>
      <c r="B183" s="257" t="s">
        <v>115</v>
      </c>
      <c r="C183" s="231">
        <v>0</v>
      </c>
      <c r="D183" s="231">
        <v>0</v>
      </c>
      <c r="E183" s="231">
        <v>243</v>
      </c>
      <c r="F183" s="231">
        <v>49</v>
      </c>
      <c r="G183" s="231">
        <v>0</v>
      </c>
      <c r="H183" s="231">
        <v>0</v>
      </c>
      <c r="I183" s="231">
        <v>972</v>
      </c>
      <c r="J183" s="231">
        <v>196</v>
      </c>
      <c r="K183" s="231">
        <v>1215</v>
      </c>
      <c r="L183" s="231">
        <v>245</v>
      </c>
    </row>
    <row r="184" spans="1:12" ht="12.75">
      <c r="A184" s="256">
        <v>6</v>
      </c>
      <c r="B184" s="257" t="s">
        <v>116</v>
      </c>
      <c r="C184" s="231">
        <v>0</v>
      </c>
      <c r="D184" s="231">
        <v>0</v>
      </c>
      <c r="E184" s="231">
        <v>196</v>
      </c>
      <c r="F184" s="231">
        <v>32</v>
      </c>
      <c r="G184" s="231">
        <v>0</v>
      </c>
      <c r="H184" s="231">
        <v>0</v>
      </c>
      <c r="I184" s="231">
        <v>784</v>
      </c>
      <c r="J184" s="231">
        <v>128</v>
      </c>
      <c r="K184" s="231">
        <v>980</v>
      </c>
      <c r="L184" s="231">
        <v>160</v>
      </c>
    </row>
    <row r="185" spans="1:12" ht="12.75">
      <c r="A185" s="256">
        <v>7</v>
      </c>
      <c r="B185" s="257" t="s">
        <v>117</v>
      </c>
      <c r="C185" s="231">
        <v>0</v>
      </c>
      <c r="D185" s="231">
        <v>0</v>
      </c>
      <c r="E185" s="231">
        <v>0</v>
      </c>
      <c r="F185" s="231">
        <v>0</v>
      </c>
      <c r="G185" s="231">
        <v>0</v>
      </c>
      <c r="H185" s="231">
        <v>0</v>
      </c>
      <c r="I185" s="231">
        <v>0</v>
      </c>
      <c r="J185" s="231">
        <v>0</v>
      </c>
      <c r="K185" s="231">
        <v>0</v>
      </c>
      <c r="L185" s="231">
        <v>0</v>
      </c>
    </row>
    <row r="186" spans="1:12" ht="12.75">
      <c r="A186" s="256">
        <v>8</v>
      </c>
      <c r="B186" s="257" t="s">
        <v>118</v>
      </c>
      <c r="C186" s="231">
        <v>0</v>
      </c>
      <c r="D186" s="231">
        <v>0</v>
      </c>
      <c r="E186" s="231">
        <v>0</v>
      </c>
      <c r="F186" s="231">
        <v>0</v>
      </c>
      <c r="G186" s="231">
        <v>0</v>
      </c>
      <c r="H186" s="231">
        <v>0</v>
      </c>
      <c r="I186" s="231">
        <v>0</v>
      </c>
      <c r="J186" s="231">
        <v>0</v>
      </c>
      <c r="K186" s="231">
        <v>0</v>
      </c>
      <c r="L186" s="231">
        <v>0</v>
      </c>
    </row>
    <row r="187" spans="1:12" ht="12.75">
      <c r="A187" s="256">
        <v>9</v>
      </c>
      <c r="B187" s="257" t="s">
        <v>119</v>
      </c>
      <c r="C187" s="231">
        <v>0</v>
      </c>
      <c r="D187" s="231">
        <v>0</v>
      </c>
      <c r="E187" s="231">
        <v>0</v>
      </c>
      <c r="F187" s="231">
        <v>0</v>
      </c>
      <c r="G187" s="231">
        <v>0</v>
      </c>
      <c r="H187" s="231">
        <v>0</v>
      </c>
      <c r="I187" s="231">
        <v>922800</v>
      </c>
      <c r="J187" s="231">
        <v>0</v>
      </c>
      <c r="K187" s="231">
        <v>922800</v>
      </c>
      <c r="L187" s="231">
        <v>0</v>
      </c>
    </row>
    <row r="188" spans="1:12" ht="12.75">
      <c r="A188" s="256">
        <v>10</v>
      </c>
      <c r="B188" s="257" t="s">
        <v>120</v>
      </c>
      <c r="C188" s="231">
        <v>0</v>
      </c>
      <c r="D188" s="231">
        <v>0</v>
      </c>
      <c r="E188" s="231">
        <v>0</v>
      </c>
      <c r="F188" s="231">
        <v>0</v>
      </c>
      <c r="G188" s="231">
        <v>0</v>
      </c>
      <c r="H188" s="231">
        <v>0</v>
      </c>
      <c r="I188" s="231">
        <v>64189</v>
      </c>
      <c r="J188" s="231">
        <v>0</v>
      </c>
      <c r="K188" s="231">
        <v>64189</v>
      </c>
      <c r="L188" s="231">
        <v>0</v>
      </c>
    </row>
    <row r="189" spans="1:12" ht="12.75">
      <c r="A189" s="256">
        <v>11</v>
      </c>
      <c r="B189" s="257" t="s">
        <v>121</v>
      </c>
      <c r="C189" s="231">
        <v>0</v>
      </c>
      <c r="D189" s="231">
        <v>0</v>
      </c>
      <c r="E189" s="231">
        <v>0</v>
      </c>
      <c r="F189" s="231">
        <v>0</v>
      </c>
      <c r="G189" s="231">
        <v>0</v>
      </c>
      <c r="H189" s="231">
        <v>0</v>
      </c>
      <c r="I189" s="231">
        <v>9604.2198</v>
      </c>
      <c r="J189" s="231">
        <v>0</v>
      </c>
      <c r="K189" s="231">
        <v>9604.2198</v>
      </c>
      <c r="L189" s="231">
        <v>0</v>
      </c>
    </row>
    <row r="190" spans="1:12" ht="12.75">
      <c r="A190" s="256">
        <v>12</v>
      </c>
      <c r="B190" s="257" t="s">
        <v>145</v>
      </c>
      <c r="C190" s="231">
        <v>0</v>
      </c>
      <c r="D190" s="231">
        <v>0</v>
      </c>
      <c r="E190" s="231">
        <v>0</v>
      </c>
      <c r="F190" s="231">
        <v>0</v>
      </c>
      <c r="G190" s="231">
        <v>0</v>
      </c>
      <c r="H190" s="231">
        <v>0</v>
      </c>
      <c r="I190" s="231">
        <v>2419</v>
      </c>
      <c r="J190" s="231">
        <v>0</v>
      </c>
      <c r="K190" s="231">
        <v>2419</v>
      </c>
      <c r="L190" s="231">
        <v>0</v>
      </c>
    </row>
    <row r="191" spans="1:12" ht="12.75">
      <c r="A191" s="256"/>
      <c r="B191" s="257"/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</row>
    <row r="192" spans="1:12" ht="12.75">
      <c r="A192" s="257"/>
      <c r="B192" s="257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</row>
    <row r="193" spans="1:12" ht="12.75">
      <c r="A193" s="257"/>
      <c r="B193" s="257"/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</row>
    <row r="194" spans="1:12" ht="12.75">
      <c r="A194" s="253"/>
      <c r="B194" s="253"/>
      <c r="C194" s="253"/>
      <c r="D194" s="253"/>
      <c r="E194" s="253"/>
      <c r="F194" s="253"/>
      <c r="G194" s="253"/>
      <c r="H194" s="253"/>
      <c r="I194" s="253"/>
      <c r="J194" s="253"/>
      <c r="K194" s="253"/>
      <c r="L194" s="253"/>
    </row>
    <row r="196" ht="12.75">
      <c r="I196" s="250" t="s">
        <v>161</v>
      </c>
    </row>
    <row r="198" spans="8:9" ht="12.75">
      <c r="H198" s="258" t="s">
        <v>162</v>
      </c>
      <c r="I198" s="259" t="s">
        <v>60</v>
      </c>
    </row>
    <row r="199" spans="8:9" ht="12.75">
      <c r="H199" s="259"/>
      <c r="I199" s="259" t="s">
        <v>61</v>
      </c>
    </row>
    <row r="200" spans="8:9" ht="12.75">
      <c r="H200" s="259"/>
      <c r="I200" s="259" t="s">
        <v>163</v>
      </c>
    </row>
    <row r="201" spans="8:10" ht="12.75">
      <c r="H201" s="259"/>
      <c r="I201" s="259"/>
      <c r="J201" s="267"/>
    </row>
    <row r="202" spans="1:9" ht="12.75">
      <c r="A202" s="260" t="s">
        <v>151</v>
      </c>
      <c r="H202" s="259"/>
      <c r="I202" s="268"/>
    </row>
    <row r="203" spans="8:10" ht="12.75">
      <c r="H203" s="259"/>
      <c r="I203" s="259"/>
      <c r="J203" s="267"/>
    </row>
    <row r="204" spans="8:9" ht="12.75">
      <c r="H204" s="259"/>
      <c r="I204" s="268" t="s">
        <v>164</v>
      </c>
    </row>
    <row r="205" spans="8:9" ht="12.75">
      <c r="H205" s="259"/>
      <c r="I205" s="259" t="s">
        <v>165</v>
      </c>
    </row>
    <row r="206" spans="1:4" ht="12.75">
      <c r="A206" s="249" t="s">
        <v>136</v>
      </c>
      <c r="B206" s="249"/>
      <c r="C206" s="249"/>
      <c r="D206" s="249"/>
    </row>
    <row r="208" ht="12.75">
      <c r="A208" s="250" t="s">
        <v>166</v>
      </c>
    </row>
    <row r="211" spans="1:12" ht="12.75">
      <c r="A211" s="251" t="s">
        <v>102</v>
      </c>
      <c r="B211" s="251" t="s">
        <v>103</v>
      </c>
      <c r="C211" s="491" t="s">
        <v>139</v>
      </c>
      <c r="D211" s="492"/>
      <c r="E211" s="491" t="s">
        <v>140</v>
      </c>
      <c r="F211" s="492"/>
      <c r="G211" s="491" t="s">
        <v>141</v>
      </c>
      <c r="H211" s="492"/>
      <c r="I211" s="491" t="s">
        <v>142</v>
      </c>
      <c r="J211" s="492"/>
      <c r="K211" s="491" t="s">
        <v>84</v>
      </c>
      <c r="L211" s="492"/>
    </row>
    <row r="212" spans="1:12" ht="12.75">
      <c r="A212" s="253"/>
      <c r="B212" s="253"/>
      <c r="C212" s="254" t="s">
        <v>143</v>
      </c>
      <c r="D212" s="254" t="s">
        <v>144</v>
      </c>
      <c r="E212" s="254" t="s">
        <v>143</v>
      </c>
      <c r="F212" s="254" t="s">
        <v>144</v>
      </c>
      <c r="G212" s="252" t="s">
        <v>143</v>
      </c>
      <c r="H212" s="254" t="s">
        <v>144</v>
      </c>
      <c r="I212" s="252" t="s">
        <v>143</v>
      </c>
      <c r="J212" s="254" t="s">
        <v>144</v>
      </c>
      <c r="K212" s="252" t="s">
        <v>143</v>
      </c>
      <c r="L212" s="254" t="s">
        <v>144</v>
      </c>
    </row>
    <row r="213" spans="1:12" ht="12.75">
      <c r="A213" s="255"/>
      <c r="B213" s="251"/>
      <c r="C213" s="251"/>
      <c r="D213" s="251"/>
      <c r="E213" s="251"/>
      <c r="F213" s="251"/>
      <c r="G213" s="251"/>
      <c r="H213" s="251"/>
      <c r="I213" s="251"/>
      <c r="J213" s="251"/>
      <c r="K213" s="251"/>
      <c r="L213" s="251"/>
    </row>
    <row r="214" spans="1:12" ht="12.75">
      <c r="A214" s="256">
        <v>1</v>
      </c>
      <c r="B214" s="257" t="s">
        <v>111</v>
      </c>
      <c r="C214" s="231">
        <v>53</v>
      </c>
      <c r="D214" s="231">
        <v>9</v>
      </c>
      <c r="E214" s="231">
        <v>13</v>
      </c>
      <c r="F214" s="231">
        <v>7</v>
      </c>
      <c r="G214" s="231">
        <v>0</v>
      </c>
      <c r="H214" s="231">
        <v>0</v>
      </c>
      <c r="I214" s="231">
        <v>5</v>
      </c>
      <c r="J214" s="231">
        <v>0</v>
      </c>
      <c r="K214" s="231">
        <v>71</v>
      </c>
      <c r="L214" s="231">
        <v>16</v>
      </c>
    </row>
    <row r="215" spans="1:12" ht="12.75">
      <c r="A215" s="256">
        <v>2</v>
      </c>
      <c r="B215" s="257" t="s">
        <v>112</v>
      </c>
      <c r="C215" s="231">
        <v>0</v>
      </c>
      <c r="D215" s="231">
        <v>0</v>
      </c>
      <c r="E215" s="231">
        <v>0</v>
      </c>
      <c r="F215" s="231">
        <v>0</v>
      </c>
      <c r="G215" s="231">
        <v>0</v>
      </c>
      <c r="H215" s="231">
        <v>0</v>
      </c>
      <c r="I215" s="231">
        <v>0</v>
      </c>
      <c r="J215" s="231">
        <v>0</v>
      </c>
      <c r="K215" s="231">
        <v>0</v>
      </c>
      <c r="L215" s="231">
        <v>0</v>
      </c>
    </row>
    <row r="216" spans="1:12" ht="12.75">
      <c r="A216" s="256">
        <v>3</v>
      </c>
      <c r="B216" s="257" t="s">
        <v>113</v>
      </c>
      <c r="C216" s="231">
        <v>130</v>
      </c>
      <c r="D216" s="231">
        <v>14</v>
      </c>
      <c r="E216" s="231">
        <v>88</v>
      </c>
      <c r="F216" s="231">
        <v>15</v>
      </c>
      <c r="G216" s="231">
        <v>14</v>
      </c>
      <c r="H216" s="231">
        <v>0</v>
      </c>
      <c r="I216" s="277">
        <v>0</v>
      </c>
      <c r="J216" s="231">
        <v>0</v>
      </c>
      <c r="K216" s="231">
        <v>232</v>
      </c>
      <c r="L216" s="231">
        <v>29</v>
      </c>
    </row>
    <row r="217" spans="1:12" ht="12.75">
      <c r="A217" s="256">
        <v>4</v>
      </c>
      <c r="B217" s="257" t="s">
        <v>114</v>
      </c>
      <c r="C217" s="231">
        <v>0</v>
      </c>
      <c r="D217" s="231">
        <v>0</v>
      </c>
      <c r="E217" s="231">
        <v>0</v>
      </c>
      <c r="F217" s="231">
        <v>0</v>
      </c>
      <c r="G217" s="231">
        <v>0</v>
      </c>
      <c r="H217" s="231">
        <v>0</v>
      </c>
      <c r="I217" s="231">
        <v>0</v>
      </c>
      <c r="J217" s="231">
        <v>0</v>
      </c>
      <c r="K217" s="231">
        <v>0</v>
      </c>
      <c r="L217" s="231">
        <v>0</v>
      </c>
    </row>
    <row r="218" spans="1:12" ht="12.75">
      <c r="A218" s="256">
        <v>5</v>
      </c>
      <c r="B218" s="257" t="s">
        <v>115</v>
      </c>
      <c r="C218" s="231">
        <v>0</v>
      </c>
      <c r="D218" s="231">
        <v>0</v>
      </c>
      <c r="E218" s="231">
        <v>257</v>
      </c>
      <c r="F218" s="231">
        <v>51</v>
      </c>
      <c r="G218" s="231">
        <v>0</v>
      </c>
      <c r="H218" s="231">
        <v>0</v>
      </c>
      <c r="I218" s="231">
        <v>1028</v>
      </c>
      <c r="J218" s="231">
        <v>204</v>
      </c>
      <c r="K218" s="231">
        <v>1285</v>
      </c>
      <c r="L218" s="231">
        <v>255</v>
      </c>
    </row>
    <row r="219" spans="1:12" ht="12.75">
      <c r="A219" s="256">
        <v>6</v>
      </c>
      <c r="B219" s="257" t="s">
        <v>116</v>
      </c>
      <c r="C219" s="231">
        <v>0</v>
      </c>
      <c r="D219" s="231">
        <v>0</v>
      </c>
      <c r="E219" s="231">
        <v>206</v>
      </c>
      <c r="F219" s="231">
        <v>20</v>
      </c>
      <c r="G219" s="231">
        <v>0</v>
      </c>
      <c r="H219" s="231">
        <v>0</v>
      </c>
      <c r="I219" s="231">
        <v>824</v>
      </c>
      <c r="J219" s="231">
        <v>80</v>
      </c>
      <c r="K219" s="231">
        <v>1030</v>
      </c>
      <c r="L219" s="231">
        <v>100</v>
      </c>
    </row>
    <row r="220" spans="1:12" ht="12.75">
      <c r="A220" s="256">
        <v>7</v>
      </c>
      <c r="B220" s="257" t="s">
        <v>117</v>
      </c>
      <c r="C220" s="231">
        <v>0</v>
      </c>
      <c r="D220" s="231">
        <v>0</v>
      </c>
      <c r="E220" s="231">
        <v>0</v>
      </c>
      <c r="F220" s="231">
        <v>0</v>
      </c>
      <c r="G220" s="231">
        <v>0</v>
      </c>
      <c r="H220" s="231">
        <v>0</v>
      </c>
      <c r="I220" s="231">
        <v>0</v>
      </c>
      <c r="J220" s="231">
        <v>0</v>
      </c>
      <c r="K220" s="231">
        <v>0</v>
      </c>
      <c r="L220" s="231">
        <v>0</v>
      </c>
    </row>
    <row r="221" spans="1:12" ht="12.75">
      <c r="A221" s="256">
        <v>8</v>
      </c>
      <c r="B221" s="257" t="s">
        <v>118</v>
      </c>
      <c r="C221" s="231">
        <v>0</v>
      </c>
      <c r="D221" s="231">
        <v>0</v>
      </c>
      <c r="E221" s="231">
        <v>0</v>
      </c>
      <c r="F221" s="231">
        <v>0</v>
      </c>
      <c r="G221" s="231">
        <v>0</v>
      </c>
      <c r="H221" s="231">
        <v>0</v>
      </c>
      <c r="I221" s="231">
        <v>0</v>
      </c>
      <c r="J221" s="231">
        <v>0</v>
      </c>
      <c r="K221" s="231">
        <v>0</v>
      </c>
      <c r="L221" s="231">
        <v>0</v>
      </c>
    </row>
    <row r="222" spans="1:12" ht="12.75">
      <c r="A222" s="256">
        <v>9</v>
      </c>
      <c r="B222" s="257" t="s">
        <v>119</v>
      </c>
      <c r="C222" s="231">
        <v>0</v>
      </c>
      <c r="D222" s="231">
        <v>0</v>
      </c>
      <c r="E222" s="231">
        <v>0</v>
      </c>
      <c r="F222" s="231">
        <v>0</v>
      </c>
      <c r="G222" s="231">
        <v>0</v>
      </c>
      <c r="H222" s="231">
        <v>0</v>
      </c>
      <c r="I222" s="231">
        <v>833800</v>
      </c>
      <c r="J222" s="231">
        <v>0</v>
      </c>
      <c r="K222" s="231">
        <v>833800</v>
      </c>
      <c r="L222" s="231">
        <v>0</v>
      </c>
    </row>
    <row r="223" spans="1:12" ht="12.75">
      <c r="A223" s="256">
        <v>10</v>
      </c>
      <c r="B223" s="257" t="s">
        <v>120</v>
      </c>
      <c r="C223" s="231">
        <v>0</v>
      </c>
      <c r="D223" s="231">
        <v>0</v>
      </c>
      <c r="E223" s="231">
        <v>0</v>
      </c>
      <c r="F223" s="231">
        <v>0</v>
      </c>
      <c r="G223" s="231">
        <v>0</v>
      </c>
      <c r="H223" s="231">
        <v>0</v>
      </c>
      <c r="I223" s="231">
        <v>64173</v>
      </c>
      <c r="J223" s="231">
        <v>0</v>
      </c>
      <c r="K223" s="231">
        <v>64173</v>
      </c>
      <c r="L223" s="231">
        <v>0</v>
      </c>
    </row>
    <row r="224" spans="1:12" ht="12.75">
      <c r="A224" s="256">
        <v>11</v>
      </c>
      <c r="B224" s="257" t="s">
        <v>121</v>
      </c>
      <c r="C224" s="231">
        <v>0</v>
      </c>
      <c r="D224" s="231">
        <v>0</v>
      </c>
      <c r="E224" s="231">
        <v>0</v>
      </c>
      <c r="F224" s="231">
        <v>0</v>
      </c>
      <c r="G224" s="231">
        <v>0</v>
      </c>
      <c r="H224" s="231">
        <v>0</v>
      </c>
      <c r="I224" s="231">
        <v>9593</v>
      </c>
      <c r="J224" s="231">
        <v>0</v>
      </c>
      <c r="K224" s="231">
        <v>9593</v>
      </c>
      <c r="L224" s="231">
        <v>0</v>
      </c>
    </row>
    <row r="225" spans="1:12" ht="12.75">
      <c r="A225" s="256">
        <v>12</v>
      </c>
      <c r="B225" s="257" t="s">
        <v>145</v>
      </c>
      <c r="C225" s="231">
        <v>0</v>
      </c>
      <c r="D225" s="231">
        <v>0</v>
      </c>
      <c r="E225" s="231">
        <v>0</v>
      </c>
      <c r="F225" s="231">
        <v>0</v>
      </c>
      <c r="G225" s="231">
        <v>0</v>
      </c>
      <c r="H225" s="231">
        <v>0</v>
      </c>
      <c r="I225" s="231">
        <v>2312</v>
      </c>
      <c r="J225" s="231">
        <v>0</v>
      </c>
      <c r="K225" s="231">
        <v>2312</v>
      </c>
      <c r="L225" s="231">
        <v>0</v>
      </c>
    </row>
    <row r="226" spans="1:12" ht="12.75">
      <c r="A226" s="256"/>
      <c r="B226" s="257"/>
      <c r="C226" s="231"/>
      <c r="D226" s="231"/>
      <c r="E226" s="231"/>
      <c r="F226" s="231"/>
      <c r="G226" s="231"/>
      <c r="H226" s="231"/>
      <c r="I226" s="231"/>
      <c r="J226" s="231"/>
      <c r="K226" s="231"/>
      <c r="L226" s="231"/>
    </row>
    <row r="227" spans="1:12" ht="12.75">
      <c r="A227" s="257"/>
      <c r="B227" s="257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</row>
    <row r="228" spans="1:12" ht="12.75">
      <c r="A228" s="257"/>
      <c r="B228" s="257"/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</row>
    <row r="229" spans="1:12" ht="12.75">
      <c r="A229" s="253"/>
      <c r="B229" s="253"/>
      <c r="C229" s="253"/>
      <c r="D229" s="253"/>
      <c r="E229" s="253"/>
      <c r="F229" s="253"/>
      <c r="G229" s="253"/>
      <c r="H229" s="253"/>
      <c r="I229" s="253"/>
      <c r="J229" s="253"/>
      <c r="K229" s="253"/>
      <c r="L229" s="253"/>
    </row>
    <row r="231" ht="12.75">
      <c r="I231" s="250" t="s">
        <v>167</v>
      </c>
    </row>
    <row r="233" spans="8:9" ht="12.75">
      <c r="H233" s="258"/>
      <c r="I233" s="259" t="s">
        <v>60</v>
      </c>
    </row>
    <row r="234" spans="8:9" ht="12.75">
      <c r="H234" s="259"/>
      <c r="I234" s="259" t="s">
        <v>61</v>
      </c>
    </row>
    <row r="235" spans="8:9" ht="12.75">
      <c r="H235" s="259"/>
      <c r="I235" s="259"/>
    </row>
    <row r="236" spans="8:9" ht="12.75">
      <c r="H236" s="259"/>
      <c r="I236" s="259"/>
    </row>
    <row r="237" spans="1:10" ht="12.75">
      <c r="A237" s="260"/>
      <c r="H237" s="259"/>
      <c r="I237" s="268"/>
      <c r="J237" s="267"/>
    </row>
    <row r="238" spans="1:9" ht="12.75">
      <c r="A238" s="260" t="s">
        <v>151</v>
      </c>
      <c r="H238" s="259"/>
      <c r="I238" s="259"/>
    </row>
    <row r="239" spans="8:10" ht="12.75">
      <c r="H239" s="259"/>
      <c r="I239" s="268" t="s">
        <v>62</v>
      </c>
      <c r="J239" s="267"/>
    </row>
    <row r="240" ht="12.75">
      <c r="I240" s="259" t="s">
        <v>125</v>
      </c>
    </row>
    <row r="242" spans="1:4" ht="12.75">
      <c r="A242" s="249" t="s">
        <v>136</v>
      </c>
      <c r="B242" s="249"/>
      <c r="C242" s="249"/>
      <c r="D242" s="249"/>
    </row>
    <row r="244" ht="12.75">
      <c r="A244" s="250" t="s">
        <v>168</v>
      </c>
    </row>
    <row r="247" spans="1:12" ht="12.75">
      <c r="A247" s="251" t="s">
        <v>102</v>
      </c>
      <c r="B247" s="251" t="s">
        <v>103</v>
      </c>
      <c r="C247" s="491" t="s">
        <v>139</v>
      </c>
      <c r="D247" s="492"/>
      <c r="E247" s="491" t="s">
        <v>140</v>
      </c>
      <c r="F247" s="492"/>
      <c r="G247" s="491" t="s">
        <v>141</v>
      </c>
      <c r="H247" s="492"/>
      <c r="I247" s="491" t="s">
        <v>142</v>
      </c>
      <c r="J247" s="492"/>
      <c r="K247" s="491" t="s">
        <v>84</v>
      </c>
      <c r="L247" s="492"/>
    </row>
    <row r="248" spans="1:12" ht="12.75">
      <c r="A248" s="253"/>
      <c r="B248" s="253"/>
      <c r="C248" s="254" t="s">
        <v>143</v>
      </c>
      <c r="D248" s="254" t="s">
        <v>144</v>
      </c>
      <c r="E248" s="254" t="s">
        <v>143</v>
      </c>
      <c r="F248" s="254" t="s">
        <v>144</v>
      </c>
      <c r="G248" s="252" t="s">
        <v>143</v>
      </c>
      <c r="H248" s="254" t="s">
        <v>144</v>
      </c>
      <c r="I248" s="252" t="s">
        <v>143</v>
      </c>
      <c r="J248" s="254" t="s">
        <v>144</v>
      </c>
      <c r="K248" s="252" t="s">
        <v>143</v>
      </c>
      <c r="L248" s="254" t="s">
        <v>144</v>
      </c>
    </row>
    <row r="249" spans="1:12" ht="12.75">
      <c r="A249" s="255"/>
      <c r="B249" s="251"/>
      <c r="C249" s="251"/>
      <c r="D249" s="251"/>
      <c r="E249" s="251"/>
      <c r="F249" s="251"/>
      <c r="G249" s="251"/>
      <c r="H249" s="251"/>
      <c r="I249" s="251"/>
      <c r="J249" s="251"/>
      <c r="K249" s="251"/>
      <c r="L249" s="251"/>
    </row>
    <row r="250" spans="1:12" ht="12.75">
      <c r="A250" s="256">
        <v>1</v>
      </c>
      <c r="B250" s="257" t="s">
        <v>111</v>
      </c>
      <c r="C250" s="276">
        <v>33</v>
      </c>
      <c r="D250" s="276">
        <v>1</v>
      </c>
      <c r="E250" s="276">
        <v>279</v>
      </c>
      <c r="F250" s="276">
        <v>1</v>
      </c>
      <c r="G250" s="276">
        <v>0</v>
      </c>
      <c r="H250" s="276">
        <v>0</v>
      </c>
      <c r="I250" s="276">
        <v>56</v>
      </c>
      <c r="J250" s="276">
        <v>0</v>
      </c>
      <c r="K250" s="276">
        <v>368</v>
      </c>
      <c r="L250" s="276">
        <v>2</v>
      </c>
    </row>
    <row r="251" spans="1:12" ht="12.75">
      <c r="A251" s="256">
        <v>2</v>
      </c>
      <c r="B251" s="257" t="s">
        <v>112</v>
      </c>
      <c r="C251" s="276">
        <v>0</v>
      </c>
      <c r="D251" s="276">
        <v>0</v>
      </c>
      <c r="E251" s="276">
        <v>0</v>
      </c>
      <c r="F251" s="276">
        <v>0</v>
      </c>
      <c r="G251" s="276">
        <v>0</v>
      </c>
      <c r="H251" s="276">
        <v>0</v>
      </c>
      <c r="I251" s="276">
        <v>0</v>
      </c>
      <c r="J251" s="276">
        <v>0</v>
      </c>
      <c r="K251" s="276">
        <v>0</v>
      </c>
      <c r="L251" s="276">
        <v>0</v>
      </c>
    </row>
    <row r="252" spans="1:12" ht="12.75">
      <c r="A252" s="256">
        <v>3</v>
      </c>
      <c r="B252" s="257" t="s">
        <v>113</v>
      </c>
      <c r="C252" s="276">
        <v>102</v>
      </c>
      <c r="D252" s="276">
        <v>3</v>
      </c>
      <c r="E252" s="276">
        <v>269</v>
      </c>
      <c r="F252" s="276">
        <v>5</v>
      </c>
      <c r="G252" s="276">
        <v>6</v>
      </c>
      <c r="H252" s="276">
        <v>0</v>
      </c>
      <c r="I252" s="276">
        <v>31</v>
      </c>
      <c r="J252" s="276">
        <v>0</v>
      </c>
      <c r="K252" s="276">
        <v>408</v>
      </c>
      <c r="L252" s="276">
        <v>8</v>
      </c>
    </row>
    <row r="253" spans="1:12" ht="12.75">
      <c r="A253" s="256">
        <v>4</v>
      </c>
      <c r="B253" s="257" t="s">
        <v>114</v>
      </c>
      <c r="C253" s="276">
        <v>0</v>
      </c>
      <c r="D253" s="276">
        <v>0</v>
      </c>
      <c r="E253" s="276">
        <v>0</v>
      </c>
      <c r="F253" s="276">
        <v>0</v>
      </c>
      <c r="G253" s="276">
        <v>0</v>
      </c>
      <c r="H253" s="276">
        <v>0</v>
      </c>
      <c r="I253" s="276">
        <v>0</v>
      </c>
      <c r="J253" s="276">
        <v>0</v>
      </c>
      <c r="K253" s="276">
        <v>0</v>
      </c>
      <c r="L253" s="276">
        <v>0</v>
      </c>
    </row>
    <row r="254" spans="1:12" ht="12.75">
      <c r="A254" s="256">
        <v>5</v>
      </c>
      <c r="B254" s="257" t="s">
        <v>115</v>
      </c>
      <c r="C254" s="276">
        <v>0</v>
      </c>
      <c r="D254" s="276">
        <v>0</v>
      </c>
      <c r="E254" s="276">
        <v>1962</v>
      </c>
      <c r="F254" s="276">
        <v>41</v>
      </c>
      <c r="G254" s="276">
        <v>0</v>
      </c>
      <c r="H254" s="276">
        <v>0</v>
      </c>
      <c r="I254" s="276">
        <v>7848</v>
      </c>
      <c r="J254" s="276">
        <v>164</v>
      </c>
      <c r="K254" s="276">
        <v>9810</v>
      </c>
      <c r="L254" s="276">
        <v>205</v>
      </c>
    </row>
    <row r="255" spans="1:12" ht="12.75">
      <c r="A255" s="256">
        <v>6</v>
      </c>
      <c r="B255" s="257" t="s">
        <v>116</v>
      </c>
      <c r="C255" s="276">
        <v>0</v>
      </c>
      <c r="D255" s="276">
        <v>0</v>
      </c>
      <c r="E255" s="276">
        <v>1634</v>
      </c>
      <c r="F255" s="276">
        <v>27</v>
      </c>
      <c r="G255" s="276">
        <v>0</v>
      </c>
      <c r="H255" s="276">
        <v>0</v>
      </c>
      <c r="I255" s="276">
        <v>6536</v>
      </c>
      <c r="J255" s="276">
        <v>108</v>
      </c>
      <c r="K255" s="276">
        <v>8170</v>
      </c>
      <c r="L255" s="276">
        <v>135</v>
      </c>
    </row>
    <row r="256" spans="1:12" ht="12.75">
      <c r="A256" s="256">
        <v>7</v>
      </c>
      <c r="B256" s="257" t="s">
        <v>117</v>
      </c>
      <c r="C256" s="276">
        <v>0</v>
      </c>
      <c r="D256" s="276">
        <v>0</v>
      </c>
      <c r="E256" s="276">
        <v>0</v>
      </c>
      <c r="F256" s="276">
        <v>0</v>
      </c>
      <c r="G256" s="276">
        <v>0</v>
      </c>
      <c r="H256" s="276">
        <v>0</v>
      </c>
      <c r="I256" s="276">
        <v>0</v>
      </c>
      <c r="J256" s="276">
        <v>0</v>
      </c>
      <c r="K256" s="276">
        <v>0</v>
      </c>
      <c r="L256" s="276">
        <v>0</v>
      </c>
    </row>
    <row r="257" spans="1:12" ht="12.75">
      <c r="A257" s="256">
        <v>8</v>
      </c>
      <c r="B257" s="257" t="s">
        <v>118</v>
      </c>
      <c r="C257" s="276">
        <v>0</v>
      </c>
      <c r="D257" s="276">
        <v>0</v>
      </c>
      <c r="E257" s="276">
        <v>0</v>
      </c>
      <c r="F257" s="276">
        <v>0</v>
      </c>
      <c r="G257" s="276">
        <v>0</v>
      </c>
      <c r="H257" s="276">
        <v>0</v>
      </c>
      <c r="I257" s="276">
        <v>0</v>
      </c>
      <c r="J257" s="276">
        <v>0</v>
      </c>
      <c r="K257" s="276">
        <v>0</v>
      </c>
      <c r="L257" s="276">
        <v>0</v>
      </c>
    </row>
    <row r="258" spans="1:12" ht="12.75">
      <c r="A258" s="256">
        <v>9</v>
      </c>
      <c r="B258" s="257" t="s">
        <v>119</v>
      </c>
      <c r="C258" s="276">
        <v>0</v>
      </c>
      <c r="D258" s="276">
        <v>0</v>
      </c>
      <c r="E258" s="276">
        <v>0</v>
      </c>
      <c r="F258" s="276">
        <v>0</v>
      </c>
      <c r="G258" s="276">
        <v>0</v>
      </c>
      <c r="H258" s="276">
        <v>0</v>
      </c>
      <c r="I258" s="276">
        <v>1031800</v>
      </c>
      <c r="J258" s="276">
        <v>0</v>
      </c>
      <c r="K258" s="276">
        <v>1031800</v>
      </c>
      <c r="L258" s="276">
        <v>0</v>
      </c>
    </row>
    <row r="259" spans="1:12" ht="12.75">
      <c r="A259" s="256">
        <v>10</v>
      </c>
      <c r="B259" s="257" t="s">
        <v>120</v>
      </c>
      <c r="C259" s="276">
        <v>0</v>
      </c>
      <c r="D259" s="276">
        <v>0</v>
      </c>
      <c r="E259" s="276">
        <v>0</v>
      </c>
      <c r="F259" s="276">
        <v>0</v>
      </c>
      <c r="G259" s="276">
        <v>0</v>
      </c>
      <c r="H259" s="276">
        <v>0</v>
      </c>
      <c r="I259" s="276">
        <v>64505</v>
      </c>
      <c r="J259" s="276">
        <v>0</v>
      </c>
      <c r="K259" s="276">
        <v>64505</v>
      </c>
      <c r="L259" s="276">
        <v>0</v>
      </c>
    </row>
    <row r="260" spans="1:12" ht="12.75">
      <c r="A260" s="256">
        <v>11</v>
      </c>
      <c r="B260" s="257" t="s">
        <v>121</v>
      </c>
      <c r="C260" s="276">
        <v>0</v>
      </c>
      <c r="D260" s="276">
        <v>0</v>
      </c>
      <c r="E260" s="276">
        <v>0</v>
      </c>
      <c r="F260" s="276">
        <v>0</v>
      </c>
      <c r="G260" s="276">
        <v>0</v>
      </c>
      <c r="H260" s="276">
        <v>0</v>
      </c>
      <c r="I260" s="276">
        <v>10010</v>
      </c>
      <c r="J260" s="276">
        <v>0</v>
      </c>
      <c r="K260" s="276">
        <v>10010</v>
      </c>
      <c r="L260" s="276">
        <v>0</v>
      </c>
    </row>
    <row r="261" spans="1:12" ht="12.75">
      <c r="A261" s="256">
        <v>12</v>
      </c>
      <c r="B261" s="257" t="s">
        <v>145</v>
      </c>
      <c r="C261" s="276">
        <v>0</v>
      </c>
      <c r="D261" s="276">
        <v>0</v>
      </c>
      <c r="E261" s="276">
        <v>0</v>
      </c>
      <c r="F261" s="276">
        <v>0</v>
      </c>
      <c r="G261" s="276">
        <v>0</v>
      </c>
      <c r="H261" s="276">
        <v>0</v>
      </c>
      <c r="I261" s="276">
        <v>2453</v>
      </c>
      <c r="J261" s="276">
        <v>0</v>
      </c>
      <c r="K261" s="276">
        <v>2453</v>
      </c>
      <c r="L261" s="276">
        <v>0</v>
      </c>
    </row>
    <row r="262" spans="1:12" ht="12.75">
      <c r="A262" s="256"/>
      <c r="B262" s="257"/>
      <c r="C262" s="276"/>
      <c r="D262" s="276"/>
      <c r="E262" s="276"/>
      <c r="F262" s="276"/>
      <c r="G262" s="276"/>
      <c r="H262" s="276"/>
      <c r="I262" s="276"/>
      <c r="J262" s="276"/>
      <c r="K262" s="276"/>
      <c r="L262" s="276"/>
    </row>
    <row r="263" spans="1:12" ht="12.75">
      <c r="A263" s="257"/>
      <c r="B263" s="257"/>
      <c r="C263" s="231"/>
      <c r="D263" s="231"/>
      <c r="E263" s="231"/>
      <c r="F263" s="231"/>
      <c r="G263" s="231"/>
      <c r="H263" s="231"/>
      <c r="I263" s="231"/>
      <c r="J263" s="231"/>
      <c r="K263" s="231"/>
      <c r="L263" s="231"/>
    </row>
    <row r="264" spans="1:12" ht="12.75">
      <c r="A264" s="257"/>
      <c r="B264" s="257"/>
      <c r="C264" s="231"/>
      <c r="D264" s="231"/>
      <c r="E264" s="231"/>
      <c r="F264" s="231"/>
      <c r="G264" s="231"/>
      <c r="H264" s="231"/>
      <c r="I264" s="231"/>
      <c r="J264" s="231"/>
      <c r="K264" s="231"/>
      <c r="L264" s="231"/>
    </row>
    <row r="265" spans="1:12" ht="12.75">
      <c r="A265" s="253"/>
      <c r="B265" s="253"/>
      <c r="C265" s="253"/>
      <c r="D265" s="253"/>
      <c r="E265" s="253"/>
      <c r="F265" s="253"/>
      <c r="G265" s="253"/>
      <c r="H265" s="253"/>
      <c r="I265" s="253"/>
      <c r="J265" s="253"/>
      <c r="K265" s="253"/>
      <c r="L265" s="253"/>
    </row>
    <row r="267" ht="12.75">
      <c r="I267" s="250" t="s">
        <v>169</v>
      </c>
    </row>
    <row r="269" spans="8:9" ht="12.75">
      <c r="H269" s="278" t="s">
        <v>162</v>
      </c>
      <c r="I269" s="259" t="s">
        <v>60</v>
      </c>
    </row>
    <row r="270" ht="12.75">
      <c r="I270" s="259" t="s">
        <v>61</v>
      </c>
    </row>
    <row r="271" ht="12.75">
      <c r="I271" s="259" t="s">
        <v>170</v>
      </c>
    </row>
    <row r="272" ht="12.75">
      <c r="I272" s="259"/>
    </row>
    <row r="273" spans="1:9" ht="12.75">
      <c r="A273" s="260" t="s">
        <v>151</v>
      </c>
      <c r="I273" s="259"/>
    </row>
    <row r="274" ht="12.75">
      <c r="I274" s="259"/>
    </row>
    <row r="275" spans="1:10" ht="12.75">
      <c r="A275" s="260"/>
      <c r="I275" s="268" t="s">
        <v>164</v>
      </c>
      <c r="J275" s="267"/>
    </row>
    <row r="276" spans="1:9" ht="12.75">
      <c r="A276" s="249" t="s">
        <v>136</v>
      </c>
      <c r="B276" s="249"/>
      <c r="C276" s="249"/>
      <c r="I276" s="259" t="s">
        <v>165</v>
      </c>
    </row>
    <row r="278" ht="12.75">
      <c r="A278" s="250" t="s">
        <v>171</v>
      </c>
    </row>
    <row r="281" spans="1:12" ht="12.75">
      <c r="A281" s="251" t="s">
        <v>102</v>
      </c>
      <c r="B281" s="251" t="s">
        <v>103</v>
      </c>
      <c r="C281" s="491" t="s">
        <v>139</v>
      </c>
      <c r="D281" s="492"/>
      <c r="E281" s="491" t="s">
        <v>140</v>
      </c>
      <c r="F281" s="492"/>
      <c r="G281" s="491" t="s">
        <v>141</v>
      </c>
      <c r="H281" s="492"/>
      <c r="I281" s="491" t="s">
        <v>142</v>
      </c>
      <c r="J281" s="492"/>
      <c r="K281" s="491" t="s">
        <v>84</v>
      </c>
      <c r="L281" s="492"/>
    </row>
    <row r="282" spans="1:12" ht="12.75">
      <c r="A282" s="253"/>
      <c r="B282" s="253"/>
      <c r="C282" s="279" t="s">
        <v>143</v>
      </c>
      <c r="D282" s="279" t="s">
        <v>144</v>
      </c>
      <c r="E282" s="279" t="s">
        <v>143</v>
      </c>
      <c r="F282" s="279" t="s">
        <v>144</v>
      </c>
      <c r="G282" s="280" t="s">
        <v>143</v>
      </c>
      <c r="H282" s="279" t="s">
        <v>144</v>
      </c>
      <c r="I282" s="280" t="s">
        <v>143</v>
      </c>
      <c r="J282" s="279" t="s">
        <v>144</v>
      </c>
      <c r="K282" s="280" t="s">
        <v>143</v>
      </c>
      <c r="L282" s="279" t="s">
        <v>144</v>
      </c>
    </row>
    <row r="283" spans="1:12" ht="12.75">
      <c r="A283" s="255"/>
      <c r="B283" s="281"/>
      <c r="C283" s="251"/>
      <c r="D283" s="251"/>
      <c r="E283" s="251"/>
      <c r="F283" s="251"/>
      <c r="G283" s="282"/>
      <c r="H283" s="282"/>
      <c r="I283" s="251"/>
      <c r="J283" s="282"/>
      <c r="K283" s="284"/>
      <c r="L283" s="284"/>
    </row>
    <row r="284" spans="1:12" ht="12.75">
      <c r="A284" s="256">
        <v>1</v>
      </c>
      <c r="B284" s="257" t="s">
        <v>111</v>
      </c>
      <c r="C284" s="257">
        <v>30</v>
      </c>
      <c r="D284" s="257">
        <v>1</v>
      </c>
      <c r="E284" s="257">
        <v>514</v>
      </c>
      <c r="F284" s="257">
        <v>1</v>
      </c>
      <c r="G284" s="283">
        <v>0</v>
      </c>
      <c r="H284" s="231">
        <v>0</v>
      </c>
      <c r="I284" s="269">
        <v>1</v>
      </c>
      <c r="J284" s="231">
        <v>0</v>
      </c>
      <c r="K284" s="285">
        <v>545</v>
      </c>
      <c r="L284" s="273">
        <v>2</v>
      </c>
    </row>
    <row r="285" spans="1:12" ht="12.75">
      <c r="A285" s="256">
        <v>2</v>
      </c>
      <c r="B285" s="257" t="s">
        <v>112</v>
      </c>
      <c r="C285" s="231">
        <v>0</v>
      </c>
      <c r="D285" s="231">
        <v>0</v>
      </c>
      <c r="E285" s="231">
        <v>0</v>
      </c>
      <c r="F285" s="231">
        <v>0</v>
      </c>
      <c r="G285" s="283">
        <v>0</v>
      </c>
      <c r="H285" s="231">
        <v>0</v>
      </c>
      <c r="I285" s="286">
        <v>0</v>
      </c>
      <c r="J285" s="231">
        <v>0</v>
      </c>
      <c r="K285" s="287">
        <v>0</v>
      </c>
      <c r="L285" s="231">
        <v>0</v>
      </c>
    </row>
    <row r="286" spans="1:12" ht="12.75">
      <c r="A286" s="256">
        <v>3</v>
      </c>
      <c r="B286" s="257" t="s">
        <v>113</v>
      </c>
      <c r="C286" s="231">
        <v>97</v>
      </c>
      <c r="D286" s="231">
        <v>4</v>
      </c>
      <c r="E286" s="231">
        <v>497</v>
      </c>
      <c r="F286" s="231">
        <v>1</v>
      </c>
      <c r="G286" s="283">
        <v>6</v>
      </c>
      <c r="H286" s="231">
        <v>0</v>
      </c>
      <c r="I286" s="286">
        <v>2</v>
      </c>
      <c r="J286" s="231">
        <v>0</v>
      </c>
      <c r="K286" s="287">
        <v>602</v>
      </c>
      <c r="L286" s="231">
        <v>5</v>
      </c>
    </row>
    <row r="287" spans="1:12" ht="12.75">
      <c r="A287" s="256">
        <v>4</v>
      </c>
      <c r="B287" s="257" t="s">
        <v>114</v>
      </c>
      <c r="C287" s="231">
        <v>0</v>
      </c>
      <c r="D287" s="231">
        <v>0</v>
      </c>
      <c r="E287" s="231">
        <v>0</v>
      </c>
      <c r="F287" s="231">
        <v>0</v>
      </c>
      <c r="G287" s="283">
        <v>0</v>
      </c>
      <c r="H287" s="231">
        <v>0</v>
      </c>
      <c r="I287" s="286">
        <v>0</v>
      </c>
      <c r="J287" s="231">
        <v>0</v>
      </c>
      <c r="K287" s="287">
        <v>0</v>
      </c>
      <c r="L287" s="231">
        <v>0</v>
      </c>
    </row>
    <row r="288" spans="1:12" ht="12.75">
      <c r="A288" s="256">
        <v>5</v>
      </c>
      <c r="B288" s="257" t="s">
        <v>115</v>
      </c>
      <c r="C288" s="231">
        <v>0</v>
      </c>
      <c r="D288" s="231">
        <v>0</v>
      </c>
      <c r="E288" s="231">
        <v>5529</v>
      </c>
      <c r="F288" s="231">
        <v>35</v>
      </c>
      <c r="G288" s="283">
        <v>0</v>
      </c>
      <c r="H288" s="231">
        <v>0</v>
      </c>
      <c r="I288" s="287">
        <v>932</v>
      </c>
      <c r="J288" s="231">
        <v>140</v>
      </c>
      <c r="K288" s="231">
        <v>6461</v>
      </c>
      <c r="L288" s="231">
        <v>175</v>
      </c>
    </row>
    <row r="289" spans="1:12" ht="12.75">
      <c r="A289" s="256">
        <v>6</v>
      </c>
      <c r="B289" s="257" t="s">
        <v>116</v>
      </c>
      <c r="C289" s="231">
        <v>0</v>
      </c>
      <c r="D289" s="231">
        <v>0</v>
      </c>
      <c r="E289" s="231">
        <v>1626</v>
      </c>
      <c r="F289" s="231">
        <v>26</v>
      </c>
      <c r="G289" s="283">
        <v>0</v>
      </c>
      <c r="H289" s="231">
        <v>0</v>
      </c>
      <c r="I289" s="287">
        <v>856</v>
      </c>
      <c r="J289" s="231">
        <v>104</v>
      </c>
      <c r="K289" s="231">
        <v>2482</v>
      </c>
      <c r="L289" s="231">
        <v>130</v>
      </c>
    </row>
    <row r="290" spans="1:12" ht="12.75">
      <c r="A290" s="256">
        <v>7</v>
      </c>
      <c r="B290" s="257" t="s">
        <v>117</v>
      </c>
      <c r="C290" s="231">
        <v>0</v>
      </c>
      <c r="D290" s="231">
        <v>0</v>
      </c>
      <c r="E290" s="231">
        <v>0</v>
      </c>
      <c r="F290" s="231">
        <v>0</v>
      </c>
      <c r="G290" s="283">
        <v>0</v>
      </c>
      <c r="H290" s="231">
        <v>0</v>
      </c>
      <c r="I290" s="287">
        <v>0</v>
      </c>
      <c r="J290" s="231">
        <v>0</v>
      </c>
      <c r="K290" s="231">
        <v>0</v>
      </c>
      <c r="L290" s="231">
        <v>0</v>
      </c>
    </row>
    <row r="291" spans="1:12" ht="12.75">
      <c r="A291" s="256">
        <v>8</v>
      </c>
      <c r="B291" s="257" t="s">
        <v>118</v>
      </c>
      <c r="C291" s="231">
        <v>0</v>
      </c>
      <c r="D291" s="231">
        <v>0</v>
      </c>
      <c r="E291" s="231">
        <v>0</v>
      </c>
      <c r="F291" s="231">
        <v>0</v>
      </c>
      <c r="G291" s="283">
        <v>0</v>
      </c>
      <c r="H291" s="231">
        <v>0</v>
      </c>
      <c r="I291" s="287">
        <v>0</v>
      </c>
      <c r="J291" s="231">
        <v>0</v>
      </c>
      <c r="K291" s="231">
        <v>0</v>
      </c>
      <c r="L291" s="231">
        <v>0</v>
      </c>
    </row>
    <row r="292" spans="1:12" ht="12.75">
      <c r="A292" s="256">
        <v>9</v>
      </c>
      <c r="B292" s="257" t="s">
        <v>119</v>
      </c>
      <c r="C292" s="231">
        <v>0</v>
      </c>
      <c r="D292" s="231">
        <v>0</v>
      </c>
      <c r="E292" s="231">
        <v>0</v>
      </c>
      <c r="F292" s="231">
        <v>0</v>
      </c>
      <c r="G292" s="283">
        <v>0</v>
      </c>
      <c r="H292" s="231">
        <v>0</v>
      </c>
      <c r="I292" s="287">
        <v>899100</v>
      </c>
      <c r="J292" s="231">
        <v>0</v>
      </c>
      <c r="K292" s="231">
        <v>899100</v>
      </c>
      <c r="L292" s="231">
        <v>0</v>
      </c>
    </row>
    <row r="293" spans="1:12" ht="12.75">
      <c r="A293" s="256">
        <v>10</v>
      </c>
      <c r="B293" s="257" t="s">
        <v>120</v>
      </c>
      <c r="C293" s="231">
        <v>0</v>
      </c>
      <c r="D293" s="231">
        <v>0</v>
      </c>
      <c r="E293" s="231">
        <v>0</v>
      </c>
      <c r="F293" s="231">
        <v>0</v>
      </c>
      <c r="G293" s="283">
        <v>0</v>
      </c>
      <c r="H293" s="231">
        <v>0</v>
      </c>
      <c r="I293" s="287">
        <v>64407</v>
      </c>
      <c r="J293" s="231">
        <v>0</v>
      </c>
      <c r="K293" s="231">
        <v>64407</v>
      </c>
      <c r="L293" s="231">
        <v>0</v>
      </c>
    </row>
    <row r="294" spans="1:12" ht="12.75">
      <c r="A294" s="256">
        <v>11</v>
      </c>
      <c r="B294" s="257" t="s">
        <v>121</v>
      </c>
      <c r="C294" s="231">
        <v>0</v>
      </c>
      <c r="D294" s="231">
        <v>0</v>
      </c>
      <c r="E294" s="231">
        <v>0</v>
      </c>
      <c r="F294" s="231">
        <v>0</v>
      </c>
      <c r="G294" s="283">
        <v>0</v>
      </c>
      <c r="H294" s="231">
        <v>0</v>
      </c>
      <c r="I294" s="287">
        <v>9766</v>
      </c>
      <c r="J294" s="231">
        <v>0</v>
      </c>
      <c r="K294" s="231">
        <v>9766</v>
      </c>
      <c r="L294" s="231">
        <v>0</v>
      </c>
    </row>
    <row r="295" spans="1:12" ht="12.75">
      <c r="A295" s="256">
        <v>12</v>
      </c>
      <c r="B295" s="257" t="s">
        <v>145</v>
      </c>
      <c r="C295" s="231">
        <v>0</v>
      </c>
      <c r="D295" s="231">
        <v>0</v>
      </c>
      <c r="E295" s="231">
        <v>0</v>
      </c>
      <c r="F295" s="231">
        <v>0</v>
      </c>
      <c r="G295" s="283">
        <v>0</v>
      </c>
      <c r="H295" s="231">
        <v>0</v>
      </c>
      <c r="I295" s="287">
        <v>2429</v>
      </c>
      <c r="J295" s="231">
        <v>0</v>
      </c>
      <c r="K295" s="231">
        <v>2429</v>
      </c>
      <c r="L295" s="231">
        <v>0</v>
      </c>
    </row>
    <row r="296" spans="1:12" ht="12.75">
      <c r="A296" s="256"/>
      <c r="B296" s="257"/>
      <c r="C296" s="231"/>
      <c r="D296" s="231"/>
      <c r="E296" s="231"/>
      <c r="F296" s="231"/>
      <c r="G296" s="231"/>
      <c r="H296" s="231"/>
      <c r="I296" s="231"/>
      <c r="J296" s="231"/>
      <c r="K296" s="231"/>
      <c r="L296" s="231"/>
    </row>
    <row r="297" spans="1:12" ht="12.75">
      <c r="A297" s="257"/>
      <c r="B297" s="257"/>
      <c r="C297" s="231"/>
      <c r="D297" s="231"/>
      <c r="E297" s="231"/>
      <c r="F297" s="231"/>
      <c r="G297" s="231"/>
      <c r="H297" s="231"/>
      <c r="I297" s="231"/>
      <c r="J297" s="231"/>
      <c r="K297" s="231"/>
      <c r="L297" s="231"/>
    </row>
    <row r="298" spans="1:12" ht="12.75">
      <c r="A298" s="257"/>
      <c r="B298" s="257"/>
      <c r="C298" s="231"/>
      <c r="D298" s="231"/>
      <c r="E298" s="231"/>
      <c r="F298" s="231"/>
      <c r="G298" s="231"/>
      <c r="H298" s="231"/>
      <c r="I298" s="231"/>
      <c r="J298" s="231"/>
      <c r="K298" s="231"/>
      <c r="L298" s="231"/>
    </row>
    <row r="299" spans="1:12" ht="12.75">
      <c r="A299" s="253"/>
      <c r="B299" s="253"/>
      <c r="C299" s="253"/>
      <c r="D299" s="253"/>
      <c r="E299" s="253"/>
      <c r="F299" s="253"/>
      <c r="G299" s="253"/>
      <c r="H299" s="253"/>
      <c r="I299" s="253"/>
      <c r="J299" s="253"/>
      <c r="K299" s="253"/>
      <c r="L299" s="253"/>
    </row>
    <row r="301" ht="12.75">
      <c r="J301" s="250" t="s">
        <v>172</v>
      </c>
    </row>
    <row r="303" spans="8:10" ht="12.75">
      <c r="H303" s="258"/>
      <c r="I303" s="278" t="s">
        <v>162</v>
      </c>
      <c r="J303" s="259" t="s">
        <v>60</v>
      </c>
    </row>
    <row r="304" spans="8:10" ht="12.75">
      <c r="H304" s="259"/>
      <c r="J304" s="259" t="s">
        <v>61</v>
      </c>
    </row>
    <row r="305" spans="8:10" ht="12.75">
      <c r="H305" s="259"/>
      <c r="J305" s="259" t="s">
        <v>170</v>
      </c>
    </row>
    <row r="306" spans="8:10" ht="12.75">
      <c r="H306" s="259"/>
      <c r="J306" s="259"/>
    </row>
    <row r="307" spans="1:10" ht="12.75">
      <c r="A307" s="260" t="s">
        <v>151</v>
      </c>
      <c r="H307" s="259"/>
      <c r="J307" s="259"/>
    </row>
    <row r="308" spans="8:10" ht="12.75">
      <c r="H308" s="259"/>
      <c r="J308" s="259"/>
    </row>
    <row r="309" spans="8:11" ht="12.75">
      <c r="H309" s="259"/>
      <c r="J309" s="268" t="s">
        <v>164</v>
      </c>
      <c r="K309" s="267"/>
    </row>
    <row r="310" ht="12.75">
      <c r="J310" s="259" t="s">
        <v>165</v>
      </c>
    </row>
    <row r="311" ht="12.75">
      <c r="H311" s="259"/>
    </row>
    <row r="312" spans="1:4" ht="12.75">
      <c r="A312" s="249" t="s">
        <v>136</v>
      </c>
      <c r="B312" s="249"/>
      <c r="C312" s="249"/>
      <c r="D312" s="249"/>
    </row>
    <row r="314" ht="12.75">
      <c r="A314" s="250" t="s">
        <v>173</v>
      </c>
    </row>
    <row r="317" spans="1:12" ht="12.75">
      <c r="A317" s="251" t="s">
        <v>102</v>
      </c>
      <c r="B317" s="251" t="s">
        <v>103</v>
      </c>
      <c r="C317" s="491" t="s">
        <v>139</v>
      </c>
      <c r="D317" s="492"/>
      <c r="E317" s="491" t="s">
        <v>140</v>
      </c>
      <c r="F317" s="492"/>
      <c r="G317" s="491" t="s">
        <v>141</v>
      </c>
      <c r="H317" s="492"/>
      <c r="I317" s="491" t="s">
        <v>142</v>
      </c>
      <c r="J317" s="492"/>
      <c r="K317" s="491" t="s">
        <v>84</v>
      </c>
      <c r="L317" s="492"/>
    </row>
    <row r="318" spans="1:12" ht="12.75">
      <c r="A318" s="253"/>
      <c r="B318" s="253"/>
      <c r="C318" s="254" t="s">
        <v>143</v>
      </c>
      <c r="D318" s="254" t="s">
        <v>144</v>
      </c>
      <c r="E318" s="254" t="s">
        <v>143</v>
      </c>
      <c r="F318" s="254" t="s">
        <v>144</v>
      </c>
      <c r="G318" s="252" t="s">
        <v>143</v>
      </c>
      <c r="H318" s="254" t="s">
        <v>144</v>
      </c>
      <c r="I318" s="252" t="s">
        <v>143</v>
      </c>
      <c r="J318" s="254" t="s">
        <v>144</v>
      </c>
      <c r="K318" s="252" t="s">
        <v>143</v>
      </c>
      <c r="L318" s="254" t="s">
        <v>144</v>
      </c>
    </row>
    <row r="319" spans="1:12" ht="12.75">
      <c r="A319" s="255"/>
      <c r="B319" s="251"/>
      <c r="C319" s="251"/>
      <c r="D319" s="251"/>
      <c r="E319" s="251"/>
      <c r="F319" s="251"/>
      <c r="G319" s="251"/>
      <c r="H319" s="251"/>
      <c r="I319" s="251"/>
      <c r="J319" s="251"/>
      <c r="K319" s="251"/>
      <c r="L319" s="251"/>
    </row>
    <row r="320" spans="1:12" ht="12.75">
      <c r="A320" s="256">
        <v>1</v>
      </c>
      <c r="B320" s="257" t="s">
        <v>111</v>
      </c>
      <c r="C320" s="231">
        <v>15</v>
      </c>
      <c r="D320" s="231">
        <v>1</v>
      </c>
      <c r="E320" s="231">
        <v>0</v>
      </c>
      <c r="F320" s="231">
        <v>1</v>
      </c>
      <c r="G320" s="231">
        <v>0</v>
      </c>
      <c r="H320" s="231">
        <v>0</v>
      </c>
      <c r="I320" s="231">
        <v>0</v>
      </c>
      <c r="J320" s="231">
        <v>0</v>
      </c>
      <c r="K320" s="231">
        <v>15</v>
      </c>
      <c r="L320" s="231">
        <v>2</v>
      </c>
    </row>
    <row r="321" spans="1:12" ht="12.75">
      <c r="A321" s="256">
        <v>2</v>
      </c>
      <c r="B321" s="257" t="s">
        <v>112</v>
      </c>
      <c r="C321" s="231">
        <v>0</v>
      </c>
      <c r="D321" s="231">
        <v>0</v>
      </c>
      <c r="E321" s="231">
        <v>0</v>
      </c>
      <c r="F321" s="231">
        <v>0</v>
      </c>
      <c r="G321" s="231">
        <v>0</v>
      </c>
      <c r="H321" s="231">
        <v>0</v>
      </c>
      <c r="I321" s="231">
        <v>0</v>
      </c>
      <c r="J321" s="231">
        <v>0</v>
      </c>
      <c r="K321" s="231">
        <v>0</v>
      </c>
      <c r="L321" s="231">
        <v>0</v>
      </c>
    </row>
    <row r="322" spans="1:12" ht="12.75">
      <c r="A322" s="256">
        <v>3</v>
      </c>
      <c r="B322" s="257" t="s">
        <v>113</v>
      </c>
      <c r="C322" s="231">
        <v>72</v>
      </c>
      <c r="D322" s="231">
        <v>4</v>
      </c>
      <c r="E322" s="231">
        <v>22</v>
      </c>
      <c r="F322" s="231">
        <v>1</v>
      </c>
      <c r="G322" s="231">
        <v>11</v>
      </c>
      <c r="H322" s="231">
        <v>0</v>
      </c>
      <c r="I322" s="231">
        <v>2</v>
      </c>
      <c r="J322" s="231">
        <v>0</v>
      </c>
      <c r="K322" s="231">
        <v>107</v>
      </c>
      <c r="L322" s="231">
        <v>5</v>
      </c>
    </row>
    <row r="323" spans="1:12" ht="12.75">
      <c r="A323" s="256">
        <v>4</v>
      </c>
      <c r="B323" s="257" t="s">
        <v>114</v>
      </c>
      <c r="C323" s="231">
        <v>0</v>
      </c>
      <c r="D323" s="231">
        <v>0</v>
      </c>
      <c r="E323" s="231">
        <v>0</v>
      </c>
      <c r="F323" s="231">
        <v>0</v>
      </c>
      <c r="G323" s="231">
        <v>0</v>
      </c>
      <c r="H323" s="231">
        <v>0</v>
      </c>
      <c r="I323" s="231">
        <v>0</v>
      </c>
      <c r="J323" s="231">
        <v>0</v>
      </c>
      <c r="K323" s="231">
        <v>0</v>
      </c>
      <c r="L323" s="231">
        <v>0</v>
      </c>
    </row>
    <row r="324" spans="1:12" ht="12.75">
      <c r="A324" s="256">
        <v>5</v>
      </c>
      <c r="B324" s="257" t="s">
        <v>115</v>
      </c>
      <c r="C324" s="231">
        <v>0</v>
      </c>
      <c r="D324" s="231">
        <v>0</v>
      </c>
      <c r="E324" s="231">
        <v>193</v>
      </c>
      <c r="F324" s="231">
        <v>21</v>
      </c>
      <c r="G324" s="231">
        <v>0</v>
      </c>
      <c r="H324" s="231">
        <v>0</v>
      </c>
      <c r="I324" s="231">
        <v>772</v>
      </c>
      <c r="J324" s="231">
        <v>84</v>
      </c>
      <c r="K324" s="231">
        <v>965</v>
      </c>
      <c r="L324" s="231">
        <v>105</v>
      </c>
    </row>
    <row r="325" spans="1:12" ht="12.75">
      <c r="A325" s="256">
        <v>6</v>
      </c>
      <c r="B325" s="257" t="s">
        <v>116</v>
      </c>
      <c r="C325" s="231">
        <v>0</v>
      </c>
      <c r="D325" s="231">
        <v>0</v>
      </c>
      <c r="E325" s="231">
        <v>155</v>
      </c>
      <c r="F325" s="231">
        <v>19</v>
      </c>
      <c r="G325" s="231">
        <v>0</v>
      </c>
      <c r="H325" s="231">
        <v>0</v>
      </c>
      <c r="I325" s="231">
        <v>620</v>
      </c>
      <c r="J325" s="231">
        <v>76</v>
      </c>
      <c r="K325" s="231">
        <v>775</v>
      </c>
      <c r="L325" s="231">
        <v>95</v>
      </c>
    </row>
    <row r="326" spans="1:12" ht="12.75">
      <c r="A326" s="256">
        <v>7</v>
      </c>
      <c r="B326" s="257" t="s">
        <v>117</v>
      </c>
      <c r="C326" s="231">
        <v>0</v>
      </c>
      <c r="D326" s="231">
        <v>0</v>
      </c>
      <c r="E326" s="231">
        <v>0</v>
      </c>
      <c r="F326" s="231">
        <v>0</v>
      </c>
      <c r="G326" s="231">
        <v>0</v>
      </c>
      <c r="H326" s="231">
        <v>0</v>
      </c>
      <c r="I326" s="231">
        <v>0</v>
      </c>
      <c r="J326" s="231">
        <v>0</v>
      </c>
      <c r="K326" s="231">
        <v>0</v>
      </c>
      <c r="L326" s="231">
        <v>0</v>
      </c>
    </row>
    <row r="327" spans="1:12" ht="12.75">
      <c r="A327" s="256">
        <v>8</v>
      </c>
      <c r="B327" s="257" t="s">
        <v>118</v>
      </c>
      <c r="C327" s="231">
        <v>0</v>
      </c>
      <c r="D327" s="231">
        <v>0</v>
      </c>
      <c r="E327" s="231">
        <v>0</v>
      </c>
      <c r="F327" s="231">
        <v>0</v>
      </c>
      <c r="G327" s="231">
        <v>0</v>
      </c>
      <c r="H327" s="231">
        <v>0</v>
      </c>
      <c r="I327" s="231">
        <v>0</v>
      </c>
      <c r="J327" s="231">
        <v>0</v>
      </c>
      <c r="K327" s="231">
        <v>0</v>
      </c>
      <c r="L327" s="231">
        <v>0</v>
      </c>
    </row>
    <row r="328" spans="1:12" ht="12.75">
      <c r="A328" s="256">
        <v>9</v>
      </c>
      <c r="B328" s="257" t="s">
        <v>119</v>
      </c>
      <c r="C328" s="231">
        <v>0</v>
      </c>
      <c r="D328" s="231">
        <v>0</v>
      </c>
      <c r="E328" s="231">
        <v>0</v>
      </c>
      <c r="F328" s="231">
        <v>0</v>
      </c>
      <c r="G328" s="231">
        <v>0</v>
      </c>
      <c r="H328" s="231">
        <v>0</v>
      </c>
      <c r="I328" s="231">
        <v>1037300</v>
      </c>
      <c r="J328" s="231">
        <v>0</v>
      </c>
      <c r="K328" s="231">
        <v>1037300</v>
      </c>
      <c r="L328" s="231">
        <v>0</v>
      </c>
    </row>
    <row r="329" spans="1:12" ht="12.75">
      <c r="A329" s="256">
        <v>10</v>
      </c>
      <c r="B329" s="257" t="s">
        <v>120</v>
      </c>
      <c r="C329" s="231">
        <v>0</v>
      </c>
      <c r="D329" s="231">
        <v>0</v>
      </c>
      <c r="E329" s="231">
        <v>0</v>
      </c>
      <c r="F329" s="231">
        <v>0</v>
      </c>
      <c r="G329" s="231">
        <v>0</v>
      </c>
      <c r="H329" s="231">
        <v>0</v>
      </c>
      <c r="I329" s="231">
        <v>65324</v>
      </c>
      <c r="J329" s="231">
        <v>0</v>
      </c>
      <c r="K329" s="231">
        <v>65324</v>
      </c>
      <c r="L329" s="231">
        <v>0</v>
      </c>
    </row>
    <row r="330" spans="1:12" ht="12.75">
      <c r="A330" s="256">
        <v>11</v>
      </c>
      <c r="B330" s="257" t="s">
        <v>121</v>
      </c>
      <c r="C330" s="231">
        <v>0</v>
      </c>
      <c r="D330" s="231">
        <v>0</v>
      </c>
      <c r="E330" s="231">
        <v>0</v>
      </c>
      <c r="F330" s="231">
        <v>0</v>
      </c>
      <c r="G330" s="231">
        <v>0</v>
      </c>
      <c r="H330" s="231">
        <v>0</v>
      </c>
      <c r="I330" s="231">
        <v>10939</v>
      </c>
      <c r="J330" s="231">
        <v>0</v>
      </c>
      <c r="K330" s="231">
        <v>10939</v>
      </c>
      <c r="L330" s="231">
        <v>0</v>
      </c>
    </row>
    <row r="331" spans="1:12" ht="12.75">
      <c r="A331" s="256">
        <v>12</v>
      </c>
      <c r="B331" s="257" t="s">
        <v>145</v>
      </c>
      <c r="C331" s="231">
        <v>0</v>
      </c>
      <c r="D331" s="231">
        <v>0</v>
      </c>
      <c r="E331" s="231">
        <v>0</v>
      </c>
      <c r="F331" s="231">
        <v>0</v>
      </c>
      <c r="G331" s="231">
        <v>0</v>
      </c>
      <c r="H331" s="231">
        <v>0</v>
      </c>
      <c r="I331" s="231">
        <v>2433</v>
      </c>
      <c r="J331" s="231">
        <v>0</v>
      </c>
      <c r="K331" s="231">
        <v>2433</v>
      </c>
      <c r="L331" s="231">
        <v>0</v>
      </c>
    </row>
    <row r="332" spans="1:12" ht="12.75">
      <c r="A332" s="256"/>
      <c r="B332" s="257"/>
      <c r="C332" s="231"/>
      <c r="D332" s="231"/>
      <c r="E332" s="231"/>
      <c r="F332" s="231"/>
      <c r="G332" s="231"/>
      <c r="H332" s="231"/>
      <c r="I332" s="231"/>
      <c r="J332" s="231"/>
      <c r="K332" s="231"/>
      <c r="L332" s="231"/>
    </row>
    <row r="333" spans="1:12" ht="12.75">
      <c r="A333" s="257"/>
      <c r="B333" s="257"/>
      <c r="C333" s="231"/>
      <c r="D333" s="231"/>
      <c r="E333" s="231"/>
      <c r="F333" s="231"/>
      <c r="G333" s="231"/>
      <c r="H333" s="231"/>
      <c r="I333" s="231"/>
      <c r="J333" s="231"/>
      <c r="K333" s="231"/>
      <c r="L333" s="231"/>
    </row>
    <row r="334" spans="1:12" ht="12.75">
      <c r="A334" s="257"/>
      <c r="B334" s="257"/>
      <c r="C334" s="231"/>
      <c r="D334" s="231"/>
      <c r="E334" s="231"/>
      <c r="F334" s="231"/>
      <c r="G334" s="231"/>
      <c r="H334" s="231"/>
      <c r="I334" s="231"/>
      <c r="J334" s="231"/>
      <c r="K334" s="231"/>
      <c r="L334" s="231"/>
    </row>
    <row r="335" spans="1:12" ht="12.75">
      <c r="A335" s="253"/>
      <c r="B335" s="253"/>
      <c r="C335" s="253"/>
      <c r="D335" s="253"/>
      <c r="E335" s="253"/>
      <c r="F335" s="253"/>
      <c r="G335" s="253"/>
      <c r="H335" s="253"/>
      <c r="I335" s="253"/>
      <c r="J335" s="253"/>
      <c r="K335" s="253"/>
      <c r="L335" s="253"/>
    </row>
    <row r="337" ht="12.75">
      <c r="J337" s="250" t="s">
        <v>174</v>
      </c>
    </row>
    <row r="339" spans="8:10" ht="12.75">
      <c r="H339" s="258"/>
      <c r="I339" s="258" t="s">
        <v>162</v>
      </c>
      <c r="J339" s="259" t="s">
        <v>60</v>
      </c>
    </row>
    <row r="340" spans="8:10" ht="12.75">
      <c r="H340" s="259"/>
      <c r="I340" s="259"/>
      <c r="J340" s="259" t="s">
        <v>61</v>
      </c>
    </row>
    <row r="341" spans="8:10" ht="12.75">
      <c r="H341" s="259"/>
      <c r="I341" s="259"/>
      <c r="J341" s="259" t="s">
        <v>163</v>
      </c>
    </row>
    <row r="342" spans="8:11" ht="12.75">
      <c r="H342" s="259"/>
      <c r="I342" s="259"/>
      <c r="J342" s="259"/>
      <c r="K342" s="267"/>
    </row>
    <row r="343" spans="1:10" ht="12.75">
      <c r="A343" s="260" t="s">
        <v>151</v>
      </c>
      <c r="H343" s="259"/>
      <c r="I343" s="259"/>
      <c r="J343" s="268"/>
    </row>
    <row r="344" spans="8:11" ht="12.75">
      <c r="H344" s="259"/>
      <c r="I344" s="259"/>
      <c r="J344" s="259"/>
      <c r="K344" s="267"/>
    </row>
    <row r="345" spans="8:10" ht="12.75">
      <c r="H345" s="259"/>
      <c r="I345" s="259"/>
      <c r="J345" s="268" t="s">
        <v>164</v>
      </c>
    </row>
    <row r="346" spans="1:10" ht="12.75">
      <c r="A346" s="249" t="s">
        <v>136</v>
      </c>
      <c r="B346" s="249"/>
      <c r="C346" s="249"/>
      <c r="D346" s="249"/>
      <c r="I346" s="259"/>
      <c r="J346" s="259" t="s">
        <v>165</v>
      </c>
    </row>
    <row r="348" ht="12.75">
      <c r="A348" s="250" t="s">
        <v>175</v>
      </c>
    </row>
    <row r="351" spans="1:12" ht="12.75">
      <c r="A351" s="251" t="s">
        <v>102</v>
      </c>
      <c r="B351" s="251" t="s">
        <v>103</v>
      </c>
      <c r="C351" s="491" t="s">
        <v>139</v>
      </c>
      <c r="D351" s="492"/>
      <c r="E351" s="491" t="s">
        <v>140</v>
      </c>
      <c r="F351" s="492"/>
      <c r="G351" s="491" t="s">
        <v>141</v>
      </c>
      <c r="H351" s="492"/>
      <c r="I351" s="491" t="s">
        <v>142</v>
      </c>
      <c r="J351" s="492"/>
      <c r="K351" s="491" t="s">
        <v>84</v>
      </c>
      <c r="L351" s="492"/>
    </row>
    <row r="352" spans="1:12" ht="12.75">
      <c r="A352" s="253"/>
      <c r="B352" s="253"/>
      <c r="C352" s="254" t="s">
        <v>143</v>
      </c>
      <c r="D352" s="254" t="s">
        <v>144</v>
      </c>
      <c r="E352" s="254" t="s">
        <v>143</v>
      </c>
      <c r="F352" s="254" t="s">
        <v>144</v>
      </c>
      <c r="G352" s="252" t="s">
        <v>143</v>
      </c>
      <c r="H352" s="254" t="s">
        <v>144</v>
      </c>
      <c r="I352" s="252" t="s">
        <v>143</v>
      </c>
      <c r="J352" s="254" t="s">
        <v>144</v>
      </c>
      <c r="K352" s="252" t="s">
        <v>143</v>
      </c>
      <c r="L352" s="254" t="s">
        <v>144</v>
      </c>
    </row>
    <row r="353" spans="1:12" ht="12.75">
      <c r="A353" s="255"/>
      <c r="B353" s="251"/>
      <c r="C353" s="251"/>
      <c r="D353" s="251"/>
      <c r="E353" s="251"/>
      <c r="F353" s="251"/>
      <c r="G353" s="251"/>
      <c r="H353" s="251"/>
      <c r="I353" s="251"/>
      <c r="J353" s="251"/>
      <c r="K353" s="251"/>
      <c r="L353" s="251"/>
    </row>
    <row r="354" spans="1:12" ht="12.75">
      <c r="A354" s="256">
        <v>1</v>
      </c>
      <c r="B354" s="257" t="s">
        <v>111</v>
      </c>
      <c r="C354" s="231">
        <v>13</v>
      </c>
      <c r="D354" s="231">
        <v>0</v>
      </c>
      <c r="E354" s="231">
        <v>0</v>
      </c>
      <c r="F354" s="231">
        <v>0</v>
      </c>
      <c r="G354" s="231">
        <v>0</v>
      </c>
      <c r="H354" s="231">
        <v>0</v>
      </c>
      <c r="I354" s="231">
        <v>0</v>
      </c>
      <c r="J354" s="231">
        <v>0</v>
      </c>
      <c r="K354" s="231">
        <v>13</v>
      </c>
      <c r="L354" s="231">
        <v>0</v>
      </c>
    </row>
    <row r="355" spans="1:12" ht="12.75">
      <c r="A355" s="256">
        <v>2</v>
      </c>
      <c r="B355" s="257" t="s">
        <v>112</v>
      </c>
      <c r="C355" s="231">
        <v>0</v>
      </c>
      <c r="D355" s="231">
        <v>0</v>
      </c>
      <c r="E355" s="231">
        <v>0</v>
      </c>
      <c r="F355" s="231">
        <v>0</v>
      </c>
      <c r="G355" s="231">
        <v>0</v>
      </c>
      <c r="H355" s="231">
        <v>0</v>
      </c>
      <c r="I355" s="231">
        <v>0</v>
      </c>
      <c r="J355" s="231">
        <v>0</v>
      </c>
      <c r="K355" s="231">
        <v>0</v>
      </c>
      <c r="L355" s="231">
        <v>0</v>
      </c>
    </row>
    <row r="356" spans="1:12" ht="12.75">
      <c r="A356" s="256">
        <v>3</v>
      </c>
      <c r="B356" s="257" t="s">
        <v>113</v>
      </c>
      <c r="C356" s="231">
        <v>56</v>
      </c>
      <c r="D356" s="231">
        <v>5</v>
      </c>
      <c r="E356" s="231">
        <v>8</v>
      </c>
      <c r="F356" s="231">
        <v>0</v>
      </c>
      <c r="G356" s="231">
        <v>11</v>
      </c>
      <c r="H356" s="231">
        <v>0</v>
      </c>
      <c r="I356" s="231">
        <v>2</v>
      </c>
      <c r="J356" s="231">
        <v>0</v>
      </c>
      <c r="K356" s="231">
        <v>77</v>
      </c>
      <c r="L356" s="231">
        <v>5</v>
      </c>
    </row>
    <row r="357" spans="1:12" ht="12.75">
      <c r="A357" s="256">
        <v>4</v>
      </c>
      <c r="B357" s="257" t="s">
        <v>114</v>
      </c>
      <c r="C357" s="231">
        <v>0</v>
      </c>
      <c r="D357" s="231">
        <v>0</v>
      </c>
      <c r="E357" s="231">
        <v>0</v>
      </c>
      <c r="F357" s="231">
        <v>0</v>
      </c>
      <c r="G357" s="231">
        <v>0</v>
      </c>
      <c r="H357" s="231">
        <v>0</v>
      </c>
      <c r="I357" s="231">
        <v>0</v>
      </c>
      <c r="J357" s="231">
        <v>0</v>
      </c>
      <c r="K357" s="231">
        <v>0</v>
      </c>
      <c r="L357" s="231">
        <v>0</v>
      </c>
    </row>
    <row r="358" spans="1:12" ht="12.75">
      <c r="A358" s="256">
        <v>5</v>
      </c>
      <c r="B358" s="257" t="s">
        <v>115</v>
      </c>
      <c r="C358" s="231">
        <v>0</v>
      </c>
      <c r="D358" s="231">
        <v>0</v>
      </c>
      <c r="E358" s="231">
        <v>127</v>
      </c>
      <c r="F358" s="231">
        <v>12</v>
      </c>
      <c r="G358" s="231">
        <v>0</v>
      </c>
      <c r="H358" s="231">
        <v>0</v>
      </c>
      <c r="I358" s="231">
        <v>508</v>
      </c>
      <c r="J358" s="231">
        <v>48</v>
      </c>
      <c r="K358" s="231">
        <v>635</v>
      </c>
      <c r="L358" s="231">
        <v>60</v>
      </c>
    </row>
    <row r="359" spans="1:12" ht="12.75">
      <c r="A359" s="256">
        <v>6</v>
      </c>
      <c r="B359" s="257" t="s">
        <v>116</v>
      </c>
      <c r="C359" s="231">
        <v>0</v>
      </c>
      <c r="D359" s="231">
        <v>0</v>
      </c>
      <c r="E359" s="231">
        <v>124</v>
      </c>
      <c r="F359" s="231">
        <v>8</v>
      </c>
      <c r="G359" s="231">
        <v>0</v>
      </c>
      <c r="H359" s="231">
        <v>0</v>
      </c>
      <c r="I359" s="231">
        <v>496</v>
      </c>
      <c r="J359" s="231">
        <v>32</v>
      </c>
      <c r="K359" s="231">
        <v>620</v>
      </c>
      <c r="L359" s="231">
        <v>40</v>
      </c>
    </row>
    <row r="360" spans="1:12" ht="12.75">
      <c r="A360" s="256">
        <v>7</v>
      </c>
      <c r="B360" s="257" t="s">
        <v>117</v>
      </c>
      <c r="C360" s="231">
        <v>0</v>
      </c>
      <c r="D360" s="231">
        <v>0</v>
      </c>
      <c r="E360" s="231">
        <v>0</v>
      </c>
      <c r="F360" s="231">
        <v>0</v>
      </c>
      <c r="G360" s="231">
        <v>0</v>
      </c>
      <c r="H360" s="231">
        <v>0</v>
      </c>
      <c r="I360" s="231">
        <v>0</v>
      </c>
      <c r="J360" s="231">
        <v>0</v>
      </c>
      <c r="K360" s="231">
        <v>0</v>
      </c>
      <c r="L360" s="231">
        <v>0</v>
      </c>
    </row>
    <row r="361" spans="1:12" ht="12.75">
      <c r="A361" s="256">
        <v>8</v>
      </c>
      <c r="B361" s="257" t="s">
        <v>118</v>
      </c>
      <c r="C361" s="231">
        <v>0</v>
      </c>
      <c r="D361" s="231">
        <v>0</v>
      </c>
      <c r="E361" s="231">
        <v>0</v>
      </c>
      <c r="F361" s="231">
        <v>0</v>
      </c>
      <c r="G361" s="231">
        <v>0</v>
      </c>
      <c r="H361" s="231">
        <v>0</v>
      </c>
      <c r="I361" s="231">
        <v>0</v>
      </c>
      <c r="J361" s="231">
        <v>0</v>
      </c>
      <c r="K361" s="231">
        <v>0</v>
      </c>
      <c r="L361" s="231">
        <v>0</v>
      </c>
    </row>
    <row r="362" spans="1:12" ht="12.75">
      <c r="A362" s="256">
        <v>9</v>
      </c>
      <c r="B362" s="257" t="s">
        <v>119</v>
      </c>
      <c r="C362" s="231">
        <v>0</v>
      </c>
      <c r="D362" s="231">
        <v>0</v>
      </c>
      <c r="E362" s="231">
        <v>0</v>
      </c>
      <c r="F362" s="231">
        <v>0</v>
      </c>
      <c r="G362" s="231">
        <v>0</v>
      </c>
      <c r="H362" s="231">
        <v>0</v>
      </c>
      <c r="I362" s="231">
        <v>989900</v>
      </c>
      <c r="J362" s="231">
        <v>0</v>
      </c>
      <c r="K362" s="231">
        <v>989900</v>
      </c>
      <c r="L362" s="231">
        <v>0</v>
      </c>
    </row>
    <row r="363" spans="1:12" ht="12.75">
      <c r="A363" s="256">
        <v>10</v>
      </c>
      <c r="B363" s="257" t="s">
        <v>120</v>
      </c>
      <c r="C363" s="231">
        <v>0</v>
      </c>
      <c r="D363" s="231">
        <v>0</v>
      </c>
      <c r="E363" s="231">
        <v>0</v>
      </c>
      <c r="F363" s="231">
        <v>0</v>
      </c>
      <c r="G363" s="231">
        <v>0</v>
      </c>
      <c r="H363" s="231">
        <v>0</v>
      </c>
      <c r="I363" s="231">
        <v>65322</v>
      </c>
      <c r="J363" s="231">
        <v>0</v>
      </c>
      <c r="K363" s="231">
        <v>65322</v>
      </c>
      <c r="L363" s="231">
        <v>0</v>
      </c>
    </row>
    <row r="364" spans="1:12" ht="12.75">
      <c r="A364" s="256">
        <v>11</v>
      </c>
      <c r="B364" s="257" t="s">
        <v>121</v>
      </c>
      <c r="C364" s="231">
        <v>0</v>
      </c>
      <c r="D364" s="231">
        <v>0</v>
      </c>
      <c r="E364" s="231">
        <v>0</v>
      </c>
      <c r="F364" s="231">
        <v>0</v>
      </c>
      <c r="G364" s="231">
        <v>0</v>
      </c>
      <c r="H364" s="231">
        <v>0</v>
      </c>
      <c r="I364" s="231">
        <v>9793</v>
      </c>
      <c r="J364" s="231">
        <v>0</v>
      </c>
      <c r="K364" s="231">
        <v>9793</v>
      </c>
      <c r="L364" s="231">
        <v>0</v>
      </c>
    </row>
    <row r="365" spans="1:12" ht="12.75">
      <c r="A365" s="256">
        <v>12</v>
      </c>
      <c r="B365" s="257" t="s">
        <v>145</v>
      </c>
      <c r="C365" s="231">
        <v>0</v>
      </c>
      <c r="D365" s="231">
        <v>0</v>
      </c>
      <c r="E365" s="231">
        <v>0</v>
      </c>
      <c r="F365" s="231">
        <v>0</v>
      </c>
      <c r="G365" s="231">
        <v>0</v>
      </c>
      <c r="H365" s="231">
        <v>0</v>
      </c>
      <c r="I365" s="231">
        <v>2431</v>
      </c>
      <c r="J365" s="231">
        <v>0</v>
      </c>
      <c r="K365" s="231">
        <v>2431</v>
      </c>
      <c r="L365" s="231">
        <v>0</v>
      </c>
    </row>
    <row r="366" spans="1:12" ht="12.75">
      <c r="A366" s="256"/>
      <c r="B366" s="257"/>
      <c r="C366" s="231"/>
      <c r="D366" s="231"/>
      <c r="E366" s="231"/>
      <c r="F366" s="231"/>
      <c r="G366" s="231"/>
      <c r="H366" s="231"/>
      <c r="I366" s="231"/>
      <c r="J366" s="231"/>
      <c r="K366" s="231"/>
      <c r="L366" s="231"/>
    </row>
    <row r="367" spans="1:12" ht="12.75">
      <c r="A367" s="257"/>
      <c r="B367" s="257"/>
      <c r="C367" s="231"/>
      <c r="D367" s="231"/>
      <c r="E367" s="231"/>
      <c r="F367" s="231"/>
      <c r="G367" s="231"/>
      <c r="H367" s="231"/>
      <c r="I367" s="231"/>
      <c r="J367" s="231"/>
      <c r="K367" s="231"/>
      <c r="L367" s="231"/>
    </row>
    <row r="368" spans="1:12" ht="12.75">
      <c r="A368" s="257"/>
      <c r="B368" s="257"/>
      <c r="C368" s="231"/>
      <c r="D368" s="231"/>
      <c r="E368" s="231"/>
      <c r="F368" s="231"/>
      <c r="G368" s="231"/>
      <c r="H368" s="231"/>
      <c r="I368" s="231"/>
      <c r="J368" s="231"/>
      <c r="K368" s="231"/>
      <c r="L368" s="231"/>
    </row>
    <row r="369" spans="1:12" ht="12.75">
      <c r="A369" s="253"/>
      <c r="B369" s="253"/>
      <c r="C369" s="253"/>
      <c r="D369" s="253"/>
      <c r="E369" s="253"/>
      <c r="F369" s="253"/>
      <c r="G369" s="253"/>
      <c r="H369" s="253"/>
      <c r="I369" s="253"/>
      <c r="J369" s="253"/>
      <c r="K369" s="253"/>
      <c r="L369" s="253"/>
    </row>
    <row r="371" ht="12.75">
      <c r="J371" s="250" t="s">
        <v>176</v>
      </c>
    </row>
    <row r="373" spans="8:10" ht="12.75">
      <c r="H373" s="258"/>
      <c r="I373" s="258" t="s">
        <v>162</v>
      </c>
      <c r="J373" s="259" t="s">
        <v>60</v>
      </c>
    </row>
    <row r="374" spans="8:10" ht="12.75">
      <c r="H374" s="259"/>
      <c r="I374" s="259"/>
      <c r="J374" s="259" t="s">
        <v>61</v>
      </c>
    </row>
    <row r="375" spans="8:10" ht="12.75">
      <c r="H375" s="259"/>
      <c r="I375" s="259"/>
      <c r="J375" s="259" t="s">
        <v>163</v>
      </c>
    </row>
    <row r="376" spans="8:11" ht="12.75">
      <c r="H376" s="259"/>
      <c r="I376" s="259"/>
      <c r="J376" s="259"/>
      <c r="K376" s="267"/>
    </row>
    <row r="377" spans="1:10" ht="12.75">
      <c r="A377" s="260" t="s">
        <v>151</v>
      </c>
      <c r="H377" s="259"/>
      <c r="I377" s="259"/>
      <c r="J377" s="268"/>
    </row>
    <row r="378" spans="8:11" ht="12.75">
      <c r="H378" s="259"/>
      <c r="I378" s="259"/>
      <c r="J378" s="259"/>
      <c r="K378" s="267"/>
    </row>
    <row r="379" spans="8:10" ht="12.75">
      <c r="H379" s="259"/>
      <c r="I379" s="259"/>
      <c r="J379" s="268" t="s">
        <v>164</v>
      </c>
    </row>
    <row r="380" spans="9:10" ht="12.75">
      <c r="I380" s="259"/>
      <c r="J380" s="259" t="s">
        <v>165</v>
      </c>
    </row>
    <row r="381" spans="1:4" ht="12.75">
      <c r="A381" s="249" t="s">
        <v>136</v>
      </c>
      <c r="B381" s="249"/>
      <c r="C381" s="249"/>
      <c r="D381" s="249"/>
    </row>
    <row r="383" ht="12.75">
      <c r="A383" s="250" t="s">
        <v>177</v>
      </c>
    </row>
    <row r="386" spans="1:12" ht="12.75">
      <c r="A386" s="251" t="s">
        <v>102</v>
      </c>
      <c r="B386" s="251" t="s">
        <v>103</v>
      </c>
      <c r="C386" s="491" t="s">
        <v>139</v>
      </c>
      <c r="D386" s="492"/>
      <c r="E386" s="491" t="s">
        <v>140</v>
      </c>
      <c r="F386" s="492"/>
      <c r="G386" s="491" t="s">
        <v>141</v>
      </c>
      <c r="H386" s="492"/>
      <c r="I386" s="491" t="s">
        <v>142</v>
      </c>
      <c r="J386" s="492"/>
      <c r="K386" s="491" t="s">
        <v>84</v>
      </c>
      <c r="L386" s="492"/>
    </row>
    <row r="387" spans="1:12" ht="12.75">
      <c r="A387" s="253"/>
      <c r="B387" s="253"/>
      <c r="C387" s="254" t="s">
        <v>143</v>
      </c>
      <c r="D387" s="254" t="s">
        <v>144</v>
      </c>
      <c r="E387" s="254" t="s">
        <v>143</v>
      </c>
      <c r="F387" s="254" t="s">
        <v>144</v>
      </c>
      <c r="G387" s="252" t="s">
        <v>143</v>
      </c>
      <c r="H387" s="254" t="s">
        <v>144</v>
      </c>
      <c r="I387" s="252" t="s">
        <v>143</v>
      </c>
      <c r="J387" s="254" t="s">
        <v>144</v>
      </c>
      <c r="K387" s="252" t="s">
        <v>143</v>
      </c>
      <c r="L387" s="254" t="s">
        <v>144</v>
      </c>
    </row>
    <row r="388" spans="1:12" ht="12.75">
      <c r="A388" s="255"/>
      <c r="B388" s="251"/>
      <c r="C388" s="251"/>
      <c r="D388" s="251"/>
      <c r="E388" s="251"/>
      <c r="F388" s="251"/>
      <c r="G388" s="251"/>
      <c r="H388" s="251"/>
      <c r="I388" s="251"/>
      <c r="J388" s="251"/>
      <c r="K388" s="251"/>
      <c r="L388" s="251"/>
    </row>
    <row r="389" spans="1:12" ht="12.75">
      <c r="A389" s="288">
        <v>1</v>
      </c>
      <c r="B389" s="289" t="s">
        <v>111</v>
      </c>
      <c r="C389" s="244">
        <v>14</v>
      </c>
      <c r="D389" s="244">
        <v>1</v>
      </c>
      <c r="E389" s="244">
        <v>1</v>
      </c>
      <c r="F389" s="244">
        <v>0</v>
      </c>
      <c r="G389" s="244">
        <v>0</v>
      </c>
      <c r="H389" s="244">
        <v>0</v>
      </c>
      <c r="I389" s="244">
        <v>0</v>
      </c>
      <c r="J389" s="244">
        <v>0</v>
      </c>
      <c r="K389" s="244">
        <v>15</v>
      </c>
      <c r="L389" s="244">
        <v>1</v>
      </c>
    </row>
    <row r="390" spans="1:12" ht="12.75">
      <c r="A390" s="288">
        <v>2</v>
      </c>
      <c r="B390" s="289" t="s">
        <v>112</v>
      </c>
      <c r="C390" s="244">
        <v>0</v>
      </c>
      <c r="D390" s="244">
        <v>0</v>
      </c>
      <c r="E390" s="244">
        <v>0</v>
      </c>
      <c r="F390" s="244">
        <v>0</v>
      </c>
      <c r="G390" s="244">
        <v>0</v>
      </c>
      <c r="H390" s="244">
        <v>0</v>
      </c>
      <c r="I390" s="244">
        <v>0</v>
      </c>
      <c r="J390" s="244">
        <v>0</v>
      </c>
      <c r="K390" s="244">
        <v>0</v>
      </c>
      <c r="L390" s="244">
        <v>0</v>
      </c>
    </row>
    <row r="391" spans="1:12" ht="12.75">
      <c r="A391" s="288">
        <v>3</v>
      </c>
      <c r="B391" s="289" t="s">
        <v>113</v>
      </c>
      <c r="C391" s="244">
        <v>56</v>
      </c>
      <c r="D391" s="244">
        <v>5</v>
      </c>
      <c r="E391" s="244">
        <v>10</v>
      </c>
      <c r="F391" s="244">
        <v>0</v>
      </c>
      <c r="G391" s="244">
        <v>12</v>
      </c>
      <c r="H391" s="244">
        <v>0</v>
      </c>
      <c r="I391" s="244">
        <v>2</v>
      </c>
      <c r="J391" s="244">
        <v>0</v>
      </c>
      <c r="K391" s="244">
        <v>80</v>
      </c>
      <c r="L391" s="244">
        <v>5</v>
      </c>
    </row>
    <row r="392" spans="1:12" ht="12.75">
      <c r="A392" s="288">
        <v>4</v>
      </c>
      <c r="B392" s="289" t="s">
        <v>114</v>
      </c>
      <c r="C392" s="244">
        <v>0</v>
      </c>
      <c r="D392" s="244">
        <v>0</v>
      </c>
      <c r="E392" s="244">
        <v>0</v>
      </c>
      <c r="F392" s="244">
        <v>0</v>
      </c>
      <c r="G392" s="244">
        <v>0</v>
      </c>
      <c r="H392" s="244">
        <v>0</v>
      </c>
      <c r="I392" s="244">
        <v>0</v>
      </c>
      <c r="J392" s="244">
        <v>0</v>
      </c>
      <c r="K392" s="244">
        <v>0</v>
      </c>
      <c r="L392" s="244">
        <v>0</v>
      </c>
    </row>
    <row r="393" spans="1:12" ht="12.75">
      <c r="A393" s="288">
        <v>5</v>
      </c>
      <c r="B393" s="289" t="s">
        <v>115</v>
      </c>
      <c r="C393" s="244">
        <v>0</v>
      </c>
      <c r="D393" s="244">
        <v>0</v>
      </c>
      <c r="E393" s="244">
        <v>221</v>
      </c>
      <c r="F393" s="244">
        <v>19</v>
      </c>
      <c r="G393" s="244">
        <v>0</v>
      </c>
      <c r="H393" s="244">
        <v>0</v>
      </c>
      <c r="I393" s="244">
        <v>884</v>
      </c>
      <c r="J393" s="244">
        <v>76</v>
      </c>
      <c r="K393" s="244">
        <v>1105</v>
      </c>
      <c r="L393" s="244">
        <v>95</v>
      </c>
    </row>
    <row r="394" spans="1:12" ht="12.75">
      <c r="A394" s="288">
        <v>6</v>
      </c>
      <c r="B394" s="289" t="s">
        <v>116</v>
      </c>
      <c r="C394" s="244">
        <v>0</v>
      </c>
      <c r="D394" s="244">
        <v>0</v>
      </c>
      <c r="E394" s="244">
        <v>190</v>
      </c>
      <c r="F394" s="244">
        <v>18</v>
      </c>
      <c r="G394" s="244">
        <v>0</v>
      </c>
      <c r="H394" s="244">
        <v>0</v>
      </c>
      <c r="I394" s="244">
        <v>760</v>
      </c>
      <c r="J394" s="244">
        <v>72</v>
      </c>
      <c r="K394" s="244">
        <v>955</v>
      </c>
      <c r="L394" s="244">
        <v>90</v>
      </c>
    </row>
    <row r="395" spans="1:12" ht="12.75">
      <c r="A395" s="288">
        <v>7</v>
      </c>
      <c r="B395" s="289" t="s">
        <v>117</v>
      </c>
      <c r="C395" s="244">
        <v>0</v>
      </c>
      <c r="D395" s="244">
        <v>0</v>
      </c>
      <c r="E395" s="244">
        <v>0</v>
      </c>
      <c r="F395" s="244">
        <v>0</v>
      </c>
      <c r="G395" s="244">
        <v>0</v>
      </c>
      <c r="H395" s="244">
        <v>0</v>
      </c>
      <c r="I395" s="244">
        <v>0</v>
      </c>
      <c r="J395" s="244">
        <v>0</v>
      </c>
      <c r="K395" s="244">
        <v>0</v>
      </c>
      <c r="L395" s="244">
        <v>0</v>
      </c>
    </row>
    <row r="396" spans="1:12" ht="12.75">
      <c r="A396" s="288">
        <v>8</v>
      </c>
      <c r="B396" s="289" t="s">
        <v>118</v>
      </c>
      <c r="C396" s="244">
        <v>0</v>
      </c>
      <c r="D396" s="244">
        <v>0</v>
      </c>
      <c r="E396" s="244">
        <v>0</v>
      </c>
      <c r="F396" s="244">
        <v>0</v>
      </c>
      <c r="G396" s="244">
        <v>0</v>
      </c>
      <c r="H396" s="244">
        <v>0</v>
      </c>
      <c r="I396" s="244">
        <v>0</v>
      </c>
      <c r="J396" s="244">
        <v>0</v>
      </c>
      <c r="K396" s="244">
        <v>0</v>
      </c>
      <c r="L396" s="244">
        <v>0</v>
      </c>
    </row>
    <row r="397" spans="1:12" ht="12.75">
      <c r="A397" s="288">
        <v>9</v>
      </c>
      <c r="B397" s="289" t="s">
        <v>119</v>
      </c>
      <c r="C397" s="244">
        <v>0</v>
      </c>
      <c r="D397" s="244">
        <v>0</v>
      </c>
      <c r="E397" s="244">
        <v>0</v>
      </c>
      <c r="F397" s="244">
        <v>0</v>
      </c>
      <c r="G397" s="244">
        <v>0</v>
      </c>
      <c r="H397" s="244">
        <v>0</v>
      </c>
      <c r="I397" s="244">
        <v>957800</v>
      </c>
      <c r="J397" s="244">
        <v>0</v>
      </c>
      <c r="K397" s="244">
        <v>975800</v>
      </c>
      <c r="L397" s="244">
        <v>0</v>
      </c>
    </row>
    <row r="398" spans="1:12" ht="12.75">
      <c r="A398" s="288">
        <v>10</v>
      </c>
      <c r="B398" s="289" t="s">
        <v>120</v>
      </c>
      <c r="C398" s="244">
        <v>0</v>
      </c>
      <c r="D398" s="244">
        <v>0</v>
      </c>
      <c r="E398" s="244">
        <v>0</v>
      </c>
      <c r="F398" s="244">
        <v>0</v>
      </c>
      <c r="G398" s="244">
        <v>0</v>
      </c>
      <c r="H398" s="244">
        <v>0</v>
      </c>
      <c r="I398" s="244">
        <v>65829</v>
      </c>
      <c r="J398" s="244">
        <v>0</v>
      </c>
      <c r="K398" s="244">
        <f>SUM(I398:J398)</f>
        <v>65829</v>
      </c>
      <c r="L398" s="244">
        <v>0</v>
      </c>
    </row>
    <row r="399" spans="1:12" ht="12.75">
      <c r="A399" s="288">
        <v>11</v>
      </c>
      <c r="B399" s="289" t="s">
        <v>121</v>
      </c>
      <c r="C399" s="244">
        <v>0</v>
      </c>
      <c r="D399" s="244">
        <v>0</v>
      </c>
      <c r="E399" s="244">
        <v>0</v>
      </c>
      <c r="F399" s="244">
        <v>0</v>
      </c>
      <c r="G399" s="244">
        <v>0</v>
      </c>
      <c r="H399" s="244">
        <v>0</v>
      </c>
      <c r="I399" s="244">
        <v>9783</v>
      </c>
      <c r="J399" s="244">
        <v>0</v>
      </c>
      <c r="K399" s="244">
        <f>SUM(I399:J399)</f>
        <v>9783</v>
      </c>
      <c r="L399" s="244">
        <v>0</v>
      </c>
    </row>
    <row r="400" spans="1:12" ht="12.75">
      <c r="A400" s="288">
        <v>12</v>
      </c>
      <c r="B400" s="289" t="s">
        <v>145</v>
      </c>
      <c r="C400" s="244">
        <v>0</v>
      </c>
      <c r="D400" s="244">
        <v>0</v>
      </c>
      <c r="E400" s="244">
        <v>0</v>
      </c>
      <c r="F400" s="244">
        <v>0</v>
      </c>
      <c r="G400" s="244">
        <v>0</v>
      </c>
      <c r="H400" s="244">
        <v>0</v>
      </c>
      <c r="I400" s="244">
        <v>2446</v>
      </c>
      <c r="J400" s="244">
        <v>0</v>
      </c>
      <c r="K400" s="244">
        <f>SUM(I400:J400)</f>
        <v>2446</v>
      </c>
      <c r="L400" s="244">
        <v>0</v>
      </c>
    </row>
    <row r="401" spans="1:12" ht="12.75">
      <c r="A401" s="288"/>
      <c r="B401" s="289"/>
      <c r="C401" s="244"/>
      <c r="D401" s="244"/>
      <c r="E401" s="244"/>
      <c r="F401" s="244"/>
      <c r="G401" s="244"/>
      <c r="H401" s="244"/>
      <c r="I401" s="244"/>
      <c r="J401" s="244"/>
      <c r="K401" s="244"/>
      <c r="L401" s="244"/>
    </row>
    <row r="402" spans="1:12" ht="12.75">
      <c r="A402" s="289"/>
      <c r="B402" s="289"/>
      <c r="C402" s="244"/>
      <c r="D402" s="244"/>
      <c r="E402" s="244"/>
      <c r="F402" s="244"/>
      <c r="G402" s="244"/>
      <c r="H402" s="244"/>
      <c r="I402" s="244"/>
      <c r="J402" s="244"/>
      <c r="K402" s="244"/>
      <c r="L402" s="244"/>
    </row>
    <row r="403" spans="1:12" ht="12.75">
      <c r="A403" s="289"/>
      <c r="B403" s="289"/>
      <c r="C403" s="244"/>
      <c r="D403" s="244"/>
      <c r="E403" s="244"/>
      <c r="F403" s="244"/>
      <c r="G403" s="244"/>
      <c r="H403" s="244"/>
      <c r="I403" s="244"/>
      <c r="J403" s="244"/>
      <c r="K403" s="244"/>
      <c r="L403" s="244"/>
    </row>
    <row r="404" spans="1:12" ht="12.75">
      <c r="A404" s="253"/>
      <c r="B404" s="253"/>
      <c r="C404" s="253"/>
      <c r="D404" s="253"/>
      <c r="E404" s="253"/>
      <c r="F404" s="253"/>
      <c r="G404" s="253"/>
      <c r="H404" s="253"/>
      <c r="I404" s="253"/>
      <c r="J404" s="253"/>
      <c r="K404" s="253"/>
      <c r="L404" s="253"/>
    </row>
    <row r="406" ht="12.75">
      <c r="I406" s="259" t="s">
        <v>178</v>
      </c>
    </row>
    <row r="407" ht="12.75">
      <c r="I407" s="259"/>
    </row>
    <row r="408" spans="8:9" ht="12.75">
      <c r="H408" s="258"/>
      <c r="I408" s="259" t="s">
        <v>60</v>
      </c>
    </row>
    <row r="409" spans="8:9" ht="12.75">
      <c r="H409" s="259"/>
      <c r="I409" s="259" t="s">
        <v>61</v>
      </c>
    </row>
    <row r="410" spans="8:9" ht="12.75">
      <c r="H410" s="259"/>
      <c r="I410" s="259"/>
    </row>
    <row r="411" spans="8:9" ht="12.75">
      <c r="H411" s="259"/>
      <c r="I411" s="259"/>
    </row>
    <row r="412" spans="1:10" ht="12.75">
      <c r="A412" s="260" t="s">
        <v>151</v>
      </c>
      <c r="H412" s="259"/>
      <c r="I412" s="268" t="s">
        <v>62</v>
      </c>
      <c r="J412" s="267"/>
    </row>
    <row r="413" spans="8:9" ht="12.75">
      <c r="H413" s="259"/>
      <c r="I413" s="259" t="s">
        <v>125</v>
      </c>
    </row>
  </sheetData>
  <sheetProtection/>
  <mergeCells count="71">
    <mergeCell ref="R6:S6"/>
    <mergeCell ref="T6:U6"/>
    <mergeCell ref="V6:W6"/>
    <mergeCell ref="X6:Y6"/>
    <mergeCell ref="C39:D39"/>
    <mergeCell ref="E39:F39"/>
    <mergeCell ref="G39:H39"/>
    <mergeCell ref="I39:J39"/>
    <mergeCell ref="K39:L39"/>
    <mergeCell ref="C6:D6"/>
    <mergeCell ref="E6:F6"/>
    <mergeCell ref="G6:H6"/>
    <mergeCell ref="I6:J6"/>
    <mergeCell ref="K6:L6"/>
    <mergeCell ref="P44:Q44"/>
    <mergeCell ref="P6:Q6"/>
    <mergeCell ref="R44:S44"/>
    <mergeCell ref="T44:U44"/>
    <mergeCell ref="V44:W44"/>
    <mergeCell ref="X44:Y44"/>
    <mergeCell ref="C73:D73"/>
    <mergeCell ref="E73:F73"/>
    <mergeCell ref="G73:H73"/>
    <mergeCell ref="I73:J73"/>
    <mergeCell ref="K73:L73"/>
    <mergeCell ref="C106:D106"/>
    <mergeCell ref="E106:F106"/>
    <mergeCell ref="G106:H106"/>
    <mergeCell ref="I106:J106"/>
    <mergeCell ref="K106:L106"/>
    <mergeCell ref="C141:D141"/>
    <mergeCell ref="E141:F141"/>
    <mergeCell ref="G141:H141"/>
    <mergeCell ref="I141:J141"/>
    <mergeCell ref="K141:L141"/>
    <mergeCell ref="C176:D176"/>
    <mergeCell ref="E176:F176"/>
    <mergeCell ref="G176:H176"/>
    <mergeCell ref="I176:J176"/>
    <mergeCell ref="K176:L176"/>
    <mergeCell ref="C211:D211"/>
    <mergeCell ref="E211:F211"/>
    <mergeCell ref="G211:H211"/>
    <mergeCell ref="I211:J211"/>
    <mergeCell ref="K211:L211"/>
    <mergeCell ref="C247:D247"/>
    <mergeCell ref="E247:F247"/>
    <mergeCell ref="G247:H247"/>
    <mergeCell ref="I247:J247"/>
    <mergeCell ref="K247:L247"/>
    <mergeCell ref="C281:D281"/>
    <mergeCell ref="E281:F281"/>
    <mergeCell ref="G281:H281"/>
    <mergeCell ref="I281:J281"/>
    <mergeCell ref="K281:L281"/>
    <mergeCell ref="K317:L317"/>
    <mergeCell ref="C351:D351"/>
    <mergeCell ref="E351:F351"/>
    <mergeCell ref="G351:H351"/>
    <mergeCell ref="I351:J351"/>
    <mergeCell ref="K351:L351"/>
    <mergeCell ref="C386:D386"/>
    <mergeCell ref="E386:F386"/>
    <mergeCell ref="G386:H386"/>
    <mergeCell ref="I386:J386"/>
    <mergeCell ref="K386:L386"/>
    <mergeCell ref="Z6:Z7"/>
    <mergeCell ref="C317:D317"/>
    <mergeCell ref="E317:F317"/>
    <mergeCell ref="G317:H317"/>
    <mergeCell ref="I317:J317"/>
  </mergeCells>
  <printOptions horizontalCentered="1"/>
  <pageMargins left="0.5902777777777778" right="0.3541666666666667" top="0.9840277777777777" bottom="0.39305555555555555" header="0.5111111111111111" footer="0.5111111111111111"/>
  <pageSetup fitToHeight="1" fitToWidth="1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F409"/>
  <sheetViews>
    <sheetView zoomScalePageLayoutView="0" workbookViewId="0" topLeftCell="R1">
      <pane xSplit="1" topLeftCell="S1" activePane="topRight" state="frozen"/>
      <selection pane="topLeft" activeCell="R1" sqref="R1"/>
      <selection pane="topRight" activeCell="V27" sqref="V27"/>
    </sheetView>
  </sheetViews>
  <sheetFormatPr defaultColWidth="9.140625" defaultRowHeight="15"/>
  <cols>
    <col min="1" max="1" width="3.57421875" style="155" customWidth="1"/>
    <col min="2" max="2" width="13.57421875" style="155" bestFit="1" customWidth="1"/>
    <col min="3" max="3" width="6.7109375" style="155" customWidth="1"/>
    <col min="4" max="4" width="9.7109375" style="155" customWidth="1"/>
    <col min="5" max="5" width="10.8515625" style="155" customWidth="1"/>
    <col min="6" max="6" width="11.00390625" style="155" customWidth="1"/>
    <col min="7" max="7" width="10.7109375" style="155" customWidth="1"/>
    <col min="8" max="8" width="11.140625" style="155" customWidth="1"/>
    <col min="9" max="9" width="9.8515625" style="155" customWidth="1"/>
    <col min="10" max="10" width="9.00390625" style="155" customWidth="1"/>
    <col min="11" max="11" width="10.7109375" style="155" customWidth="1"/>
    <col min="12" max="12" width="10.28125" style="155" customWidth="1"/>
    <col min="13" max="13" width="9.421875" style="155" customWidth="1"/>
    <col min="14" max="14" width="8.8515625" style="155" customWidth="1"/>
    <col min="15" max="15" width="8.7109375" style="151" customWidth="1"/>
    <col min="16" max="16" width="10.57421875" style="155" bestFit="1" customWidth="1"/>
    <col min="17" max="17" width="3.57421875" style="155" customWidth="1"/>
    <col min="18" max="18" width="14.8515625" style="155" customWidth="1"/>
    <col min="19" max="26" width="9.140625" style="155" customWidth="1"/>
    <col min="27" max="27" width="12.00390625" style="155" customWidth="1"/>
    <col min="28" max="28" width="12.8515625" style="155" customWidth="1"/>
    <col min="29" max="30" width="9.140625" style="155" customWidth="1"/>
    <col min="31" max="31" width="12.140625" style="155" customWidth="1"/>
    <col min="32" max="16384" width="9.140625" style="155" customWidth="1"/>
  </cols>
  <sheetData>
    <row r="1" spans="17:30" ht="12.75">
      <c r="Q1" s="470" t="s">
        <v>179</v>
      </c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</row>
    <row r="2" spans="17:30" ht="12.75">
      <c r="Q2" s="470" t="s">
        <v>180</v>
      </c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</row>
    <row r="4" spans="1:28" ht="14.25">
      <c r="A4" s="479" t="s">
        <v>181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AB4" s="236"/>
    </row>
    <row r="6" spans="1:30" ht="12.75">
      <c r="A6" s="155" t="s">
        <v>182</v>
      </c>
      <c r="Q6" s="198" t="s">
        <v>183</v>
      </c>
      <c r="R6" s="199"/>
      <c r="S6" s="200" t="s">
        <v>114</v>
      </c>
      <c r="T6" s="201" t="s">
        <v>184</v>
      </c>
      <c r="U6" s="200" t="s">
        <v>113</v>
      </c>
      <c r="V6" s="471" t="s">
        <v>115</v>
      </c>
      <c r="W6" s="472"/>
      <c r="X6" s="471" t="s">
        <v>116</v>
      </c>
      <c r="Y6" s="472"/>
      <c r="Z6" s="201" t="s">
        <v>117</v>
      </c>
      <c r="AA6" s="201" t="s">
        <v>185</v>
      </c>
      <c r="AB6" s="201" t="s">
        <v>186</v>
      </c>
      <c r="AC6" s="200" t="s">
        <v>121</v>
      </c>
      <c r="AD6" s="201" t="s">
        <v>187</v>
      </c>
    </row>
    <row r="7" spans="1:30" ht="15">
      <c r="A7" s="155" t="s">
        <v>188</v>
      </c>
      <c r="K7" s="155" t="s">
        <v>189</v>
      </c>
      <c r="L7" s="227" t="s">
        <v>190</v>
      </c>
      <c r="P7" s="228"/>
      <c r="Q7" s="203"/>
      <c r="R7" s="204"/>
      <c r="S7" s="205"/>
      <c r="T7" s="206"/>
      <c r="U7" s="205"/>
      <c r="V7" s="207" t="s">
        <v>191</v>
      </c>
      <c r="W7" s="208" t="s">
        <v>192</v>
      </c>
      <c r="X7" s="207" t="s">
        <v>191</v>
      </c>
      <c r="Y7" s="208" t="s">
        <v>192</v>
      </c>
      <c r="Z7" s="230"/>
      <c r="AA7" s="230" t="s">
        <v>193</v>
      </c>
      <c r="AB7" s="230"/>
      <c r="AC7" s="208"/>
      <c r="AD7" s="230" t="s">
        <v>194</v>
      </c>
    </row>
    <row r="8" spans="16:32" ht="13.5">
      <c r="P8" s="229"/>
      <c r="Q8" s="209">
        <v>1</v>
      </c>
      <c r="R8" s="210" t="s">
        <v>43</v>
      </c>
      <c r="S8" s="211">
        <v>0</v>
      </c>
      <c r="T8" s="212">
        <f>D385+D351+D317+D283+D249+D215+D181+D147+D113+D79+D45+D11</f>
        <v>83358</v>
      </c>
      <c r="U8" s="212">
        <f aca="true" t="shared" si="0" ref="U8:AD8">E385+E351+E317+E283+E249+E215+E181+E147+E113+E79+E45+E11</f>
        <v>272800</v>
      </c>
      <c r="V8" s="212">
        <f t="shared" si="0"/>
        <v>31616</v>
      </c>
      <c r="W8" s="212">
        <f t="shared" si="0"/>
        <v>87724</v>
      </c>
      <c r="X8" s="212">
        <f t="shared" si="0"/>
        <v>22698</v>
      </c>
      <c r="Y8" s="212">
        <f t="shared" si="0"/>
        <v>70928</v>
      </c>
      <c r="Z8" s="212">
        <f t="shared" si="0"/>
        <v>0</v>
      </c>
      <c r="AA8" s="212">
        <f t="shared" si="0"/>
        <v>21666</v>
      </c>
      <c r="AB8" s="212">
        <f t="shared" si="0"/>
        <v>1210000</v>
      </c>
      <c r="AC8" s="212">
        <f t="shared" si="0"/>
        <v>10134</v>
      </c>
      <c r="AD8" s="212">
        <f t="shared" si="0"/>
        <v>455</v>
      </c>
      <c r="AE8" s="226"/>
      <c r="AF8" s="430">
        <f>AD8/1000</f>
        <v>0.455</v>
      </c>
    </row>
    <row r="9" spans="1:32" ht="13.5">
      <c r="A9" s="198" t="s">
        <v>183</v>
      </c>
      <c r="B9" s="199"/>
      <c r="C9" s="200" t="s">
        <v>114</v>
      </c>
      <c r="D9" s="201" t="s">
        <v>184</v>
      </c>
      <c r="E9" s="200" t="s">
        <v>113</v>
      </c>
      <c r="F9" s="471" t="s">
        <v>115</v>
      </c>
      <c r="G9" s="472"/>
      <c r="H9" s="471" t="s">
        <v>116</v>
      </c>
      <c r="I9" s="472"/>
      <c r="J9" s="201" t="s">
        <v>117</v>
      </c>
      <c r="K9" s="201" t="s">
        <v>185</v>
      </c>
      <c r="L9" s="201" t="s">
        <v>186</v>
      </c>
      <c r="M9" s="200" t="s">
        <v>121</v>
      </c>
      <c r="N9" s="201" t="s">
        <v>187</v>
      </c>
      <c r="P9" s="229"/>
      <c r="Q9" s="213">
        <v>2</v>
      </c>
      <c r="R9" s="214" t="s">
        <v>44</v>
      </c>
      <c r="S9" s="212">
        <v>0</v>
      </c>
      <c r="T9" s="212">
        <f aca="true" t="shared" si="1" ref="T9:T21">D386+D352+D318+D284+D250+D216+D182+D148+D114+D80+D46+D12</f>
        <v>16632</v>
      </c>
      <c r="U9" s="212">
        <f aca="true" t="shared" si="2" ref="U9:U21">E386+E352+E318+E284+E250+E216+E182+E148+E114+E80+E46+E12</f>
        <v>18800</v>
      </c>
      <c r="V9" s="212">
        <f aca="true" t="shared" si="3" ref="V9:V21">F386+F352+F318+F284+F250+F216+F182+F148+F114+F80+F46+F12</f>
        <v>3692</v>
      </c>
      <c r="W9" s="212">
        <f aca="true" t="shared" si="4" ref="W9:W21">G386+G352+G318+G284+G250+G216+G182+G148+G114+G80+G46+G12</f>
        <v>7384</v>
      </c>
      <c r="X9" s="212">
        <f aca="true" t="shared" si="5" ref="X9:X21">H386+H352+H318+H284+H250+H216+H182+H148+H114+H80+H46+H12</f>
        <v>8840</v>
      </c>
      <c r="Y9" s="212">
        <f aca="true" t="shared" si="6" ref="Y9:Y21">I386+I352+I318+I284+I250+I216+I182+I148+I114+I80+I46+I12</f>
        <v>17680</v>
      </c>
      <c r="Z9" s="212">
        <f aca="true" t="shared" si="7" ref="Z9:Z21">J386+J352+J318+J284+J250+J216+J182+J148+J114+J80+J46+J12</f>
        <v>0</v>
      </c>
      <c r="AA9" s="212">
        <f aca="true" t="shared" si="8" ref="AA9:AA21">K386+K352+K318+K284+K250+K216+K182+K148+K114+K80+K46+K12</f>
        <v>133377</v>
      </c>
      <c r="AB9" s="212">
        <f aca="true" t="shared" si="9" ref="AB9:AB21">L386+L352+L318+L284+L250+L216+L182+L148+L114+L80+L46+L12</f>
        <v>267000</v>
      </c>
      <c r="AC9" s="212">
        <f aca="true" t="shared" si="10" ref="AC9:AC21">M386+M352+M318+M284+M250+M216+M182+M148+M114+M80+M46+M12</f>
        <v>19231</v>
      </c>
      <c r="AD9" s="212">
        <f aca="true" t="shared" si="11" ref="AD9:AD21">N386+N352+N318+N284+N250+N216+N182+N148+N114+N80+N46+N12</f>
        <v>6908</v>
      </c>
      <c r="AE9" s="226"/>
      <c r="AF9" s="430">
        <f aca="true" t="shared" si="12" ref="AF9:AF21">AD9/1000</f>
        <v>6.908</v>
      </c>
    </row>
    <row r="10" spans="1:32" ht="13.5">
      <c r="A10" s="203"/>
      <c r="B10" s="204"/>
      <c r="C10" s="205"/>
      <c r="D10" s="206"/>
      <c r="E10" s="205"/>
      <c r="F10" s="207" t="s">
        <v>191</v>
      </c>
      <c r="G10" s="208" t="s">
        <v>192</v>
      </c>
      <c r="H10" s="207" t="s">
        <v>191</v>
      </c>
      <c r="I10" s="208" t="s">
        <v>192</v>
      </c>
      <c r="J10" s="230"/>
      <c r="K10" s="230" t="s">
        <v>193</v>
      </c>
      <c r="L10" s="230"/>
      <c r="M10" s="208"/>
      <c r="N10" s="230" t="s">
        <v>194</v>
      </c>
      <c r="P10" s="229"/>
      <c r="Q10" s="213">
        <v>3</v>
      </c>
      <c r="R10" s="214" t="s">
        <v>45</v>
      </c>
      <c r="S10" s="212">
        <v>0</v>
      </c>
      <c r="T10" s="212">
        <f t="shared" si="1"/>
        <v>990</v>
      </c>
      <c r="U10" s="212">
        <f t="shared" si="2"/>
        <v>9200</v>
      </c>
      <c r="V10" s="212">
        <f t="shared" si="3"/>
        <v>3822</v>
      </c>
      <c r="W10" s="212">
        <f t="shared" si="4"/>
        <v>7332</v>
      </c>
      <c r="X10" s="212">
        <f t="shared" si="5"/>
        <v>3822</v>
      </c>
      <c r="Y10" s="212">
        <f t="shared" si="6"/>
        <v>10036</v>
      </c>
      <c r="Z10" s="212">
        <f t="shared" si="7"/>
        <v>0</v>
      </c>
      <c r="AA10" s="212">
        <f t="shared" si="8"/>
        <v>132602</v>
      </c>
      <c r="AB10" s="212">
        <f t="shared" si="9"/>
        <v>983700</v>
      </c>
      <c r="AC10" s="212">
        <f t="shared" si="10"/>
        <v>24345</v>
      </c>
      <c r="AD10" s="212">
        <f t="shared" si="11"/>
        <v>859</v>
      </c>
      <c r="AE10" s="226"/>
      <c r="AF10" s="430">
        <f t="shared" si="12"/>
        <v>0.859</v>
      </c>
    </row>
    <row r="11" spans="1:32" ht="13.5">
      <c r="A11" s="209">
        <v>1</v>
      </c>
      <c r="B11" s="210" t="s">
        <v>43</v>
      </c>
      <c r="C11" s="211">
        <v>0</v>
      </c>
      <c r="D11" s="212">
        <v>4158</v>
      </c>
      <c r="E11" s="212">
        <v>21400</v>
      </c>
      <c r="F11" s="212">
        <v>1313</v>
      </c>
      <c r="G11" s="212">
        <v>5252</v>
      </c>
      <c r="H11" s="212">
        <v>1066</v>
      </c>
      <c r="I11" s="212">
        <v>4264</v>
      </c>
      <c r="J11" s="212">
        <v>0</v>
      </c>
      <c r="K11" s="212">
        <v>1774</v>
      </c>
      <c r="L11" s="231">
        <v>86000</v>
      </c>
      <c r="M11" s="212">
        <v>862</v>
      </c>
      <c r="N11" s="212">
        <v>37</v>
      </c>
      <c r="O11" s="151">
        <v>861.8856999999999</v>
      </c>
      <c r="P11" s="232"/>
      <c r="Q11" s="213">
        <v>4</v>
      </c>
      <c r="R11" s="214" t="s">
        <v>46</v>
      </c>
      <c r="S11" s="212">
        <v>0</v>
      </c>
      <c r="T11" s="212">
        <f t="shared" si="1"/>
        <v>10692</v>
      </c>
      <c r="U11" s="212">
        <f t="shared" si="2"/>
        <v>14520</v>
      </c>
      <c r="V11" s="212">
        <f t="shared" si="3"/>
        <v>8268</v>
      </c>
      <c r="W11" s="212">
        <f t="shared" si="4"/>
        <v>16536</v>
      </c>
      <c r="X11" s="212">
        <f t="shared" si="5"/>
        <v>5356</v>
      </c>
      <c r="Y11" s="212">
        <f t="shared" si="6"/>
        <v>10712</v>
      </c>
      <c r="Z11" s="212">
        <f t="shared" si="7"/>
        <v>0</v>
      </c>
      <c r="AA11" s="212">
        <f t="shared" si="8"/>
        <v>107775</v>
      </c>
      <c r="AB11" s="212">
        <f t="shared" si="9"/>
        <v>1205500</v>
      </c>
      <c r="AC11" s="212">
        <f t="shared" si="10"/>
        <v>3617</v>
      </c>
      <c r="AD11" s="212">
        <f t="shared" si="11"/>
        <v>80</v>
      </c>
      <c r="AE11" s="226"/>
      <c r="AF11" s="430">
        <f t="shared" si="12"/>
        <v>0.08</v>
      </c>
    </row>
    <row r="12" spans="1:32" ht="13.5">
      <c r="A12" s="213">
        <v>2</v>
      </c>
      <c r="B12" s="214" t="s">
        <v>44</v>
      </c>
      <c r="C12" s="212">
        <v>0</v>
      </c>
      <c r="D12" s="212">
        <v>0</v>
      </c>
      <c r="E12" s="212">
        <v>0</v>
      </c>
      <c r="F12" s="212">
        <v>0</v>
      </c>
      <c r="G12" s="212">
        <v>0</v>
      </c>
      <c r="H12" s="212">
        <v>0</v>
      </c>
      <c r="I12" s="212">
        <v>0</v>
      </c>
      <c r="J12" s="212">
        <v>0</v>
      </c>
      <c r="K12" s="212">
        <v>11139</v>
      </c>
      <c r="L12" s="231">
        <v>21000</v>
      </c>
      <c r="M12" s="212">
        <v>1620</v>
      </c>
      <c r="N12" s="212">
        <v>583</v>
      </c>
      <c r="O12" s="151">
        <v>1619.8036</v>
      </c>
      <c r="P12" s="232"/>
      <c r="Q12" s="213">
        <v>5</v>
      </c>
      <c r="R12" s="214" t="s">
        <v>47</v>
      </c>
      <c r="S12" s="212">
        <v>0</v>
      </c>
      <c r="T12" s="212">
        <f t="shared" si="1"/>
        <v>6732</v>
      </c>
      <c r="U12" s="212">
        <f t="shared" si="2"/>
        <v>6000</v>
      </c>
      <c r="V12" s="212">
        <f t="shared" si="3"/>
        <v>4927</v>
      </c>
      <c r="W12" s="212">
        <f t="shared" si="4"/>
        <v>5824</v>
      </c>
      <c r="X12" s="212">
        <f t="shared" si="5"/>
        <v>4238</v>
      </c>
      <c r="Y12" s="212">
        <f t="shared" si="6"/>
        <v>12324</v>
      </c>
      <c r="Z12" s="212">
        <f t="shared" si="7"/>
        <v>0</v>
      </c>
      <c r="AA12" s="212">
        <f t="shared" si="8"/>
        <v>84245</v>
      </c>
      <c r="AB12" s="212">
        <f t="shared" si="9"/>
        <v>0</v>
      </c>
      <c r="AC12" s="212">
        <f t="shared" si="10"/>
        <v>29774</v>
      </c>
      <c r="AD12" s="212">
        <f t="shared" si="11"/>
        <v>705</v>
      </c>
      <c r="AE12" s="226"/>
      <c r="AF12" s="430">
        <f t="shared" si="12"/>
        <v>0.705</v>
      </c>
    </row>
    <row r="13" spans="1:32" ht="13.5">
      <c r="A13" s="213">
        <v>3</v>
      </c>
      <c r="B13" s="214" t="s">
        <v>45</v>
      </c>
      <c r="C13" s="212">
        <v>0</v>
      </c>
      <c r="D13" s="212">
        <v>0</v>
      </c>
      <c r="E13" s="212">
        <v>200</v>
      </c>
      <c r="F13" s="212">
        <v>221</v>
      </c>
      <c r="G13" s="212">
        <v>884</v>
      </c>
      <c r="H13" s="212">
        <v>247</v>
      </c>
      <c r="I13" s="212">
        <v>988</v>
      </c>
      <c r="J13" s="212">
        <v>0</v>
      </c>
      <c r="K13" s="212">
        <v>10993</v>
      </c>
      <c r="L13" s="231">
        <v>69800</v>
      </c>
      <c r="M13" s="212">
        <v>2262</v>
      </c>
      <c r="N13" s="212">
        <v>69</v>
      </c>
      <c r="O13" s="151">
        <v>2261.6064</v>
      </c>
      <c r="P13" s="232"/>
      <c r="Q13" s="213">
        <v>6</v>
      </c>
      <c r="R13" s="214" t="s">
        <v>48</v>
      </c>
      <c r="S13" s="212">
        <v>0</v>
      </c>
      <c r="T13" s="212">
        <f t="shared" si="1"/>
        <v>5346</v>
      </c>
      <c r="U13" s="212">
        <f t="shared" si="2"/>
        <v>16200</v>
      </c>
      <c r="V13" s="212">
        <f t="shared" si="3"/>
        <v>5603</v>
      </c>
      <c r="W13" s="212">
        <f t="shared" si="4"/>
        <v>0</v>
      </c>
      <c r="X13" s="212">
        <f t="shared" si="5"/>
        <v>0</v>
      </c>
      <c r="Y13" s="212">
        <f t="shared" si="6"/>
        <v>0</v>
      </c>
      <c r="Z13" s="212">
        <f t="shared" si="7"/>
        <v>0</v>
      </c>
      <c r="AA13" s="212">
        <f t="shared" si="8"/>
        <v>36896</v>
      </c>
      <c r="AB13" s="212">
        <f t="shared" si="9"/>
        <v>2224500</v>
      </c>
      <c r="AC13" s="212">
        <f t="shared" si="10"/>
        <v>1405</v>
      </c>
      <c r="AD13" s="212">
        <f t="shared" si="11"/>
        <v>255</v>
      </c>
      <c r="AE13" s="226"/>
      <c r="AF13" s="430">
        <f t="shared" si="12"/>
        <v>0.255</v>
      </c>
    </row>
    <row r="14" spans="1:32" ht="13.5">
      <c r="A14" s="213">
        <v>4</v>
      </c>
      <c r="B14" s="214" t="s">
        <v>46</v>
      </c>
      <c r="C14" s="212">
        <v>0</v>
      </c>
      <c r="D14" s="212">
        <v>0</v>
      </c>
      <c r="E14" s="212">
        <v>0</v>
      </c>
      <c r="F14" s="212">
        <v>0</v>
      </c>
      <c r="G14" s="212">
        <v>0</v>
      </c>
      <c r="H14" s="212">
        <v>0</v>
      </c>
      <c r="I14" s="212">
        <v>0</v>
      </c>
      <c r="J14" s="212">
        <v>0</v>
      </c>
      <c r="K14" s="212">
        <v>9122</v>
      </c>
      <c r="L14" s="231">
        <v>130500</v>
      </c>
      <c r="M14" s="212">
        <v>301</v>
      </c>
      <c r="N14" s="212">
        <v>5</v>
      </c>
      <c r="O14" s="151">
        <v>301.06489999999997</v>
      </c>
      <c r="P14" s="232"/>
      <c r="Q14" s="213">
        <v>7</v>
      </c>
      <c r="R14" s="214" t="s">
        <v>49</v>
      </c>
      <c r="S14" s="212">
        <v>0</v>
      </c>
      <c r="T14" s="212">
        <f t="shared" si="1"/>
        <v>2376</v>
      </c>
      <c r="U14" s="212">
        <f t="shared" si="2"/>
        <v>59320</v>
      </c>
      <c r="V14" s="212">
        <f t="shared" si="3"/>
        <v>5889</v>
      </c>
      <c r="W14" s="212">
        <f t="shared" si="4"/>
        <v>8840</v>
      </c>
      <c r="X14" s="212">
        <f t="shared" si="5"/>
        <v>6032</v>
      </c>
      <c r="Y14" s="212">
        <f t="shared" si="6"/>
        <v>24128</v>
      </c>
      <c r="Z14" s="212">
        <f t="shared" si="7"/>
        <v>0</v>
      </c>
      <c r="AA14" s="212">
        <f t="shared" si="8"/>
        <v>28054</v>
      </c>
      <c r="AB14" s="212">
        <f t="shared" si="9"/>
        <v>36000</v>
      </c>
      <c r="AC14" s="212">
        <f t="shared" si="10"/>
        <v>1505</v>
      </c>
      <c r="AD14" s="212">
        <f t="shared" si="11"/>
        <v>11519</v>
      </c>
      <c r="AE14" s="226"/>
      <c r="AF14" s="430">
        <f t="shared" si="12"/>
        <v>11.519</v>
      </c>
    </row>
    <row r="15" spans="1:32" ht="13.5">
      <c r="A15" s="213">
        <v>5</v>
      </c>
      <c r="B15" s="214" t="s">
        <v>47</v>
      </c>
      <c r="C15" s="212">
        <v>0</v>
      </c>
      <c r="D15" s="212">
        <v>0</v>
      </c>
      <c r="E15" s="212">
        <v>0</v>
      </c>
      <c r="F15" s="212">
        <v>91</v>
      </c>
      <c r="G15" s="212">
        <v>364</v>
      </c>
      <c r="H15" s="212">
        <v>286</v>
      </c>
      <c r="I15" s="212">
        <v>1144</v>
      </c>
      <c r="J15" s="212">
        <v>0</v>
      </c>
      <c r="K15" s="212">
        <v>6821</v>
      </c>
      <c r="L15" s="231">
        <v>0</v>
      </c>
      <c r="M15" s="212">
        <v>2385</v>
      </c>
      <c r="N15" s="212">
        <v>58</v>
      </c>
      <c r="O15" s="151">
        <v>2385.3698</v>
      </c>
      <c r="P15" s="232"/>
      <c r="Q15" s="213">
        <v>8</v>
      </c>
      <c r="R15" s="214" t="s">
        <v>50</v>
      </c>
      <c r="S15" s="212">
        <v>0</v>
      </c>
      <c r="T15" s="212">
        <f t="shared" si="1"/>
        <v>4752</v>
      </c>
      <c r="U15" s="212">
        <f t="shared" si="2"/>
        <v>36800</v>
      </c>
      <c r="V15" s="212">
        <f t="shared" si="3"/>
        <v>6357</v>
      </c>
      <c r="W15" s="212">
        <f t="shared" si="4"/>
        <v>0</v>
      </c>
      <c r="X15" s="212">
        <f t="shared" si="5"/>
        <v>0</v>
      </c>
      <c r="Y15" s="212">
        <f t="shared" si="6"/>
        <v>0</v>
      </c>
      <c r="Z15" s="212">
        <f t="shared" si="7"/>
        <v>0</v>
      </c>
      <c r="AA15" s="212">
        <f t="shared" si="8"/>
        <v>23463</v>
      </c>
      <c r="AB15" s="212">
        <f t="shared" si="9"/>
        <v>1371500</v>
      </c>
      <c r="AC15" s="212">
        <f t="shared" si="10"/>
        <v>10648</v>
      </c>
      <c r="AD15" s="212">
        <f t="shared" si="11"/>
        <v>6953</v>
      </c>
      <c r="AE15" s="226"/>
      <c r="AF15" s="430">
        <f t="shared" si="12"/>
        <v>6.953</v>
      </c>
    </row>
    <row r="16" spans="1:32" ht="13.5">
      <c r="A16" s="213">
        <v>6</v>
      </c>
      <c r="B16" s="214" t="s">
        <v>48</v>
      </c>
      <c r="C16" s="212">
        <v>0</v>
      </c>
      <c r="D16" s="212">
        <v>198</v>
      </c>
      <c r="E16" s="212">
        <v>400</v>
      </c>
      <c r="F16" s="212">
        <v>0</v>
      </c>
      <c r="G16" s="212">
        <v>0</v>
      </c>
      <c r="H16" s="212">
        <v>0</v>
      </c>
      <c r="I16" s="212">
        <v>0</v>
      </c>
      <c r="J16" s="212">
        <v>0</v>
      </c>
      <c r="K16" s="212">
        <v>2967</v>
      </c>
      <c r="L16" s="233">
        <v>151500</v>
      </c>
      <c r="M16" s="212">
        <v>93</v>
      </c>
      <c r="N16" s="212">
        <v>16</v>
      </c>
      <c r="O16" s="151">
        <v>93.00659999999999</v>
      </c>
      <c r="P16" s="232"/>
      <c r="Q16" s="213">
        <v>9</v>
      </c>
      <c r="R16" s="214" t="s">
        <v>51</v>
      </c>
      <c r="S16" s="212">
        <v>0</v>
      </c>
      <c r="T16" s="212">
        <f t="shared" si="1"/>
        <v>7326</v>
      </c>
      <c r="U16" s="212">
        <f t="shared" si="2"/>
        <v>4160</v>
      </c>
      <c r="V16" s="212">
        <f t="shared" si="3"/>
        <v>10972</v>
      </c>
      <c r="W16" s="212">
        <f t="shared" si="4"/>
        <v>33332</v>
      </c>
      <c r="X16" s="212">
        <f t="shared" si="5"/>
        <v>9100</v>
      </c>
      <c r="Y16" s="212">
        <f t="shared" si="6"/>
        <v>30108</v>
      </c>
      <c r="Z16" s="212">
        <f t="shared" si="7"/>
        <v>0</v>
      </c>
      <c r="AA16" s="212">
        <f t="shared" si="8"/>
        <v>17482</v>
      </c>
      <c r="AB16" s="212">
        <f t="shared" si="9"/>
        <v>375000</v>
      </c>
      <c r="AC16" s="212">
        <f t="shared" si="10"/>
        <v>1080</v>
      </c>
      <c r="AD16" s="212">
        <f t="shared" si="11"/>
        <v>168</v>
      </c>
      <c r="AE16" s="226"/>
      <c r="AF16" s="430">
        <f t="shared" si="12"/>
        <v>0.168</v>
      </c>
    </row>
    <row r="17" spans="1:32" ht="13.5">
      <c r="A17" s="213">
        <v>7</v>
      </c>
      <c r="B17" s="214" t="s">
        <v>49</v>
      </c>
      <c r="C17" s="212">
        <v>0</v>
      </c>
      <c r="D17" s="212">
        <v>0</v>
      </c>
      <c r="E17" s="212">
        <v>3600</v>
      </c>
      <c r="F17" s="212">
        <v>65</v>
      </c>
      <c r="G17" s="212">
        <v>260</v>
      </c>
      <c r="H17" s="212">
        <v>117</v>
      </c>
      <c r="I17" s="212">
        <v>468</v>
      </c>
      <c r="J17" s="212">
        <v>0</v>
      </c>
      <c r="K17" s="212">
        <v>2337</v>
      </c>
      <c r="L17" s="231">
        <v>3000</v>
      </c>
      <c r="M17" s="212">
        <v>125</v>
      </c>
      <c r="N17" s="212">
        <v>566</v>
      </c>
      <c r="O17" s="151">
        <v>125.154</v>
      </c>
      <c r="P17" s="232"/>
      <c r="Q17" s="213">
        <v>10</v>
      </c>
      <c r="R17" s="214" t="s">
        <v>52</v>
      </c>
      <c r="S17" s="212">
        <v>0</v>
      </c>
      <c r="T17" s="212">
        <f t="shared" si="1"/>
        <v>2376</v>
      </c>
      <c r="U17" s="212">
        <f t="shared" si="2"/>
        <v>600</v>
      </c>
      <c r="V17" s="212">
        <f t="shared" si="3"/>
        <v>1092</v>
      </c>
      <c r="W17" s="212">
        <f t="shared" si="4"/>
        <v>1092</v>
      </c>
      <c r="X17" s="212">
        <f t="shared" si="5"/>
        <v>1053</v>
      </c>
      <c r="Y17" s="212">
        <f t="shared" si="6"/>
        <v>1456</v>
      </c>
      <c r="Z17" s="212">
        <f t="shared" si="7"/>
        <v>0</v>
      </c>
      <c r="AA17" s="212">
        <f t="shared" si="8"/>
        <v>29361</v>
      </c>
      <c r="AB17" s="212">
        <f t="shared" si="9"/>
        <v>242000</v>
      </c>
      <c r="AC17" s="212">
        <f t="shared" si="10"/>
        <v>4037</v>
      </c>
      <c r="AD17" s="212">
        <f t="shared" si="11"/>
        <v>2312</v>
      </c>
      <c r="AE17" s="226"/>
      <c r="AF17" s="430">
        <f t="shared" si="12"/>
        <v>2.312</v>
      </c>
    </row>
    <row r="18" spans="1:32" ht="13.5">
      <c r="A18" s="213">
        <v>8</v>
      </c>
      <c r="B18" s="214" t="s">
        <v>50</v>
      </c>
      <c r="C18" s="212">
        <v>0</v>
      </c>
      <c r="D18" s="212">
        <v>0</v>
      </c>
      <c r="E18" s="212">
        <v>800</v>
      </c>
      <c r="F18" s="212">
        <v>0</v>
      </c>
      <c r="G18" s="212">
        <v>0</v>
      </c>
      <c r="H18" s="212">
        <v>0</v>
      </c>
      <c r="I18" s="212">
        <v>0</v>
      </c>
      <c r="J18" s="212">
        <v>0</v>
      </c>
      <c r="K18" s="212">
        <v>1919</v>
      </c>
      <c r="L18" s="231">
        <v>107000</v>
      </c>
      <c r="M18" s="212">
        <v>901</v>
      </c>
      <c r="N18" s="212">
        <v>570</v>
      </c>
      <c r="O18" s="151">
        <v>900.6179999999999</v>
      </c>
      <c r="P18" s="232"/>
      <c r="Q18" s="213">
        <v>11</v>
      </c>
      <c r="R18" s="214" t="s">
        <v>53</v>
      </c>
      <c r="S18" s="212">
        <v>0</v>
      </c>
      <c r="T18" s="212">
        <f t="shared" si="1"/>
        <v>46926</v>
      </c>
      <c r="U18" s="212">
        <f t="shared" si="2"/>
        <v>11000</v>
      </c>
      <c r="V18" s="212">
        <f t="shared" si="3"/>
        <v>10179</v>
      </c>
      <c r="W18" s="212">
        <f t="shared" si="4"/>
        <v>21320</v>
      </c>
      <c r="X18" s="212">
        <f t="shared" si="5"/>
        <v>2886</v>
      </c>
      <c r="Y18" s="212">
        <f t="shared" si="6"/>
        <v>6760</v>
      </c>
      <c r="Z18" s="212">
        <f t="shared" si="7"/>
        <v>0</v>
      </c>
      <c r="AA18" s="212">
        <f t="shared" si="8"/>
        <v>82847</v>
      </c>
      <c r="AB18" s="212">
        <f t="shared" si="9"/>
        <v>1339750</v>
      </c>
      <c r="AC18" s="212">
        <f t="shared" si="10"/>
        <v>981</v>
      </c>
      <c r="AD18" s="212">
        <f t="shared" si="11"/>
        <v>1171</v>
      </c>
      <c r="AE18" s="226"/>
      <c r="AF18" s="430">
        <f t="shared" si="12"/>
        <v>1.171</v>
      </c>
    </row>
    <row r="19" spans="1:32" ht="13.5">
      <c r="A19" s="213">
        <v>9</v>
      </c>
      <c r="B19" s="214" t="s">
        <v>51</v>
      </c>
      <c r="C19" s="212">
        <v>0</v>
      </c>
      <c r="D19" s="212">
        <v>0</v>
      </c>
      <c r="E19" s="212">
        <v>0</v>
      </c>
      <c r="F19" s="212">
        <v>468</v>
      </c>
      <c r="G19" s="212">
        <v>1872</v>
      </c>
      <c r="H19" s="212">
        <v>351</v>
      </c>
      <c r="I19" s="212">
        <v>1404</v>
      </c>
      <c r="J19" s="212">
        <v>0</v>
      </c>
      <c r="K19" s="212">
        <v>1115</v>
      </c>
      <c r="L19" s="231">
        <v>23000</v>
      </c>
      <c r="M19" s="212">
        <v>90</v>
      </c>
      <c r="N19" s="212">
        <v>14</v>
      </c>
      <c r="O19" s="151">
        <v>89.98</v>
      </c>
      <c r="P19" s="232"/>
      <c r="Q19" s="213">
        <v>12</v>
      </c>
      <c r="R19" s="214" t="s">
        <v>54</v>
      </c>
      <c r="S19" s="212">
        <v>0</v>
      </c>
      <c r="T19" s="212">
        <f t="shared" si="1"/>
        <v>11088</v>
      </c>
      <c r="U19" s="212">
        <f t="shared" si="2"/>
        <v>0</v>
      </c>
      <c r="V19" s="212">
        <f t="shared" si="3"/>
        <v>9945</v>
      </c>
      <c r="W19" s="212">
        <f t="shared" si="4"/>
        <v>30836</v>
      </c>
      <c r="X19" s="212">
        <f t="shared" si="5"/>
        <v>1196</v>
      </c>
      <c r="Y19" s="212">
        <f t="shared" si="6"/>
        <v>4628</v>
      </c>
      <c r="Z19" s="212">
        <f t="shared" si="7"/>
        <v>0</v>
      </c>
      <c r="AA19" s="212">
        <f t="shared" si="8"/>
        <v>15681</v>
      </c>
      <c r="AB19" s="212">
        <f t="shared" si="9"/>
        <v>0</v>
      </c>
      <c r="AC19" s="212">
        <f t="shared" si="10"/>
        <v>1131</v>
      </c>
      <c r="AD19" s="212">
        <f t="shared" si="11"/>
        <v>2251</v>
      </c>
      <c r="AE19" s="226"/>
      <c r="AF19" s="430">
        <f t="shared" si="12"/>
        <v>2.251</v>
      </c>
    </row>
    <row r="20" spans="1:32" ht="13.5">
      <c r="A20" s="213">
        <v>10</v>
      </c>
      <c r="B20" s="214" t="s">
        <v>52</v>
      </c>
      <c r="C20" s="212">
        <v>0</v>
      </c>
      <c r="D20" s="212">
        <v>0</v>
      </c>
      <c r="E20" s="212">
        <v>0</v>
      </c>
      <c r="F20" s="212">
        <v>13</v>
      </c>
      <c r="G20" s="212">
        <v>52</v>
      </c>
      <c r="H20" s="212">
        <v>26</v>
      </c>
      <c r="I20" s="212">
        <v>104</v>
      </c>
      <c r="J20" s="212">
        <v>0</v>
      </c>
      <c r="K20" s="212">
        <v>2442</v>
      </c>
      <c r="L20" s="231">
        <v>16000</v>
      </c>
      <c r="M20" s="212">
        <v>334</v>
      </c>
      <c r="N20" s="212">
        <v>192</v>
      </c>
      <c r="O20" s="151">
        <v>333.62129999999996</v>
      </c>
      <c r="P20" s="232"/>
      <c r="Q20" s="213">
        <v>13</v>
      </c>
      <c r="R20" s="214" t="s">
        <v>55</v>
      </c>
      <c r="S20" s="212">
        <v>0</v>
      </c>
      <c r="T20" s="212">
        <f t="shared" si="1"/>
        <v>16038</v>
      </c>
      <c r="U20" s="212">
        <f t="shared" si="2"/>
        <v>400</v>
      </c>
      <c r="V20" s="212">
        <f t="shared" si="3"/>
        <v>22503</v>
      </c>
      <c r="W20" s="212">
        <f t="shared" si="4"/>
        <v>11232</v>
      </c>
      <c r="X20" s="212">
        <f t="shared" si="5"/>
        <v>598</v>
      </c>
      <c r="Y20" s="212">
        <f t="shared" si="6"/>
        <v>2184</v>
      </c>
      <c r="Z20" s="212">
        <f t="shared" si="7"/>
        <v>0</v>
      </c>
      <c r="AA20" s="212">
        <f t="shared" si="8"/>
        <v>37303</v>
      </c>
      <c r="AB20" s="212">
        <f t="shared" si="9"/>
        <v>759500</v>
      </c>
      <c r="AC20" s="212">
        <f t="shared" si="10"/>
        <v>348</v>
      </c>
      <c r="AD20" s="212">
        <f t="shared" si="11"/>
        <v>151</v>
      </c>
      <c r="AE20" s="226"/>
      <c r="AF20" s="430">
        <f t="shared" si="12"/>
        <v>0.151</v>
      </c>
    </row>
    <row r="21" spans="1:32" ht="13.5">
      <c r="A21" s="213">
        <v>11</v>
      </c>
      <c r="B21" s="214" t="s">
        <v>53</v>
      </c>
      <c r="C21" s="212">
        <v>0</v>
      </c>
      <c r="D21" s="212">
        <v>0</v>
      </c>
      <c r="E21" s="212">
        <v>0</v>
      </c>
      <c r="F21" s="212">
        <v>0</v>
      </c>
      <c r="G21" s="212">
        <v>0</v>
      </c>
      <c r="H21" s="212">
        <v>0</v>
      </c>
      <c r="I21" s="212">
        <v>0</v>
      </c>
      <c r="J21" s="212">
        <v>0</v>
      </c>
      <c r="K21" s="212">
        <v>6844</v>
      </c>
      <c r="L21" s="231">
        <v>103000</v>
      </c>
      <c r="M21" s="212">
        <v>0</v>
      </c>
      <c r="N21" s="212">
        <v>99</v>
      </c>
      <c r="O21" s="151">
        <v>0</v>
      </c>
      <c r="P21" s="232"/>
      <c r="Q21" s="213">
        <v>14</v>
      </c>
      <c r="R21" s="214" t="s">
        <v>56</v>
      </c>
      <c r="S21" s="215">
        <v>0</v>
      </c>
      <c r="T21" s="212">
        <f t="shared" si="1"/>
        <v>7524</v>
      </c>
      <c r="U21" s="212">
        <f t="shared" si="2"/>
        <v>8800</v>
      </c>
      <c r="V21" s="212">
        <f t="shared" si="3"/>
        <v>3419</v>
      </c>
      <c r="W21" s="212">
        <f t="shared" si="4"/>
        <v>6292</v>
      </c>
      <c r="X21" s="212">
        <f t="shared" si="5"/>
        <v>2210</v>
      </c>
      <c r="Y21" s="212">
        <f t="shared" si="6"/>
        <v>7748</v>
      </c>
      <c r="Z21" s="212">
        <f t="shared" si="7"/>
        <v>0</v>
      </c>
      <c r="AA21" s="212">
        <f t="shared" si="8"/>
        <v>22394</v>
      </c>
      <c r="AB21" s="212">
        <f t="shared" si="9"/>
        <v>765700</v>
      </c>
      <c r="AC21" s="212">
        <f t="shared" si="10"/>
        <v>10083</v>
      </c>
      <c r="AD21" s="212">
        <f t="shared" si="11"/>
        <v>123</v>
      </c>
      <c r="AE21" s="226"/>
      <c r="AF21" s="430">
        <f t="shared" si="12"/>
        <v>0.123</v>
      </c>
    </row>
    <row r="22" spans="1:32" ht="13.5">
      <c r="A22" s="213">
        <v>12</v>
      </c>
      <c r="B22" s="214" t="s">
        <v>54</v>
      </c>
      <c r="C22" s="212">
        <v>0</v>
      </c>
      <c r="D22" s="212">
        <v>0</v>
      </c>
      <c r="E22" s="212">
        <v>0</v>
      </c>
      <c r="F22" s="212">
        <v>0</v>
      </c>
      <c r="G22" s="212">
        <v>0</v>
      </c>
      <c r="H22" s="212">
        <v>0</v>
      </c>
      <c r="I22" s="212">
        <v>0</v>
      </c>
      <c r="J22" s="212">
        <v>0</v>
      </c>
      <c r="K22" s="212">
        <v>1332</v>
      </c>
      <c r="L22" s="231">
        <v>0</v>
      </c>
      <c r="M22" s="212">
        <v>78</v>
      </c>
      <c r="N22" s="212">
        <v>189</v>
      </c>
      <c r="O22" s="151">
        <v>77.71</v>
      </c>
      <c r="P22" s="232"/>
      <c r="Q22" s="216"/>
      <c r="R22" s="237" t="s">
        <v>195</v>
      </c>
      <c r="S22" s="219">
        <f>SUM(S8:S21)</f>
        <v>0</v>
      </c>
      <c r="T22" s="219">
        <f>SUM(T8:T21)</f>
        <v>222156</v>
      </c>
      <c r="U22" s="219">
        <f aca="true" t="shared" si="13" ref="U22:AD22">SUM(U8:U21)</f>
        <v>458600</v>
      </c>
      <c r="V22" s="219">
        <f t="shared" si="13"/>
        <v>128284</v>
      </c>
      <c r="W22" s="219">
        <f t="shared" si="13"/>
        <v>237744</v>
      </c>
      <c r="X22" s="219">
        <f t="shared" si="13"/>
        <v>68029</v>
      </c>
      <c r="Y22" s="219">
        <f t="shared" si="13"/>
        <v>198692</v>
      </c>
      <c r="Z22" s="219">
        <f t="shared" si="13"/>
        <v>0</v>
      </c>
      <c r="AA22" s="219">
        <f t="shared" si="13"/>
        <v>773146</v>
      </c>
      <c r="AB22" s="219">
        <f t="shared" si="13"/>
        <v>10780150</v>
      </c>
      <c r="AC22" s="219">
        <f t="shared" si="13"/>
        <v>118319</v>
      </c>
      <c r="AD22" s="219">
        <f t="shared" si="13"/>
        <v>33910</v>
      </c>
      <c r="AE22" s="226"/>
      <c r="AF22" s="429">
        <f>SUM(AF8:AF21)</f>
        <v>33.910000000000004</v>
      </c>
    </row>
    <row r="23" spans="1:30" ht="13.5">
      <c r="A23" s="213">
        <v>13</v>
      </c>
      <c r="B23" s="214" t="s">
        <v>55</v>
      </c>
      <c r="C23" s="212">
        <v>0</v>
      </c>
      <c r="D23" s="212">
        <v>0</v>
      </c>
      <c r="E23" s="212">
        <v>0</v>
      </c>
      <c r="F23" s="212">
        <v>273</v>
      </c>
      <c r="G23" s="212">
        <v>1092</v>
      </c>
      <c r="H23" s="212">
        <v>26</v>
      </c>
      <c r="I23" s="212">
        <v>104</v>
      </c>
      <c r="J23" s="212">
        <v>0</v>
      </c>
      <c r="K23" s="212">
        <v>3081</v>
      </c>
      <c r="L23" s="231">
        <v>19500</v>
      </c>
      <c r="M23" s="212">
        <v>29</v>
      </c>
      <c r="N23" s="212">
        <v>10</v>
      </c>
      <c r="O23" s="151">
        <v>28.63</v>
      </c>
      <c r="P23" s="232"/>
      <c r="Q23" s="220"/>
      <c r="R23" s="238"/>
      <c r="S23" s="222"/>
      <c r="T23" s="222"/>
      <c r="U23" s="222"/>
      <c r="V23" s="496">
        <f>V22+W22</f>
        <v>366028</v>
      </c>
      <c r="W23" s="497"/>
      <c r="X23" s="498">
        <f>X22+Y22</f>
        <v>266721</v>
      </c>
      <c r="Y23" s="499"/>
      <c r="Z23" s="222"/>
      <c r="AA23" s="222"/>
      <c r="AB23" s="222"/>
      <c r="AC23" s="222"/>
      <c r="AD23" s="222"/>
    </row>
    <row r="24" spans="1:31" ht="13.5">
      <c r="A24" s="213">
        <v>14</v>
      </c>
      <c r="B24" s="214" t="s">
        <v>56</v>
      </c>
      <c r="C24" s="215">
        <v>0</v>
      </c>
      <c r="D24" s="212">
        <v>0</v>
      </c>
      <c r="E24" s="212">
        <v>400</v>
      </c>
      <c r="F24" s="212">
        <v>130</v>
      </c>
      <c r="G24" s="212">
        <v>520</v>
      </c>
      <c r="H24" s="212">
        <v>182</v>
      </c>
      <c r="I24" s="212">
        <v>728</v>
      </c>
      <c r="J24" s="212">
        <v>0</v>
      </c>
      <c r="K24" s="212">
        <v>1739</v>
      </c>
      <c r="L24" s="231">
        <v>64000</v>
      </c>
      <c r="M24" s="212">
        <v>900</v>
      </c>
      <c r="N24" s="212">
        <v>12</v>
      </c>
      <c r="O24" s="151">
        <v>899.8</v>
      </c>
      <c r="P24" s="232"/>
      <c r="Q24" s="223"/>
      <c r="R24" s="224" t="s">
        <v>196</v>
      </c>
      <c r="S24" s="225">
        <v>0</v>
      </c>
      <c r="T24" s="225">
        <v>196614</v>
      </c>
      <c r="U24" s="225">
        <v>456600</v>
      </c>
      <c r="V24" s="225">
        <v>100139</v>
      </c>
      <c r="W24" s="225">
        <v>148772</v>
      </c>
      <c r="X24" s="225">
        <v>48490</v>
      </c>
      <c r="Y24" s="225">
        <v>116012</v>
      </c>
      <c r="Z24" s="225">
        <v>0</v>
      </c>
      <c r="AA24" s="225">
        <v>761873</v>
      </c>
      <c r="AB24" s="225">
        <v>8357600</v>
      </c>
      <c r="AC24" s="225">
        <v>122103</v>
      </c>
      <c r="AD24" s="225">
        <v>29192</v>
      </c>
      <c r="AE24" s="226"/>
    </row>
    <row r="25" spans="1:16" ht="13.5">
      <c r="A25" s="216"/>
      <c r="B25" s="217" t="s">
        <v>197</v>
      </c>
      <c r="C25" s="218">
        <v>0</v>
      </c>
      <c r="D25" s="219">
        <f>SUM(D11:D24)</f>
        <v>4356</v>
      </c>
      <c r="E25" s="219">
        <f aca="true" t="shared" si="14" ref="E25:O25">SUM(E11:E24)</f>
        <v>26800</v>
      </c>
      <c r="F25" s="219">
        <f t="shared" si="14"/>
        <v>2574</v>
      </c>
      <c r="G25" s="219">
        <f t="shared" si="14"/>
        <v>10296</v>
      </c>
      <c r="H25" s="219">
        <f t="shared" si="14"/>
        <v>2301</v>
      </c>
      <c r="I25" s="219">
        <f t="shared" si="14"/>
        <v>9204</v>
      </c>
      <c r="J25" s="219">
        <f t="shared" si="14"/>
        <v>0</v>
      </c>
      <c r="K25" s="219">
        <f t="shared" si="14"/>
        <v>63625</v>
      </c>
      <c r="L25" s="219">
        <f t="shared" si="14"/>
        <v>794300</v>
      </c>
      <c r="M25" s="219">
        <f t="shared" si="14"/>
        <v>9980</v>
      </c>
      <c r="N25" s="219">
        <f t="shared" si="14"/>
        <v>2420</v>
      </c>
      <c r="O25" s="219">
        <f t="shared" si="14"/>
        <v>9978.250299999998</v>
      </c>
      <c r="P25" s="229"/>
    </row>
    <row r="26" spans="1:27" ht="13.5">
      <c r="A26" s="220"/>
      <c r="B26" s="210" t="s">
        <v>198</v>
      </c>
      <c r="C26" s="221"/>
      <c r="D26" s="222"/>
      <c r="E26" s="222"/>
      <c r="F26" s="496">
        <f>F25+G25</f>
        <v>12870</v>
      </c>
      <c r="G26" s="497"/>
      <c r="H26" s="498">
        <f>H25+I25</f>
        <v>11505</v>
      </c>
      <c r="I26" s="499"/>
      <c r="J26" s="222"/>
      <c r="K26" s="222"/>
      <c r="L26" s="222"/>
      <c r="M26" s="222"/>
      <c r="N26" s="222"/>
      <c r="T26" s="226"/>
      <c r="U26" s="226"/>
      <c r="AA26" s="183" t="s">
        <v>199</v>
      </c>
    </row>
    <row r="27" spans="1:29" ht="13.5">
      <c r="A27" s="223"/>
      <c r="B27" s="224" t="s">
        <v>200</v>
      </c>
      <c r="C27" s="225">
        <v>0</v>
      </c>
      <c r="D27" s="225">
        <v>108702</v>
      </c>
      <c r="E27" s="225">
        <v>92800</v>
      </c>
      <c r="F27" s="225">
        <v>64857</v>
      </c>
      <c r="G27" s="225">
        <v>15496</v>
      </c>
      <c r="H27" s="225">
        <v>21944</v>
      </c>
      <c r="I27" s="225">
        <v>13104</v>
      </c>
      <c r="J27" s="225">
        <v>0</v>
      </c>
      <c r="K27" s="225">
        <v>66908</v>
      </c>
      <c r="L27" s="225">
        <v>484750</v>
      </c>
      <c r="M27" s="225">
        <v>14888</v>
      </c>
      <c r="N27" s="225">
        <v>2458</v>
      </c>
      <c r="Z27" s="234"/>
      <c r="AA27" s="184" t="s">
        <v>60</v>
      </c>
      <c r="AC27" s="183"/>
    </row>
    <row r="28" spans="26:29" ht="15">
      <c r="Z28" s="235"/>
      <c r="AA28" s="184" t="s">
        <v>61</v>
      </c>
      <c r="AC28" s="227"/>
    </row>
    <row r="29" spans="4:29" ht="15">
      <c r="D29" s="226"/>
      <c r="E29" s="226"/>
      <c r="K29" s="183" t="s">
        <v>199</v>
      </c>
      <c r="Z29" s="235"/>
      <c r="AA29" s="184"/>
      <c r="AC29" s="227"/>
    </row>
    <row r="30" spans="10:29" ht="15">
      <c r="J30" s="234"/>
      <c r="K30" s="184" t="s">
        <v>60</v>
      </c>
      <c r="M30" s="183"/>
      <c r="Z30" s="234"/>
      <c r="AA30" s="184" t="s">
        <v>62</v>
      </c>
      <c r="AC30" s="227"/>
    </row>
    <row r="31" spans="10:29" ht="15">
      <c r="J31" s="235"/>
      <c r="K31" s="184" t="s">
        <v>61</v>
      </c>
      <c r="M31" s="227"/>
      <c r="Z31" s="234"/>
      <c r="AA31" s="184" t="s">
        <v>125</v>
      </c>
      <c r="AC31" s="227"/>
    </row>
    <row r="32" spans="10:13" ht="15">
      <c r="J32" s="235"/>
      <c r="K32" s="184"/>
      <c r="M32" s="227"/>
    </row>
    <row r="33" spans="10:13" ht="15">
      <c r="J33" s="234"/>
      <c r="K33" s="184" t="s">
        <v>62</v>
      </c>
      <c r="M33" s="227"/>
    </row>
    <row r="34" spans="10:13" ht="15">
      <c r="J34" s="234"/>
      <c r="K34" s="184" t="s">
        <v>125</v>
      </c>
      <c r="M34" s="227"/>
    </row>
    <row r="35" spans="17:30" ht="12.75">
      <c r="Q35" s="470" t="s">
        <v>201</v>
      </c>
      <c r="R35" s="470"/>
      <c r="S35" s="470"/>
      <c r="T35" s="470"/>
      <c r="U35" s="470"/>
      <c r="V35" s="470"/>
      <c r="W35" s="470"/>
      <c r="X35" s="470"/>
      <c r="Y35" s="470"/>
      <c r="Z35" s="470"/>
      <c r="AA35" s="470"/>
      <c r="AB35" s="470"/>
      <c r="AC35" s="470"/>
      <c r="AD35" s="470"/>
    </row>
    <row r="36" spans="17:30" ht="12.75">
      <c r="Q36" s="470" t="s">
        <v>180</v>
      </c>
      <c r="R36" s="470"/>
      <c r="S36" s="470"/>
      <c r="T36" s="470"/>
      <c r="U36" s="470"/>
      <c r="V36" s="470"/>
      <c r="W36" s="470"/>
      <c r="X36" s="470"/>
      <c r="Y36" s="470"/>
      <c r="Z36" s="470"/>
      <c r="AA36" s="470"/>
      <c r="AB36" s="470"/>
      <c r="AC36" s="470"/>
      <c r="AD36" s="470"/>
    </row>
    <row r="38" spans="1:28" ht="14.25">
      <c r="A38" s="479" t="s">
        <v>181</v>
      </c>
      <c r="B38" s="479"/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AB38" s="236"/>
    </row>
    <row r="40" spans="1:30" ht="12.75">
      <c r="A40" s="155" t="s">
        <v>182</v>
      </c>
      <c r="Q40" s="198" t="s">
        <v>183</v>
      </c>
      <c r="R40" s="199"/>
      <c r="S40" s="200" t="s">
        <v>114</v>
      </c>
      <c r="T40" s="201" t="s">
        <v>184</v>
      </c>
      <c r="U40" s="200" t="s">
        <v>113</v>
      </c>
      <c r="V40" s="471" t="s">
        <v>115</v>
      </c>
      <c r="W40" s="472"/>
      <c r="X40" s="471" t="s">
        <v>116</v>
      </c>
      <c r="Y40" s="472"/>
      <c r="Z40" s="201" t="s">
        <v>117</v>
      </c>
      <c r="AA40" s="201" t="s">
        <v>185</v>
      </c>
      <c r="AB40" s="201" t="s">
        <v>186</v>
      </c>
      <c r="AC40" s="200" t="s">
        <v>121</v>
      </c>
      <c r="AD40" s="201" t="s">
        <v>187</v>
      </c>
    </row>
    <row r="41" spans="1:30" ht="14.25">
      <c r="A41" s="155" t="s">
        <v>188</v>
      </c>
      <c r="K41" s="155" t="s">
        <v>189</v>
      </c>
      <c r="L41" s="236" t="s">
        <v>202</v>
      </c>
      <c r="Q41" s="203"/>
      <c r="R41" s="204"/>
      <c r="S41" s="205"/>
      <c r="T41" s="206"/>
      <c r="U41" s="205"/>
      <c r="V41" s="207" t="s">
        <v>191</v>
      </c>
      <c r="W41" s="208" t="s">
        <v>192</v>
      </c>
      <c r="X41" s="207" t="s">
        <v>191</v>
      </c>
      <c r="Y41" s="208" t="s">
        <v>192</v>
      </c>
      <c r="Z41" s="230"/>
      <c r="AA41" s="230" t="s">
        <v>193</v>
      </c>
      <c r="AB41" s="230"/>
      <c r="AC41" s="208"/>
      <c r="AD41" s="230" t="s">
        <v>194</v>
      </c>
    </row>
    <row r="42" spans="17:30" ht="13.5">
      <c r="Q42" s="209">
        <v>1</v>
      </c>
      <c r="R42" s="210" t="s">
        <v>43</v>
      </c>
      <c r="S42" s="211">
        <v>0</v>
      </c>
      <c r="T42" s="212">
        <f>D385+D351+D317+D283+D249+D215+D181+D147+D113+D79+D45</f>
        <v>79200</v>
      </c>
      <c r="U42" s="212">
        <f aca="true" t="shared" si="15" ref="U42:AD55">E385+E351+E317+E283+E249+E215+E181+E147+E113+E79+E45</f>
        <v>251400</v>
      </c>
      <c r="V42" s="212">
        <f t="shared" si="15"/>
        <v>30303</v>
      </c>
      <c r="W42" s="212">
        <f t="shared" si="15"/>
        <v>82472</v>
      </c>
      <c r="X42" s="212">
        <f t="shared" si="15"/>
        <v>21632</v>
      </c>
      <c r="Y42" s="212">
        <f t="shared" si="15"/>
        <v>66664</v>
      </c>
      <c r="Z42" s="212">
        <f t="shared" si="15"/>
        <v>0</v>
      </c>
      <c r="AA42" s="212">
        <f t="shared" si="15"/>
        <v>19892</v>
      </c>
      <c r="AB42" s="212">
        <f t="shared" si="15"/>
        <v>1124000</v>
      </c>
      <c r="AC42" s="212">
        <f t="shared" si="15"/>
        <v>9272</v>
      </c>
      <c r="AD42" s="212">
        <f t="shared" si="15"/>
        <v>418</v>
      </c>
    </row>
    <row r="43" spans="1:30" ht="13.5">
      <c r="A43" s="198" t="s">
        <v>183</v>
      </c>
      <c r="B43" s="199"/>
      <c r="C43" s="200" t="s">
        <v>114</v>
      </c>
      <c r="D43" s="201" t="s">
        <v>184</v>
      </c>
      <c r="E43" s="200" t="s">
        <v>113</v>
      </c>
      <c r="F43" s="471" t="s">
        <v>115</v>
      </c>
      <c r="G43" s="472"/>
      <c r="H43" s="471" t="s">
        <v>116</v>
      </c>
      <c r="I43" s="472"/>
      <c r="J43" s="201" t="s">
        <v>117</v>
      </c>
      <c r="K43" s="201" t="s">
        <v>185</v>
      </c>
      <c r="L43" s="201" t="s">
        <v>186</v>
      </c>
      <c r="M43" s="200" t="s">
        <v>121</v>
      </c>
      <c r="N43" s="201" t="s">
        <v>187</v>
      </c>
      <c r="Q43" s="213">
        <v>2</v>
      </c>
      <c r="R43" s="214" t="s">
        <v>44</v>
      </c>
      <c r="S43" s="212">
        <v>0</v>
      </c>
      <c r="T43" s="212">
        <f aca="true" t="shared" si="16" ref="T43:T55">D386+D352+D318+D284+D250+D216+D182+D148+D114+D80+D46</f>
        <v>16632</v>
      </c>
      <c r="U43" s="212">
        <f t="shared" si="15"/>
        <v>18800</v>
      </c>
      <c r="V43" s="212">
        <f t="shared" si="15"/>
        <v>3692</v>
      </c>
      <c r="W43" s="212">
        <f t="shared" si="15"/>
        <v>7384</v>
      </c>
      <c r="X43" s="212">
        <f t="shared" si="15"/>
        <v>8840</v>
      </c>
      <c r="Y43" s="212">
        <f t="shared" si="15"/>
        <v>17680</v>
      </c>
      <c r="Z43" s="212">
        <f t="shared" si="15"/>
        <v>0</v>
      </c>
      <c r="AA43" s="212">
        <f t="shared" si="15"/>
        <v>122238</v>
      </c>
      <c r="AB43" s="212">
        <f t="shared" si="15"/>
        <v>246000</v>
      </c>
      <c r="AC43" s="212">
        <f t="shared" si="15"/>
        <v>17611</v>
      </c>
      <c r="AD43" s="212">
        <f t="shared" si="15"/>
        <v>6325</v>
      </c>
    </row>
    <row r="44" spans="1:30" ht="13.5">
      <c r="A44" s="203"/>
      <c r="B44" s="204"/>
      <c r="C44" s="205"/>
      <c r="D44" s="206"/>
      <c r="E44" s="205"/>
      <c r="F44" s="207" t="s">
        <v>191</v>
      </c>
      <c r="G44" s="208" t="s">
        <v>192</v>
      </c>
      <c r="H44" s="207" t="s">
        <v>191</v>
      </c>
      <c r="I44" s="208" t="s">
        <v>192</v>
      </c>
      <c r="J44" s="230"/>
      <c r="K44" s="230" t="s">
        <v>193</v>
      </c>
      <c r="L44" s="230"/>
      <c r="M44" s="208"/>
      <c r="N44" s="230" t="s">
        <v>194</v>
      </c>
      <c r="Q44" s="213">
        <v>3</v>
      </c>
      <c r="R44" s="214" t="s">
        <v>45</v>
      </c>
      <c r="S44" s="212">
        <v>0</v>
      </c>
      <c r="T44" s="212">
        <f t="shared" si="16"/>
        <v>990</v>
      </c>
      <c r="U44" s="212">
        <f t="shared" si="15"/>
        <v>9000</v>
      </c>
      <c r="V44" s="212">
        <f t="shared" si="15"/>
        <v>3601</v>
      </c>
      <c r="W44" s="212">
        <f t="shared" si="15"/>
        <v>6448</v>
      </c>
      <c r="X44" s="212">
        <f t="shared" si="15"/>
        <v>3575</v>
      </c>
      <c r="Y44" s="212">
        <f t="shared" si="15"/>
        <v>9048</v>
      </c>
      <c r="Z44" s="212">
        <f t="shared" si="15"/>
        <v>0</v>
      </c>
      <c r="AA44" s="212">
        <f t="shared" si="15"/>
        <v>121609</v>
      </c>
      <c r="AB44" s="212">
        <f t="shared" si="15"/>
        <v>913900</v>
      </c>
      <c r="AC44" s="212">
        <f t="shared" si="15"/>
        <v>22083</v>
      </c>
      <c r="AD44" s="212">
        <f t="shared" si="15"/>
        <v>790</v>
      </c>
    </row>
    <row r="45" spans="1:30" ht="13.5">
      <c r="A45" s="209">
        <v>1</v>
      </c>
      <c r="B45" s="210" t="s">
        <v>43</v>
      </c>
      <c r="C45" s="211">
        <v>0</v>
      </c>
      <c r="D45" s="212">
        <v>4356</v>
      </c>
      <c r="E45" s="212">
        <v>21400</v>
      </c>
      <c r="F45" s="212">
        <v>1183</v>
      </c>
      <c r="G45" s="212">
        <v>4732</v>
      </c>
      <c r="H45" s="212">
        <v>1079</v>
      </c>
      <c r="I45" s="212">
        <v>4316</v>
      </c>
      <c r="J45" s="212">
        <v>0</v>
      </c>
      <c r="K45" s="212">
        <v>1781</v>
      </c>
      <c r="L45" s="212">
        <v>100000</v>
      </c>
      <c r="M45" s="212">
        <v>950</v>
      </c>
      <c r="N45" s="212">
        <v>38</v>
      </c>
      <c r="Q45" s="213">
        <v>4</v>
      </c>
      <c r="R45" s="214" t="s">
        <v>46</v>
      </c>
      <c r="S45" s="212">
        <v>0</v>
      </c>
      <c r="T45" s="212">
        <f t="shared" si="16"/>
        <v>10692</v>
      </c>
      <c r="U45" s="212">
        <f t="shared" si="15"/>
        <v>14520</v>
      </c>
      <c r="V45" s="212">
        <f t="shared" si="15"/>
        <v>8268</v>
      </c>
      <c r="W45" s="212">
        <f t="shared" si="15"/>
        <v>16536</v>
      </c>
      <c r="X45" s="212">
        <f t="shared" si="15"/>
        <v>5356</v>
      </c>
      <c r="Y45" s="212">
        <f t="shared" si="15"/>
        <v>10712</v>
      </c>
      <c r="Z45" s="212">
        <f t="shared" si="15"/>
        <v>0</v>
      </c>
      <c r="AA45" s="212">
        <f t="shared" si="15"/>
        <v>98653</v>
      </c>
      <c r="AB45" s="212">
        <f t="shared" si="15"/>
        <v>1075000</v>
      </c>
      <c r="AC45" s="212">
        <f t="shared" si="15"/>
        <v>3316</v>
      </c>
      <c r="AD45" s="212">
        <f t="shared" si="15"/>
        <v>75</v>
      </c>
    </row>
    <row r="46" spans="1:30" ht="13.5">
      <c r="A46" s="213">
        <v>2</v>
      </c>
      <c r="B46" s="214" t="s">
        <v>44</v>
      </c>
      <c r="C46" s="212">
        <v>0</v>
      </c>
      <c r="D46" s="212">
        <v>0</v>
      </c>
      <c r="E46" s="212">
        <v>0</v>
      </c>
      <c r="F46" s="212">
        <v>0</v>
      </c>
      <c r="G46" s="212">
        <v>0</v>
      </c>
      <c r="H46" s="212">
        <v>0</v>
      </c>
      <c r="I46" s="212">
        <v>0</v>
      </c>
      <c r="J46" s="212">
        <v>0</v>
      </c>
      <c r="K46" s="212">
        <v>11139</v>
      </c>
      <c r="L46" s="212">
        <v>21000</v>
      </c>
      <c r="M46" s="212">
        <v>1621</v>
      </c>
      <c r="N46" s="212">
        <v>584</v>
      </c>
      <c r="Q46" s="213">
        <v>5</v>
      </c>
      <c r="R46" s="214" t="s">
        <v>47</v>
      </c>
      <c r="S46" s="212">
        <v>0</v>
      </c>
      <c r="T46" s="212">
        <f t="shared" si="16"/>
        <v>6732</v>
      </c>
      <c r="U46" s="212">
        <f t="shared" si="15"/>
        <v>6000</v>
      </c>
      <c r="V46" s="212">
        <f t="shared" si="15"/>
        <v>4836</v>
      </c>
      <c r="W46" s="212">
        <f t="shared" si="15"/>
        <v>5460</v>
      </c>
      <c r="X46" s="212">
        <f t="shared" si="15"/>
        <v>3952</v>
      </c>
      <c r="Y46" s="212">
        <f t="shared" si="15"/>
        <v>11180</v>
      </c>
      <c r="Z46" s="212">
        <f t="shared" si="15"/>
        <v>0</v>
      </c>
      <c r="AA46" s="212">
        <f t="shared" si="15"/>
        <v>77424</v>
      </c>
      <c r="AB46" s="212">
        <f t="shared" si="15"/>
        <v>0</v>
      </c>
      <c r="AC46" s="212">
        <f t="shared" si="15"/>
        <v>27389</v>
      </c>
      <c r="AD46" s="212">
        <f t="shared" si="15"/>
        <v>647</v>
      </c>
    </row>
    <row r="47" spans="1:30" ht="13.5">
      <c r="A47" s="213">
        <v>3</v>
      </c>
      <c r="B47" s="214" t="s">
        <v>45</v>
      </c>
      <c r="C47" s="212">
        <v>0</v>
      </c>
      <c r="D47" s="212">
        <v>0</v>
      </c>
      <c r="E47" s="212">
        <v>1000</v>
      </c>
      <c r="F47" s="212">
        <v>156</v>
      </c>
      <c r="G47" s="212">
        <v>624</v>
      </c>
      <c r="H47" s="212">
        <v>273</v>
      </c>
      <c r="I47" s="212">
        <v>1092</v>
      </c>
      <c r="J47" s="212">
        <v>0</v>
      </c>
      <c r="K47" s="212">
        <v>11012</v>
      </c>
      <c r="L47" s="212">
        <v>33500</v>
      </c>
      <c r="M47" s="212">
        <v>1968</v>
      </c>
      <c r="N47" s="212">
        <v>70</v>
      </c>
      <c r="Q47" s="213">
        <v>6</v>
      </c>
      <c r="R47" s="214" t="s">
        <v>48</v>
      </c>
      <c r="S47" s="212">
        <v>0</v>
      </c>
      <c r="T47" s="212">
        <f t="shared" si="16"/>
        <v>5148</v>
      </c>
      <c r="U47" s="212">
        <f t="shared" si="15"/>
        <v>15800</v>
      </c>
      <c r="V47" s="212">
        <f t="shared" si="15"/>
        <v>5603</v>
      </c>
      <c r="W47" s="212">
        <f t="shared" si="15"/>
        <v>0</v>
      </c>
      <c r="X47" s="212">
        <f t="shared" si="15"/>
        <v>0</v>
      </c>
      <c r="Y47" s="212">
        <f t="shared" si="15"/>
        <v>0</v>
      </c>
      <c r="Z47" s="212">
        <f t="shared" si="15"/>
        <v>0</v>
      </c>
      <c r="AA47" s="212">
        <f t="shared" si="15"/>
        <v>33929</v>
      </c>
      <c r="AB47" s="212">
        <f t="shared" si="15"/>
        <v>2073000</v>
      </c>
      <c r="AC47" s="212">
        <f t="shared" si="15"/>
        <v>1312</v>
      </c>
      <c r="AD47" s="212">
        <f t="shared" si="15"/>
        <v>239</v>
      </c>
    </row>
    <row r="48" spans="1:30" ht="13.5">
      <c r="A48" s="213">
        <v>4</v>
      </c>
      <c r="B48" s="214" t="s">
        <v>46</v>
      </c>
      <c r="C48" s="212">
        <v>0</v>
      </c>
      <c r="D48" s="212">
        <v>0</v>
      </c>
      <c r="E48" s="212">
        <v>0</v>
      </c>
      <c r="F48" s="212">
        <v>0</v>
      </c>
      <c r="G48" s="212">
        <v>0</v>
      </c>
      <c r="H48" s="212">
        <v>0</v>
      </c>
      <c r="I48" s="212">
        <v>0</v>
      </c>
      <c r="J48" s="212">
        <v>0</v>
      </c>
      <c r="K48" s="212">
        <v>9120</v>
      </c>
      <c r="L48" s="212">
        <v>89500</v>
      </c>
      <c r="M48" s="212">
        <v>302</v>
      </c>
      <c r="N48" s="212">
        <v>5</v>
      </c>
      <c r="Q48" s="213">
        <v>7</v>
      </c>
      <c r="R48" s="214" t="s">
        <v>49</v>
      </c>
      <c r="S48" s="212">
        <v>0</v>
      </c>
      <c r="T48" s="212">
        <f t="shared" si="16"/>
        <v>2376</v>
      </c>
      <c r="U48" s="212">
        <f t="shared" si="15"/>
        <v>55720</v>
      </c>
      <c r="V48" s="212">
        <f t="shared" si="15"/>
        <v>5824</v>
      </c>
      <c r="W48" s="212">
        <f t="shared" si="15"/>
        <v>8580</v>
      </c>
      <c r="X48" s="212">
        <f t="shared" si="15"/>
        <v>5915</v>
      </c>
      <c r="Y48" s="212">
        <f t="shared" si="15"/>
        <v>23660</v>
      </c>
      <c r="Z48" s="212">
        <f t="shared" si="15"/>
        <v>0</v>
      </c>
      <c r="AA48" s="212">
        <f t="shared" si="15"/>
        <v>25717</v>
      </c>
      <c r="AB48" s="212">
        <f t="shared" si="15"/>
        <v>33000</v>
      </c>
      <c r="AC48" s="212">
        <f t="shared" si="15"/>
        <v>1380</v>
      </c>
      <c r="AD48" s="212">
        <f t="shared" si="15"/>
        <v>10953</v>
      </c>
    </row>
    <row r="49" spans="1:30" ht="13.5">
      <c r="A49" s="213">
        <v>5</v>
      </c>
      <c r="B49" s="214" t="s">
        <v>47</v>
      </c>
      <c r="C49" s="212">
        <v>0</v>
      </c>
      <c r="D49" s="212">
        <v>0</v>
      </c>
      <c r="E49" s="212">
        <v>0</v>
      </c>
      <c r="F49" s="212">
        <v>117</v>
      </c>
      <c r="G49" s="212">
        <v>468</v>
      </c>
      <c r="H49" s="212">
        <v>247</v>
      </c>
      <c r="I49" s="212">
        <v>988</v>
      </c>
      <c r="J49" s="212">
        <v>0</v>
      </c>
      <c r="K49" s="212">
        <v>6826</v>
      </c>
      <c r="L49" s="212">
        <v>0</v>
      </c>
      <c r="M49" s="212">
        <v>2374</v>
      </c>
      <c r="N49" s="212">
        <v>59</v>
      </c>
      <c r="Q49" s="213">
        <v>8</v>
      </c>
      <c r="R49" s="214" t="s">
        <v>50</v>
      </c>
      <c r="S49" s="212">
        <v>0</v>
      </c>
      <c r="T49" s="212">
        <f t="shared" si="16"/>
        <v>4752</v>
      </c>
      <c r="U49" s="212">
        <f t="shared" si="15"/>
        <v>36000</v>
      </c>
      <c r="V49" s="212">
        <f t="shared" si="15"/>
        <v>6357</v>
      </c>
      <c r="W49" s="212">
        <f t="shared" si="15"/>
        <v>0</v>
      </c>
      <c r="X49" s="212">
        <f t="shared" si="15"/>
        <v>0</v>
      </c>
      <c r="Y49" s="212">
        <f t="shared" si="15"/>
        <v>0</v>
      </c>
      <c r="Z49" s="212">
        <f t="shared" si="15"/>
        <v>0</v>
      </c>
      <c r="AA49" s="212">
        <f t="shared" si="15"/>
        <v>21544</v>
      </c>
      <c r="AB49" s="212">
        <f t="shared" si="15"/>
        <v>1264500</v>
      </c>
      <c r="AC49" s="212">
        <f t="shared" si="15"/>
        <v>9747</v>
      </c>
      <c r="AD49" s="212">
        <f t="shared" si="15"/>
        <v>6383</v>
      </c>
    </row>
    <row r="50" spans="1:30" ht="13.5">
      <c r="A50" s="213">
        <v>6</v>
      </c>
      <c r="B50" s="214" t="s">
        <v>48</v>
      </c>
      <c r="C50" s="212">
        <v>0</v>
      </c>
      <c r="D50" s="212">
        <v>198</v>
      </c>
      <c r="E50" s="212">
        <v>400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2967</v>
      </c>
      <c r="L50" s="212">
        <v>151500</v>
      </c>
      <c r="M50" s="212">
        <v>93</v>
      </c>
      <c r="N50" s="212">
        <v>16</v>
      </c>
      <c r="Q50" s="213">
        <v>9</v>
      </c>
      <c r="R50" s="214" t="s">
        <v>51</v>
      </c>
      <c r="S50" s="212">
        <v>0</v>
      </c>
      <c r="T50" s="212">
        <f t="shared" si="16"/>
        <v>7326</v>
      </c>
      <c r="U50" s="212">
        <f t="shared" si="15"/>
        <v>4160</v>
      </c>
      <c r="V50" s="212">
        <f t="shared" si="15"/>
        <v>10504</v>
      </c>
      <c r="W50" s="212">
        <f t="shared" si="15"/>
        <v>31460</v>
      </c>
      <c r="X50" s="212">
        <f t="shared" si="15"/>
        <v>8749</v>
      </c>
      <c r="Y50" s="212">
        <f t="shared" si="15"/>
        <v>28704</v>
      </c>
      <c r="Z50" s="212">
        <f t="shared" si="15"/>
        <v>0</v>
      </c>
      <c r="AA50" s="212">
        <f t="shared" si="15"/>
        <v>16367</v>
      </c>
      <c r="AB50" s="212">
        <f t="shared" si="15"/>
        <v>352000</v>
      </c>
      <c r="AC50" s="212">
        <f t="shared" si="15"/>
        <v>990</v>
      </c>
      <c r="AD50" s="212">
        <f t="shared" si="15"/>
        <v>154</v>
      </c>
    </row>
    <row r="51" spans="1:30" ht="13.5">
      <c r="A51" s="213">
        <v>7</v>
      </c>
      <c r="B51" s="214" t="s">
        <v>49</v>
      </c>
      <c r="C51" s="212">
        <v>0</v>
      </c>
      <c r="D51" s="212">
        <v>0</v>
      </c>
      <c r="E51" s="212">
        <v>3600</v>
      </c>
      <c r="F51" s="212">
        <v>130</v>
      </c>
      <c r="G51" s="212">
        <v>520</v>
      </c>
      <c r="H51" s="212">
        <v>234</v>
      </c>
      <c r="I51" s="212">
        <v>936</v>
      </c>
      <c r="J51" s="212">
        <v>0</v>
      </c>
      <c r="K51" s="212">
        <v>2337</v>
      </c>
      <c r="L51" s="212">
        <v>3000</v>
      </c>
      <c r="M51" s="212">
        <v>125</v>
      </c>
      <c r="N51" s="212">
        <v>561</v>
      </c>
      <c r="Q51" s="213">
        <v>10</v>
      </c>
      <c r="R51" s="214" t="s">
        <v>52</v>
      </c>
      <c r="S51" s="212">
        <v>0</v>
      </c>
      <c r="T51" s="212">
        <f t="shared" si="16"/>
        <v>2376</v>
      </c>
      <c r="U51" s="212">
        <f t="shared" si="15"/>
        <v>600</v>
      </c>
      <c r="V51" s="212">
        <f t="shared" si="15"/>
        <v>1079</v>
      </c>
      <c r="W51" s="212">
        <f t="shared" si="15"/>
        <v>1040</v>
      </c>
      <c r="X51" s="212">
        <f t="shared" si="15"/>
        <v>1027</v>
      </c>
      <c r="Y51" s="212">
        <f t="shared" si="15"/>
        <v>1352</v>
      </c>
      <c r="Z51" s="212">
        <f t="shared" si="15"/>
        <v>0</v>
      </c>
      <c r="AA51" s="212">
        <f t="shared" si="15"/>
        <v>26919</v>
      </c>
      <c r="AB51" s="212">
        <f t="shared" si="15"/>
        <v>226000</v>
      </c>
      <c r="AC51" s="212">
        <f t="shared" si="15"/>
        <v>3703</v>
      </c>
      <c r="AD51" s="212">
        <f t="shared" si="15"/>
        <v>2120</v>
      </c>
    </row>
    <row r="52" spans="1:30" ht="13.5">
      <c r="A52" s="213">
        <v>8</v>
      </c>
      <c r="B52" s="214" t="s">
        <v>50</v>
      </c>
      <c r="C52" s="212">
        <v>0</v>
      </c>
      <c r="D52" s="212">
        <v>0</v>
      </c>
      <c r="E52" s="212">
        <v>800</v>
      </c>
      <c r="F52" s="212">
        <v>0</v>
      </c>
      <c r="G52" s="212">
        <v>0</v>
      </c>
      <c r="H52" s="212">
        <v>0</v>
      </c>
      <c r="I52" s="212">
        <v>0</v>
      </c>
      <c r="J52" s="212">
        <v>0</v>
      </c>
      <c r="K52" s="212">
        <v>1919</v>
      </c>
      <c r="L52" s="212">
        <v>107000</v>
      </c>
      <c r="M52" s="212">
        <v>901</v>
      </c>
      <c r="N52" s="212">
        <v>570</v>
      </c>
      <c r="Q52" s="213">
        <v>11</v>
      </c>
      <c r="R52" s="214" t="s">
        <v>53</v>
      </c>
      <c r="S52" s="212">
        <v>0</v>
      </c>
      <c r="T52" s="212">
        <f t="shared" si="16"/>
        <v>46926</v>
      </c>
      <c r="U52" s="212">
        <f t="shared" si="15"/>
        <v>11000</v>
      </c>
      <c r="V52" s="212">
        <f t="shared" si="15"/>
        <v>10179</v>
      </c>
      <c r="W52" s="212">
        <f t="shared" si="15"/>
        <v>21320</v>
      </c>
      <c r="X52" s="212">
        <f t="shared" si="15"/>
        <v>2886</v>
      </c>
      <c r="Y52" s="212">
        <f t="shared" si="15"/>
        <v>6760</v>
      </c>
      <c r="Z52" s="212">
        <f t="shared" si="15"/>
        <v>0</v>
      </c>
      <c r="AA52" s="212">
        <f t="shared" si="15"/>
        <v>76003</v>
      </c>
      <c r="AB52" s="212">
        <f t="shared" si="15"/>
        <v>1236750</v>
      </c>
      <c r="AC52" s="212">
        <f t="shared" si="15"/>
        <v>981</v>
      </c>
      <c r="AD52" s="212">
        <f t="shared" si="15"/>
        <v>1072</v>
      </c>
    </row>
    <row r="53" spans="1:30" ht="13.5">
      <c r="A53" s="213">
        <v>9</v>
      </c>
      <c r="B53" s="214" t="s">
        <v>51</v>
      </c>
      <c r="C53" s="212">
        <v>0</v>
      </c>
      <c r="D53" s="212">
        <v>0</v>
      </c>
      <c r="E53" s="212">
        <v>0</v>
      </c>
      <c r="F53" s="212">
        <v>520</v>
      </c>
      <c r="G53" s="212">
        <v>2080</v>
      </c>
      <c r="H53" s="212">
        <v>403</v>
      </c>
      <c r="I53" s="212">
        <v>1612</v>
      </c>
      <c r="J53" s="212">
        <v>0</v>
      </c>
      <c r="K53" s="212">
        <v>1125</v>
      </c>
      <c r="L53" s="212">
        <v>32000</v>
      </c>
      <c r="M53" s="212">
        <v>90</v>
      </c>
      <c r="N53" s="212">
        <v>15</v>
      </c>
      <c r="Q53" s="213">
        <v>12</v>
      </c>
      <c r="R53" s="214" t="s">
        <v>54</v>
      </c>
      <c r="S53" s="212">
        <v>0</v>
      </c>
      <c r="T53" s="212">
        <f t="shared" si="16"/>
        <v>11088</v>
      </c>
      <c r="U53" s="212">
        <f t="shared" si="15"/>
        <v>0</v>
      </c>
      <c r="V53" s="212">
        <f t="shared" si="15"/>
        <v>9945</v>
      </c>
      <c r="W53" s="212">
        <f t="shared" si="15"/>
        <v>30836</v>
      </c>
      <c r="X53" s="212">
        <f t="shared" si="15"/>
        <v>1196</v>
      </c>
      <c r="Y53" s="212">
        <f t="shared" si="15"/>
        <v>4628</v>
      </c>
      <c r="Z53" s="212">
        <f t="shared" si="15"/>
        <v>0</v>
      </c>
      <c r="AA53" s="212">
        <f t="shared" si="15"/>
        <v>14349</v>
      </c>
      <c r="AB53" s="212">
        <f t="shared" si="15"/>
        <v>0</v>
      </c>
      <c r="AC53" s="212">
        <f t="shared" si="15"/>
        <v>1053</v>
      </c>
      <c r="AD53" s="212">
        <f t="shared" si="15"/>
        <v>2062</v>
      </c>
    </row>
    <row r="54" spans="1:30" ht="13.5">
      <c r="A54" s="213">
        <v>10</v>
      </c>
      <c r="B54" s="214" t="s">
        <v>52</v>
      </c>
      <c r="C54" s="212">
        <v>0</v>
      </c>
      <c r="D54" s="212">
        <v>0</v>
      </c>
      <c r="E54" s="212">
        <v>0</v>
      </c>
      <c r="F54" s="212">
        <v>26</v>
      </c>
      <c r="G54" s="212">
        <v>104</v>
      </c>
      <c r="H54" s="212">
        <v>26</v>
      </c>
      <c r="I54" s="212">
        <v>104</v>
      </c>
      <c r="J54" s="212">
        <v>0</v>
      </c>
      <c r="K54" s="212">
        <v>2432</v>
      </c>
      <c r="L54" s="212">
        <v>16000</v>
      </c>
      <c r="M54" s="212">
        <v>331</v>
      </c>
      <c r="N54" s="212">
        <v>191</v>
      </c>
      <c r="Q54" s="213">
        <v>13</v>
      </c>
      <c r="R54" s="214" t="s">
        <v>55</v>
      </c>
      <c r="S54" s="212">
        <v>0</v>
      </c>
      <c r="T54" s="212">
        <f t="shared" si="16"/>
        <v>16038</v>
      </c>
      <c r="U54" s="212">
        <f t="shared" si="15"/>
        <v>400</v>
      </c>
      <c r="V54" s="212">
        <f t="shared" si="15"/>
        <v>22230</v>
      </c>
      <c r="W54" s="212">
        <f t="shared" si="15"/>
        <v>10140</v>
      </c>
      <c r="X54" s="212">
        <f t="shared" si="15"/>
        <v>572</v>
      </c>
      <c r="Y54" s="212">
        <f t="shared" si="15"/>
        <v>2080</v>
      </c>
      <c r="Z54" s="212">
        <f t="shared" si="15"/>
        <v>0</v>
      </c>
      <c r="AA54" s="212">
        <f>K397+K363+K329+K295+K261+K227+K193+K159+K125+K91+K57+0.1</f>
        <v>34222.1</v>
      </c>
      <c r="AB54" s="212">
        <f t="shared" si="15"/>
        <v>740000</v>
      </c>
      <c r="AC54" s="212">
        <f t="shared" si="15"/>
        <v>319</v>
      </c>
      <c r="AD54" s="212">
        <f t="shared" si="15"/>
        <v>141</v>
      </c>
    </row>
    <row r="55" spans="1:30" ht="13.5">
      <c r="A55" s="213">
        <v>11</v>
      </c>
      <c r="B55" s="214" t="s">
        <v>53</v>
      </c>
      <c r="C55" s="212">
        <v>0</v>
      </c>
      <c r="D55" s="212">
        <v>0</v>
      </c>
      <c r="E55" s="212">
        <v>0</v>
      </c>
      <c r="F55" s="212">
        <v>0</v>
      </c>
      <c r="G55" s="212">
        <v>0</v>
      </c>
      <c r="H55" s="212">
        <v>0</v>
      </c>
      <c r="I55" s="212">
        <v>0</v>
      </c>
      <c r="J55" s="212">
        <v>0</v>
      </c>
      <c r="K55" s="212">
        <v>6844</v>
      </c>
      <c r="L55" s="212">
        <v>103000</v>
      </c>
      <c r="M55" s="212">
        <v>0</v>
      </c>
      <c r="N55" s="212">
        <v>99</v>
      </c>
      <c r="Q55" s="213">
        <v>14</v>
      </c>
      <c r="R55" s="214" t="s">
        <v>56</v>
      </c>
      <c r="S55" s="215">
        <v>0</v>
      </c>
      <c r="T55" s="212">
        <f t="shared" si="16"/>
        <v>7524</v>
      </c>
      <c r="U55" s="212">
        <f t="shared" si="15"/>
        <v>8400</v>
      </c>
      <c r="V55" s="212">
        <f t="shared" si="15"/>
        <v>3289</v>
      </c>
      <c r="W55" s="212">
        <f t="shared" si="15"/>
        <v>5772</v>
      </c>
      <c r="X55" s="212">
        <f t="shared" si="15"/>
        <v>2028</v>
      </c>
      <c r="Y55" s="212">
        <f t="shared" si="15"/>
        <v>7020</v>
      </c>
      <c r="Z55" s="212">
        <f t="shared" si="15"/>
        <v>0</v>
      </c>
      <c r="AA55" s="212">
        <f t="shared" si="15"/>
        <v>20655</v>
      </c>
      <c r="AB55" s="212">
        <f t="shared" si="15"/>
        <v>701700</v>
      </c>
      <c r="AC55" s="212">
        <f t="shared" si="15"/>
        <v>9183</v>
      </c>
      <c r="AD55" s="212">
        <f t="shared" si="15"/>
        <v>111</v>
      </c>
    </row>
    <row r="56" spans="1:30" ht="13.5">
      <c r="A56" s="213">
        <v>12</v>
      </c>
      <c r="B56" s="214" t="s">
        <v>54</v>
      </c>
      <c r="C56" s="212">
        <v>0</v>
      </c>
      <c r="D56" s="212">
        <v>0</v>
      </c>
      <c r="E56" s="212">
        <v>0</v>
      </c>
      <c r="F56" s="212">
        <v>845</v>
      </c>
      <c r="G56" s="212">
        <v>3380</v>
      </c>
      <c r="H56" s="212">
        <v>52</v>
      </c>
      <c r="I56" s="212">
        <v>208</v>
      </c>
      <c r="J56" s="212">
        <v>0</v>
      </c>
      <c r="K56" s="212">
        <v>1322</v>
      </c>
      <c r="L56" s="212">
        <v>0</v>
      </c>
      <c r="M56" s="212">
        <v>74</v>
      </c>
      <c r="N56" s="212">
        <v>190</v>
      </c>
      <c r="Q56" s="216"/>
      <c r="R56" s="217" t="s">
        <v>197</v>
      </c>
      <c r="S56" s="218">
        <f>SUM(S42:S55)</f>
        <v>0</v>
      </c>
      <c r="T56" s="218">
        <f>SUM(T42:T55)</f>
        <v>217800</v>
      </c>
      <c r="U56" s="218">
        <f aca="true" t="shared" si="17" ref="U56:AD56">SUM(U42:U55)</f>
        <v>431800</v>
      </c>
      <c r="V56" s="218">
        <f t="shared" si="17"/>
        <v>125710</v>
      </c>
      <c r="W56" s="218">
        <f t="shared" si="17"/>
        <v>227448</v>
      </c>
      <c r="X56" s="218">
        <f t="shared" si="17"/>
        <v>65728</v>
      </c>
      <c r="Y56" s="218">
        <f t="shared" si="17"/>
        <v>189488</v>
      </c>
      <c r="Z56" s="218">
        <f t="shared" si="17"/>
        <v>0</v>
      </c>
      <c r="AA56" s="218">
        <f t="shared" si="17"/>
        <v>709521.1</v>
      </c>
      <c r="AB56" s="218">
        <f t="shared" si="17"/>
        <v>9985850</v>
      </c>
      <c r="AC56" s="218">
        <f t="shared" si="17"/>
        <v>108339</v>
      </c>
      <c r="AD56" s="218">
        <f t="shared" si="17"/>
        <v>31490</v>
      </c>
    </row>
    <row r="57" spans="1:30" ht="13.5">
      <c r="A57" s="213">
        <v>13</v>
      </c>
      <c r="B57" s="214" t="s">
        <v>55</v>
      </c>
      <c r="C57" s="212">
        <v>0</v>
      </c>
      <c r="D57" s="212">
        <v>0</v>
      </c>
      <c r="E57" s="212">
        <v>0</v>
      </c>
      <c r="F57" s="212">
        <v>221</v>
      </c>
      <c r="G57" s="212">
        <v>884</v>
      </c>
      <c r="H57" s="212">
        <v>39</v>
      </c>
      <c r="I57" s="212">
        <v>156</v>
      </c>
      <c r="J57" s="212">
        <v>0</v>
      </c>
      <c r="K57" s="212">
        <v>3081</v>
      </c>
      <c r="L57" s="212">
        <v>50500</v>
      </c>
      <c r="M57" s="212">
        <v>29</v>
      </c>
      <c r="N57" s="212">
        <v>10</v>
      </c>
      <c r="Q57" s="220"/>
      <c r="R57" s="210" t="s">
        <v>198</v>
      </c>
      <c r="S57" s="221"/>
      <c r="T57" s="221"/>
      <c r="U57" s="221"/>
      <c r="V57" s="221">
        <f>V56+W56</f>
        <v>353158</v>
      </c>
      <c r="W57" s="221"/>
      <c r="X57" s="221">
        <f>X56+Y56</f>
        <v>255216</v>
      </c>
      <c r="Y57" s="221"/>
      <c r="Z57" s="221"/>
      <c r="AA57" s="221"/>
      <c r="AB57" s="221"/>
      <c r="AC57" s="221"/>
      <c r="AD57" s="221"/>
    </row>
    <row r="58" spans="1:30" ht="13.5">
      <c r="A58" s="213">
        <v>14</v>
      </c>
      <c r="B58" s="214" t="s">
        <v>56</v>
      </c>
      <c r="C58" s="215">
        <v>0</v>
      </c>
      <c r="D58" s="212">
        <v>396</v>
      </c>
      <c r="E58" s="212">
        <v>600</v>
      </c>
      <c r="F58" s="212">
        <v>208</v>
      </c>
      <c r="G58" s="212">
        <v>832</v>
      </c>
      <c r="H58" s="212">
        <v>260</v>
      </c>
      <c r="I58" s="212">
        <v>1040</v>
      </c>
      <c r="J58" s="212">
        <v>0</v>
      </c>
      <c r="K58" s="212">
        <v>1851</v>
      </c>
      <c r="L58" s="212">
        <v>66000</v>
      </c>
      <c r="M58" s="212">
        <v>859</v>
      </c>
      <c r="N58" s="212">
        <v>12</v>
      </c>
      <c r="Q58" s="223"/>
      <c r="R58" s="224" t="s">
        <v>197</v>
      </c>
      <c r="S58" s="225">
        <v>0</v>
      </c>
      <c r="T58" s="225">
        <v>5346</v>
      </c>
      <c r="U58" s="225">
        <v>21400</v>
      </c>
      <c r="V58" s="225">
        <v>2366</v>
      </c>
      <c r="W58" s="225">
        <v>9464</v>
      </c>
      <c r="X58" s="225">
        <v>1599</v>
      </c>
      <c r="Y58" s="225">
        <v>6396</v>
      </c>
      <c r="Z58" s="225">
        <v>0</v>
      </c>
      <c r="AA58" s="225">
        <v>68573.1618</v>
      </c>
      <c r="AB58" s="225">
        <v>308500</v>
      </c>
      <c r="AC58" s="225">
        <v>9616.2035</v>
      </c>
      <c r="AD58" s="225">
        <v>2517.6400000000003</v>
      </c>
    </row>
    <row r="59" spans="1:14" ht="13.5">
      <c r="A59" s="216"/>
      <c r="B59" s="217" t="s">
        <v>197</v>
      </c>
      <c r="C59" s="218">
        <f>SUM(C45:C58)</f>
        <v>0</v>
      </c>
      <c r="D59" s="219">
        <f>SUM(D45:D58)</f>
        <v>4950</v>
      </c>
      <c r="E59" s="219">
        <f aca="true" t="shared" si="18" ref="E59:N59">SUM(E45:E58)</f>
        <v>27800</v>
      </c>
      <c r="F59" s="219">
        <f t="shared" si="18"/>
        <v>3406</v>
      </c>
      <c r="G59" s="219">
        <f t="shared" si="18"/>
        <v>13624</v>
      </c>
      <c r="H59" s="219">
        <f t="shared" si="18"/>
        <v>2613</v>
      </c>
      <c r="I59" s="219">
        <f t="shared" si="18"/>
        <v>10452</v>
      </c>
      <c r="J59" s="219">
        <f t="shared" si="18"/>
        <v>0</v>
      </c>
      <c r="K59" s="219">
        <f t="shared" si="18"/>
        <v>63756</v>
      </c>
      <c r="L59" s="219">
        <f t="shared" si="18"/>
        <v>773000</v>
      </c>
      <c r="M59" s="219">
        <f t="shared" si="18"/>
        <v>9717</v>
      </c>
      <c r="N59" s="219">
        <f t="shared" si="18"/>
        <v>2420</v>
      </c>
    </row>
    <row r="60" spans="1:27" ht="13.5">
      <c r="A60" s="220"/>
      <c r="B60" s="210" t="s">
        <v>198</v>
      </c>
      <c r="C60" s="221"/>
      <c r="D60" s="222"/>
      <c r="E60" s="222"/>
      <c r="F60" s="496">
        <f>F59+G59</f>
        <v>17030</v>
      </c>
      <c r="G60" s="497"/>
      <c r="H60" s="498">
        <f>H59+I59</f>
        <v>13065</v>
      </c>
      <c r="I60" s="499"/>
      <c r="J60" s="222"/>
      <c r="K60" s="222"/>
      <c r="L60" s="222"/>
      <c r="M60" s="222"/>
      <c r="N60" s="222"/>
      <c r="T60" s="226"/>
      <c r="U60" s="226"/>
      <c r="AA60" s="183" t="s">
        <v>199</v>
      </c>
    </row>
    <row r="61" spans="1:29" ht="13.5">
      <c r="A61" s="223"/>
      <c r="B61" s="224" t="s">
        <v>200</v>
      </c>
      <c r="C61" s="225">
        <v>0</v>
      </c>
      <c r="D61" s="225">
        <v>108702</v>
      </c>
      <c r="E61" s="225">
        <v>92800</v>
      </c>
      <c r="F61" s="225">
        <v>64857</v>
      </c>
      <c r="G61" s="225">
        <v>15496</v>
      </c>
      <c r="H61" s="225">
        <v>21944</v>
      </c>
      <c r="I61" s="225">
        <v>13104</v>
      </c>
      <c r="J61" s="225">
        <v>0</v>
      </c>
      <c r="K61" s="225">
        <v>66908</v>
      </c>
      <c r="L61" s="225">
        <v>484750</v>
      </c>
      <c r="M61" s="225">
        <v>14888</v>
      </c>
      <c r="N61" s="225">
        <v>2458</v>
      </c>
      <c r="Z61" s="234"/>
      <c r="AA61" s="184" t="s">
        <v>60</v>
      </c>
      <c r="AC61" s="183"/>
    </row>
    <row r="62" spans="26:29" ht="15">
      <c r="Z62" s="235"/>
      <c r="AA62" s="184" t="s">
        <v>61</v>
      </c>
      <c r="AC62" s="227"/>
    </row>
    <row r="63" spans="4:29" ht="15">
      <c r="D63" s="226"/>
      <c r="E63" s="226"/>
      <c r="K63" s="183" t="s">
        <v>199</v>
      </c>
      <c r="Z63" s="235"/>
      <c r="AA63" s="184"/>
      <c r="AC63" s="227"/>
    </row>
    <row r="64" spans="10:29" ht="15">
      <c r="J64" s="234"/>
      <c r="K64" s="184" t="s">
        <v>60</v>
      </c>
      <c r="M64" s="183"/>
      <c r="Z64" s="234"/>
      <c r="AA64" s="184" t="s">
        <v>62</v>
      </c>
      <c r="AC64" s="227"/>
    </row>
    <row r="65" spans="10:29" ht="15">
      <c r="J65" s="235"/>
      <c r="K65" s="184" t="s">
        <v>61</v>
      </c>
      <c r="M65" s="227"/>
      <c r="Z65" s="234"/>
      <c r="AA65" s="184" t="s">
        <v>125</v>
      </c>
      <c r="AC65" s="227"/>
    </row>
    <row r="66" spans="10:13" ht="15">
      <c r="J66" s="235"/>
      <c r="K66" s="184"/>
      <c r="M66" s="227"/>
    </row>
    <row r="67" spans="10:13" ht="15">
      <c r="J67" s="234"/>
      <c r="K67" s="184" t="s">
        <v>62</v>
      </c>
      <c r="M67" s="227"/>
    </row>
    <row r="68" spans="10:13" ht="15">
      <c r="J68" s="234"/>
      <c r="K68" s="184" t="s">
        <v>125</v>
      </c>
      <c r="M68" s="227"/>
    </row>
    <row r="72" spans="1:30" ht="12.75">
      <c r="A72" s="479" t="s">
        <v>181</v>
      </c>
      <c r="B72" s="479"/>
      <c r="C72" s="479"/>
      <c r="D72" s="479"/>
      <c r="E72" s="479"/>
      <c r="F72" s="479"/>
      <c r="G72" s="479"/>
      <c r="H72" s="479"/>
      <c r="I72" s="479"/>
      <c r="J72" s="479"/>
      <c r="K72" s="479"/>
      <c r="L72" s="479"/>
      <c r="M72" s="479"/>
      <c r="N72" s="479"/>
      <c r="Q72" s="479" t="s">
        <v>203</v>
      </c>
      <c r="R72" s="479"/>
      <c r="S72" s="479"/>
      <c r="T72" s="479"/>
      <c r="U72" s="479"/>
      <c r="V72" s="479"/>
      <c r="W72" s="479"/>
      <c r="X72" s="479"/>
      <c r="Y72" s="479"/>
      <c r="Z72" s="479"/>
      <c r="AA72" s="479"/>
      <c r="AB72" s="479"/>
      <c r="AC72" s="479"/>
      <c r="AD72" s="479"/>
    </row>
    <row r="74" spans="1:17" ht="12.75">
      <c r="A74" s="155" t="s">
        <v>182</v>
      </c>
      <c r="Q74" s="155" t="s">
        <v>182</v>
      </c>
    </row>
    <row r="75" spans="1:28" ht="14.25">
      <c r="A75" s="155" t="s">
        <v>188</v>
      </c>
      <c r="K75" s="155" t="s">
        <v>189</v>
      </c>
      <c r="L75" s="236" t="s">
        <v>204</v>
      </c>
      <c r="Q75" s="155" t="s">
        <v>188</v>
      </c>
      <c r="AA75" s="155" t="s">
        <v>189</v>
      </c>
      <c r="AB75" s="236" t="s">
        <v>205</v>
      </c>
    </row>
    <row r="77" spans="1:30" ht="12.75">
      <c r="A77" s="198" t="s">
        <v>183</v>
      </c>
      <c r="B77" s="199"/>
      <c r="C77" s="200" t="s">
        <v>114</v>
      </c>
      <c r="D77" s="201" t="s">
        <v>184</v>
      </c>
      <c r="E77" s="200" t="s">
        <v>113</v>
      </c>
      <c r="F77" s="471" t="s">
        <v>115</v>
      </c>
      <c r="G77" s="472"/>
      <c r="H77" s="471" t="s">
        <v>116</v>
      </c>
      <c r="I77" s="472"/>
      <c r="J77" s="201" t="s">
        <v>117</v>
      </c>
      <c r="K77" s="201" t="s">
        <v>185</v>
      </c>
      <c r="L77" s="201" t="s">
        <v>186</v>
      </c>
      <c r="M77" s="200" t="s">
        <v>121</v>
      </c>
      <c r="N77" s="201" t="s">
        <v>187</v>
      </c>
      <c r="Q77" s="198" t="s">
        <v>183</v>
      </c>
      <c r="R77" s="199"/>
      <c r="S77" s="200" t="s">
        <v>114</v>
      </c>
      <c r="T77" s="201" t="s">
        <v>184</v>
      </c>
      <c r="U77" s="200" t="s">
        <v>113</v>
      </c>
      <c r="V77" s="471" t="s">
        <v>115</v>
      </c>
      <c r="W77" s="472"/>
      <c r="X77" s="471" t="s">
        <v>116</v>
      </c>
      <c r="Y77" s="472"/>
      <c r="Z77" s="201" t="s">
        <v>117</v>
      </c>
      <c r="AA77" s="201" t="s">
        <v>185</v>
      </c>
      <c r="AB77" s="201" t="s">
        <v>186</v>
      </c>
      <c r="AC77" s="200" t="s">
        <v>121</v>
      </c>
      <c r="AD77" s="201" t="s">
        <v>187</v>
      </c>
    </row>
    <row r="78" spans="1:30" ht="12.75">
      <c r="A78" s="203"/>
      <c r="B78" s="204"/>
      <c r="C78" s="205"/>
      <c r="D78" s="206"/>
      <c r="E78" s="205"/>
      <c r="F78" s="207" t="s">
        <v>191</v>
      </c>
      <c r="G78" s="208" t="s">
        <v>192</v>
      </c>
      <c r="H78" s="207" t="s">
        <v>191</v>
      </c>
      <c r="I78" s="208" t="s">
        <v>192</v>
      </c>
      <c r="J78" s="230"/>
      <c r="K78" s="230" t="s">
        <v>193</v>
      </c>
      <c r="L78" s="230"/>
      <c r="M78" s="208"/>
      <c r="N78" s="230" t="s">
        <v>194</v>
      </c>
      <c r="Q78" s="203"/>
      <c r="R78" s="204"/>
      <c r="S78" s="205"/>
      <c r="T78" s="206"/>
      <c r="U78" s="205"/>
      <c r="V78" s="207" t="s">
        <v>191</v>
      </c>
      <c r="W78" s="208" t="s">
        <v>192</v>
      </c>
      <c r="X78" s="207" t="s">
        <v>191</v>
      </c>
      <c r="Y78" s="208" t="s">
        <v>192</v>
      </c>
      <c r="Z78" s="230"/>
      <c r="AA78" s="230" t="s">
        <v>193</v>
      </c>
      <c r="AB78" s="230"/>
      <c r="AC78" s="208"/>
      <c r="AD78" s="230" t="s">
        <v>194</v>
      </c>
    </row>
    <row r="79" spans="1:30" ht="13.5">
      <c r="A79" s="209">
        <v>1</v>
      </c>
      <c r="B79" s="210" t="s">
        <v>43</v>
      </c>
      <c r="C79" s="211"/>
      <c r="D79" s="212">
        <v>4356</v>
      </c>
      <c r="E79" s="212">
        <v>21400</v>
      </c>
      <c r="F79" s="212">
        <v>1183</v>
      </c>
      <c r="G79" s="212">
        <v>4732</v>
      </c>
      <c r="H79" s="212">
        <v>1079</v>
      </c>
      <c r="I79" s="212">
        <v>4316</v>
      </c>
      <c r="J79" s="212">
        <v>0</v>
      </c>
      <c r="K79" s="212">
        <v>1781</v>
      </c>
      <c r="L79" s="212">
        <v>100000</v>
      </c>
      <c r="M79" s="212">
        <v>950</v>
      </c>
      <c r="N79" s="212">
        <v>38</v>
      </c>
      <c r="Q79" s="209">
        <v>1</v>
      </c>
      <c r="R79" s="210" t="s">
        <v>43</v>
      </c>
      <c r="S79" s="211">
        <v>0</v>
      </c>
      <c r="T79" s="212">
        <f>D385+D351+D317+D283+D249+D215+D181+D147+D113+D79+2970</f>
        <v>77814</v>
      </c>
      <c r="U79" s="212">
        <f>E385+E351+E317+E283+E249+E215+E181+E147+E113+E79+15400</f>
        <v>245400</v>
      </c>
      <c r="V79" s="212">
        <f>F385+F351+F317+F283+F249+F215+F181+F147+F113+F79+1027</f>
        <v>30147</v>
      </c>
      <c r="W79" s="212">
        <f>G385+G351+G317+G283+G249+G215+G181+G147+G113+G79+4108</f>
        <v>81848</v>
      </c>
      <c r="X79" s="212">
        <f>H385+H351+H317+H283+H249+H215+H181+H147+H113+H79+988</f>
        <v>21541</v>
      </c>
      <c r="Y79" s="212">
        <f aca="true" t="shared" si="19" ref="Y79:AD79">I385+I351+I317+I283+I249+I215+I181+I147+I113+I79+2970</f>
        <v>65318</v>
      </c>
      <c r="Z79" s="212">
        <f t="shared" si="19"/>
        <v>2970</v>
      </c>
      <c r="AA79" s="212">
        <f t="shared" si="19"/>
        <v>21081</v>
      </c>
      <c r="AB79" s="212">
        <f t="shared" si="19"/>
        <v>1026970</v>
      </c>
      <c r="AC79" s="212">
        <f t="shared" si="19"/>
        <v>11292</v>
      </c>
      <c r="AD79" s="212">
        <f t="shared" si="19"/>
        <v>3350</v>
      </c>
    </row>
    <row r="80" spans="1:30" ht="13.5">
      <c r="A80" s="213">
        <v>2</v>
      </c>
      <c r="B80" s="214" t="s">
        <v>44</v>
      </c>
      <c r="C80" s="212"/>
      <c r="D80" s="212">
        <v>0</v>
      </c>
      <c r="E80" s="212">
        <v>0</v>
      </c>
      <c r="F80" s="212">
        <v>0</v>
      </c>
      <c r="G80" s="212">
        <v>0</v>
      </c>
      <c r="H80" s="212">
        <v>0</v>
      </c>
      <c r="I80" s="212">
        <v>0</v>
      </c>
      <c r="J80" s="212">
        <v>0</v>
      </c>
      <c r="K80" s="212">
        <v>11144</v>
      </c>
      <c r="L80" s="212">
        <v>21000</v>
      </c>
      <c r="M80" s="212">
        <v>1624</v>
      </c>
      <c r="N80" s="212">
        <v>584</v>
      </c>
      <c r="Q80" s="213">
        <v>2</v>
      </c>
      <c r="R80" s="214" t="s">
        <v>44</v>
      </c>
      <c r="S80" s="212">
        <v>0</v>
      </c>
      <c r="T80" s="212">
        <f>D386+D352+D318+D284+D250+D216+D182+D148+D114+D80+0</f>
        <v>16632</v>
      </c>
      <c r="U80" s="212">
        <f aca="true" t="shared" si="20" ref="U80:AD84">E386+E352+E318+E284+E250+E216+E182+E148+E114+E80+0</f>
        <v>18800</v>
      </c>
      <c r="V80" s="212">
        <f t="shared" si="20"/>
        <v>3692</v>
      </c>
      <c r="W80" s="212">
        <f t="shared" si="20"/>
        <v>7384</v>
      </c>
      <c r="X80" s="212">
        <f t="shared" si="20"/>
        <v>8840</v>
      </c>
      <c r="Y80" s="212">
        <f t="shared" si="20"/>
        <v>17680</v>
      </c>
      <c r="Z80" s="212">
        <f t="shared" si="20"/>
        <v>0</v>
      </c>
      <c r="AA80" s="212">
        <f t="shared" si="20"/>
        <v>111099</v>
      </c>
      <c r="AB80" s="212">
        <f t="shared" si="20"/>
        <v>225000</v>
      </c>
      <c r="AC80" s="212">
        <f t="shared" si="20"/>
        <v>15990</v>
      </c>
      <c r="AD80" s="212">
        <f t="shared" si="20"/>
        <v>5741</v>
      </c>
    </row>
    <row r="81" spans="1:30" ht="13.5">
      <c r="A81" s="213">
        <v>3</v>
      </c>
      <c r="B81" s="214" t="s">
        <v>45</v>
      </c>
      <c r="C81" s="212"/>
      <c r="D81" s="212">
        <v>0</v>
      </c>
      <c r="E81" s="212">
        <v>400</v>
      </c>
      <c r="F81" s="212">
        <v>182</v>
      </c>
      <c r="G81" s="212">
        <v>728</v>
      </c>
      <c r="H81" s="212">
        <v>221</v>
      </c>
      <c r="I81" s="212">
        <v>884</v>
      </c>
      <c r="J81" s="212">
        <v>0</v>
      </c>
      <c r="K81" s="212">
        <v>11030</v>
      </c>
      <c r="L81" s="212">
        <v>64800</v>
      </c>
      <c r="M81" s="212">
        <v>1968</v>
      </c>
      <c r="N81" s="212">
        <v>72</v>
      </c>
      <c r="Q81" s="213">
        <v>3</v>
      </c>
      <c r="R81" s="214" t="s">
        <v>45</v>
      </c>
      <c r="S81" s="212">
        <v>0</v>
      </c>
      <c r="T81" s="212">
        <f>D387+D353+D319+D285+D251+D217+D183+D149+D115+D81+0</f>
        <v>990</v>
      </c>
      <c r="U81" s="212">
        <f t="shared" si="20"/>
        <v>8000</v>
      </c>
      <c r="V81" s="212">
        <f t="shared" si="20"/>
        <v>3445</v>
      </c>
      <c r="W81" s="212">
        <f t="shared" si="20"/>
        <v>5824</v>
      </c>
      <c r="X81" s="212">
        <f t="shared" si="20"/>
        <v>3302</v>
      </c>
      <c r="Y81" s="212">
        <f t="shared" si="20"/>
        <v>7956</v>
      </c>
      <c r="Z81" s="212">
        <f t="shared" si="20"/>
        <v>0</v>
      </c>
      <c r="AA81" s="212">
        <f t="shared" si="20"/>
        <v>110597</v>
      </c>
      <c r="AB81" s="212">
        <f t="shared" si="20"/>
        <v>880400</v>
      </c>
      <c r="AC81" s="212">
        <f t="shared" si="20"/>
        <v>20115</v>
      </c>
      <c r="AD81" s="212">
        <f t="shared" si="20"/>
        <v>720</v>
      </c>
    </row>
    <row r="82" spans="1:30" ht="13.5">
      <c r="A82" s="213">
        <v>4</v>
      </c>
      <c r="B82" s="214" t="s">
        <v>46</v>
      </c>
      <c r="C82" s="212"/>
      <c r="D82" s="212">
        <v>0</v>
      </c>
      <c r="E82" s="212">
        <v>0</v>
      </c>
      <c r="F82" s="212">
        <v>0</v>
      </c>
      <c r="G82" s="212">
        <v>0</v>
      </c>
      <c r="H82" s="212">
        <v>0</v>
      </c>
      <c r="I82" s="212">
        <v>0</v>
      </c>
      <c r="J82" s="212">
        <v>0</v>
      </c>
      <c r="K82" s="212">
        <v>9132</v>
      </c>
      <c r="L82" s="212">
        <v>113000</v>
      </c>
      <c r="M82" s="212">
        <v>301</v>
      </c>
      <c r="N82" s="212">
        <v>6</v>
      </c>
      <c r="Q82" s="213">
        <v>4</v>
      </c>
      <c r="R82" s="214" t="s">
        <v>46</v>
      </c>
      <c r="S82" s="212">
        <v>0</v>
      </c>
      <c r="T82" s="212">
        <f>D388+D354+D320+D286+D252+D218+D184+D150+D116+D82+0</f>
        <v>10692</v>
      </c>
      <c r="U82" s="212">
        <f t="shared" si="20"/>
        <v>14520</v>
      </c>
      <c r="V82" s="212">
        <f t="shared" si="20"/>
        <v>8268</v>
      </c>
      <c r="W82" s="212">
        <f t="shared" si="20"/>
        <v>16536</v>
      </c>
      <c r="X82" s="212">
        <f t="shared" si="20"/>
        <v>5356</v>
      </c>
      <c r="Y82" s="212">
        <f t="shared" si="20"/>
        <v>10712</v>
      </c>
      <c r="Z82" s="212">
        <f t="shared" si="20"/>
        <v>0</v>
      </c>
      <c r="AA82" s="212">
        <f t="shared" si="20"/>
        <v>89533</v>
      </c>
      <c r="AB82" s="212">
        <f t="shared" si="20"/>
        <v>985500</v>
      </c>
      <c r="AC82" s="212">
        <f t="shared" si="20"/>
        <v>3014</v>
      </c>
      <c r="AD82" s="212">
        <f t="shared" si="20"/>
        <v>70</v>
      </c>
    </row>
    <row r="83" spans="1:30" ht="13.5">
      <c r="A83" s="213">
        <v>5</v>
      </c>
      <c r="B83" s="214" t="s">
        <v>47</v>
      </c>
      <c r="C83" s="212"/>
      <c r="D83" s="212">
        <v>0</v>
      </c>
      <c r="E83" s="212">
        <v>0</v>
      </c>
      <c r="F83" s="212">
        <v>91</v>
      </c>
      <c r="G83" s="212">
        <v>364</v>
      </c>
      <c r="H83" s="212">
        <v>286</v>
      </c>
      <c r="I83" s="212">
        <v>1144</v>
      </c>
      <c r="J83" s="212">
        <v>0</v>
      </c>
      <c r="K83" s="212">
        <v>6826</v>
      </c>
      <c r="L83" s="212">
        <v>0</v>
      </c>
      <c r="M83" s="212">
        <v>2386</v>
      </c>
      <c r="N83" s="212">
        <v>59</v>
      </c>
      <c r="Q83" s="213">
        <v>5</v>
      </c>
      <c r="R83" s="214" t="s">
        <v>47</v>
      </c>
      <c r="S83" s="212">
        <v>0</v>
      </c>
      <c r="T83" s="212">
        <f>D389+D355+D321+D287+D253+D219+D185+D151+D117+D83+0</f>
        <v>6732</v>
      </c>
      <c r="U83" s="212">
        <f t="shared" si="20"/>
        <v>6000</v>
      </c>
      <c r="V83" s="212">
        <f>F389+F355+F321+F287+F253+F219+F185+F151+F117+F83+156</f>
        <v>4875</v>
      </c>
      <c r="W83" s="212">
        <f>G389+G355+G321+G287+G253+G219+G185+G151+G117+G83+624</f>
        <v>5616</v>
      </c>
      <c r="X83" s="212">
        <f>H389+H355+H321+H287+H253+H219+H185+H151+H117+H83+117</f>
        <v>3822</v>
      </c>
      <c r="Y83" s="212">
        <f t="shared" si="20"/>
        <v>10192</v>
      </c>
      <c r="Z83" s="212">
        <f t="shared" si="20"/>
        <v>0</v>
      </c>
      <c r="AA83" s="212">
        <f t="shared" si="20"/>
        <v>70598</v>
      </c>
      <c r="AB83" s="212">
        <f t="shared" si="20"/>
        <v>0</v>
      </c>
      <c r="AC83" s="212">
        <f t="shared" si="20"/>
        <v>25015</v>
      </c>
      <c r="AD83" s="212">
        <f t="shared" si="20"/>
        <v>588</v>
      </c>
    </row>
    <row r="84" spans="1:30" ht="13.5">
      <c r="A84" s="213">
        <v>6</v>
      </c>
      <c r="B84" s="214" t="s">
        <v>48</v>
      </c>
      <c r="C84" s="212"/>
      <c r="D84" s="212">
        <v>198</v>
      </c>
      <c r="E84" s="212">
        <v>200</v>
      </c>
      <c r="F84" s="212">
        <v>0</v>
      </c>
      <c r="G84" s="212">
        <v>0</v>
      </c>
      <c r="H84" s="212">
        <v>0</v>
      </c>
      <c r="I84" s="212">
        <v>0</v>
      </c>
      <c r="J84" s="212">
        <v>0</v>
      </c>
      <c r="K84" s="212">
        <v>3037</v>
      </c>
      <c r="L84" s="212">
        <v>151500</v>
      </c>
      <c r="M84" s="212">
        <v>91</v>
      </c>
      <c r="N84" s="212">
        <v>14</v>
      </c>
      <c r="Q84" s="213">
        <v>6</v>
      </c>
      <c r="R84" s="214" t="s">
        <v>48</v>
      </c>
      <c r="S84" s="212">
        <v>0</v>
      </c>
      <c r="T84" s="212">
        <f>D390+D356+D322+D288+D254+D220+D186+D152+D118+D84+0</f>
        <v>4950</v>
      </c>
      <c r="U84" s="212">
        <f t="shared" si="20"/>
        <v>15400</v>
      </c>
      <c r="V84" s="212">
        <f t="shared" si="20"/>
        <v>5603</v>
      </c>
      <c r="W84" s="212">
        <f t="shared" si="20"/>
        <v>0</v>
      </c>
      <c r="X84" s="212">
        <f t="shared" si="20"/>
        <v>0</v>
      </c>
      <c r="Y84" s="212">
        <f t="shared" si="20"/>
        <v>0</v>
      </c>
      <c r="Z84" s="212">
        <f t="shared" si="20"/>
        <v>0</v>
      </c>
      <c r="AA84" s="212">
        <f t="shared" si="20"/>
        <v>30962</v>
      </c>
      <c r="AB84" s="212">
        <f t="shared" si="20"/>
        <v>1921500</v>
      </c>
      <c r="AC84" s="212">
        <f t="shared" si="20"/>
        <v>1219</v>
      </c>
      <c r="AD84" s="212">
        <f t="shared" si="20"/>
        <v>223</v>
      </c>
    </row>
    <row r="85" spans="1:30" ht="13.5">
      <c r="A85" s="213">
        <v>7</v>
      </c>
      <c r="B85" s="214" t="s">
        <v>49</v>
      </c>
      <c r="C85" s="212"/>
      <c r="D85" s="212">
        <v>0</v>
      </c>
      <c r="E85" s="212">
        <v>3400</v>
      </c>
      <c r="F85" s="212">
        <v>52</v>
      </c>
      <c r="G85" s="212">
        <v>208</v>
      </c>
      <c r="H85" s="212">
        <v>156</v>
      </c>
      <c r="I85" s="212">
        <v>624</v>
      </c>
      <c r="J85" s="212">
        <v>0</v>
      </c>
      <c r="K85" s="212">
        <v>2337</v>
      </c>
      <c r="L85" s="212">
        <v>3000</v>
      </c>
      <c r="M85" s="212">
        <v>125</v>
      </c>
      <c r="N85" s="212">
        <v>560</v>
      </c>
      <c r="Q85" s="213">
        <v>7</v>
      </c>
      <c r="R85" s="214" t="s">
        <v>49</v>
      </c>
      <c r="S85" s="212">
        <v>0</v>
      </c>
      <c r="T85" s="212">
        <f>D391+D357+D323+D289+D255+D221+D187+D153+D119+D85+198</f>
        <v>2574</v>
      </c>
      <c r="U85" s="212">
        <f>E391+E357+E323+E289+E255+E221+E187+E153+E119+E85+2600</f>
        <v>54720</v>
      </c>
      <c r="V85" s="212">
        <f>F391+F357+F323+F289+F255+F221+F187+F153+F119+F85+91</f>
        <v>5785</v>
      </c>
      <c r="W85" s="212">
        <f>G391+G357+G323+G289+G255+G221+G187+G153+G119+G85+364</f>
        <v>8424</v>
      </c>
      <c r="X85" s="212">
        <f>H391+H357+H323+H289+H255+H221+H187+H153+H119+H85+182</f>
        <v>5863</v>
      </c>
      <c r="Y85" s="212">
        <f aca="true" t="shared" si="21" ref="Y85:AD85">I391+I357+I323+I289+I255+I221+I187+I153+I119+I85+198</f>
        <v>22922</v>
      </c>
      <c r="Z85" s="212">
        <f t="shared" si="21"/>
        <v>198</v>
      </c>
      <c r="AA85" s="212">
        <f t="shared" si="21"/>
        <v>23578</v>
      </c>
      <c r="AB85" s="212">
        <f t="shared" si="21"/>
        <v>30198</v>
      </c>
      <c r="AC85" s="212">
        <f t="shared" si="21"/>
        <v>1453</v>
      </c>
      <c r="AD85" s="212">
        <f t="shared" si="21"/>
        <v>10590</v>
      </c>
    </row>
    <row r="86" spans="1:30" ht="13.5">
      <c r="A86" s="213">
        <v>8</v>
      </c>
      <c r="B86" s="214" t="s">
        <v>50</v>
      </c>
      <c r="C86" s="212"/>
      <c r="D86" s="212">
        <v>0</v>
      </c>
      <c r="E86" s="212">
        <v>1600</v>
      </c>
      <c r="F86" s="212">
        <v>0</v>
      </c>
      <c r="G86" s="212">
        <v>0</v>
      </c>
      <c r="H86" s="212">
        <v>0</v>
      </c>
      <c r="I86" s="212">
        <v>0</v>
      </c>
      <c r="J86" s="212">
        <v>0</v>
      </c>
      <c r="K86" s="212">
        <v>1926</v>
      </c>
      <c r="L86" s="212">
        <v>116000</v>
      </c>
      <c r="M86" s="212">
        <v>901</v>
      </c>
      <c r="N86" s="212">
        <v>581</v>
      </c>
      <c r="Q86" s="213">
        <v>8</v>
      </c>
      <c r="R86" s="214" t="s">
        <v>50</v>
      </c>
      <c r="S86" s="212">
        <v>0</v>
      </c>
      <c r="T86" s="212">
        <f aca="true" t="shared" si="22" ref="T86:T92">D392+D358+D324+D290+D256+D222+D188+D154+D120+D86+0</f>
        <v>4752</v>
      </c>
      <c r="U86" s="212">
        <f aca="true" t="shared" si="23" ref="U86:AD92">E392+E358+E324+E290+E256+E222+E188+E154+E120+E86+0</f>
        <v>35200</v>
      </c>
      <c r="V86" s="212">
        <f t="shared" si="23"/>
        <v>6357</v>
      </c>
      <c r="W86" s="212">
        <f t="shared" si="23"/>
        <v>0</v>
      </c>
      <c r="X86" s="212">
        <f t="shared" si="23"/>
        <v>0</v>
      </c>
      <c r="Y86" s="212">
        <f t="shared" si="23"/>
        <v>0</v>
      </c>
      <c r="Z86" s="212">
        <f t="shared" si="23"/>
        <v>0</v>
      </c>
      <c r="AA86" s="212">
        <f t="shared" si="23"/>
        <v>19625</v>
      </c>
      <c r="AB86" s="212">
        <f t="shared" si="23"/>
        <v>1157500</v>
      </c>
      <c r="AC86" s="212">
        <f t="shared" si="23"/>
        <v>8846</v>
      </c>
      <c r="AD86" s="212">
        <f t="shared" si="23"/>
        <v>5813</v>
      </c>
    </row>
    <row r="87" spans="1:30" ht="13.5">
      <c r="A87" s="213">
        <v>9</v>
      </c>
      <c r="B87" s="214" t="s">
        <v>51</v>
      </c>
      <c r="C87" s="212"/>
      <c r="D87" s="212">
        <v>0</v>
      </c>
      <c r="E87" s="212">
        <v>0</v>
      </c>
      <c r="F87" s="212">
        <v>507</v>
      </c>
      <c r="G87" s="212">
        <v>2028</v>
      </c>
      <c r="H87" s="212">
        <v>364</v>
      </c>
      <c r="I87" s="212">
        <v>1456</v>
      </c>
      <c r="J87" s="212">
        <v>0</v>
      </c>
      <c r="K87" s="212">
        <v>1125</v>
      </c>
      <c r="L87" s="212">
        <v>32000</v>
      </c>
      <c r="M87" s="212">
        <v>90</v>
      </c>
      <c r="N87" s="212">
        <v>15</v>
      </c>
      <c r="Q87" s="213">
        <v>9</v>
      </c>
      <c r="R87" s="214" t="s">
        <v>51</v>
      </c>
      <c r="S87" s="212">
        <v>0</v>
      </c>
      <c r="T87" s="212">
        <f t="shared" si="22"/>
        <v>7326</v>
      </c>
      <c r="U87" s="212">
        <f t="shared" si="23"/>
        <v>4160</v>
      </c>
      <c r="V87" s="212">
        <f>F393+F359+F325+F291+F257+F223+F189+F155+F121+F87+260</f>
        <v>10244</v>
      </c>
      <c r="W87" s="212">
        <f>G393+G359+G325+G291+G257+G223+G189+G155+G121+G87+1040</f>
        <v>30420</v>
      </c>
      <c r="X87" s="212">
        <f>H393+H359+H325+H291+H257+H223+H189+H155+H121+H87+455</f>
        <v>8801</v>
      </c>
      <c r="Y87" s="212">
        <f t="shared" si="23"/>
        <v>27092</v>
      </c>
      <c r="Z87" s="212">
        <f t="shared" si="23"/>
        <v>0</v>
      </c>
      <c r="AA87" s="212">
        <f t="shared" si="23"/>
        <v>15242</v>
      </c>
      <c r="AB87" s="212">
        <f t="shared" si="23"/>
        <v>320000</v>
      </c>
      <c r="AC87" s="212">
        <f t="shared" si="23"/>
        <v>900</v>
      </c>
      <c r="AD87" s="212">
        <f t="shared" si="23"/>
        <v>139</v>
      </c>
    </row>
    <row r="88" spans="1:30" ht="13.5">
      <c r="A88" s="213">
        <v>10</v>
      </c>
      <c r="B88" s="214" t="s">
        <v>52</v>
      </c>
      <c r="C88" s="212"/>
      <c r="D88" s="212">
        <v>0</v>
      </c>
      <c r="E88" s="212">
        <v>0</v>
      </c>
      <c r="F88" s="212">
        <v>13</v>
      </c>
      <c r="G88" s="212">
        <v>52</v>
      </c>
      <c r="H88" s="212">
        <v>26</v>
      </c>
      <c r="I88" s="212">
        <v>104</v>
      </c>
      <c r="J88" s="212">
        <v>0</v>
      </c>
      <c r="K88" s="212">
        <v>2438</v>
      </c>
      <c r="L88" s="212">
        <v>16000</v>
      </c>
      <c r="M88" s="212">
        <v>348</v>
      </c>
      <c r="N88" s="212">
        <v>192</v>
      </c>
      <c r="Q88" s="213">
        <v>10</v>
      </c>
      <c r="R88" s="214" t="s">
        <v>52</v>
      </c>
      <c r="S88" s="212">
        <v>0</v>
      </c>
      <c r="T88" s="212">
        <f t="shared" si="22"/>
        <v>2376</v>
      </c>
      <c r="U88" s="212">
        <f t="shared" si="23"/>
        <v>600</v>
      </c>
      <c r="V88" s="212">
        <f t="shared" si="23"/>
        <v>1053</v>
      </c>
      <c r="W88" s="212">
        <f t="shared" si="23"/>
        <v>936</v>
      </c>
      <c r="X88" s="212">
        <f t="shared" si="23"/>
        <v>1001</v>
      </c>
      <c r="Y88" s="212">
        <f t="shared" si="23"/>
        <v>1248</v>
      </c>
      <c r="Z88" s="212">
        <f t="shared" si="23"/>
        <v>0</v>
      </c>
      <c r="AA88" s="212">
        <f t="shared" si="23"/>
        <v>24487</v>
      </c>
      <c r="AB88" s="212">
        <f t="shared" si="23"/>
        <v>210000</v>
      </c>
      <c r="AC88" s="212">
        <f t="shared" si="23"/>
        <v>3372</v>
      </c>
      <c r="AD88" s="212">
        <f t="shared" si="23"/>
        <v>1929</v>
      </c>
    </row>
    <row r="89" spans="1:30" ht="13.5">
      <c r="A89" s="213">
        <v>11</v>
      </c>
      <c r="B89" s="214" t="s">
        <v>53</v>
      </c>
      <c r="C89" s="212"/>
      <c r="D89" s="212">
        <v>0</v>
      </c>
      <c r="E89" s="212">
        <v>0</v>
      </c>
      <c r="F89" s="212">
        <v>0</v>
      </c>
      <c r="G89" s="212">
        <v>0</v>
      </c>
      <c r="H89" s="212">
        <v>0</v>
      </c>
      <c r="I89" s="212">
        <v>0</v>
      </c>
      <c r="J89" s="212">
        <v>0</v>
      </c>
      <c r="K89" s="212">
        <v>6844</v>
      </c>
      <c r="L89" s="212">
        <v>103000</v>
      </c>
      <c r="M89" s="212">
        <v>0</v>
      </c>
      <c r="N89" s="212">
        <v>99</v>
      </c>
      <c r="Q89" s="213">
        <v>11</v>
      </c>
      <c r="R89" s="214" t="s">
        <v>53</v>
      </c>
      <c r="S89" s="212">
        <v>0</v>
      </c>
      <c r="T89" s="212">
        <f t="shared" si="22"/>
        <v>46926</v>
      </c>
      <c r="U89" s="212">
        <f t="shared" si="23"/>
        <v>11000</v>
      </c>
      <c r="V89" s="212">
        <f>F395+F361+F327+F293+F259+F225+F191+F157+F123+F89+312</f>
        <v>10491</v>
      </c>
      <c r="W89" s="212">
        <f>G395+G361+G327+G293+G259+G225+G191+G157+G123+G89+1248</f>
        <v>22568</v>
      </c>
      <c r="X89" s="212">
        <f>H395+H361+H327+H293+H259+H225+H191+H157+H123+H89+286</f>
        <v>3172</v>
      </c>
      <c r="Y89" s="212">
        <f t="shared" si="23"/>
        <v>6760</v>
      </c>
      <c r="Z89" s="212">
        <f t="shared" si="23"/>
        <v>0</v>
      </c>
      <c r="AA89" s="212">
        <f t="shared" si="23"/>
        <v>69159</v>
      </c>
      <c r="AB89" s="212">
        <f t="shared" si="23"/>
        <v>1133750</v>
      </c>
      <c r="AC89" s="212">
        <f t="shared" si="23"/>
        <v>981</v>
      </c>
      <c r="AD89" s="212">
        <f t="shared" si="23"/>
        <v>973</v>
      </c>
    </row>
    <row r="90" spans="1:30" ht="13.5">
      <c r="A90" s="213">
        <v>12</v>
      </c>
      <c r="B90" s="214" t="s">
        <v>54</v>
      </c>
      <c r="C90" s="212"/>
      <c r="D90" s="212">
        <v>0</v>
      </c>
      <c r="E90" s="212">
        <v>0</v>
      </c>
      <c r="F90" s="212">
        <v>676</v>
      </c>
      <c r="G90" s="212">
        <v>2704</v>
      </c>
      <c r="H90" s="212">
        <v>52</v>
      </c>
      <c r="I90" s="212">
        <v>208</v>
      </c>
      <c r="J90" s="212">
        <v>0</v>
      </c>
      <c r="K90" s="212">
        <v>1324</v>
      </c>
      <c r="L90" s="212">
        <v>0</v>
      </c>
      <c r="M90" s="212">
        <v>74</v>
      </c>
      <c r="N90" s="212">
        <v>190</v>
      </c>
      <c r="Q90" s="213">
        <v>12</v>
      </c>
      <c r="R90" s="214" t="s">
        <v>54</v>
      </c>
      <c r="S90" s="212">
        <v>0</v>
      </c>
      <c r="T90" s="212">
        <f t="shared" si="22"/>
        <v>11088</v>
      </c>
      <c r="U90" s="212">
        <f t="shared" si="23"/>
        <v>0</v>
      </c>
      <c r="V90" s="212">
        <f>F396+F362+F328+F294+F260+F226+F192+F158+F124+F90+832</f>
        <v>9932</v>
      </c>
      <c r="W90" s="212">
        <f>G396+G362+G328+G294+G260+G226+G192+G158+G124+G90+3328</f>
        <v>30784</v>
      </c>
      <c r="X90" s="212">
        <f>H396+H362+H328+H294+H260+H226+H192+H158+H124+H90+78</f>
        <v>1222</v>
      </c>
      <c r="Y90" s="212">
        <f t="shared" si="23"/>
        <v>4420</v>
      </c>
      <c r="Z90" s="212">
        <f t="shared" si="23"/>
        <v>0</v>
      </c>
      <c r="AA90" s="212">
        <f t="shared" si="23"/>
        <v>13027</v>
      </c>
      <c r="AB90" s="212">
        <f t="shared" si="23"/>
        <v>0</v>
      </c>
      <c r="AC90" s="212">
        <f t="shared" si="23"/>
        <v>979</v>
      </c>
      <c r="AD90" s="212">
        <f t="shared" si="23"/>
        <v>1872</v>
      </c>
    </row>
    <row r="91" spans="1:30" ht="13.5">
      <c r="A91" s="213">
        <v>13</v>
      </c>
      <c r="B91" s="214" t="s">
        <v>55</v>
      </c>
      <c r="C91" s="212"/>
      <c r="D91" s="212">
        <v>0</v>
      </c>
      <c r="E91" s="212">
        <v>0</v>
      </c>
      <c r="F91" s="212">
        <v>247</v>
      </c>
      <c r="G91" s="212">
        <v>988</v>
      </c>
      <c r="H91" s="212">
        <v>26</v>
      </c>
      <c r="I91" s="212">
        <v>104</v>
      </c>
      <c r="J91" s="212">
        <v>0</v>
      </c>
      <c r="K91" s="212">
        <v>3081</v>
      </c>
      <c r="L91" s="212">
        <v>50500</v>
      </c>
      <c r="M91" s="212">
        <v>29</v>
      </c>
      <c r="N91" s="212">
        <v>10</v>
      </c>
      <c r="Q91" s="213">
        <v>13</v>
      </c>
      <c r="R91" s="214" t="s">
        <v>55</v>
      </c>
      <c r="S91" s="212">
        <v>0</v>
      </c>
      <c r="T91" s="212">
        <f t="shared" si="22"/>
        <v>16038</v>
      </c>
      <c r="U91" s="212">
        <f t="shared" si="23"/>
        <v>400</v>
      </c>
      <c r="V91" s="212">
        <f>F397+F363+F329+F295+F261+F227+F193+F159+F125+F91+273</f>
        <v>22282</v>
      </c>
      <c r="W91" s="212">
        <f>G397+G363+G329+G295+G261+G227+G193+G159+G125+G91+1092</f>
        <v>10348</v>
      </c>
      <c r="X91" s="212">
        <f>H397+H363+H329+H295+H261+H227+H193+H159+H125+H91+26</f>
        <v>559</v>
      </c>
      <c r="Y91" s="212">
        <f t="shared" si="23"/>
        <v>1924</v>
      </c>
      <c r="Z91" s="212">
        <f t="shared" si="23"/>
        <v>0</v>
      </c>
      <c r="AA91" s="212">
        <f t="shared" si="23"/>
        <v>31141</v>
      </c>
      <c r="AB91" s="212">
        <f t="shared" si="23"/>
        <v>689500</v>
      </c>
      <c r="AC91" s="212">
        <f t="shared" si="23"/>
        <v>290</v>
      </c>
      <c r="AD91" s="212">
        <f t="shared" si="23"/>
        <v>131</v>
      </c>
    </row>
    <row r="92" spans="1:30" ht="13.5">
      <c r="A92" s="213">
        <v>14</v>
      </c>
      <c r="B92" s="214" t="s">
        <v>56</v>
      </c>
      <c r="C92" s="215"/>
      <c r="D92" s="212">
        <v>396</v>
      </c>
      <c r="E92" s="212">
        <v>200</v>
      </c>
      <c r="F92" s="212">
        <v>208</v>
      </c>
      <c r="G92" s="212">
        <v>832</v>
      </c>
      <c r="H92" s="212">
        <v>182</v>
      </c>
      <c r="I92" s="212">
        <v>728</v>
      </c>
      <c r="J92" s="212">
        <v>0</v>
      </c>
      <c r="K92" s="212">
        <v>1874</v>
      </c>
      <c r="L92" s="212">
        <v>66000</v>
      </c>
      <c r="M92" s="212">
        <v>838</v>
      </c>
      <c r="N92" s="212">
        <v>12</v>
      </c>
      <c r="Q92" s="213">
        <v>14</v>
      </c>
      <c r="R92" s="214" t="s">
        <v>56</v>
      </c>
      <c r="S92" s="215">
        <v>0</v>
      </c>
      <c r="T92" s="212">
        <f t="shared" si="22"/>
        <v>7128</v>
      </c>
      <c r="U92" s="212">
        <f>E398+E364+E330+E296+E262+E228+E194+E160+E126+E92+400</f>
        <v>8200</v>
      </c>
      <c r="V92" s="212">
        <f>F398+F364+F330+F296+F262+F228+F194+F160+F126+F92+91</f>
        <v>3172</v>
      </c>
      <c r="W92" s="212">
        <f>G398+G364+G330+G296+G262+G228+G194+G160+G126+G92+364</f>
        <v>5304</v>
      </c>
      <c r="X92" s="212">
        <f>H398+H364+H330+H296+H262+H228+H194+H160+H126+H92+65</f>
        <v>1833</v>
      </c>
      <c r="Y92" s="212">
        <f t="shared" si="23"/>
        <v>5980</v>
      </c>
      <c r="Z92" s="212">
        <f t="shared" si="23"/>
        <v>0</v>
      </c>
      <c r="AA92" s="212">
        <f t="shared" si="23"/>
        <v>18804</v>
      </c>
      <c r="AB92" s="212">
        <f t="shared" si="23"/>
        <v>635700</v>
      </c>
      <c r="AC92" s="212">
        <f t="shared" si="23"/>
        <v>8324</v>
      </c>
      <c r="AD92" s="212">
        <f t="shared" si="23"/>
        <v>99</v>
      </c>
    </row>
    <row r="93" spans="1:30" ht="13.5">
      <c r="A93" s="216"/>
      <c r="B93" s="217" t="s">
        <v>197</v>
      </c>
      <c r="C93" s="218">
        <f>SUM(C79:C92)</f>
        <v>0</v>
      </c>
      <c r="D93" s="219">
        <f>SUM(D79:D92)</f>
        <v>4950</v>
      </c>
      <c r="E93" s="219">
        <f aca="true" t="shared" si="24" ref="E93:N93">SUM(E79:E92)</f>
        <v>27200</v>
      </c>
      <c r="F93" s="219">
        <f t="shared" si="24"/>
        <v>3159</v>
      </c>
      <c r="G93" s="219">
        <f t="shared" si="24"/>
        <v>12636</v>
      </c>
      <c r="H93" s="219">
        <f t="shared" si="24"/>
        <v>2392</v>
      </c>
      <c r="I93" s="219">
        <f t="shared" si="24"/>
        <v>9568</v>
      </c>
      <c r="J93" s="219">
        <f t="shared" si="24"/>
        <v>0</v>
      </c>
      <c r="K93" s="219">
        <f t="shared" si="24"/>
        <v>63899</v>
      </c>
      <c r="L93" s="219">
        <f t="shared" si="24"/>
        <v>836800</v>
      </c>
      <c r="M93" s="219">
        <f t="shared" si="24"/>
        <v>9725</v>
      </c>
      <c r="N93" s="219">
        <f t="shared" si="24"/>
        <v>2432</v>
      </c>
      <c r="Q93" s="216"/>
      <c r="R93" s="217" t="s">
        <v>197</v>
      </c>
      <c r="S93" s="218">
        <f aca="true" t="shared" si="25" ref="S93:AD93">SUM(S79:S92)</f>
        <v>0</v>
      </c>
      <c r="T93" s="218">
        <f t="shared" si="25"/>
        <v>216018</v>
      </c>
      <c r="U93" s="218">
        <f t="shared" si="25"/>
        <v>422400</v>
      </c>
      <c r="V93" s="218">
        <f t="shared" si="25"/>
        <v>125346</v>
      </c>
      <c r="W93" s="218">
        <f t="shared" si="25"/>
        <v>225992</v>
      </c>
      <c r="X93" s="218">
        <f t="shared" si="25"/>
        <v>65312</v>
      </c>
      <c r="Y93" s="218">
        <f t="shared" si="25"/>
        <v>182204</v>
      </c>
      <c r="Z93" s="218">
        <f t="shared" si="25"/>
        <v>3168</v>
      </c>
      <c r="AA93" s="218">
        <f t="shared" si="25"/>
        <v>648933</v>
      </c>
      <c r="AB93" s="218">
        <f t="shared" si="25"/>
        <v>9216018</v>
      </c>
      <c r="AC93" s="218">
        <f t="shared" si="25"/>
        <v>101790</v>
      </c>
      <c r="AD93" s="218">
        <f t="shared" si="25"/>
        <v>32238</v>
      </c>
    </row>
    <row r="94" spans="1:30" ht="13.5">
      <c r="A94" s="220"/>
      <c r="B94" s="210" t="s">
        <v>198</v>
      </c>
      <c r="C94" s="221"/>
      <c r="D94" s="222"/>
      <c r="E94" s="222"/>
      <c r="F94" s="496">
        <f>F93+G93</f>
        <v>15795</v>
      </c>
      <c r="G94" s="497"/>
      <c r="H94" s="498">
        <f>H93+I93</f>
        <v>11960</v>
      </c>
      <c r="I94" s="499"/>
      <c r="J94" s="222"/>
      <c r="K94" s="222"/>
      <c r="L94" s="222"/>
      <c r="M94" s="222"/>
      <c r="N94" s="222"/>
      <c r="Q94" s="220"/>
      <c r="R94" s="210" t="s">
        <v>198</v>
      </c>
      <c r="S94" s="221"/>
      <c r="T94" s="221"/>
      <c r="U94" s="221"/>
      <c r="V94" s="221">
        <f>V93+W93</f>
        <v>351338</v>
      </c>
      <c r="W94" s="221"/>
      <c r="X94" s="221">
        <f>X93+Y93</f>
        <v>247516</v>
      </c>
      <c r="Y94" s="221"/>
      <c r="Z94" s="221"/>
      <c r="AA94" s="221"/>
      <c r="AB94" s="221"/>
      <c r="AC94" s="221"/>
      <c r="AD94" s="221"/>
    </row>
    <row r="95" spans="1:30" ht="13.5">
      <c r="A95" s="223"/>
      <c r="B95" s="224" t="s">
        <v>197</v>
      </c>
      <c r="C95" s="225">
        <v>0</v>
      </c>
      <c r="D95" s="225">
        <v>5346</v>
      </c>
      <c r="E95" s="225">
        <v>21400</v>
      </c>
      <c r="F95" s="225">
        <v>2366</v>
      </c>
      <c r="G95" s="225">
        <v>9464</v>
      </c>
      <c r="H95" s="225">
        <v>1599</v>
      </c>
      <c r="I95" s="225">
        <v>6396</v>
      </c>
      <c r="J95" s="225">
        <v>0</v>
      </c>
      <c r="K95" s="225">
        <v>68573.1618</v>
      </c>
      <c r="L95" s="225">
        <v>308500</v>
      </c>
      <c r="M95" s="225">
        <v>9616.2035</v>
      </c>
      <c r="N95" s="225">
        <v>2517.6400000000003</v>
      </c>
      <c r="Q95" s="223"/>
      <c r="R95" s="224" t="s">
        <v>197</v>
      </c>
      <c r="S95" s="225">
        <v>0</v>
      </c>
      <c r="T95" s="225">
        <v>5346</v>
      </c>
      <c r="U95" s="225">
        <v>21400</v>
      </c>
      <c r="V95" s="225">
        <v>2366</v>
      </c>
      <c r="W95" s="225">
        <v>9464</v>
      </c>
      <c r="X95" s="225">
        <v>1599</v>
      </c>
      <c r="Y95" s="225">
        <v>6396</v>
      </c>
      <c r="Z95" s="225">
        <v>0</v>
      </c>
      <c r="AA95" s="225">
        <v>68573.1618</v>
      </c>
      <c r="AB95" s="225">
        <v>308500</v>
      </c>
      <c r="AC95" s="225">
        <v>9616.2035</v>
      </c>
      <c r="AD95" s="225">
        <v>2517.6400000000003</v>
      </c>
    </row>
    <row r="97" spans="4:27" ht="12.75">
      <c r="D97" s="226"/>
      <c r="E97" s="226"/>
      <c r="K97" s="183" t="s">
        <v>199</v>
      </c>
      <c r="T97" s="226"/>
      <c r="U97" s="226"/>
      <c r="AA97" s="183" t="s">
        <v>199</v>
      </c>
    </row>
    <row r="98" spans="10:29" ht="12.75">
      <c r="J98" s="234"/>
      <c r="K98" s="184" t="s">
        <v>60</v>
      </c>
      <c r="M98" s="183"/>
      <c r="Z98" s="234"/>
      <c r="AA98" s="184" t="s">
        <v>60</v>
      </c>
      <c r="AC98" s="183"/>
    </row>
    <row r="99" spans="10:29" ht="15">
      <c r="J99" s="235"/>
      <c r="K99" s="184" t="s">
        <v>61</v>
      </c>
      <c r="M99" s="227"/>
      <c r="Z99" s="235"/>
      <c r="AA99" s="184" t="s">
        <v>61</v>
      </c>
      <c r="AC99" s="227"/>
    </row>
    <row r="100" spans="10:29" ht="15">
      <c r="J100" s="235"/>
      <c r="K100" s="184"/>
      <c r="M100" s="227"/>
      <c r="Z100" s="235"/>
      <c r="AA100" s="184"/>
      <c r="AC100" s="227"/>
    </row>
    <row r="101" spans="10:29" ht="15">
      <c r="J101" s="234"/>
      <c r="K101" s="184" t="s">
        <v>62</v>
      </c>
      <c r="M101" s="227"/>
      <c r="Z101" s="234"/>
      <c r="AA101" s="184" t="s">
        <v>62</v>
      </c>
      <c r="AC101" s="227"/>
    </row>
    <row r="102" spans="10:29" ht="15">
      <c r="J102" s="234"/>
      <c r="K102" s="184" t="s">
        <v>125</v>
      </c>
      <c r="M102" s="227"/>
      <c r="Z102" s="234"/>
      <c r="AA102" s="184" t="s">
        <v>125</v>
      </c>
      <c r="AC102" s="227"/>
    </row>
    <row r="106" spans="1:14" ht="12.75">
      <c r="A106" s="479" t="s">
        <v>181</v>
      </c>
      <c r="B106" s="479"/>
      <c r="C106" s="479"/>
      <c r="D106" s="479"/>
      <c r="E106" s="479"/>
      <c r="F106" s="479"/>
      <c r="G106" s="479"/>
      <c r="H106" s="479"/>
      <c r="I106" s="479"/>
      <c r="J106" s="479"/>
      <c r="K106" s="479"/>
      <c r="L106" s="479"/>
      <c r="M106" s="479"/>
      <c r="N106" s="479"/>
    </row>
    <row r="108" ht="12.75">
      <c r="A108" s="155" t="s">
        <v>182</v>
      </c>
    </row>
    <row r="109" spans="1:12" ht="14.25">
      <c r="A109" s="155" t="s">
        <v>188</v>
      </c>
      <c r="K109" s="155" t="s">
        <v>189</v>
      </c>
      <c r="L109" s="236" t="s">
        <v>206</v>
      </c>
    </row>
    <row r="111" spans="1:14" ht="12.75">
      <c r="A111" s="198" t="s">
        <v>183</v>
      </c>
      <c r="B111" s="199"/>
      <c r="C111" s="200" t="s">
        <v>114</v>
      </c>
      <c r="D111" s="201" t="s">
        <v>184</v>
      </c>
      <c r="E111" s="200" t="s">
        <v>113</v>
      </c>
      <c r="F111" s="471" t="s">
        <v>115</v>
      </c>
      <c r="G111" s="472"/>
      <c r="H111" s="471" t="s">
        <v>116</v>
      </c>
      <c r="I111" s="472"/>
      <c r="J111" s="201" t="s">
        <v>117</v>
      </c>
      <c r="K111" s="201" t="s">
        <v>185</v>
      </c>
      <c r="L111" s="201" t="s">
        <v>186</v>
      </c>
      <c r="M111" s="200" t="s">
        <v>121</v>
      </c>
      <c r="N111" s="201" t="s">
        <v>187</v>
      </c>
    </row>
    <row r="112" spans="1:14" ht="12.75">
      <c r="A112" s="203"/>
      <c r="B112" s="204"/>
      <c r="C112" s="205"/>
      <c r="D112" s="206"/>
      <c r="E112" s="205"/>
      <c r="F112" s="207" t="s">
        <v>191</v>
      </c>
      <c r="G112" s="208" t="s">
        <v>192</v>
      </c>
      <c r="H112" s="207" t="s">
        <v>191</v>
      </c>
      <c r="I112" s="208" t="s">
        <v>192</v>
      </c>
      <c r="J112" s="230"/>
      <c r="K112" s="230" t="s">
        <v>193</v>
      </c>
      <c r="L112" s="230"/>
      <c r="M112" s="208"/>
      <c r="N112" s="230" t="s">
        <v>194</v>
      </c>
    </row>
    <row r="113" spans="1:16" ht="13.5">
      <c r="A113" s="209">
        <v>1</v>
      </c>
      <c r="B113" s="210" t="s">
        <v>43</v>
      </c>
      <c r="C113" s="211">
        <v>0</v>
      </c>
      <c r="D113" s="212">
        <v>3960</v>
      </c>
      <c r="E113" s="212">
        <v>22600</v>
      </c>
      <c r="F113" s="212">
        <v>1222</v>
      </c>
      <c r="G113" s="212">
        <v>4888</v>
      </c>
      <c r="H113" s="212">
        <v>1079</v>
      </c>
      <c r="I113" s="212">
        <v>4316</v>
      </c>
      <c r="J113" s="212">
        <v>0</v>
      </c>
      <c r="K113" s="212">
        <v>1785</v>
      </c>
      <c r="L113" s="212">
        <v>107000</v>
      </c>
      <c r="M113" s="212">
        <v>950</v>
      </c>
      <c r="N113" s="212">
        <v>38</v>
      </c>
      <c r="P113" s="239">
        <v>1801.4832</v>
      </c>
    </row>
    <row r="114" spans="1:16" ht="13.5">
      <c r="A114" s="213">
        <v>2</v>
      </c>
      <c r="B114" s="214" t="s">
        <v>44</v>
      </c>
      <c r="C114" s="212">
        <v>0</v>
      </c>
      <c r="D114" s="212">
        <v>0</v>
      </c>
      <c r="E114" s="212">
        <v>0</v>
      </c>
      <c r="F114" s="212">
        <v>0</v>
      </c>
      <c r="G114" s="212">
        <v>0</v>
      </c>
      <c r="H114" s="212">
        <v>0</v>
      </c>
      <c r="I114" s="212">
        <v>0</v>
      </c>
      <c r="J114" s="212">
        <v>0</v>
      </c>
      <c r="K114" s="212">
        <v>11151</v>
      </c>
      <c r="L114" s="212">
        <v>21000</v>
      </c>
      <c r="M114" s="212">
        <v>1611</v>
      </c>
      <c r="N114" s="212">
        <v>585</v>
      </c>
      <c r="P114" s="239">
        <v>11113.746599999999</v>
      </c>
    </row>
    <row r="115" spans="1:16" ht="13.5">
      <c r="A115" s="213">
        <v>3</v>
      </c>
      <c r="B115" s="214" t="s">
        <v>45</v>
      </c>
      <c r="C115" s="212">
        <v>0</v>
      </c>
      <c r="D115" s="212">
        <v>0</v>
      </c>
      <c r="E115" s="212">
        <v>0</v>
      </c>
      <c r="F115" s="212">
        <v>0</v>
      </c>
      <c r="G115" s="212">
        <v>0</v>
      </c>
      <c r="H115" s="212">
        <v>0</v>
      </c>
      <c r="I115" s="212">
        <v>0</v>
      </c>
      <c r="J115" s="212">
        <v>0</v>
      </c>
      <c r="K115" s="212">
        <v>11030</v>
      </c>
      <c r="L115" s="212">
        <v>64800</v>
      </c>
      <c r="M115" s="212">
        <v>1968</v>
      </c>
      <c r="N115" s="212">
        <v>72</v>
      </c>
      <c r="P115" s="239">
        <v>10788.8154</v>
      </c>
    </row>
    <row r="116" spans="1:16" ht="13.5">
      <c r="A116" s="213">
        <v>4</v>
      </c>
      <c r="B116" s="214" t="s">
        <v>46</v>
      </c>
      <c r="C116" s="212">
        <v>0</v>
      </c>
      <c r="D116" s="212">
        <v>0</v>
      </c>
      <c r="E116" s="212">
        <v>0</v>
      </c>
      <c r="F116" s="212">
        <v>0</v>
      </c>
      <c r="G116" s="212">
        <v>0</v>
      </c>
      <c r="H116" s="212">
        <v>0</v>
      </c>
      <c r="I116" s="212">
        <v>0</v>
      </c>
      <c r="J116" s="212">
        <v>0</v>
      </c>
      <c r="K116" s="212">
        <v>9134</v>
      </c>
      <c r="L116" s="212">
        <v>103500</v>
      </c>
      <c r="M116" s="212">
        <v>301</v>
      </c>
      <c r="N116" s="212">
        <v>7</v>
      </c>
      <c r="P116" s="239">
        <v>9864.9606</v>
      </c>
    </row>
    <row r="117" spans="1:16" ht="13.5">
      <c r="A117" s="213">
        <v>5</v>
      </c>
      <c r="B117" s="214" t="s">
        <v>47</v>
      </c>
      <c r="C117" s="212">
        <v>0</v>
      </c>
      <c r="D117" s="212">
        <v>0</v>
      </c>
      <c r="E117" s="212">
        <v>0</v>
      </c>
      <c r="F117" s="212">
        <v>78</v>
      </c>
      <c r="G117" s="212">
        <v>312</v>
      </c>
      <c r="H117" s="212">
        <v>312</v>
      </c>
      <c r="I117" s="212">
        <v>1248</v>
      </c>
      <c r="J117" s="212">
        <v>0</v>
      </c>
      <c r="K117" s="212">
        <v>6826</v>
      </c>
      <c r="L117" s="212">
        <v>0</v>
      </c>
      <c r="M117" s="212">
        <v>2378</v>
      </c>
      <c r="N117" s="212">
        <v>58</v>
      </c>
      <c r="P117" s="239">
        <v>6837.131399999999</v>
      </c>
    </row>
    <row r="118" spans="1:16" ht="13.5">
      <c r="A118" s="213">
        <v>6</v>
      </c>
      <c r="B118" s="214" t="s">
        <v>48</v>
      </c>
      <c r="C118" s="212">
        <v>0</v>
      </c>
      <c r="D118" s="212">
        <v>198</v>
      </c>
      <c r="E118" s="212">
        <v>200</v>
      </c>
      <c r="F118" s="212">
        <v>0</v>
      </c>
      <c r="G118" s="212">
        <v>0</v>
      </c>
      <c r="H118" s="212">
        <v>0</v>
      </c>
      <c r="I118" s="212">
        <v>0</v>
      </c>
      <c r="J118" s="212">
        <v>0</v>
      </c>
      <c r="K118" s="212">
        <v>3037</v>
      </c>
      <c r="L118" s="212">
        <v>151500</v>
      </c>
      <c r="M118" s="212">
        <v>91</v>
      </c>
      <c r="N118" s="212">
        <v>14</v>
      </c>
      <c r="P118" s="239">
        <v>3442.7448</v>
      </c>
    </row>
    <row r="119" spans="1:16" ht="13.5">
      <c r="A119" s="213">
        <v>7</v>
      </c>
      <c r="B119" s="214" t="s">
        <v>49</v>
      </c>
      <c r="C119" s="212">
        <v>0</v>
      </c>
      <c r="D119" s="212">
        <v>0</v>
      </c>
      <c r="E119" s="212">
        <v>3800</v>
      </c>
      <c r="F119" s="212">
        <v>52</v>
      </c>
      <c r="G119" s="212">
        <v>208</v>
      </c>
      <c r="H119" s="212">
        <v>156</v>
      </c>
      <c r="I119" s="212">
        <v>624</v>
      </c>
      <c r="J119" s="212">
        <v>0</v>
      </c>
      <c r="K119" s="212">
        <v>2337</v>
      </c>
      <c r="L119" s="212">
        <v>3000</v>
      </c>
      <c r="M119" s="212">
        <v>125</v>
      </c>
      <c r="N119" s="212">
        <v>560</v>
      </c>
      <c r="P119" s="239">
        <v>2461.2192</v>
      </c>
    </row>
    <row r="120" spans="1:16" ht="13.5">
      <c r="A120" s="213">
        <v>8</v>
      </c>
      <c r="B120" s="214" t="s">
        <v>50</v>
      </c>
      <c r="C120" s="212">
        <v>0</v>
      </c>
      <c r="D120" s="212">
        <v>0</v>
      </c>
      <c r="E120" s="212">
        <v>2000</v>
      </c>
      <c r="F120" s="212">
        <v>0</v>
      </c>
      <c r="G120" s="212">
        <v>0</v>
      </c>
      <c r="H120" s="212">
        <v>0</v>
      </c>
      <c r="I120" s="212">
        <v>0</v>
      </c>
      <c r="J120" s="212">
        <v>0</v>
      </c>
      <c r="K120" s="212">
        <v>1926</v>
      </c>
      <c r="L120" s="212">
        <v>114500</v>
      </c>
      <c r="M120" s="212">
        <v>901</v>
      </c>
      <c r="N120" s="212">
        <v>581</v>
      </c>
      <c r="P120" s="239">
        <v>1899.2094</v>
      </c>
    </row>
    <row r="121" spans="1:16" ht="13.5">
      <c r="A121" s="213">
        <v>9</v>
      </c>
      <c r="B121" s="214" t="s">
        <v>51</v>
      </c>
      <c r="C121" s="212">
        <v>0</v>
      </c>
      <c r="D121" s="212">
        <v>0</v>
      </c>
      <c r="E121" s="212">
        <v>0</v>
      </c>
      <c r="F121" s="212">
        <v>416</v>
      </c>
      <c r="G121" s="212">
        <v>1664</v>
      </c>
      <c r="H121" s="212">
        <v>546</v>
      </c>
      <c r="I121" s="212">
        <v>2184</v>
      </c>
      <c r="J121" s="212">
        <v>0</v>
      </c>
      <c r="K121" s="212">
        <v>1135</v>
      </c>
      <c r="L121" s="212">
        <v>32000</v>
      </c>
      <c r="M121" s="212">
        <v>90</v>
      </c>
      <c r="N121" s="212">
        <v>16</v>
      </c>
      <c r="P121" s="239">
        <v>1045.9284</v>
      </c>
    </row>
    <row r="122" spans="1:16" ht="13.5">
      <c r="A122" s="213">
        <v>10</v>
      </c>
      <c r="B122" s="214" t="s">
        <v>52</v>
      </c>
      <c r="C122" s="212">
        <v>0</v>
      </c>
      <c r="D122" s="212">
        <v>0</v>
      </c>
      <c r="E122" s="212">
        <v>0</v>
      </c>
      <c r="F122" s="212">
        <v>13</v>
      </c>
      <c r="G122" s="212">
        <v>52</v>
      </c>
      <c r="H122" s="212">
        <v>26</v>
      </c>
      <c r="I122" s="212">
        <v>104</v>
      </c>
      <c r="J122" s="212">
        <v>0</v>
      </c>
      <c r="K122" s="212">
        <v>2448</v>
      </c>
      <c r="L122" s="212">
        <v>16000</v>
      </c>
      <c r="M122" s="212">
        <v>336</v>
      </c>
      <c r="N122" s="212">
        <v>193</v>
      </c>
      <c r="P122" s="239">
        <v>2397.0407999999998</v>
      </c>
    </row>
    <row r="123" spans="1:16" ht="13.5">
      <c r="A123" s="213">
        <v>11</v>
      </c>
      <c r="B123" s="214" t="s">
        <v>53</v>
      </c>
      <c r="C123" s="212">
        <v>0</v>
      </c>
      <c r="D123" s="212">
        <v>0</v>
      </c>
      <c r="E123" s="212">
        <v>0</v>
      </c>
      <c r="F123" s="212">
        <v>0</v>
      </c>
      <c r="G123" s="212">
        <v>0</v>
      </c>
      <c r="H123" s="212">
        <v>0</v>
      </c>
      <c r="I123" s="212">
        <v>0</v>
      </c>
      <c r="J123" s="212">
        <v>0</v>
      </c>
      <c r="K123" s="212">
        <v>6888</v>
      </c>
      <c r="L123" s="212">
        <v>117000</v>
      </c>
      <c r="M123" s="212">
        <v>0</v>
      </c>
      <c r="N123" s="212">
        <v>103</v>
      </c>
      <c r="P123" s="239">
        <v>6844.4244</v>
      </c>
    </row>
    <row r="124" spans="1:16" ht="13.5">
      <c r="A124" s="213">
        <v>12</v>
      </c>
      <c r="B124" s="214" t="s">
        <v>54</v>
      </c>
      <c r="C124" s="212">
        <v>0</v>
      </c>
      <c r="D124" s="212">
        <v>0</v>
      </c>
      <c r="E124" s="212">
        <v>0</v>
      </c>
      <c r="F124" s="212">
        <v>650</v>
      </c>
      <c r="G124" s="212">
        <v>2600</v>
      </c>
      <c r="H124" s="212">
        <v>117</v>
      </c>
      <c r="I124" s="212">
        <v>468</v>
      </c>
      <c r="J124" s="212">
        <v>0</v>
      </c>
      <c r="K124" s="212">
        <v>1313</v>
      </c>
      <c r="L124" s="212">
        <v>0</v>
      </c>
      <c r="M124" s="212">
        <v>82</v>
      </c>
      <c r="N124" s="212">
        <v>191</v>
      </c>
      <c r="P124" s="239">
        <v>1482.723</v>
      </c>
    </row>
    <row r="125" spans="1:16" ht="13.5">
      <c r="A125" s="213">
        <v>13</v>
      </c>
      <c r="B125" s="214" t="s">
        <v>55</v>
      </c>
      <c r="C125" s="212">
        <v>0</v>
      </c>
      <c r="D125" s="212">
        <v>0</v>
      </c>
      <c r="E125" s="212">
        <v>0</v>
      </c>
      <c r="F125" s="212">
        <v>325</v>
      </c>
      <c r="G125" s="212">
        <v>1300</v>
      </c>
      <c r="H125" s="212">
        <v>26</v>
      </c>
      <c r="I125" s="212">
        <v>104</v>
      </c>
      <c r="J125" s="212">
        <v>0</v>
      </c>
      <c r="K125" s="212">
        <v>3102</v>
      </c>
      <c r="L125" s="212">
        <v>51000</v>
      </c>
      <c r="M125" s="212">
        <v>29</v>
      </c>
      <c r="N125" s="212">
        <v>15</v>
      </c>
      <c r="P125" s="239">
        <v>3136.8876</v>
      </c>
    </row>
    <row r="126" spans="1:16" ht="13.5">
      <c r="A126" s="213">
        <v>14</v>
      </c>
      <c r="B126" s="214" t="s">
        <v>56</v>
      </c>
      <c r="C126" s="215">
        <v>0</v>
      </c>
      <c r="D126" s="212">
        <v>792</v>
      </c>
      <c r="E126" s="212">
        <v>600</v>
      </c>
      <c r="F126" s="212">
        <v>143</v>
      </c>
      <c r="G126" s="212">
        <v>572</v>
      </c>
      <c r="H126" s="212">
        <v>182</v>
      </c>
      <c r="I126" s="212">
        <v>728</v>
      </c>
      <c r="J126" s="212">
        <v>0</v>
      </c>
      <c r="K126" s="212">
        <v>1874</v>
      </c>
      <c r="L126" s="212">
        <v>66000</v>
      </c>
      <c r="M126" s="212">
        <v>838</v>
      </c>
      <c r="N126" s="212">
        <v>12</v>
      </c>
      <c r="P126" s="239">
        <v>489.64079999999996</v>
      </c>
    </row>
    <row r="127" spans="1:14" ht="13.5">
      <c r="A127" s="216"/>
      <c r="B127" s="217" t="s">
        <v>197</v>
      </c>
      <c r="C127" s="218">
        <f>SUM(C113:C126)</f>
        <v>0</v>
      </c>
      <c r="D127" s="219">
        <f>SUM(D113:D126)</f>
        <v>4950</v>
      </c>
      <c r="E127" s="219">
        <f aca="true" t="shared" si="26" ref="E127:N127">SUM(E113:E126)</f>
        <v>29200</v>
      </c>
      <c r="F127" s="219">
        <f t="shared" si="26"/>
        <v>2899</v>
      </c>
      <c r="G127" s="219">
        <f t="shared" si="26"/>
        <v>11596</v>
      </c>
      <c r="H127" s="219">
        <f t="shared" si="26"/>
        <v>2444</v>
      </c>
      <c r="I127" s="219">
        <f t="shared" si="26"/>
        <v>9776</v>
      </c>
      <c r="J127" s="219">
        <f t="shared" si="26"/>
        <v>0</v>
      </c>
      <c r="K127" s="219">
        <f t="shared" si="26"/>
        <v>63986</v>
      </c>
      <c r="L127" s="219">
        <f t="shared" si="26"/>
        <v>847300</v>
      </c>
      <c r="M127" s="219">
        <f t="shared" si="26"/>
        <v>9700</v>
      </c>
      <c r="N127" s="219">
        <f t="shared" si="26"/>
        <v>2445</v>
      </c>
    </row>
    <row r="128" spans="1:14" ht="13.5">
      <c r="A128" s="220"/>
      <c r="B128" s="210" t="s">
        <v>198</v>
      </c>
      <c r="C128" s="221"/>
      <c r="D128" s="222"/>
      <c r="E128" s="222"/>
      <c r="F128" s="496">
        <f>F127+G127</f>
        <v>14495</v>
      </c>
      <c r="G128" s="497"/>
      <c r="H128" s="498">
        <f>H127+I127</f>
        <v>12220</v>
      </c>
      <c r="I128" s="499"/>
      <c r="J128" s="222"/>
      <c r="K128" s="222"/>
      <c r="L128" s="222"/>
      <c r="M128" s="222"/>
      <c r="N128" s="222"/>
    </row>
    <row r="129" spans="1:14" ht="13.5">
      <c r="A129" s="223"/>
      <c r="B129" s="224" t="s">
        <v>197</v>
      </c>
      <c r="C129" s="225">
        <v>0</v>
      </c>
      <c r="D129" s="225">
        <v>5346</v>
      </c>
      <c r="E129" s="225">
        <v>21400</v>
      </c>
      <c r="F129" s="225">
        <v>2366</v>
      </c>
      <c r="G129" s="225">
        <v>9464</v>
      </c>
      <c r="H129" s="225">
        <v>1599</v>
      </c>
      <c r="I129" s="225">
        <v>6396</v>
      </c>
      <c r="J129" s="225">
        <v>0</v>
      </c>
      <c r="K129" s="225">
        <v>68573.1618</v>
      </c>
      <c r="L129" s="225">
        <v>308500</v>
      </c>
      <c r="M129" s="225">
        <v>9616.2035</v>
      </c>
      <c r="N129" s="225">
        <v>2517.6400000000003</v>
      </c>
    </row>
    <row r="131" ht="12.75">
      <c r="K131" s="183" t="s">
        <v>199</v>
      </c>
    </row>
    <row r="132" spans="10:13" ht="12.75">
      <c r="J132" s="234"/>
      <c r="K132" s="184" t="s">
        <v>60</v>
      </c>
      <c r="M132" s="183"/>
    </row>
    <row r="133" spans="10:13" ht="15">
      <c r="J133" s="235"/>
      <c r="K133" s="184" t="s">
        <v>61</v>
      </c>
      <c r="M133" s="227"/>
    </row>
    <row r="134" spans="10:13" ht="15">
      <c r="J134" s="235"/>
      <c r="K134" s="184"/>
      <c r="M134" s="227"/>
    </row>
    <row r="135" spans="10:13" ht="15">
      <c r="J135" s="234"/>
      <c r="K135" s="184" t="s">
        <v>62</v>
      </c>
      <c r="M135" s="227"/>
    </row>
    <row r="136" spans="10:13" ht="15">
      <c r="J136" s="234"/>
      <c r="K136" s="184" t="s">
        <v>125</v>
      </c>
      <c r="M136" s="227"/>
    </row>
    <row r="140" spans="1:14" ht="12.75">
      <c r="A140" s="479" t="s">
        <v>181</v>
      </c>
      <c r="B140" s="479"/>
      <c r="C140" s="479"/>
      <c r="D140" s="479"/>
      <c r="E140" s="479"/>
      <c r="F140" s="479"/>
      <c r="G140" s="479"/>
      <c r="H140" s="479"/>
      <c r="I140" s="479"/>
      <c r="J140" s="479"/>
      <c r="K140" s="479"/>
      <c r="L140" s="479"/>
      <c r="M140" s="479"/>
      <c r="N140" s="479"/>
    </row>
    <row r="142" ht="12.75">
      <c r="A142" s="155" t="s">
        <v>182</v>
      </c>
    </row>
    <row r="143" spans="1:12" ht="14.25">
      <c r="A143" s="155" t="s">
        <v>188</v>
      </c>
      <c r="K143" s="155" t="s">
        <v>189</v>
      </c>
      <c r="L143" s="236" t="s">
        <v>207</v>
      </c>
    </row>
    <row r="145" spans="1:14" ht="12.75">
      <c r="A145" s="198" t="s">
        <v>183</v>
      </c>
      <c r="B145" s="199"/>
      <c r="C145" s="200" t="s">
        <v>114</v>
      </c>
      <c r="D145" s="201" t="s">
        <v>184</v>
      </c>
      <c r="E145" s="200" t="s">
        <v>113</v>
      </c>
      <c r="F145" s="471" t="s">
        <v>115</v>
      </c>
      <c r="G145" s="472"/>
      <c r="H145" s="471" t="s">
        <v>116</v>
      </c>
      <c r="I145" s="472"/>
      <c r="J145" s="201" t="s">
        <v>117</v>
      </c>
      <c r="K145" s="201" t="s">
        <v>185</v>
      </c>
      <c r="L145" s="201" t="s">
        <v>186</v>
      </c>
      <c r="M145" s="200" t="s">
        <v>121</v>
      </c>
      <c r="N145" s="201" t="s">
        <v>187</v>
      </c>
    </row>
    <row r="146" spans="1:14" ht="12.75">
      <c r="A146" s="203"/>
      <c r="B146" s="204"/>
      <c r="C146" s="205"/>
      <c r="D146" s="206"/>
      <c r="E146" s="205"/>
      <c r="F146" s="207" t="s">
        <v>191</v>
      </c>
      <c r="G146" s="208" t="s">
        <v>192</v>
      </c>
      <c r="H146" s="207" t="s">
        <v>191</v>
      </c>
      <c r="I146" s="208" t="s">
        <v>192</v>
      </c>
      <c r="J146" s="230"/>
      <c r="K146" s="230" t="s">
        <v>193</v>
      </c>
      <c r="L146" s="230"/>
      <c r="M146" s="208"/>
      <c r="N146" s="230" t="s">
        <v>194</v>
      </c>
    </row>
    <row r="147" spans="1:14" ht="13.5">
      <c r="A147" s="209">
        <v>1</v>
      </c>
      <c r="B147" s="210" t="s">
        <v>43</v>
      </c>
      <c r="C147" s="211"/>
      <c r="D147" s="212">
        <v>7128</v>
      </c>
      <c r="E147" s="212">
        <v>25600</v>
      </c>
      <c r="F147" s="212">
        <v>1235</v>
      </c>
      <c r="G147" s="212">
        <v>4940</v>
      </c>
      <c r="H147" s="212">
        <v>1131</v>
      </c>
      <c r="I147" s="212">
        <v>4524</v>
      </c>
      <c r="J147" s="212">
        <v>0</v>
      </c>
      <c r="K147" s="212">
        <v>1802</v>
      </c>
      <c r="L147" s="212">
        <v>116000</v>
      </c>
      <c r="M147" s="212">
        <v>950</v>
      </c>
      <c r="N147" s="212">
        <v>38</v>
      </c>
    </row>
    <row r="148" spans="1:14" ht="13.5">
      <c r="A148" s="213">
        <v>2</v>
      </c>
      <c r="B148" s="214" t="s">
        <v>44</v>
      </c>
      <c r="C148" s="212"/>
      <c r="D148" s="212">
        <v>0</v>
      </c>
      <c r="E148" s="212">
        <v>0</v>
      </c>
      <c r="F148" s="212">
        <v>0</v>
      </c>
      <c r="G148" s="212">
        <v>0</v>
      </c>
      <c r="H148" s="212">
        <v>0</v>
      </c>
      <c r="I148" s="212">
        <v>0</v>
      </c>
      <c r="J148" s="212">
        <v>0</v>
      </c>
      <c r="K148" s="212">
        <v>11158</v>
      </c>
      <c r="L148" s="212">
        <v>21000</v>
      </c>
      <c r="M148" s="212">
        <v>1612</v>
      </c>
      <c r="N148" s="212">
        <v>585</v>
      </c>
    </row>
    <row r="149" spans="1:14" ht="13.5">
      <c r="A149" s="213">
        <v>3</v>
      </c>
      <c r="B149" s="214" t="s">
        <v>45</v>
      </c>
      <c r="C149" s="212"/>
      <c r="D149" s="212">
        <v>0</v>
      </c>
      <c r="E149" s="212">
        <v>800</v>
      </c>
      <c r="F149" s="212">
        <v>208</v>
      </c>
      <c r="G149" s="212">
        <v>832</v>
      </c>
      <c r="H149" s="212">
        <v>234</v>
      </c>
      <c r="I149" s="212">
        <v>936</v>
      </c>
      <c r="J149" s="212">
        <v>0</v>
      </c>
      <c r="K149" s="212">
        <v>11030</v>
      </c>
      <c r="L149" s="212">
        <v>33500</v>
      </c>
      <c r="M149" s="212">
        <v>1968</v>
      </c>
      <c r="N149" s="212">
        <v>72</v>
      </c>
    </row>
    <row r="150" spans="1:14" ht="13.5">
      <c r="A150" s="213">
        <v>4</v>
      </c>
      <c r="B150" s="214" t="s">
        <v>46</v>
      </c>
      <c r="C150" s="212"/>
      <c r="D150" s="212">
        <v>0</v>
      </c>
      <c r="E150" s="212">
        <v>0</v>
      </c>
      <c r="F150" s="212">
        <v>0</v>
      </c>
      <c r="G150" s="212">
        <v>0</v>
      </c>
      <c r="H150" s="212">
        <v>0</v>
      </c>
      <c r="I150" s="212">
        <v>0</v>
      </c>
      <c r="J150" s="212">
        <v>0</v>
      </c>
      <c r="K150" s="212">
        <v>9141</v>
      </c>
      <c r="L150" s="212">
        <v>132000</v>
      </c>
      <c r="M150" s="212">
        <v>301</v>
      </c>
      <c r="N150" s="212">
        <v>8</v>
      </c>
    </row>
    <row r="151" spans="1:14" ht="13.5">
      <c r="A151" s="213">
        <v>5</v>
      </c>
      <c r="B151" s="214" t="s">
        <v>47</v>
      </c>
      <c r="C151" s="212"/>
      <c r="D151" s="212">
        <v>0</v>
      </c>
      <c r="E151" s="212">
        <v>0</v>
      </c>
      <c r="F151" s="212">
        <v>117</v>
      </c>
      <c r="G151" s="212">
        <v>468</v>
      </c>
      <c r="H151" s="212">
        <v>260</v>
      </c>
      <c r="I151" s="212">
        <v>1040</v>
      </c>
      <c r="J151" s="212">
        <v>0</v>
      </c>
      <c r="K151" s="212">
        <v>6825</v>
      </c>
      <c r="L151" s="212">
        <v>0</v>
      </c>
      <c r="M151" s="212">
        <v>2373</v>
      </c>
      <c r="N151" s="212">
        <v>58</v>
      </c>
    </row>
    <row r="152" spans="1:14" ht="13.5">
      <c r="A152" s="213">
        <v>6</v>
      </c>
      <c r="B152" s="214" t="s">
        <v>48</v>
      </c>
      <c r="C152" s="212"/>
      <c r="D152" s="212">
        <v>198</v>
      </c>
      <c r="E152" s="212">
        <v>1200</v>
      </c>
      <c r="F152" s="212">
        <v>0</v>
      </c>
      <c r="G152" s="212">
        <v>0</v>
      </c>
      <c r="H152" s="212">
        <v>0</v>
      </c>
      <c r="I152" s="212">
        <v>0</v>
      </c>
      <c r="J152" s="212">
        <v>0</v>
      </c>
      <c r="K152" s="212">
        <v>3003</v>
      </c>
      <c r="L152" s="212">
        <v>151500</v>
      </c>
      <c r="M152" s="212">
        <v>93</v>
      </c>
      <c r="N152" s="212">
        <v>14</v>
      </c>
    </row>
    <row r="153" spans="1:14" ht="13.5">
      <c r="A153" s="213">
        <v>7</v>
      </c>
      <c r="B153" s="214" t="s">
        <v>49</v>
      </c>
      <c r="C153" s="212"/>
      <c r="D153" s="212">
        <v>0</v>
      </c>
      <c r="E153" s="212">
        <v>1800</v>
      </c>
      <c r="F153" s="212">
        <v>130</v>
      </c>
      <c r="G153" s="212">
        <v>520</v>
      </c>
      <c r="H153" s="212">
        <v>273</v>
      </c>
      <c r="I153" s="212">
        <v>1092</v>
      </c>
      <c r="J153" s="212">
        <v>0</v>
      </c>
      <c r="K153" s="212">
        <v>2336</v>
      </c>
      <c r="L153" s="212">
        <v>3000</v>
      </c>
      <c r="M153" s="212">
        <v>125</v>
      </c>
      <c r="N153" s="212">
        <v>5373</v>
      </c>
    </row>
    <row r="154" spans="1:14" ht="13.5">
      <c r="A154" s="213">
        <v>8</v>
      </c>
      <c r="B154" s="214" t="s">
        <v>50</v>
      </c>
      <c r="C154" s="212"/>
      <c r="D154" s="212">
        <v>0</v>
      </c>
      <c r="E154" s="212">
        <v>600</v>
      </c>
      <c r="F154" s="212">
        <v>0</v>
      </c>
      <c r="G154" s="212">
        <v>0</v>
      </c>
      <c r="H154" s="212">
        <v>0</v>
      </c>
      <c r="I154" s="212">
        <v>0</v>
      </c>
      <c r="J154" s="212">
        <v>0</v>
      </c>
      <c r="K154" s="212">
        <v>2052</v>
      </c>
      <c r="L154" s="212">
        <v>119500</v>
      </c>
      <c r="M154" s="212">
        <v>901</v>
      </c>
      <c r="N154" s="212">
        <v>590</v>
      </c>
    </row>
    <row r="155" spans="1:14" ht="13.5">
      <c r="A155" s="213">
        <v>9</v>
      </c>
      <c r="B155" s="214" t="s">
        <v>51</v>
      </c>
      <c r="C155" s="212"/>
      <c r="D155" s="212">
        <v>0</v>
      </c>
      <c r="E155" s="212">
        <v>0</v>
      </c>
      <c r="F155" s="212">
        <v>351</v>
      </c>
      <c r="G155" s="212">
        <v>1404</v>
      </c>
      <c r="H155" s="212">
        <v>442</v>
      </c>
      <c r="I155" s="212">
        <v>1768</v>
      </c>
      <c r="J155" s="212">
        <v>0</v>
      </c>
      <c r="K155" s="212">
        <v>1134</v>
      </c>
      <c r="L155" s="212">
        <v>32000</v>
      </c>
      <c r="M155" s="212">
        <v>90</v>
      </c>
      <c r="N155" s="212">
        <v>17</v>
      </c>
    </row>
    <row r="156" spans="1:14" ht="13.5">
      <c r="A156" s="213">
        <v>10</v>
      </c>
      <c r="B156" s="214" t="s">
        <v>52</v>
      </c>
      <c r="C156" s="212"/>
      <c r="D156" s="212">
        <v>0</v>
      </c>
      <c r="E156" s="212">
        <v>0</v>
      </c>
      <c r="F156" s="212">
        <v>26</v>
      </c>
      <c r="G156" s="212">
        <v>104</v>
      </c>
      <c r="H156" s="212">
        <v>26</v>
      </c>
      <c r="I156" s="212">
        <v>104</v>
      </c>
      <c r="J156" s="212">
        <v>0</v>
      </c>
      <c r="K156" s="212">
        <v>2443</v>
      </c>
      <c r="L156" s="212">
        <v>16000</v>
      </c>
      <c r="M156" s="212">
        <v>334</v>
      </c>
      <c r="N156" s="212">
        <v>193</v>
      </c>
    </row>
    <row r="157" spans="1:14" ht="13.5">
      <c r="A157" s="213">
        <v>11</v>
      </c>
      <c r="B157" s="214" t="s">
        <v>53</v>
      </c>
      <c r="C157" s="212"/>
      <c r="D157" s="212">
        <v>0</v>
      </c>
      <c r="E157" s="212">
        <v>0</v>
      </c>
      <c r="F157" s="212">
        <v>0</v>
      </c>
      <c r="G157" s="212">
        <v>0</v>
      </c>
      <c r="H157" s="212">
        <v>0</v>
      </c>
      <c r="I157" s="212">
        <v>0</v>
      </c>
      <c r="J157" s="212">
        <v>0</v>
      </c>
      <c r="K157" s="212">
        <v>6934</v>
      </c>
      <c r="L157" s="212">
        <v>114750</v>
      </c>
      <c r="M157" s="212">
        <v>0</v>
      </c>
      <c r="N157" s="212">
        <v>104</v>
      </c>
    </row>
    <row r="158" spans="1:14" ht="13.5">
      <c r="A158" s="213">
        <v>12</v>
      </c>
      <c r="B158" s="214" t="s">
        <v>54</v>
      </c>
      <c r="C158" s="212"/>
      <c r="D158" s="212">
        <v>0</v>
      </c>
      <c r="E158" s="212">
        <v>0</v>
      </c>
      <c r="F158" s="212">
        <v>650</v>
      </c>
      <c r="G158" s="212">
        <v>2600</v>
      </c>
      <c r="H158" s="212">
        <v>130</v>
      </c>
      <c r="I158" s="212">
        <v>520</v>
      </c>
      <c r="J158" s="212">
        <v>0</v>
      </c>
      <c r="K158" s="212">
        <v>1329</v>
      </c>
      <c r="L158" s="212">
        <v>0</v>
      </c>
      <c r="M158" s="212">
        <v>95</v>
      </c>
      <c r="N158" s="212">
        <v>191</v>
      </c>
    </row>
    <row r="159" spans="1:14" ht="13.5">
      <c r="A159" s="213">
        <v>13</v>
      </c>
      <c r="B159" s="214" t="s">
        <v>55</v>
      </c>
      <c r="C159" s="212"/>
      <c r="D159" s="212">
        <v>0</v>
      </c>
      <c r="E159" s="212">
        <v>0</v>
      </c>
      <c r="F159" s="212">
        <v>260</v>
      </c>
      <c r="G159" s="212">
        <v>1040</v>
      </c>
      <c r="H159" s="212">
        <v>39</v>
      </c>
      <c r="I159" s="212">
        <v>156</v>
      </c>
      <c r="J159" s="212">
        <v>0</v>
      </c>
      <c r="K159" s="212">
        <v>3100</v>
      </c>
      <c r="L159" s="212">
        <v>51000</v>
      </c>
      <c r="M159" s="212">
        <v>29</v>
      </c>
      <c r="N159" s="212">
        <v>15</v>
      </c>
    </row>
    <row r="160" spans="1:14" ht="13.5">
      <c r="A160" s="213">
        <v>14</v>
      </c>
      <c r="B160" s="214" t="s">
        <v>56</v>
      </c>
      <c r="C160" s="215"/>
      <c r="D160" s="212">
        <v>1386</v>
      </c>
      <c r="E160" s="212">
        <v>800</v>
      </c>
      <c r="F160" s="212">
        <v>208</v>
      </c>
      <c r="G160" s="212">
        <v>832</v>
      </c>
      <c r="H160" s="212">
        <v>247</v>
      </c>
      <c r="I160" s="212">
        <v>988</v>
      </c>
      <c r="J160" s="212">
        <v>0</v>
      </c>
      <c r="K160" s="212">
        <v>1846</v>
      </c>
      <c r="L160" s="212">
        <v>66000</v>
      </c>
      <c r="M160" s="212">
        <v>838</v>
      </c>
      <c r="N160" s="212">
        <v>12</v>
      </c>
    </row>
    <row r="161" spans="1:14" ht="13.5">
      <c r="A161" s="216"/>
      <c r="B161" s="217" t="s">
        <v>197</v>
      </c>
      <c r="C161" s="218">
        <v>0</v>
      </c>
      <c r="D161" s="219">
        <f>SUM(D147:D160)</f>
        <v>8712</v>
      </c>
      <c r="E161" s="219">
        <f aca="true" t="shared" si="27" ref="E161:N161">SUM(E147:E160)</f>
        <v>30800</v>
      </c>
      <c r="F161" s="219">
        <f t="shared" si="27"/>
        <v>3185</v>
      </c>
      <c r="G161" s="219">
        <f t="shared" si="27"/>
        <v>12740</v>
      </c>
      <c r="H161" s="219">
        <f t="shared" si="27"/>
        <v>2782</v>
      </c>
      <c r="I161" s="219">
        <f t="shared" si="27"/>
        <v>11128</v>
      </c>
      <c r="J161" s="219">
        <f t="shared" si="27"/>
        <v>0</v>
      </c>
      <c r="K161" s="219">
        <f t="shared" si="27"/>
        <v>64133</v>
      </c>
      <c r="L161" s="219">
        <f t="shared" si="27"/>
        <v>856250</v>
      </c>
      <c r="M161" s="219">
        <f t="shared" si="27"/>
        <v>9709</v>
      </c>
      <c r="N161" s="219">
        <f t="shared" si="27"/>
        <v>7270</v>
      </c>
    </row>
    <row r="162" spans="1:14" ht="13.5">
      <c r="A162" s="220"/>
      <c r="B162" s="210" t="s">
        <v>198</v>
      </c>
      <c r="C162" s="221"/>
      <c r="D162" s="222"/>
      <c r="E162" s="222"/>
      <c r="F162" s="496">
        <f>F161+G161</f>
        <v>15925</v>
      </c>
      <c r="G162" s="497"/>
      <c r="H162" s="498">
        <f>H161+I161</f>
        <v>13910</v>
      </c>
      <c r="I162" s="499"/>
      <c r="J162" s="222"/>
      <c r="K162" s="222"/>
      <c r="L162" s="222"/>
      <c r="M162" s="222"/>
      <c r="N162" s="222"/>
    </row>
    <row r="163" spans="1:14" ht="13.5">
      <c r="A163" s="223"/>
      <c r="B163" s="224" t="s">
        <v>197</v>
      </c>
      <c r="C163" s="225">
        <v>0</v>
      </c>
      <c r="D163" s="225">
        <v>5346</v>
      </c>
      <c r="E163" s="225">
        <v>21400</v>
      </c>
      <c r="F163" s="225">
        <v>2366</v>
      </c>
      <c r="G163" s="225">
        <v>9464</v>
      </c>
      <c r="H163" s="225">
        <v>1599</v>
      </c>
      <c r="I163" s="225">
        <v>6396</v>
      </c>
      <c r="J163" s="225">
        <v>0</v>
      </c>
      <c r="K163" s="225">
        <v>68573.1618</v>
      </c>
      <c r="L163" s="225">
        <v>308500</v>
      </c>
      <c r="M163" s="225">
        <v>9616.2035</v>
      </c>
      <c r="N163" s="225">
        <v>2517.6400000000003</v>
      </c>
    </row>
    <row r="165" ht="12.75">
      <c r="K165" s="183" t="s">
        <v>199</v>
      </c>
    </row>
    <row r="166" spans="10:13" ht="12.75">
      <c r="J166" s="234"/>
      <c r="K166" s="184" t="s">
        <v>60</v>
      </c>
      <c r="M166" s="183"/>
    </row>
    <row r="167" spans="10:13" ht="15">
      <c r="J167" s="235"/>
      <c r="K167" s="184" t="s">
        <v>61</v>
      </c>
      <c r="M167" s="227"/>
    </row>
    <row r="168" spans="10:13" ht="15">
      <c r="J168" s="235"/>
      <c r="K168" s="184"/>
      <c r="M168" s="227"/>
    </row>
    <row r="169" spans="10:13" ht="15">
      <c r="J169" s="234"/>
      <c r="K169" s="184" t="s">
        <v>62</v>
      </c>
      <c r="M169" s="227"/>
    </row>
    <row r="170" spans="10:13" ht="15">
      <c r="J170" s="234"/>
      <c r="K170" s="184" t="s">
        <v>125</v>
      </c>
      <c r="M170" s="227"/>
    </row>
    <row r="174" spans="1:14" ht="12.75">
      <c r="A174" s="479" t="s">
        <v>181</v>
      </c>
      <c r="B174" s="479"/>
      <c r="C174" s="479"/>
      <c r="D174" s="479"/>
      <c r="E174" s="479"/>
      <c r="F174" s="479"/>
      <c r="G174" s="479"/>
      <c r="H174" s="479"/>
      <c r="I174" s="479"/>
      <c r="J174" s="479"/>
      <c r="K174" s="479"/>
      <c r="L174" s="479"/>
      <c r="M174" s="479"/>
      <c r="N174" s="479"/>
    </row>
    <row r="176" ht="12.75">
      <c r="A176" s="155" t="s">
        <v>182</v>
      </c>
    </row>
    <row r="177" spans="1:12" ht="14.25">
      <c r="A177" s="155" t="s">
        <v>188</v>
      </c>
      <c r="K177" s="155" t="s">
        <v>189</v>
      </c>
      <c r="L177" s="236" t="s">
        <v>208</v>
      </c>
    </row>
    <row r="179" spans="1:14" ht="12.75">
      <c r="A179" s="198" t="s">
        <v>183</v>
      </c>
      <c r="B179" s="199"/>
      <c r="C179" s="200" t="s">
        <v>114</v>
      </c>
      <c r="D179" s="201" t="s">
        <v>184</v>
      </c>
      <c r="E179" s="200" t="s">
        <v>113</v>
      </c>
      <c r="F179" s="471" t="s">
        <v>115</v>
      </c>
      <c r="G179" s="472"/>
      <c r="H179" s="471" t="s">
        <v>116</v>
      </c>
      <c r="I179" s="472"/>
      <c r="J179" s="201" t="s">
        <v>117</v>
      </c>
      <c r="K179" s="201" t="s">
        <v>185</v>
      </c>
      <c r="L179" s="201" t="s">
        <v>186</v>
      </c>
      <c r="M179" s="200" t="s">
        <v>121</v>
      </c>
      <c r="N179" s="201" t="s">
        <v>187</v>
      </c>
    </row>
    <row r="180" spans="1:14" ht="12.75">
      <c r="A180" s="203"/>
      <c r="B180" s="204"/>
      <c r="C180" s="205"/>
      <c r="D180" s="206"/>
      <c r="E180" s="205"/>
      <c r="F180" s="207" t="s">
        <v>191</v>
      </c>
      <c r="G180" s="208" t="s">
        <v>192</v>
      </c>
      <c r="H180" s="207" t="s">
        <v>191</v>
      </c>
      <c r="I180" s="208" t="s">
        <v>192</v>
      </c>
      <c r="J180" s="230"/>
      <c r="K180" s="230" t="s">
        <v>193</v>
      </c>
      <c r="L180" s="230"/>
      <c r="M180" s="208"/>
      <c r="N180" s="230" t="s">
        <v>194</v>
      </c>
    </row>
    <row r="181" spans="1:14" ht="13.5">
      <c r="A181" s="209">
        <v>1</v>
      </c>
      <c r="B181" s="210" t="s">
        <v>43</v>
      </c>
      <c r="C181" s="211"/>
      <c r="D181" s="212">
        <v>4158</v>
      </c>
      <c r="E181" s="212">
        <v>20000</v>
      </c>
      <c r="F181" s="212">
        <v>1469</v>
      </c>
      <c r="G181" s="212">
        <v>5876</v>
      </c>
      <c r="H181" s="212">
        <v>1352</v>
      </c>
      <c r="I181" s="212">
        <v>5408</v>
      </c>
      <c r="J181" s="212">
        <v>0</v>
      </c>
      <c r="K181" s="212">
        <v>1821</v>
      </c>
      <c r="L181" s="212">
        <v>96000</v>
      </c>
      <c r="M181" s="212">
        <v>849</v>
      </c>
      <c r="N181" s="212">
        <v>37</v>
      </c>
    </row>
    <row r="182" spans="1:14" ht="13.5">
      <c r="A182" s="213">
        <v>2</v>
      </c>
      <c r="B182" s="214" t="s">
        <v>44</v>
      </c>
      <c r="C182" s="212"/>
      <c r="D182" s="212">
        <v>396</v>
      </c>
      <c r="E182" s="212">
        <v>2400</v>
      </c>
      <c r="F182" s="212">
        <v>0</v>
      </c>
      <c r="G182" s="212">
        <v>0</v>
      </c>
      <c r="H182" s="212">
        <v>0</v>
      </c>
      <c r="I182" s="212">
        <v>0</v>
      </c>
      <c r="J182" s="212">
        <v>0</v>
      </c>
      <c r="K182" s="212">
        <v>11073</v>
      </c>
      <c r="L182" s="212">
        <v>21000</v>
      </c>
      <c r="M182" s="212">
        <v>1589</v>
      </c>
      <c r="N182" s="212">
        <v>568</v>
      </c>
    </row>
    <row r="183" spans="1:14" ht="13.5">
      <c r="A183" s="213">
        <v>3</v>
      </c>
      <c r="B183" s="214" t="s">
        <v>45</v>
      </c>
      <c r="C183" s="212"/>
      <c r="D183" s="212">
        <v>0</v>
      </c>
      <c r="E183" s="212">
        <v>200</v>
      </c>
      <c r="F183" s="212">
        <v>156</v>
      </c>
      <c r="G183" s="212">
        <v>624</v>
      </c>
      <c r="H183" s="212">
        <v>182</v>
      </c>
      <c r="I183" s="212">
        <v>728</v>
      </c>
      <c r="J183" s="212">
        <v>0</v>
      </c>
      <c r="K183" s="212">
        <v>11049</v>
      </c>
      <c r="L183" s="212">
        <v>133800</v>
      </c>
      <c r="M183" s="212">
        <v>1968</v>
      </c>
      <c r="N183" s="212">
        <v>72</v>
      </c>
    </row>
    <row r="184" spans="1:14" ht="13.5">
      <c r="A184" s="213">
        <v>4</v>
      </c>
      <c r="B184" s="214" t="s">
        <v>46</v>
      </c>
      <c r="C184" s="212"/>
      <c r="D184" s="212">
        <v>0</v>
      </c>
      <c r="E184" s="212">
        <v>0</v>
      </c>
      <c r="F184" s="212">
        <v>0</v>
      </c>
      <c r="G184" s="212">
        <v>0</v>
      </c>
      <c r="H184" s="212">
        <v>0</v>
      </c>
      <c r="I184" s="212">
        <v>0</v>
      </c>
      <c r="J184" s="212">
        <v>0</v>
      </c>
      <c r="K184" s="212">
        <v>8877</v>
      </c>
      <c r="L184" s="212">
        <v>45500</v>
      </c>
      <c r="M184" s="212">
        <v>295</v>
      </c>
      <c r="N184" s="212">
        <v>6</v>
      </c>
    </row>
    <row r="185" spans="1:14" ht="13.5">
      <c r="A185" s="213">
        <v>5</v>
      </c>
      <c r="B185" s="214" t="s">
        <v>47</v>
      </c>
      <c r="C185" s="212"/>
      <c r="D185" s="212">
        <v>0</v>
      </c>
      <c r="E185" s="212">
        <v>0</v>
      </c>
      <c r="F185" s="212">
        <v>0</v>
      </c>
      <c r="G185" s="212">
        <v>0</v>
      </c>
      <c r="H185" s="212">
        <v>78</v>
      </c>
      <c r="I185" s="212">
        <v>312</v>
      </c>
      <c r="J185" s="212">
        <v>0</v>
      </c>
      <c r="K185" s="212">
        <v>6824</v>
      </c>
      <c r="L185" s="212">
        <v>0</v>
      </c>
      <c r="M185" s="212">
        <v>2378</v>
      </c>
      <c r="N185" s="212">
        <v>59</v>
      </c>
    </row>
    <row r="186" spans="1:14" ht="13.5">
      <c r="A186" s="213">
        <v>6</v>
      </c>
      <c r="B186" s="214" t="s">
        <v>48</v>
      </c>
      <c r="C186" s="212"/>
      <c r="D186" s="212">
        <v>0</v>
      </c>
      <c r="E186" s="212">
        <v>200</v>
      </c>
      <c r="F186" s="212">
        <v>0</v>
      </c>
      <c r="G186" s="212">
        <v>0</v>
      </c>
      <c r="H186" s="212">
        <v>0</v>
      </c>
      <c r="I186" s="212">
        <v>0</v>
      </c>
      <c r="J186" s="212">
        <v>0</v>
      </c>
      <c r="K186" s="212">
        <v>3041</v>
      </c>
      <c r="L186" s="212">
        <v>210000</v>
      </c>
      <c r="M186" s="212">
        <v>113</v>
      </c>
      <c r="N186" s="212">
        <v>17</v>
      </c>
    </row>
    <row r="187" spans="1:14" ht="13.5">
      <c r="A187" s="213">
        <v>7</v>
      </c>
      <c r="B187" s="214" t="s">
        <v>49</v>
      </c>
      <c r="C187" s="212"/>
      <c r="D187" s="212">
        <v>0</v>
      </c>
      <c r="E187" s="212">
        <v>2200</v>
      </c>
      <c r="F187" s="212">
        <v>663</v>
      </c>
      <c r="G187" s="212">
        <v>2652</v>
      </c>
      <c r="H187" s="212">
        <v>676</v>
      </c>
      <c r="I187" s="212">
        <v>2704</v>
      </c>
      <c r="J187" s="212">
        <v>0</v>
      </c>
      <c r="K187" s="212">
        <v>2336</v>
      </c>
      <c r="L187" s="212">
        <v>3000</v>
      </c>
      <c r="M187" s="212">
        <v>125</v>
      </c>
      <c r="N187" s="212">
        <v>557</v>
      </c>
    </row>
    <row r="188" spans="1:14" ht="13.5">
      <c r="A188" s="213">
        <v>8</v>
      </c>
      <c r="B188" s="214" t="s">
        <v>50</v>
      </c>
      <c r="C188" s="212"/>
      <c r="D188" s="212">
        <v>0</v>
      </c>
      <c r="E188" s="212">
        <v>1600</v>
      </c>
      <c r="F188" s="212">
        <v>0</v>
      </c>
      <c r="G188" s="212">
        <v>0</v>
      </c>
      <c r="H188" s="212">
        <v>0</v>
      </c>
      <c r="I188" s="212">
        <v>0</v>
      </c>
      <c r="J188" s="212">
        <v>0</v>
      </c>
      <c r="K188" s="212">
        <v>1926</v>
      </c>
      <c r="L188" s="212">
        <v>114500</v>
      </c>
      <c r="M188" s="212">
        <v>901</v>
      </c>
      <c r="N188" s="212">
        <v>581</v>
      </c>
    </row>
    <row r="189" spans="1:14" ht="13.5">
      <c r="A189" s="213">
        <v>9</v>
      </c>
      <c r="B189" s="214" t="s">
        <v>51</v>
      </c>
      <c r="C189" s="212"/>
      <c r="D189" s="212">
        <v>0</v>
      </c>
      <c r="E189" s="212">
        <v>0</v>
      </c>
      <c r="F189" s="212">
        <v>442</v>
      </c>
      <c r="G189" s="212">
        <v>1768</v>
      </c>
      <c r="H189" s="212">
        <v>403</v>
      </c>
      <c r="I189" s="212">
        <v>1612</v>
      </c>
      <c r="J189" s="212">
        <v>0</v>
      </c>
      <c r="K189" s="212">
        <v>1628</v>
      </c>
      <c r="L189" s="212">
        <v>32000</v>
      </c>
      <c r="M189" s="212">
        <v>90</v>
      </c>
      <c r="N189" s="212">
        <v>14</v>
      </c>
    </row>
    <row r="190" spans="1:14" ht="13.5">
      <c r="A190" s="213">
        <v>10</v>
      </c>
      <c r="B190" s="214" t="s">
        <v>52</v>
      </c>
      <c r="C190" s="212"/>
      <c r="D190" s="212">
        <v>0</v>
      </c>
      <c r="E190" s="212">
        <v>0</v>
      </c>
      <c r="F190" s="212">
        <v>26</v>
      </c>
      <c r="G190" s="212">
        <v>104</v>
      </c>
      <c r="H190" s="212">
        <v>39</v>
      </c>
      <c r="I190" s="212">
        <v>156</v>
      </c>
      <c r="J190" s="212">
        <v>0</v>
      </c>
      <c r="K190" s="212">
        <v>2446</v>
      </c>
      <c r="L190" s="212">
        <v>21000</v>
      </c>
      <c r="M190" s="212">
        <v>335</v>
      </c>
      <c r="N190" s="212">
        <v>193</v>
      </c>
    </row>
    <row r="191" spans="1:14" ht="13.5">
      <c r="A191" s="213">
        <v>11</v>
      </c>
      <c r="B191" s="214" t="s">
        <v>53</v>
      </c>
      <c r="C191" s="212"/>
      <c r="D191" s="212">
        <v>0</v>
      </c>
      <c r="E191" s="212">
        <v>0</v>
      </c>
      <c r="F191" s="212">
        <v>0</v>
      </c>
      <c r="G191" s="212">
        <v>0</v>
      </c>
      <c r="H191" s="212">
        <v>0</v>
      </c>
      <c r="I191" s="212">
        <v>0</v>
      </c>
      <c r="J191" s="212">
        <v>0</v>
      </c>
      <c r="K191" s="212">
        <v>6844</v>
      </c>
      <c r="L191" s="212">
        <v>109000</v>
      </c>
      <c r="M191" s="212">
        <v>0</v>
      </c>
      <c r="N191" s="212">
        <v>99</v>
      </c>
    </row>
    <row r="192" spans="1:14" ht="13.5">
      <c r="A192" s="213">
        <v>12</v>
      </c>
      <c r="B192" s="214" t="s">
        <v>54</v>
      </c>
      <c r="C192" s="212"/>
      <c r="D192" s="212">
        <v>1584</v>
      </c>
      <c r="E192" s="212">
        <v>0</v>
      </c>
      <c r="F192" s="212">
        <v>754</v>
      </c>
      <c r="G192" s="212">
        <v>3016</v>
      </c>
      <c r="H192" s="212">
        <v>104</v>
      </c>
      <c r="I192" s="212">
        <v>416</v>
      </c>
      <c r="J192" s="212">
        <v>0</v>
      </c>
      <c r="K192" s="212">
        <v>1332</v>
      </c>
      <c r="L192" s="212">
        <v>0</v>
      </c>
      <c r="M192" s="212">
        <v>102</v>
      </c>
      <c r="N192" s="212">
        <v>192</v>
      </c>
    </row>
    <row r="193" spans="1:15" ht="13.5">
      <c r="A193" s="213">
        <v>13</v>
      </c>
      <c r="B193" s="214" t="s">
        <v>55</v>
      </c>
      <c r="C193" s="212"/>
      <c r="D193" s="212">
        <v>0</v>
      </c>
      <c r="E193" s="212">
        <v>0</v>
      </c>
      <c r="F193" s="212">
        <v>260</v>
      </c>
      <c r="G193" s="212">
        <v>1040</v>
      </c>
      <c r="H193" s="212">
        <v>91</v>
      </c>
      <c r="I193" s="212">
        <v>364</v>
      </c>
      <c r="J193" s="212">
        <v>0</v>
      </c>
      <c r="K193" s="212">
        <v>3132</v>
      </c>
      <c r="L193" s="212">
        <v>61000</v>
      </c>
      <c r="M193" s="212">
        <v>29</v>
      </c>
      <c r="N193" s="212">
        <v>15</v>
      </c>
      <c r="O193" s="151">
        <v>10</v>
      </c>
    </row>
    <row r="194" spans="1:14" ht="13.5">
      <c r="A194" s="213">
        <v>14</v>
      </c>
      <c r="B194" s="214" t="s">
        <v>56</v>
      </c>
      <c r="C194" s="215"/>
      <c r="D194" s="212">
        <v>0</v>
      </c>
      <c r="E194" s="212">
        <v>0</v>
      </c>
      <c r="F194" s="212">
        <v>26</v>
      </c>
      <c r="G194" s="212">
        <v>104</v>
      </c>
      <c r="H194" s="212">
        <v>39</v>
      </c>
      <c r="I194" s="212">
        <v>156</v>
      </c>
      <c r="J194" s="212">
        <v>0</v>
      </c>
      <c r="K194" s="212">
        <v>1860</v>
      </c>
      <c r="L194" s="212">
        <v>76000</v>
      </c>
      <c r="M194" s="212">
        <v>830</v>
      </c>
      <c r="N194" s="212">
        <v>9</v>
      </c>
    </row>
    <row r="195" spans="1:14" ht="13.5">
      <c r="A195" s="216"/>
      <c r="B195" s="217" t="s">
        <v>197</v>
      </c>
      <c r="C195" s="218">
        <f aca="true" t="shared" si="28" ref="C195:N195">SUM(C181:C194)</f>
        <v>0</v>
      </c>
      <c r="D195" s="218">
        <f t="shared" si="28"/>
        <v>6138</v>
      </c>
      <c r="E195" s="218">
        <f t="shared" si="28"/>
        <v>26600</v>
      </c>
      <c r="F195" s="218">
        <f t="shared" si="28"/>
        <v>3796</v>
      </c>
      <c r="G195" s="218">
        <f t="shared" si="28"/>
        <v>15184</v>
      </c>
      <c r="H195" s="218">
        <f t="shared" si="28"/>
        <v>2964</v>
      </c>
      <c r="I195" s="218">
        <f t="shared" si="28"/>
        <v>11856</v>
      </c>
      <c r="J195" s="218">
        <f t="shared" si="28"/>
        <v>0</v>
      </c>
      <c r="K195" s="219">
        <f t="shared" si="28"/>
        <v>64189</v>
      </c>
      <c r="L195" s="219">
        <f t="shared" si="28"/>
        <v>922800</v>
      </c>
      <c r="M195" s="219">
        <f t="shared" si="28"/>
        <v>9604</v>
      </c>
      <c r="N195" s="219">
        <f t="shared" si="28"/>
        <v>2419</v>
      </c>
    </row>
    <row r="196" spans="1:14" ht="13.5">
      <c r="A196" s="220"/>
      <c r="B196" s="210" t="s">
        <v>198</v>
      </c>
      <c r="C196" s="221"/>
      <c r="D196" s="221"/>
      <c r="E196" s="221"/>
      <c r="F196" s="221">
        <f>F195+G195</f>
        <v>18980</v>
      </c>
      <c r="G196" s="221"/>
      <c r="H196" s="221">
        <f>H195+I195</f>
        <v>14820</v>
      </c>
      <c r="I196" s="221"/>
      <c r="J196" s="221"/>
      <c r="K196" s="221"/>
      <c r="L196" s="221"/>
      <c r="M196" s="221"/>
      <c r="N196" s="221"/>
    </row>
    <row r="197" spans="1:14" ht="13.5">
      <c r="A197" s="223"/>
      <c r="B197" s="224" t="s">
        <v>197</v>
      </c>
      <c r="C197" s="225">
        <v>0</v>
      </c>
      <c r="D197" s="225">
        <v>5346</v>
      </c>
      <c r="E197" s="225">
        <v>21400</v>
      </c>
      <c r="F197" s="225">
        <v>2366</v>
      </c>
      <c r="G197" s="225">
        <v>9464</v>
      </c>
      <c r="H197" s="225">
        <v>1599</v>
      </c>
      <c r="I197" s="225">
        <v>6396</v>
      </c>
      <c r="J197" s="225">
        <v>0</v>
      </c>
      <c r="K197" s="225">
        <v>68573.1618</v>
      </c>
      <c r="L197" s="225">
        <v>308500</v>
      </c>
      <c r="M197" s="225">
        <v>9616.2035</v>
      </c>
      <c r="N197" s="225">
        <v>2517.6400000000003</v>
      </c>
    </row>
    <row r="199" ht="12.75">
      <c r="K199" s="183" t="s">
        <v>199</v>
      </c>
    </row>
    <row r="200" spans="10:13" ht="12.75">
      <c r="J200" s="234"/>
      <c r="K200" s="184" t="s">
        <v>60</v>
      </c>
      <c r="M200" s="183"/>
    </row>
    <row r="201" spans="10:13" ht="15">
      <c r="J201" s="235"/>
      <c r="K201" s="184" t="s">
        <v>61</v>
      </c>
      <c r="M201" s="227"/>
    </row>
    <row r="202" spans="10:13" ht="15">
      <c r="J202" s="235"/>
      <c r="K202" s="184"/>
      <c r="M202" s="227"/>
    </row>
    <row r="203" spans="10:13" ht="15">
      <c r="J203" s="234"/>
      <c r="K203" s="184" t="s">
        <v>62</v>
      </c>
      <c r="M203" s="227"/>
    </row>
    <row r="204" spans="10:13" ht="15">
      <c r="J204" s="234"/>
      <c r="K204" s="184" t="s">
        <v>125</v>
      </c>
      <c r="M204" s="227"/>
    </row>
    <row r="208" spans="1:14" ht="12.75">
      <c r="A208" s="479" t="s">
        <v>181</v>
      </c>
      <c r="B208" s="479"/>
      <c r="C208" s="479"/>
      <c r="D208" s="479"/>
      <c r="E208" s="479"/>
      <c r="F208" s="479"/>
      <c r="G208" s="479"/>
      <c r="H208" s="479"/>
      <c r="I208" s="479"/>
      <c r="J208" s="479"/>
      <c r="K208" s="479"/>
      <c r="L208" s="479"/>
      <c r="M208" s="479"/>
      <c r="N208" s="479"/>
    </row>
    <row r="210" ht="12.75">
      <c r="A210" s="155" t="s">
        <v>182</v>
      </c>
    </row>
    <row r="211" spans="1:12" ht="14.25">
      <c r="A211" s="155" t="s">
        <v>188</v>
      </c>
      <c r="K211" s="155" t="s">
        <v>189</v>
      </c>
      <c r="L211" s="236" t="s">
        <v>209</v>
      </c>
    </row>
    <row r="213" spans="1:14" ht="12.75">
      <c r="A213" s="198" t="s">
        <v>183</v>
      </c>
      <c r="B213" s="199"/>
      <c r="C213" s="200" t="s">
        <v>114</v>
      </c>
      <c r="D213" s="201" t="s">
        <v>184</v>
      </c>
      <c r="E213" s="200" t="s">
        <v>113</v>
      </c>
      <c r="F213" s="471" t="s">
        <v>115</v>
      </c>
      <c r="G213" s="472"/>
      <c r="H213" s="471" t="s">
        <v>116</v>
      </c>
      <c r="I213" s="472"/>
      <c r="J213" s="201" t="s">
        <v>117</v>
      </c>
      <c r="K213" s="201" t="s">
        <v>185</v>
      </c>
      <c r="L213" s="201" t="s">
        <v>186</v>
      </c>
      <c r="M213" s="200" t="s">
        <v>121</v>
      </c>
      <c r="N213" s="201" t="s">
        <v>187</v>
      </c>
    </row>
    <row r="214" spans="1:14" ht="12.75">
      <c r="A214" s="203"/>
      <c r="B214" s="204"/>
      <c r="C214" s="205"/>
      <c r="D214" s="206"/>
      <c r="E214" s="205"/>
      <c r="F214" s="207" t="s">
        <v>191</v>
      </c>
      <c r="G214" s="208" t="s">
        <v>192</v>
      </c>
      <c r="H214" s="207" t="s">
        <v>191</v>
      </c>
      <c r="I214" s="208" t="s">
        <v>192</v>
      </c>
      <c r="J214" s="230"/>
      <c r="K214" s="230" t="s">
        <v>193</v>
      </c>
      <c r="L214" s="230"/>
      <c r="M214" s="208"/>
      <c r="N214" s="230" t="s">
        <v>194</v>
      </c>
    </row>
    <row r="215" spans="1:14" ht="13.5">
      <c r="A215" s="209">
        <v>1</v>
      </c>
      <c r="B215" s="210" t="s">
        <v>43</v>
      </c>
      <c r="C215" s="211"/>
      <c r="D215" s="212">
        <v>7128</v>
      </c>
      <c r="E215" s="212">
        <v>25600</v>
      </c>
      <c r="F215" s="212">
        <v>1235</v>
      </c>
      <c r="G215" s="212">
        <v>4940</v>
      </c>
      <c r="H215" s="212">
        <v>1131</v>
      </c>
      <c r="I215" s="212">
        <v>4524</v>
      </c>
      <c r="J215" s="212">
        <v>0</v>
      </c>
      <c r="K215" s="212">
        <v>1821</v>
      </c>
      <c r="L215" s="212">
        <v>92000</v>
      </c>
      <c r="M215" s="212">
        <v>849</v>
      </c>
      <c r="N215" s="212">
        <v>37</v>
      </c>
    </row>
    <row r="216" spans="1:14" ht="13.5">
      <c r="A216" s="213">
        <v>2</v>
      </c>
      <c r="B216" s="214" t="s">
        <v>44</v>
      </c>
      <c r="C216" s="211"/>
      <c r="D216" s="212">
        <v>0</v>
      </c>
      <c r="E216" s="212">
        <v>0</v>
      </c>
      <c r="F216" s="212">
        <v>0</v>
      </c>
      <c r="G216" s="212">
        <v>0</v>
      </c>
      <c r="H216" s="212">
        <v>0</v>
      </c>
      <c r="I216" s="212">
        <v>0</v>
      </c>
      <c r="J216" s="212">
        <v>0</v>
      </c>
      <c r="K216" s="212">
        <v>11073</v>
      </c>
      <c r="L216" s="212">
        <v>23500</v>
      </c>
      <c r="M216" s="212">
        <v>1589</v>
      </c>
      <c r="N216" s="212">
        <v>568</v>
      </c>
    </row>
    <row r="217" spans="1:14" ht="13.5">
      <c r="A217" s="213">
        <v>3</v>
      </c>
      <c r="B217" s="214" t="s">
        <v>45</v>
      </c>
      <c r="C217" s="211"/>
      <c r="D217" s="212">
        <v>0</v>
      </c>
      <c r="E217" s="212">
        <v>800</v>
      </c>
      <c r="F217" s="212">
        <v>208</v>
      </c>
      <c r="G217" s="212">
        <v>832</v>
      </c>
      <c r="H217" s="212">
        <v>234</v>
      </c>
      <c r="I217" s="212">
        <v>936</v>
      </c>
      <c r="J217" s="212">
        <v>0</v>
      </c>
      <c r="K217" s="212">
        <v>11049</v>
      </c>
      <c r="L217" s="212">
        <v>92300</v>
      </c>
      <c r="M217" s="212">
        <v>1968</v>
      </c>
      <c r="N217" s="212">
        <v>72</v>
      </c>
    </row>
    <row r="218" spans="1:14" ht="13.5">
      <c r="A218" s="213">
        <v>4</v>
      </c>
      <c r="B218" s="214" t="s">
        <v>46</v>
      </c>
      <c r="C218" s="211"/>
      <c r="D218" s="212">
        <v>0</v>
      </c>
      <c r="E218" s="212">
        <v>0</v>
      </c>
      <c r="F218" s="212">
        <v>0</v>
      </c>
      <c r="G218" s="212">
        <v>0</v>
      </c>
      <c r="H218" s="212">
        <v>0</v>
      </c>
      <c r="I218" s="212">
        <v>0</v>
      </c>
      <c r="J218" s="212">
        <v>0</v>
      </c>
      <c r="K218" s="212">
        <v>8884</v>
      </c>
      <c r="L218" s="212">
        <v>45500</v>
      </c>
      <c r="M218" s="212">
        <v>295</v>
      </c>
      <c r="N218" s="212">
        <v>7</v>
      </c>
    </row>
    <row r="219" spans="1:14" ht="13.5">
      <c r="A219" s="213">
        <v>5</v>
      </c>
      <c r="B219" s="214" t="s">
        <v>47</v>
      </c>
      <c r="C219" s="211"/>
      <c r="D219" s="212">
        <v>0</v>
      </c>
      <c r="E219" s="212">
        <v>0</v>
      </c>
      <c r="F219" s="212">
        <v>117</v>
      </c>
      <c r="G219" s="212">
        <v>468</v>
      </c>
      <c r="H219" s="212">
        <v>260</v>
      </c>
      <c r="I219" s="212">
        <v>1040</v>
      </c>
      <c r="J219" s="212">
        <v>0</v>
      </c>
      <c r="K219" s="212">
        <v>6822</v>
      </c>
      <c r="L219" s="212">
        <v>0</v>
      </c>
      <c r="M219" s="212">
        <v>2382</v>
      </c>
      <c r="N219" s="212">
        <v>59</v>
      </c>
    </row>
    <row r="220" spans="1:14" ht="13.5">
      <c r="A220" s="213">
        <v>6</v>
      </c>
      <c r="B220" s="214" t="s">
        <v>48</v>
      </c>
      <c r="C220" s="211"/>
      <c r="D220" s="212">
        <v>0</v>
      </c>
      <c r="E220" s="212">
        <v>200</v>
      </c>
      <c r="F220" s="212">
        <v>0</v>
      </c>
      <c r="G220" s="212">
        <v>0</v>
      </c>
      <c r="H220" s="212">
        <v>0</v>
      </c>
      <c r="I220" s="212">
        <v>0</v>
      </c>
      <c r="J220" s="212">
        <v>0</v>
      </c>
      <c r="K220" s="212">
        <v>3041</v>
      </c>
      <c r="L220" s="212">
        <v>210000</v>
      </c>
      <c r="M220" s="212">
        <v>113</v>
      </c>
      <c r="N220" s="212">
        <v>17</v>
      </c>
    </row>
    <row r="221" spans="1:14" ht="13.5">
      <c r="A221" s="213">
        <v>7</v>
      </c>
      <c r="B221" s="214" t="s">
        <v>49</v>
      </c>
      <c r="C221" s="211"/>
      <c r="D221" s="212">
        <v>0</v>
      </c>
      <c r="E221" s="212">
        <v>1800</v>
      </c>
      <c r="F221" s="212">
        <v>130</v>
      </c>
      <c r="G221" s="212">
        <v>520</v>
      </c>
      <c r="H221" s="212">
        <v>273</v>
      </c>
      <c r="I221" s="212">
        <v>1092</v>
      </c>
      <c r="J221" s="212">
        <v>0</v>
      </c>
      <c r="K221" s="212">
        <v>2332</v>
      </c>
      <c r="L221" s="212">
        <v>3000</v>
      </c>
      <c r="M221" s="212">
        <v>125</v>
      </c>
      <c r="N221" s="212">
        <v>557</v>
      </c>
    </row>
    <row r="222" spans="1:14" ht="13.5">
      <c r="A222" s="213">
        <v>8</v>
      </c>
      <c r="B222" s="214" t="s">
        <v>50</v>
      </c>
      <c r="C222" s="211"/>
      <c r="D222" s="212">
        <v>0</v>
      </c>
      <c r="E222" s="212">
        <v>600</v>
      </c>
      <c r="F222" s="212">
        <v>0</v>
      </c>
      <c r="G222" s="212">
        <v>0</v>
      </c>
      <c r="H222" s="212">
        <v>0</v>
      </c>
      <c r="I222" s="212">
        <v>0</v>
      </c>
      <c r="J222" s="212">
        <v>0</v>
      </c>
      <c r="K222" s="212">
        <v>1954</v>
      </c>
      <c r="L222" s="212">
        <v>116000</v>
      </c>
      <c r="M222" s="212">
        <v>901</v>
      </c>
      <c r="N222" s="212">
        <v>581</v>
      </c>
    </row>
    <row r="223" spans="1:14" ht="13.5">
      <c r="A223" s="213">
        <v>9</v>
      </c>
      <c r="B223" s="214" t="s">
        <v>51</v>
      </c>
      <c r="C223" s="211"/>
      <c r="D223" s="212">
        <v>0</v>
      </c>
      <c r="E223" s="212">
        <v>0</v>
      </c>
      <c r="F223" s="212">
        <v>351</v>
      </c>
      <c r="G223" s="212">
        <v>1404</v>
      </c>
      <c r="H223" s="212">
        <v>442</v>
      </c>
      <c r="I223" s="212">
        <v>1768</v>
      </c>
      <c r="J223" s="212">
        <v>0</v>
      </c>
      <c r="K223" s="212">
        <v>1628</v>
      </c>
      <c r="L223" s="212">
        <v>32000</v>
      </c>
      <c r="M223" s="212">
        <v>90</v>
      </c>
      <c r="N223" s="212">
        <v>14</v>
      </c>
    </row>
    <row r="224" spans="1:14" ht="13.5">
      <c r="A224" s="213">
        <v>10</v>
      </c>
      <c r="B224" s="214" t="s">
        <v>52</v>
      </c>
      <c r="C224" s="211"/>
      <c r="D224" s="212">
        <v>0</v>
      </c>
      <c r="E224" s="212">
        <v>0</v>
      </c>
      <c r="F224" s="212">
        <v>26</v>
      </c>
      <c r="G224" s="212">
        <v>104</v>
      </c>
      <c r="H224" s="212">
        <v>26</v>
      </c>
      <c r="I224" s="212">
        <v>104</v>
      </c>
      <c r="J224" s="212">
        <v>0</v>
      </c>
      <c r="K224" s="212">
        <v>2450</v>
      </c>
      <c r="L224" s="212">
        <v>21000</v>
      </c>
      <c r="M224" s="212">
        <v>336</v>
      </c>
      <c r="N224" s="212">
        <v>194</v>
      </c>
    </row>
    <row r="225" spans="1:14" ht="13.5">
      <c r="A225" s="213">
        <v>11</v>
      </c>
      <c r="B225" s="214" t="s">
        <v>53</v>
      </c>
      <c r="C225" s="211"/>
      <c r="D225" s="212">
        <v>0</v>
      </c>
      <c r="E225" s="212">
        <v>0</v>
      </c>
      <c r="F225" s="212">
        <v>0</v>
      </c>
      <c r="G225" s="212">
        <v>0</v>
      </c>
      <c r="H225" s="212">
        <v>0</v>
      </c>
      <c r="I225" s="212">
        <v>0</v>
      </c>
      <c r="J225" s="212">
        <v>0</v>
      </c>
      <c r="K225" s="212">
        <v>6844</v>
      </c>
      <c r="L225" s="212">
        <v>103000</v>
      </c>
      <c r="M225" s="212">
        <v>0</v>
      </c>
      <c r="N225" s="212">
        <v>0</v>
      </c>
    </row>
    <row r="226" spans="1:14" ht="13.5">
      <c r="A226" s="213">
        <v>12</v>
      </c>
      <c r="B226" s="214" t="s">
        <v>54</v>
      </c>
      <c r="C226" s="211"/>
      <c r="D226" s="212">
        <v>0</v>
      </c>
      <c r="E226" s="212">
        <v>0</v>
      </c>
      <c r="F226" s="212">
        <v>650</v>
      </c>
      <c r="G226" s="212">
        <v>2600</v>
      </c>
      <c r="H226" s="212">
        <v>130</v>
      </c>
      <c r="I226" s="212">
        <v>520</v>
      </c>
      <c r="J226" s="212">
        <v>0</v>
      </c>
      <c r="K226" s="212">
        <v>1310</v>
      </c>
      <c r="L226" s="212">
        <v>0</v>
      </c>
      <c r="M226" s="212">
        <v>86</v>
      </c>
      <c r="N226" s="212">
        <v>184</v>
      </c>
    </row>
    <row r="227" spans="1:14" ht="13.5">
      <c r="A227" s="213">
        <v>13</v>
      </c>
      <c r="B227" s="214" t="s">
        <v>55</v>
      </c>
      <c r="C227" s="211"/>
      <c r="D227" s="212">
        <v>0</v>
      </c>
      <c r="E227" s="212">
        <v>0</v>
      </c>
      <c r="F227" s="212">
        <v>260</v>
      </c>
      <c r="G227" s="212">
        <v>1040</v>
      </c>
      <c r="H227" s="212">
        <v>39</v>
      </c>
      <c r="I227" s="212">
        <v>156</v>
      </c>
      <c r="J227" s="212">
        <v>0</v>
      </c>
      <c r="K227" s="212">
        <v>3105</v>
      </c>
      <c r="L227" s="212">
        <v>61000</v>
      </c>
      <c r="M227" s="212">
        <v>29</v>
      </c>
      <c r="N227" s="212">
        <v>13</v>
      </c>
    </row>
    <row r="228" spans="1:14" ht="13.5">
      <c r="A228" s="213">
        <v>14</v>
      </c>
      <c r="B228" s="214" t="s">
        <v>56</v>
      </c>
      <c r="C228" s="211"/>
      <c r="D228" s="212">
        <v>1386</v>
      </c>
      <c r="E228" s="212">
        <v>800</v>
      </c>
      <c r="F228" s="212">
        <v>208</v>
      </c>
      <c r="G228" s="212">
        <v>832</v>
      </c>
      <c r="H228" s="212">
        <v>247</v>
      </c>
      <c r="I228" s="212">
        <v>988</v>
      </c>
      <c r="J228" s="212">
        <v>0</v>
      </c>
      <c r="K228" s="212">
        <v>1860</v>
      </c>
      <c r="L228" s="212">
        <v>34500</v>
      </c>
      <c r="M228" s="212">
        <v>830</v>
      </c>
      <c r="N228" s="212">
        <v>9</v>
      </c>
    </row>
    <row r="229" spans="1:14" ht="13.5">
      <c r="A229" s="216"/>
      <c r="B229" s="217" t="s">
        <v>197</v>
      </c>
      <c r="C229" s="218">
        <f aca="true" t="shared" si="29" ref="C229:J229">SUM(C215:C228)</f>
        <v>0</v>
      </c>
      <c r="D229" s="218">
        <f t="shared" si="29"/>
        <v>8514</v>
      </c>
      <c r="E229" s="218">
        <f t="shared" si="29"/>
        <v>29800</v>
      </c>
      <c r="F229" s="218">
        <f t="shared" si="29"/>
        <v>3185</v>
      </c>
      <c r="G229" s="218">
        <f t="shared" si="29"/>
        <v>12740</v>
      </c>
      <c r="H229" s="218">
        <f t="shared" si="29"/>
        <v>2782</v>
      </c>
      <c r="I229" s="218">
        <f t="shared" si="29"/>
        <v>11128</v>
      </c>
      <c r="J229" s="218">
        <f t="shared" si="29"/>
        <v>0</v>
      </c>
      <c r="K229" s="218">
        <v>64173</v>
      </c>
      <c r="L229" s="218">
        <v>833800</v>
      </c>
      <c r="M229" s="218">
        <v>9593</v>
      </c>
      <c r="N229" s="218">
        <v>2312</v>
      </c>
    </row>
    <row r="230" spans="1:14" ht="13.5">
      <c r="A230" s="220"/>
      <c r="B230" s="210" t="s">
        <v>198</v>
      </c>
      <c r="C230" s="221"/>
      <c r="D230" s="221"/>
      <c r="E230" s="221"/>
      <c r="F230" s="221">
        <f>F229+G229</f>
        <v>15925</v>
      </c>
      <c r="G230" s="221"/>
      <c r="H230" s="221">
        <f>H229+I229</f>
        <v>13910</v>
      </c>
      <c r="I230" s="221"/>
      <c r="J230" s="221"/>
      <c r="K230" s="221"/>
      <c r="L230" s="221"/>
      <c r="M230" s="221"/>
      <c r="N230" s="221"/>
    </row>
    <row r="231" spans="1:14" ht="13.5">
      <c r="A231" s="223"/>
      <c r="B231" s="224" t="s">
        <v>197</v>
      </c>
      <c r="C231" s="225">
        <v>0</v>
      </c>
      <c r="D231" s="225">
        <v>108702</v>
      </c>
      <c r="E231" s="225">
        <v>92800</v>
      </c>
      <c r="F231" s="225">
        <v>64857</v>
      </c>
      <c r="G231" s="225">
        <v>15496</v>
      </c>
      <c r="H231" s="225">
        <v>21944</v>
      </c>
      <c r="I231" s="225">
        <v>13104</v>
      </c>
      <c r="J231" s="225">
        <v>0</v>
      </c>
      <c r="K231" s="225">
        <v>66908</v>
      </c>
      <c r="L231" s="225">
        <v>484750</v>
      </c>
      <c r="M231" s="225">
        <v>14888</v>
      </c>
      <c r="N231" s="225">
        <v>2458</v>
      </c>
    </row>
    <row r="233" ht="12.75">
      <c r="K233" s="183" t="s">
        <v>199</v>
      </c>
    </row>
    <row r="234" spans="10:13" ht="12.75">
      <c r="J234" s="234"/>
      <c r="K234" s="184" t="s">
        <v>60</v>
      </c>
      <c r="M234" s="183"/>
    </row>
    <row r="235" spans="10:13" ht="15">
      <c r="J235" s="235"/>
      <c r="K235" s="184" t="s">
        <v>61</v>
      </c>
      <c r="M235" s="227"/>
    </row>
    <row r="236" spans="10:13" ht="15">
      <c r="J236" s="235"/>
      <c r="K236" s="184"/>
      <c r="M236" s="227"/>
    </row>
    <row r="237" spans="10:13" ht="15">
      <c r="J237" s="234"/>
      <c r="K237" s="184" t="s">
        <v>62</v>
      </c>
      <c r="M237" s="227"/>
    </row>
    <row r="238" spans="10:13" ht="15">
      <c r="J238" s="234"/>
      <c r="K238" s="184" t="s">
        <v>125</v>
      </c>
      <c r="M238" s="227"/>
    </row>
    <row r="242" spans="1:14" ht="12.75">
      <c r="A242" s="479" t="s">
        <v>181</v>
      </c>
      <c r="B242" s="479"/>
      <c r="C242" s="479"/>
      <c r="D242" s="479"/>
      <c r="E242" s="479"/>
      <c r="F242" s="479"/>
      <c r="G242" s="479"/>
      <c r="H242" s="479"/>
      <c r="I242" s="479"/>
      <c r="J242" s="479"/>
      <c r="K242" s="479"/>
      <c r="L242" s="479"/>
      <c r="M242" s="479"/>
      <c r="N242" s="479"/>
    </row>
    <row r="244" ht="12.75">
      <c r="A244" s="155" t="s">
        <v>182</v>
      </c>
    </row>
    <row r="245" spans="1:12" ht="14.25">
      <c r="A245" s="155" t="s">
        <v>188</v>
      </c>
      <c r="K245" s="155" t="s">
        <v>189</v>
      </c>
      <c r="L245" s="236" t="s">
        <v>210</v>
      </c>
    </row>
    <row r="247" spans="1:14" ht="12.75">
      <c r="A247" s="198" t="s">
        <v>183</v>
      </c>
      <c r="B247" s="199"/>
      <c r="C247" s="200" t="s">
        <v>114</v>
      </c>
      <c r="D247" s="201" t="s">
        <v>184</v>
      </c>
      <c r="E247" s="200" t="s">
        <v>113</v>
      </c>
      <c r="F247" s="471" t="s">
        <v>115</v>
      </c>
      <c r="G247" s="472"/>
      <c r="H247" s="471" t="s">
        <v>116</v>
      </c>
      <c r="I247" s="472"/>
      <c r="J247" s="201" t="s">
        <v>117</v>
      </c>
      <c r="K247" s="201" t="s">
        <v>185</v>
      </c>
      <c r="L247" s="201" t="s">
        <v>186</v>
      </c>
      <c r="M247" s="200" t="s">
        <v>121</v>
      </c>
      <c r="N247" s="201" t="s">
        <v>187</v>
      </c>
    </row>
    <row r="248" spans="1:14" ht="12.75">
      <c r="A248" s="203"/>
      <c r="B248" s="204"/>
      <c r="C248" s="205"/>
      <c r="D248" s="206"/>
      <c r="E248" s="205"/>
      <c r="F248" s="207" t="s">
        <v>191</v>
      </c>
      <c r="G248" s="208" t="s">
        <v>192</v>
      </c>
      <c r="H248" s="207" t="s">
        <v>191</v>
      </c>
      <c r="I248" s="208" t="s">
        <v>192</v>
      </c>
      <c r="J248" s="230"/>
      <c r="K248" s="230" t="s">
        <v>193</v>
      </c>
      <c r="L248" s="230"/>
      <c r="M248" s="208"/>
      <c r="N248" s="230" t="s">
        <v>194</v>
      </c>
    </row>
    <row r="249" spans="1:14" ht="13.5">
      <c r="A249" s="209">
        <v>1</v>
      </c>
      <c r="B249" s="210" t="s">
        <v>43</v>
      </c>
      <c r="C249" s="212">
        <v>0</v>
      </c>
      <c r="D249" s="212">
        <v>19998</v>
      </c>
      <c r="E249" s="212">
        <v>37000</v>
      </c>
      <c r="F249" s="212">
        <v>9685</v>
      </c>
      <c r="G249" s="212">
        <v>38740</v>
      </c>
      <c r="H249" s="212">
        <v>6669</v>
      </c>
      <c r="I249" s="212">
        <v>26676</v>
      </c>
      <c r="J249" s="212">
        <v>0</v>
      </c>
      <c r="K249" s="212">
        <v>1827</v>
      </c>
      <c r="L249" s="212">
        <v>99000</v>
      </c>
      <c r="M249" s="212">
        <v>772</v>
      </c>
      <c r="N249" s="212">
        <v>38</v>
      </c>
    </row>
    <row r="250" spans="1:14" ht="13.5">
      <c r="A250" s="213">
        <v>2</v>
      </c>
      <c r="B250" s="214" t="s">
        <v>44</v>
      </c>
      <c r="C250" s="212">
        <v>0</v>
      </c>
      <c r="D250" s="212">
        <v>8118</v>
      </c>
      <c r="E250" s="212">
        <v>8200</v>
      </c>
      <c r="F250" s="212">
        <v>1846</v>
      </c>
      <c r="G250" s="212">
        <v>7384</v>
      </c>
      <c r="H250" s="212">
        <v>4420</v>
      </c>
      <c r="I250" s="212">
        <v>17680</v>
      </c>
      <c r="J250" s="212">
        <v>0</v>
      </c>
      <c r="K250" s="212">
        <v>11085</v>
      </c>
      <c r="L250" s="212">
        <v>23500</v>
      </c>
      <c r="M250" s="212">
        <v>1587</v>
      </c>
      <c r="N250" s="212">
        <v>569</v>
      </c>
    </row>
    <row r="251" spans="1:14" ht="13.5">
      <c r="A251" s="213">
        <v>3</v>
      </c>
      <c r="B251" s="214" t="s">
        <v>45</v>
      </c>
      <c r="C251" s="212">
        <v>0</v>
      </c>
      <c r="D251" s="212">
        <v>0</v>
      </c>
      <c r="E251" s="212">
        <v>600</v>
      </c>
      <c r="F251" s="212">
        <v>156</v>
      </c>
      <c r="G251" s="212">
        <v>624</v>
      </c>
      <c r="H251" s="212">
        <v>221</v>
      </c>
      <c r="I251" s="212">
        <v>884</v>
      </c>
      <c r="J251" s="212">
        <v>0</v>
      </c>
      <c r="K251" s="212">
        <v>11068</v>
      </c>
      <c r="L251" s="212">
        <v>140300</v>
      </c>
      <c r="M251" s="212">
        <v>2001</v>
      </c>
      <c r="N251" s="212">
        <v>72</v>
      </c>
    </row>
    <row r="252" spans="1:14" ht="13.5">
      <c r="A252" s="213">
        <v>4</v>
      </c>
      <c r="B252" s="214" t="s">
        <v>46</v>
      </c>
      <c r="C252" s="212">
        <v>0</v>
      </c>
      <c r="D252" s="212">
        <v>5346</v>
      </c>
      <c r="E252" s="212">
        <v>7920</v>
      </c>
      <c r="F252" s="212">
        <v>4134</v>
      </c>
      <c r="G252" s="212">
        <v>16536</v>
      </c>
      <c r="H252" s="212">
        <v>2678</v>
      </c>
      <c r="I252" s="212">
        <v>10712</v>
      </c>
      <c r="J252" s="212">
        <v>0</v>
      </c>
      <c r="K252" s="212">
        <v>8878</v>
      </c>
      <c r="L252" s="212">
        <v>130000</v>
      </c>
      <c r="M252" s="212">
        <v>301</v>
      </c>
      <c r="N252" s="212">
        <v>7</v>
      </c>
    </row>
    <row r="253" spans="1:14" ht="13.5">
      <c r="A253" s="213">
        <v>5</v>
      </c>
      <c r="B253" s="214" t="s">
        <v>47</v>
      </c>
      <c r="C253" s="212">
        <v>0</v>
      </c>
      <c r="D253" s="212">
        <v>0</v>
      </c>
      <c r="E253" s="212">
        <v>0</v>
      </c>
      <c r="F253" s="212">
        <v>169</v>
      </c>
      <c r="G253" s="212">
        <v>676</v>
      </c>
      <c r="H253" s="212">
        <v>286</v>
      </c>
      <c r="I253" s="212">
        <v>1144</v>
      </c>
      <c r="J253" s="212">
        <v>0</v>
      </c>
      <c r="K253" s="212">
        <v>6826</v>
      </c>
      <c r="L253" s="212">
        <v>0</v>
      </c>
      <c r="M253" s="212">
        <v>2415</v>
      </c>
      <c r="N253" s="212">
        <v>59</v>
      </c>
    </row>
    <row r="254" spans="1:14" ht="13.5">
      <c r="A254" s="213">
        <v>6</v>
      </c>
      <c r="B254" s="214" t="s">
        <v>48</v>
      </c>
      <c r="C254" s="212">
        <v>0</v>
      </c>
      <c r="D254" s="212">
        <v>198</v>
      </c>
      <c r="E254" s="212">
        <v>200</v>
      </c>
      <c r="F254" s="212">
        <v>0</v>
      </c>
      <c r="G254" s="212">
        <v>0</v>
      </c>
      <c r="H254" s="212">
        <v>0</v>
      </c>
      <c r="I254" s="212">
        <v>0</v>
      </c>
      <c r="J254" s="212">
        <v>0</v>
      </c>
      <c r="K254" s="212">
        <v>3076</v>
      </c>
      <c r="L254" s="212">
        <v>207000</v>
      </c>
      <c r="M254" s="212">
        <v>130</v>
      </c>
      <c r="N254" s="212">
        <v>19</v>
      </c>
    </row>
    <row r="255" spans="1:14" ht="13.5">
      <c r="A255" s="213">
        <v>7</v>
      </c>
      <c r="B255" s="214" t="s">
        <v>49</v>
      </c>
      <c r="C255" s="212">
        <v>0</v>
      </c>
      <c r="D255" s="212">
        <v>1188</v>
      </c>
      <c r="E255" s="212">
        <v>17520</v>
      </c>
      <c r="F255" s="212">
        <v>624</v>
      </c>
      <c r="G255" s="212">
        <v>2496</v>
      </c>
      <c r="H255" s="212">
        <v>3393</v>
      </c>
      <c r="I255" s="212">
        <v>13572</v>
      </c>
      <c r="J255" s="212">
        <v>0</v>
      </c>
      <c r="K255" s="212">
        <v>2332</v>
      </c>
      <c r="L255" s="212">
        <v>3000</v>
      </c>
      <c r="M255" s="212">
        <v>125</v>
      </c>
      <c r="N255" s="212">
        <v>557</v>
      </c>
    </row>
    <row r="256" spans="1:14" ht="13.5">
      <c r="A256" s="213">
        <v>8</v>
      </c>
      <c r="B256" s="214" t="s">
        <v>50</v>
      </c>
      <c r="C256" s="212">
        <v>0</v>
      </c>
      <c r="D256" s="212">
        <v>0</v>
      </c>
      <c r="E256" s="212">
        <v>2400</v>
      </c>
      <c r="F256" s="212">
        <v>0</v>
      </c>
      <c r="G256" s="212">
        <v>0</v>
      </c>
      <c r="H256" s="212">
        <v>0</v>
      </c>
      <c r="I256" s="212">
        <v>0</v>
      </c>
      <c r="J256" s="212">
        <v>0</v>
      </c>
      <c r="K256" s="212">
        <v>1954</v>
      </c>
      <c r="L256" s="212">
        <v>117000</v>
      </c>
      <c r="M256" s="212">
        <v>901</v>
      </c>
      <c r="N256" s="212">
        <v>581</v>
      </c>
    </row>
    <row r="257" spans="1:14" ht="13.5">
      <c r="A257" s="213">
        <v>9</v>
      </c>
      <c r="B257" s="214" t="s">
        <v>51</v>
      </c>
      <c r="C257" s="212">
        <v>0</v>
      </c>
      <c r="D257" s="212">
        <v>3366</v>
      </c>
      <c r="E257" s="212">
        <v>2160</v>
      </c>
      <c r="F257" s="212">
        <v>3289</v>
      </c>
      <c r="G257" s="212">
        <v>13156</v>
      </c>
      <c r="H257" s="212">
        <v>2288</v>
      </c>
      <c r="I257" s="212">
        <v>9152</v>
      </c>
      <c r="J257" s="212">
        <v>0</v>
      </c>
      <c r="K257" s="212">
        <v>1645</v>
      </c>
      <c r="L257" s="212">
        <v>32000</v>
      </c>
      <c r="M257" s="212">
        <v>90</v>
      </c>
      <c r="N257" s="212">
        <v>13</v>
      </c>
    </row>
    <row r="258" spans="1:14" ht="13.5">
      <c r="A258" s="213">
        <v>10</v>
      </c>
      <c r="B258" s="214" t="s">
        <v>52</v>
      </c>
      <c r="C258" s="212">
        <v>0</v>
      </c>
      <c r="D258" s="212">
        <v>0</v>
      </c>
      <c r="E258" s="212">
        <v>0</v>
      </c>
      <c r="F258" s="212">
        <v>26</v>
      </c>
      <c r="G258" s="212">
        <v>104</v>
      </c>
      <c r="H258" s="212">
        <v>26</v>
      </c>
      <c r="I258" s="212">
        <v>104</v>
      </c>
      <c r="J258" s="212">
        <v>0</v>
      </c>
      <c r="K258" s="212">
        <v>2441</v>
      </c>
      <c r="L258" s="212">
        <v>24000</v>
      </c>
      <c r="M258" s="212">
        <v>334</v>
      </c>
      <c r="N258" s="212">
        <v>192</v>
      </c>
    </row>
    <row r="259" spans="1:14" ht="13.5">
      <c r="A259" s="213">
        <v>11</v>
      </c>
      <c r="B259" s="214" t="s">
        <v>53</v>
      </c>
      <c r="C259" s="212">
        <v>0</v>
      </c>
      <c r="D259" s="212">
        <v>23760</v>
      </c>
      <c r="E259" s="212">
        <v>7200</v>
      </c>
      <c r="F259" s="212">
        <v>4940</v>
      </c>
      <c r="G259" s="212">
        <v>19760</v>
      </c>
      <c r="H259" s="212">
        <v>1300</v>
      </c>
      <c r="I259" s="212">
        <v>5200</v>
      </c>
      <c r="J259" s="212">
        <v>0</v>
      </c>
      <c r="K259" s="212">
        <v>7069</v>
      </c>
      <c r="L259" s="212">
        <v>115000</v>
      </c>
      <c r="M259" s="212">
        <v>409</v>
      </c>
      <c r="N259" s="212">
        <v>140</v>
      </c>
    </row>
    <row r="260" spans="1:14" ht="13.5">
      <c r="A260" s="213">
        <v>12</v>
      </c>
      <c r="B260" s="214" t="s">
        <v>54</v>
      </c>
      <c r="C260" s="212">
        <v>0</v>
      </c>
      <c r="D260" s="212">
        <v>198</v>
      </c>
      <c r="E260" s="212">
        <v>0</v>
      </c>
      <c r="F260" s="212">
        <v>910</v>
      </c>
      <c r="G260" s="212">
        <v>3640</v>
      </c>
      <c r="H260" s="212">
        <v>156</v>
      </c>
      <c r="I260" s="212">
        <v>624</v>
      </c>
      <c r="J260" s="212">
        <v>0</v>
      </c>
      <c r="K260" s="212">
        <v>1310</v>
      </c>
      <c r="L260" s="212">
        <v>0</v>
      </c>
      <c r="M260" s="212">
        <v>86</v>
      </c>
      <c r="N260" s="212">
        <v>184</v>
      </c>
    </row>
    <row r="261" spans="1:14" ht="13.5">
      <c r="A261" s="213">
        <v>13</v>
      </c>
      <c r="B261" s="214" t="s">
        <v>55</v>
      </c>
      <c r="C261" s="212">
        <v>0</v>
      </c>
      <c r="D261" s="212">
        <v>0</v>
      </c>
      <c r="E261" s="212">
        <v>0</v>
      </c>
      <c r="F261" s="212">
        <v>208</v>
      </c>
      <c r="G261" s="212">
        <v>832</v>
      </c>
      <c r="H261" s="212">
        <v>78</v>
      </c>
      <c r="I261" s="212">
        <v>312</v>
      </c>
      <c r="J261" s="212">
        <v>0</v>
      </c>
      <c r="K261" s="212">
        <v>3105</v>
      </c>
      <c r="L261" s="212">
        <v>66000</v>
      </c>
      <c r="M261" s="212">
        <v>29</v>
      </c>
      <c r="N261" s="212">
        <v>13</v>
      </c>
    </row>
    <row r="262" spans="1:14" ht="13.5">
      <c r="A262" s="213">
        <v>14</v>
      </c>
      <c r="B262" s="214" t="s">
        <v>56</v>
      </c>
      <c r="C262" s="212">
        <v>0</v>
      </c>
      <c r="D262" s="212">
        <v>0</v>
      </c>
      <c r="E262" s="212">
        <v>0</v>
      </c>
      <c r="F262" s="212">
        <v>52</v>
      </c>
      <c r="G262" s="212">
        <v>208</v>
      </c>
      <c r="H262" s="212">
        <v>78</v>
      </c>
      <c r="I262" s="212">
        <v>312</v>
      </c>
      <c r="J262" s="212">
        <v>0</v>
      </c>
      <c r="K262" s="212">
        <v>1889</v>
      </c>
      <c r="L262" s="212">
        <v>75000</v>
      </c>
      <c r="M262" s="212">
        <v>830</v>
      </c>
      <c r="N262" s="212">
        <v>9</v>
      </c>
    </row>
    <row r="263" spans="1:14" ht="13.5">
      <c r="A263" s="216"/>
      <c r="B263" s="217" t="s">
        <v>197</v>
      </c>
      <c r="C263" s="218">
        <f aca="true" t="shared" si="30" ref="C263:J263">SUM(C249:C262)</f>
        <v>0</v>
      </c>
      <c r="D263" s="218">
        <f t="shared" si="30"/>
        <v>62172</v>
      </c>
      <c r="E263" s="218">
        <f t="shared" si="30"/>
        <v>83200</v>
      </c>
      <c r="F263" s="218">
        <f t="shared" si="30"/>
        <v>26039</v>
      </c>
      <c r="G263" s="218">
        <f t="shared" si="30"/>
        <v>104156</v>
      </c>
      <c r="H263" s="218">
        <f t="shared" si="30"/>
        <v>21593</v>
      </c>
      <c r="I263" s="218">
        <f t="shared" si="30"/>
        <v>86372</v>
      </c>
      <c r="J263" s="218">
        <f t="shared" si="30"/>
        <v>0</v>
      </c>
      <c r="K263" s="218">
        <v>64505</v>
      </c>
      <c r="L263" s="218">
        <v>1031800</v>
      </c>
      <c r="M263" s="218">
        <v>10010</v>
      </c>
      <c r="N263" s="218">
        <v>2453</v>
      </c>
    </row>
    <row r="264" spans="1:14" ht="13.5">
      <c r="A264" s="220"/>
      <c r="B264" s="210" t="s">
        <v>198</v>
      </c>
      <c r="C264" s="221"/>
      <c r="D264" s="221">
        <v>0</v>
      </c>
      <c r="E264" s="221"/>
      <c r="F264" s="221">
        <v>130195</v>
      </c>
      <c r="G264" s="221"/>
      <c r="H264" s="221">
        <v>107965</v>
      </c>
      <c r="I264" s="221"/>
      <c r="J264" s="221"/>
      <c r="K264" s="221"/>
      <c r="L264" s="221"/>
      <c r="M264" s="221"/>
      <c r="N264" s="221"/>
    </row>
    <row r="265" spans="1:14" ht="13.5">
      <c r="A265" s="223"/>
      <c r="B265" s="224" t="s">
        <v>197</v>
      </c>
      <c r="C265" s="225">
        <v>0</v>
      </c>
      <c r="D265" s="225">
        <v>108702</v>
      </c>
      <c r="E265" s="225">
        <v>92800</v>
      </c>
      <c r="F265" s="225">
        <v>64857</v>
      </c>
      <c r="G265" s="225">
        <v>15496</v>
      </c>
      <c r="H265" s="225">
        <v>21944</v>
      </c>
      <c r="I265" s="225">
        <v>13104</v>
      </c>
      <c r="J265" s="225">
        <v>0</v>
      </c>
      <c r="K265" s="225">
        <v>66908</v>
      </c>
      <c r="L265" s="225">
        <v>484750</v>
      </c>
      <c r="M265" s="225">
        <v>14888</v>
      </c>
      <c r="N265" s="225">
        <v>2458</v>
      </c>
    </row>
    <row r="267" ht="12.75">
      <c r="K267" s="183" t="s">
        <v>199</v>
      </c>
    </row>
    <row r="268" spans="10:13" ht="12.75">
      <c r="J268" s="234"/>
      <c r="K268" s="184" t="s">
        <v>60</v>
      </c>
      <c r="M268" s="183"/>
    </row>
    <row r="269" spans="10:13" ht="15">
      <c r="J269" s="235"/>
      <c r="K269" s="184" t="s">
        <v>61</v>
      </c>
      <c r="M269" s="227"/>
    </row>
    <row r="270" spans="10:13" ht="15">
      <c r="J270" s="235"/>
      <c r="K270" s="184"/>
      <c r="M270" s="227"/>
    </row>
    <row r="271" spans="10:13" ht="15">
      <c r="J271" s="234"/>
      <c r="K271" s="184" t="s">
        <v>62</v>
      </c>
      <c r="M271" s="227"/>
    </row>
    <row r="272" spans="10:13" ht="15">
      <c r="J272" s="234"/>
      <c r="K272" s="184" t="s">
        <v>125</v>
      </c>
      <c r="M272" s="227"/>
    </row>
    <row r="276" spans="1:14" ht="12.75">
      <c r="A276" s="479" t="s">
        <v>181</v>
      </c>
      <c r="B276" s="479"/>
      <c r="C276" s="479"/>
      <c r="D276" s="479"/>
      <c r="E276" s="479"/>
      <c r="F276" s="479"/>
      <c r="G276" s="479"/>
      <c r="H276" s="479"/>
      <c r="I276" s="479"/>
      <c r="J276" s="479"/>
      <c r="K276" s="479"/>
      <c r="L276" s="479"/>
      <c r="M276" s="479"/>
      <c r="N276" s="479"/>
    </row>
    <row r="278" ht="12.75">
      <c r="A278" s="155" t="s">
        <v>182</v>
      </c>
    </row>
    <row r="279" spans="1:12" ht="14.25">
      <c r="A279" s="155" t="s">
        <v>188</v>
      </c>
      <c r="K279" s="155" t="s">
        <v>189</v>
      </c>
      <c r="L279" s="236" t="s">
        <v>211</v>
      </c>
    </row>
    <row r="281" spans="1:14" ht="12.75">
      <c r="A281" s="198" t="s">
        <v>183</v>
      </c>
      <c r="B281" s="199"/>
      <c r="C281" s="200" t="s">
        <v>114</v>
      </c>
      <c r="D281" s="201" t="s">
        <v>184</v>
      </c>
      <c r="E281" s="200" t="s">
        <v>113</v>
      </c>
      <c r="F281" s="471" t="s">
        <v>115</v>
      </c>
      <c r="G281" s="472"/>
      <c r="H281" s="471" t="s">
        <v>116</v>
      </c>
      <c r="I281" s="472"/>
      <c r="J281" s="201" t="s">
        <v>117</v>
      </c>
      <c r="K281" s="201" t="s">
        <v>185</v>
      </c>
      <c r="L281" s="201" t="s">
        <v>186</v>
      </c>
      <c r="M281" s="200" t="s">
        <v>121</v>
      </c>
      <c r="N281" s="201" t="s">
        <v>187</v>
      </c>
    </row>
    <row r="282" spans="1:14" ht="12.75">
      <c r="A282" s="203"/>
      <c r="B282" s="204"/>
      <c r="C282" s="205"/>
      <c r="D282" s="206"/>
      <c r="E282" s="205"/>
      <c r="F282" s="207" t="s">
        <v>191</v>
      </c>
      <c r="G282" s="208" t="s">
        <v>192</v>
      </c>
      <c r="H282" s="207" t="s">
        <v>191</v>
      </c>
      <c r="I282" s="208" t="s">
        <v>192</v>
      </c>
      <c r="J282" s="230"/>
      <c r="K282" s="230" t="s">
        <v>193</v>
      </c>
      <c r="L282" s="230"/>
      <c r="M282" s="208"/>
      <c r="N282" s="230" t="s">
        <v>194</v>
      </c>
    </row>
    <row r="283" spans="1:14" ht="13.5">
      <c r="A283" s="209">
        <v>1</v>
      </c>
      <c r="B283" s="210" t="s">
        <v>43</v>
      </c>
      <c r="C283" s="211">
        <v>0</v>
      </c>
      <c r="D283" s="212">
        <v>19404</v>
      </c>
      <c r="E283" s="212">
        <v>36600</v>
      </c>
      <c r="F283" s="212">
        <v>10920</v>
      </c>
      <c r="G283" s="212">
        <v>4940</v>
      </c>
      <c r="H283" s="212">
        <v>6097</v>
      </c>
      <c r="I283" s="212">
        <v>4524</v>
      </c>
      <c r="J283" s="212">
        <v>0</v>
      </c>
      <c r="K283" s="212">
        <v>1818</v>
      </c>
      <c r="L283" s="212">
        <v>100000</v>
      </c>
      <c r="M283" s="212">
        <v>757</v>
      </c>
      <c r="N283" s="212">
        <v>39</v>
      </c>
    </row>
    <row r="284" spans="1:14" ht="13.5">
      <c r="A284" s="213">
        <v>2</v>
      </c>
      <c r="B284" s="214" t="s">
        <v>44</v>
      </c>
      <c r="C284" s="212">
        <v>0</v>
      </c>
      <c r="D284" s="212">
        <v>8118</v>
      </c>
      <c r="E284" s="212">
        <v>8200</v>
      </c>
      <c r="F284" s="212">
        <v>1846</v>
      </c>
      <c r="G284" s="212">
        <v>0</v>
      </c>
      <c r="H284" s="212">
        <v>4420</v>
      </c>
      <c r="I284" s="212">
        <v>0</v>
      </c>
      <c r="J284" s="212">
        <v>0</v>
      </c>
      <c r="K284" s="212">
        <v>11093</v>
      </c>
      <c r="L284" s="212">
        <v>23500</v>
      </c>
      <c r="M284" s="212">
        <v>1591</v>
      </c>
      <c r="N284" s="212">
        <v>570</v>
      </c>
    </row>
    <row r="285" spans="1:14" ht="13.5">
      <c r="A285" s="213">
        <v>3</v>
      </c>
      <c r="B285" s="214" t="s">
        <v>45</v>
      </c>
      <c r="C285" s="212">
        <v>0</v>
      </c>
      <c r="D285" s="212">
        <v>792</v>
      </c>
      <c r="E285" s="212">
        <v>4200</v>
      </c>
      <c r="F285" s="212">
        <v>2197</v>
      </c>
      <c r="G285" s="212">
        <v>832</v>
      </c>
      <c r="H285" s="212">
        <v>1547</v>
      </c>
      <c r="I285" s="212">
        <v>936</v>
      </c>
      <c r="J285" s="212">
        <v>0</v>
      </c>
      <c r="K285" s="212">
        <v>11068</v>
      </c>
      <c r="L285" s="212">
        <v>85500</v>
      </c>
      <c r="M285" s="212">
        <v>2056</v>
      </c>
      <c r="N285" s="212">
        <v>72</v>
      </c>
    </row>
    <row r="286" spans="1:14" ht="13.5">
      <c r="A286" s="213">
        <v>4</v>
      </c>
      <c r="B286" s="214" t="s">
        <v>46</v>
      </c>
      <c r="C286" s="212">
        <v>0</v>
      </c>
      <c r="D286" s="212">
        <v>5346</v>
      </c>
      <c r="E286" s="212">
        <v>6600</v>
      </c>
      <c r="F286" s="212">
        <v>4134</v>
      </c>
      <c r="G286" s="212">
        <v>0</v>
      </c>
      <c r="H286" s="212">
        <v>2678</v>
      </c>
      <c r="I286" s="212">
        <v>0</v>
      </c>
      <c r="J286" s="212">
        <v>0</v>
      </c>
      <c r="K286" s="212">
        <v>8884</v>
      </c>
      <c r="L286" s="212">
        <v>79000</v>
      </c>
      <c r="M286" s="212">
        <v>295</v>
      </c>
      <c r="N286" s="212">
        <v>7</v>
      </c>
    </row>
    <row r="287" spans="1:14" ht="13.5">
      <c r="A287" s="213">
        <v>5</v>
      </c>
      <c r="B287" s="214" t="s">
        <v>47</v>
      </c>
      <c r="C287" s="212">
        <v>0</v>
      </c>
      <c r="D287" s="212">
        <v>6732</v>
      </c>
      <c r="E287" s="212">
        <v>6000</v>
      </c>
      <c r="F287" s="212">
        <v>3640</v>
      </c>
      <c r="G287" s="212">
        <v>676</v>
      </c>
      <c r="H287" s="212">
        <v>1443</v>
      </c>
      <c r="I287" s="212">
        <v>1144</v>
      </c>
      <c r="J287" s="212">
        <v>0</v>
      </c>
      <c r="K287" s="212">
        <v>6825</v>
      </c>
      <c r="L287" s="212">
        <v>0</v>
      </c>
      <c r="M287" s="212">
        <v>2422</v>
      </c>
      <c r="N287" s="212">
        <v>59</v>
      </c>
    </row>
    <row r="288" spans="1:14" ht="13.5">
      <c r="A288" s="213">
        <v>6</v>
      </c>
      <c r="B288" s="214" t="s">
        <v>48</v>
      </c>
      <c r="C288" s="212">
        <v>0</v>
      </c>
      <c r="D288" s="212">
        <v>3960</v>
      </c>
      <c r="E288" s="212">
        <v>12400</v>
      </c>
      <c r="F288" s="212">
        <v>5603</v>
      </c>
      <c r="G288" s="212">
        <v>0</v>
      </c>
      <c r="H288" s="212">
        <v>0</v>
      </c>
      <c r="I288" s="212">
        <v>0</v>
      </c>
      <c r="J288" s="212">
        <v>0</v>
      </c>
      <c r="K288" s="212">
        <v>3146</v>
      </c>
      <c r="L288" s="212">
        <v>210000</v>
      </c>
      <c r="M288" s="212">
        <v>136</v>
      </c>
      <c r="N288" s="212">
        <v>30</v>
      </c>
    </row>
    <row r="289" spans="1:14" ht="13.5">
      <c r="A289" s="213">
        <v>7</v>
      </c>
      <c r="B289" s="214" t="s">
        <v>49</v>
      </c>
      <c r="C289" s="212">
        <v>0</v>
      </c>
      <c r="D289" s="212">
        <v>1188</v>
      </c>
      <c r="E289" s="212">
        <v>11200</v>
      </c>
      <c r="F289" s="212">
        <v>3809</v>
      </c>
      <c r="G289" s="212">
        <v>520</v>
      </c>
      <c r="H289" s="212">
        <v>273</v>
      </c>
      <c r="I289" s="212">
        <v>1092</v>
      </c>
      <c r="J289" s="212">
        <v>0</v>
      </c>
      <c r="K289" s="212">
        <v>2332</v>
      </c>
      <c r="L289" s="212">
        <v>3000</v>
      </c>
      <c r="M289" s="212">
        <v>126</v>
      </c>
      <c r="N289" s="212">
        <v>557</v>
      </c>
    </row>
    <row r="290" spans="1:14" ht="13.5">
      <c r="A290" s="213">
        <v>8</v>
      </c>
      <c r="B290" s="214" t="s">
        <v>50</v>
      </c>
      <c r="C290" s="212">
        <v>0</v>
      </c>
      <c r="D290" s="212">
        <v>4752</v>
      </c>
      <c r="E290" s="212">
        <v>24000</v>
      </c>
      <c r="F290" s="212">
        <v>6357</v>
      </c>
      <c r="G290" s="212">
        <v>0</v>
      </c>
      <c r="H290" s="212">
        <v>0</v>
      </c>
      <c r="I290" s="212">
        <v>0</v>
      </c>
      <c r="J290" s="212">
        <v>0</v>
      </c>
      <c r="K290" s="212">
        <v>1954</v>
      </c>
      <c r="L290" s="212">
        <v>117000</v>
      </c>
      <c r="M290" s="212">
        <v>860</v>
      </c>
      <c r="N290" s="212">
        <v>578</v>
      </c>
    </row>
    <row r="291" spans="1:14" ht="13.5">
      <c r="A291" s="213">
        <v>9</v>
      </c>
      <c r="B291" s="214" t="s">
        <v>51</v>
      </c>
      <c r="C291" s="212">
        <v>0</v>
      </c>
      <c r="D291" s="212">
        <v>3960</v>
      </c>
      <c r="E291" s="212">
        <v>2000</v>
      </c>
      <c r="F291" s="212">
        <v>3289</v>
      </c>
      <c r="G291" s="212">
        <v>2600</v>
      </c>
      <c r="H291" s="212">
        <v>2288</v>
      </c>
      <c r="I291" s="212">
        <v>2860</v>
      </c>
      <c r="J291" s="212">
        <v>0</v>
      </c>
      <c r="K291" s="212">
        <v>1616</v>
      </c>
      <c r="L291" s="212">
        <v>32000</v>
      </c>
      <c r="M291" s="212">
        <v>90</v>
      </c>
      <c r="N291" s="212">
        <v>12</v>
      </c>
    </row>
    <row r="292" spans="1:14" ht="13.5">
      <c r="A292" s="213">
        <v>10</v>
      </c>
      <c r="B292" s="214" t="s">
        <v>52</v>
      </c>
      <c r="C292" s="212">
        <v>0</v>
      </c>
      <c r="D292" s="212">
        <v>2376</v>
      </c>
      <c r="E292" s="212">
        <v>600</v>
      </c>
      <c r="F292" s="212">
        <v>845</v>
      </c>
      <c r="G292" s="212">
        <v>104</v>
      </c>
      <c r="H292" s="212">
        <v>715</v>
      </c>
      <c r="I292" s="212">
        <v>104</v>
      </c>
      <c r="J292" s="212">
        <v>0</v>
      </c>
      <c r="K292" s="212">
        <v>2448</v>
      </c>
      <c r="L292" s="212">
        <v>24000</v>
      </c>
      <c r="M292" s="212">
        <v>336</v>
      </c>
      <c r="N292" s="212">
        <v>192</v>
      </c>
    </row>
    <row r="293" spans="1:14" ht="13.5">
      <c r="A293" s="213">
        <v>11</v>
      </c>
      <c r="B293" s="214" t="s">
        <v>53</v>
      </c>
      <c r="C293" s="212">
        <v>0</v>
      </c>
      <c r="D293" s="212">
        <v>23166</v>
      </c>
      <c r="E293" s="212">
        <v>3800</v>
      </c>
      <c r="F293" s="212">
        <v>4849</v>
      </c>
      <c r="G293" s="212">
        <v>0</v>
      </c>
      <c r="H293" s="212">
        <v>1196</v>
      </c>
      <c r="I293" s="212">
        <v>0</v>
      </c>
      <c r="J293" s="212">
        <v>0</v>
      </c>
      <c r="K293" s="212">
        <v>6934</v>
      </c>
      <c r="L293" s="212">
        <v>118000</v>
      </c>
      <c r="M293" s="212">
        <v>143</v>
      </c>
      <c r="N293" s="212">
        <v>107</v>
      </c>
    </row>
    <row r="294" spans="1:14" ht="13.5">
      <c r="A294" s="213">
        <v>12</v>
      </c>
      <c r="B294" s="214" t="s">
        <v>54</v>
      </c>
      <c r="C294" s="212">
        <v>0</v>
      </c>
      <c r="D294" s="212">
        <v>9306</v>
      </c>
      <c r="E294" s="212">
        <v>0</v>
      </c>
      <c r="F294" s="212">
        <v>2886</v>
      </c>
      <c r="G294" s="212">
        <v>2600</v>
      </c>
      <c r="H294" s="212">
        <v>169</v>
      </c>
      <c r="I294" s="212">
        <v>520</v>
      </c>
      <c r="J294" s="212">
        <v>0</v>
      </c>
      <c r="K294" s="212">
        <v>1270</v>
      </c>
      <c r="L294" s="212">
        <v>0</v>
      </c>
      <c r="M294" s="212">
        <v>95</v>
      </c>
      <c r="N294" s="212">
        <v>184</v>
      </c>
    </row>
    <row r="295" spans="1:14" ht="13.5">
      <c r="A295" s="213">
        <v>13</v>
      </c>
      <c r="B295" s="214" t="s">
        <v>55</v>
      </c>
      <c r="C295" s="212">
        <v>0</v>
      </c>
      <c r="D295" s="212">
        <v>16038</v>
      </c>
      <c r="E295" s="212">
        <v>400</v>
      </c>
      <c r="F295" s="212">
        <v>19903</v>
      </c>
      <c r="G295" s="212">
        <v>832</v>
      </c>
      <c r="H295" s="212">
        <v>130</v>
      </c>
      <c r="I295" s="212">
        <v>312</v>
      </c>
      <c r="J295" s="212">
        <v>0</v>
      </c>
      <c r="K295" s="212">
        <v>3129</v>
      </c>
      <c r="L295" s="212">
        <v>66000</v>
      </c>
      <c r="M295" s="212">
        <v>29</v>
      </c>
      <c r="N295" s="212">
        <v>14</v>
      </c>
    </row>
    <row r="296" spans="1:14" ht="13.5">
      <c r="A296" s="213">
        <v>14</v>
      </c>
      <c r="B296" s="214" t="s">
        <v>56</v>
      </c>
      <c r="C296" s="212">
        <v>0</v>
      </c>
      <c r="D296" s="212">
        <v>3168</v>
      </c>
      <c r="E296" s="212">
        <v>5400</v>
      </c>
      <c r="F296" s="212">
        <v>2054</v>
      </c>
      <c r="G296" s="212">
        <v>832</v>
      </c>
      <c r="H296" s="212">
        <v>520</v>
      </c>
      <c r="I296" s="212">
        <v>988</v>
      </c>
      <c r="J296" s="212">
        <v>0</v>
      </c>
      <c r="K296" s="212">
        <v>1889</v>
      </c>
      <c r="L296" s="212">
        <v>41100</v>
      </c>
      <c r="M296" s="212">
        <v>830</v>
      </c>
      <c r="N296" s="212">
        <v>9</v>
      </c>
    </row>
    <row r="297" spans="1:14" ht="13.5">
      <c r="A297" s="216"/>
      <c r="B297" s="217" t="s">
        <v>197</v>
      </c>
      <c r="C297" s="218">
        <f aca="true" t="shared" si="31" ref="C297:J297">SUM(C283:C296)</f>
        <v>0</v>
      </c>
      <c r="D297" s="218">
        <f t="shared" si="31"/>
        <v>108306</v>
      </c>
      <c r="E297" s="218">
        <f t="shared" si="31"/>
        <v>121400</v>
      </c>
      <c r="F297" s="218">
        <f t="shared" si="31"/>
        <v>72332</v>
      </c>
      <c r="G297" s="218">
        <f t="shared" si="31"/>
        <v>13936</v>
      </c>
      <c r="H297" s="218">
        <f t="shared" si="31"/>
        <v>21476</v>
      </c>
      <c r="I297" s="218">
        <f t="shared" si="31"/>
        <v>12480</v>
      </c>
      <c r="J297" s="218">
        <f t="shared" si="31"/>
        <v>0</v>
      </c>
      <c r="K297" s="218">
        <v>64406</v>
      </c>
      <c r="L297" s="218">
        <v>899100</v>
      </c>
      <c r="M297" s="218">
        <v>9766</v>
      </c>
      <c r="N297" s="241">
        <v>2430</v>
      </c>
    </row>
    <row r="298" spans="1:14" ht="13.5">
      <c r="A298" s="220"/>
      <c r="B298" s="210" t="s">
        <v>198</v>
      </c>
      <c r="C298" s="221"/>
      <c r="D298" s="221"/>
      <c r="E298" s="221"/>
      <c r="F298" s="221">
        <f>F297+G297</f>
        <v>86268</v>
      </c>
      <c r="G298" s="221"/>
      <c r="H298" s="221">
        <f>H297+I297</f>
        <v>33956</v>
      </c>
      <c r="I298" s="221"/>
      <c r="J298" s="221"/>
      <c r="K298" s="221"/>
      <c r="L298" s="221"/>
      <c r="M298" s="221"/>
      <c r="N298" s="221"/>
    </row>
    <row r="299" spans="1:14" ht="13.5">
      <c r="A299" s="223"/>
      <c r="B299" s="224" t="s">
        <v>197</v>
      </c>
      <c r="C299" s="225">
        <v>0</v>
      </c>
      <c r="D299" s="225">
        <v>108702</v>
      </c>
      <c r="E299" s="225">
        <v>92800</v>
      </c>
      <c r="F299" s="225">
        <v>64857</v>
      </c>
      <c r="G299" s="225">
        <v>15496</v>
      </c>
      <c r="H299" s="225">
        <v>21944</v>
      </c>
      <c r="I299" s="225">
        <v>13104</v>
      </c>
      <c r="J299" s="225">
        <v>0</v>
      </c>
      <c r="K299" s="225">
        <v>66908</v>
      </c>
      <c r="L299" s="225">
        <v>484750</v>
      </c>
      <c r="M299" s="225">
        <v>14888</v>
      </c>
      <c r="N299" s="225">
        <v>2458</v>
      </c>
    </row>
    <row r="301" ht="12.75">
      <c r="K301" s="183" t="s">
        <v>199</v>
      </c>
    </row>
    <row r="302" spans="10:13" ht="12.75">
      <c r="J302" s="234"/>
      <c r="K302" s="184" t="s">
        <v>60</v>
      </c>
      <c r="M302" s="183"/>
    </row>
    <row r="303" spans="10:13" ht="15">
      <c r="J303" s="235"/>
      <c r="K303" s="184" t="s">
        <v>61</v>
      </c>
      <c r="M303" s="227"/>
    </row>
    <row r="304" spans="10:13" ht="15">
      <c r="J304" s="235"/>
      <c r="K304" s="184"/>
      <c r="M304" s="227"/>
    </row>
    <row r="305" spans="10:13" ht="15">
      <c r="J305" s="234"/>
      <c r="K305" s="184" t="s">
        <v>62</v>
      </c>
      <c r="M305" s="227"/>
    </row>
    <row r="306" spans="10:13" ht="15">
      <c r="J306" s="234"/>
      <c r="K306" s="184" t="s">
        <v>125</v>
      </c>
      <c r="M306" s="227"/>
    </row>
    <row r="310" spans="1:14" ht="12.75">
      <c r="A310" s="479" t="s">
        <v>181</v>
      </c>
      <c r="B310" s="479"/>
      <c r="C310" s="479"/>
      <c r="D310" s="479"/>
      <c r="E310" s="479"/>
      <c r="F310" s="479"/>
      <c r="G310" s="479"/>
      <c r="H310" s="479"/>
      <c r="I310" s="479"/>
      <c r="J310" s="479"/>
      <c r="K310" s="479"/>
      <c r="L310" s="479"/>
      <c r="M310" s="479"/>
      <c r="N310" s="479"/>
    </row>
    <row r="312" ht="12.75">
      <c r="A312" s="155" t="s">
        <v>182</v>
      </c>
    </row>
    <row r="313" spans="1:12" ht="14.25">
      <c r="A313" s="155" t="s">
        <v>188</v>
      </c>
      <c r="K313" s="155" t="s">
        <v>189</v>
      </c>
      <c r="L313" s="236" t="s">
        <v>212</v>
      </c>
    </row>
    <row r="315" spans="1:14" ht="12.75">
      <c r="A315" s="198" t="s">
        <v>183</v>
      </c>
      <c r="B315" s="199"/>
      <c r="C315" s="200" t="s">
        <v>114</v>
      </c>
      <c r="D315" s="201" t="s">
        <v>184</v>
      </c>
      <c r="E315" s="200" t="s">
        <v>113</v>
      </c>
      <c r="F315" s="471" t="s">
        <v>115</v>
      </c>
      <c r="G315" s="472"/>
      <c r="H315" s="471" t="s">
        <v>116</v>
      </c>
      <c r="I315" s="472"/>
      <c r="J315" s="201" t="s">
        <v>117</v>
      </c>
      <c r="K315" s="201" t="s">
        <v>185</v>
      </c>
      <c r="L315" s="201" t="s">
        <v>186</v>
      </c>
      <c r="M315" s="200" t="s">
        <v>121</v>
      </c>
      <c r="N315" s="201" t="s">
        <v>187</v>
      </c>
    </row>
    <row r="316" spans="1:14" ht="12.75">
      <c r="A316" s="203"/>
      <c r="B316" s="204"/>
      <c r="C316" s="205"/>
      <c r="D316" s="206"/>
      <c r="E316" s="205"/>
      <c r="F316" s="207" t="s">
        <v>191</v>
      </c>
      <c r="G316" s="208" t="s">
        <v>192</v>
      </c>
      <c r="H316" s="207" t="s">
        <v>191</v>
      </c>
      <c r="I316" s="208" t="s">
        <v>192</v>
      </c>
      <c r="J316" s="230"/>
      <c r="K316" s="230" t="s">
        <v>193</v>
      </c>
      <c r="L316" s="230"/>
      <c r="M316" s="208"/>
      <c r="N316" s="230" t="s">
        <v>194</v>
      </c>
    </row>
    <row r="317" spans="1:14" ht="13.5">
      <c r="A317" s="209">
        <v>1</v>
      </c>
      <c r="B317" s="210" t="s">
        <v>43</v>
      </c>
      <c r="C317" s="211">
        <v>0</v>
      </c>
      <c r="D317" s="212">
        <v>3168</v>
      </c>
      <c r="E317" s="212">
        <v>16000</v>
      </c>
      <c r="F317" s="212">
        <v>975</v>
      </c>
      <c r="G317" s="212">
        <v>3900</v>
      </c>
      <c r="H317" s="212">
        <v>962</v>
      </c>
      <c r="I317" s="212">
        <v>3848</v>
      </c>
      <c r="J317" s="212">
        <v>0</v>
      </c>
      <c r="K317" s="212">
        <v>1819</v>
      </c>
      <c r="L317" s="212">
        <v>111000</v>
      </c>
      <c r="M317" s="212">
        <v>759</v>
      </c>
      <c r="N317" s="212">
        <v>39</v>
      </c>
    </row>
    <row r="318" spans="1:14" ht="13.5">
      <c r="A318" s="213">
        <v>2</v>
      </c>
      <c r="B318" s="214" t="s">
        <v>44</v>
      </c>
      <c r="C318" s="240" t="s">
        <v>213</v>
      </c>
      <c r="D318" s="212">
        <v>0</v>
      </c>
      <c r="E318" s="212">
        <v>0</v>
      </c>
      <c r="F318" s="212">
        <v>0</v>
      </c>
      <c r="G318" s="240">
        <v>0</v>
      </c>
      <c r="H318" s="212">
        <v>0</v>
      </c>
      <c r="I318" s="240">
        <v>0</v>
      </c>
      <c r="J318" s="240">
        <v>0</v>
      </c>
      <c r="K318" s="212">
        <v>11102</v>
      </c>
      <c r="L318" s="212">
        <v>23500</v>
      </c>
      <c r="M318" s="212">
        <v>1593</v>
      </c>
      <c r="N318" s="212">
        <v>570</v>
      </c>
    </row>
    <row r="319" spans="1:14" ht="13.5">
      <c r="A319" s="213">
        <v>3</v>
      </c>
      <c r="B319" s="214" t="s">
        <v>45</v>
      </c>
      <c r="C319" s="240" t="s">
        <v>213</v>
      </c>
      <c r="D319" s="212">
        <v>198</v>
      </c>
      <c r="E319" s="212">
        <v>600</v>
      </c>
      <c r="F319" s="212">
        <v>156</v>
      </c>
      <c r="G319" s="212">
        <v>624</v>
      </c>
      <c r="H319" s="212">
        <v>182</v>
      </c>
      <c r="I319" s="212">
        <v>728</v>
      </c>
      <c r="J319" s="240">
        <v>0</v>
      </c>
      <c r="K319" s="212">
        <v>11087</v>
      </c>
      <c r="L319" s="212">
        <v>88300</v>
      </c>
      <c r="M319" s="212">
        <v>2056</v>
      </c>
      <c r="N319" s="212">
        <v>72</v>
      </c>
    </row>
    <row r="320" spans="1:14" ht="13.5">
      <c r="A320" s="213">
        <v>4</v>
      </c>
      <c r="B320" s="214" t="s">
        <v>46</v>
      </c>
      <c r="C320" s="212">
        <v>0</v>
      </c>
      <c r="D320" s="212">
        <v>0</v>
      </c>
      <c r="E320" s="212">
        <v>0</v>
      </c>
      <c r="F320" s="212">
        <v>0</v>
      </c>
      <c r="G320" s="212">
        <v>0</v>
      </c>
      <c r="H320" s="212">
        <v>0</v>
      </c>
      <c r="I320" s="212">
        <v>0</v>
      </c>
      <c r="J320" s="212">
        <v>0</v>
      </c>
      <c r="K320" s="212">
        <v>8866</v>
      </c>
      <c r="L320" s="212">
        <v>131500</v>
      </c>
      <c r="M320" s="212">
        <v>310</v>
      </c>
      <c r="N320" s="212">
        <v>7</v>
      </c>
    </row>
    <row r="321" spans="1:14" ht="13.5">
      <c r="A321" s="213">
        <v>5</v>
      </c>
      <c r="B321" s="214" t="s">
        <v>47</v>
      </c>
      <c r="C321" s="212">
        <v>0</v>
      </c>
      <c r="D321" s="212">
        <v>0</v>
      </c>
      <c r="E321" s="212">
        <v>0</v>
      </c>
      <c r="F321" s="212">
        <v>143</v>
      </c>
      <c r="G321" s="212">
        <v>572</v>
      </c>
      <c r="H321" s="212">
        <v>247</v>
      </c>
      <c r="I321" s="212">
        <v>988</v>
      </c>
      <c r="J321" s="212">
        <v>0</v>
      </c>
      <c r="K321" s="212">
        <v>7612</v>
      </c>
      <c r="L321" s="212">
        <v>0</v>
      </c>
      <c r="M321" s="212">
        <v>3527</v>
      </c>
      <c r="N321" s="212">
        <v>59</v>
      </c>
    </row>
    <row r="322" spans="1:14" ht="13.5">
      <c r="A322" s="213">
        <v>6</v>
      </c>
      <c r="B322" s="214" t="s">
        <v>48</v>
      </c>
      <c r="C322" s="240" t="s">
        <v>213</v>
      </c>
      <c r="D322" s="212">
        <v>0</v>
      </c>
      <c r="E322" s="212">
        <v>400</v>
      </c>
      <c r="F322" s="212">
        <v>0</v>
      </c>
      <c r="G322" s="212">
        <v>0</v>
      </c>
      <c r="H322" s="212">
        <v>0</v>
      </c>
      <c r="I322" s="212">
        <v>0</v>
      </c>
      <c r="J322" s="212">
        <v>0</v>
      </c>
      <c r="K322" s="212">
        <v>3228</v>
      </c>
      <c r="L322" s="212">
        <v>210000</v>
      </c>
      <c r="M322" s="212">
        <v>170</v>
      </c>
      <c r="N322" s="212">
        <v>33</v>
      </c>
    </row>
    <row r="323" spans="1:14" ht="13.5">
      <c r="A323" s="213">
        <v>7</v>
      </c>
      <c r="B323" s="214" t="s">
        <v>49</v>
      </c>
      <c r="C323" s="212">
        <v>0</v>
      </c>
      <c r="D323" s="212">
        <v>0</v>
      </c>
      <c r="E323" s="212">
        <v>5000</v>
      </c>
      <c r="F323" s="212">
        <v>0</v>
      </c>
      <c r="G323" s="240">
        <v>0</v>
      </c>
      <c r="H323" s="240">
        <v>0</v>
      </c>
      <c r="I323" s="240">
        <v>0</v>
      </c>
      <c r="J323" s="212">
        <v>0</v>
      </c>
      <c r="K323" s="212">
        <v>2332</v>
      </c>
      <c r="L323" s="212">
        <v>3000</v>
      </c>
      <c r="M323" s="212">
        <v>126</v>
      </c>
      <c r="N323" s="212">
        <v>557</v>
      </c>
    </row>
    <row r="324" spans="1:14" ht="13.5">
      <c r="A324" s="213">
        <v>8</v>
      </c>
      <c r="B324" s="214" t="s">
        <v>50</v>
      </c>
      <c r="C324" s="212">
        <v>0</v>
      </c>
      <c r="D324" s="212">
        <v>0</v>
      </c>
      <c r="E324" s="212">
        <v>400</v>
      </c>
      <c r="F324" s="212">
        <v>0</v>
      </c>
      <c r="G324" s="212">
        <v>0</v>
      </c>
      <c r="H324" s="212">
        <v>0</v>
      </c>
      <c r="I324" s="212">
        <v>0</v>
      </c>
      <c r="J324" s="212">
        <v>0</v>
      </c>
      <c r="K324" s="212">
        <v>1959</v>
      </c>
      <c r="L324" s="212">
        <v>117000</v>
      </c>
      <c r="M324" s="212">
        <v>860</v>
      </c>
      <c r="N324" s="212">
        <v>580</v>
      </c>
    </row>
    <row r="325" spans="1:14" ht="13.5">
      <c r="A325" s="213">
        <v>9</v>
      </c>
      <c r="B325" s="214" t="s">
        <v>51</v>
      </c>
      <c r="C325" s="240" t="s">
        <v>213</v>
      </c>
      <c r="D325" s="212">
        <v>0</v>
      </c>
      <c r="E325" s="212">
        <v>0</v>
      </c>
      <c r="F325" s="212">
        <v>390</v>
      </c>
      <c r="G325" s="212">
        <v>1560</v>
      </c>
      <c r="H325" s="212">
        <v>494</v>
      </c>
      <c r="I325" s="212">
        <v>1976</v>
      </c>
      <c r="J325" s="240">
        <v>0</v>
      </c>
      <c r="K325" s="212">
        <v>1629</v>
      </c>
      <c r="L325" s="212">
        <v>32000</v>
      </c>
      <c r="M325" s="212">
        <v>90</v>
      </c>
      <c r="N325" s="212">
        <v>11</v>
      </c>
    </row>
    <row r="326" spans="1:14" ht="13.5">
      <c r="A326" s="213">
        <v>10</v>
      </c>
      <c r="B326" s="214" t="s">
        <v>52</v>
      </c>
      <c r="C326" s="240" t="s">
        <v>213</v>
      </c>
      <c r="D326" s="212">
        <v>0</v>
      </c>
      <c r="E326" s="212">
        <v>0</v>
      </c>
      <c r="F326" s="212">
        <v>26</v>
      </c>
      <c r="G326" s="212">
        <v>104</v>
      </c>
      <c r="H326" s="212">
        <v>39</v>
      </c>
      <c r="I326" s="212">
        <v>156</v>
      </c>
      <c r="J326" s="240">
        <v>0</v>
      </c>
      <c r="K326" s="212">
        <v>2451</v>
      </c>
      <c r="L326" s="212">
        <v>24000</v>
      </c>
      <c r="M326" s="212">
        <v>336</v>
      </c>
      <c r="N326" s="212">
        <v>193</v>
      </c>
    </row>
    <row r="327" spans="1:14" ht="13.5">
      <c r="A327" s="213">
        <v>11</v>
      </c>
      <c r="B327" s="214" t="s">
        <v>53</v>
      </c>
      <c r="C327" s="212">
        <v>0</v>
      </c>
      <c r="D327" s="212">
        <v>0</v>
      </c>
      <c r="E327" s="212">
        <v>0</v>
      </c>
      <c r="F327" s="212">
        <v>130</v>
      </c>
      <c r="G327" s="212">
        <v>520</v>
      </c>
      <c r="H327" s="212">
        <v>130</v>
      </c>
      <c r="I327" s="212">
        <v>520</v>
      </c>
      <c r="J327" s="212">
        <v>0</v>
      </c>
      <c r="K327" s="212">
        <v>6934</v>
      </c>
      <c r="L327" s="212">
        <v>118000</v>
      </c>
      <c r="M327" s="212">
        <v>143</v>
      </c>
      <c r="N327" s="212">
        <v>107</v>
      </c>
    </row>
    <row r="328" spans="1:14" ht="13.5">
      <c r="A328" s="213">
        <v>12</v>
      </c>
      <c r="B328" s="214" t="s">
        <v>54</v>
      </c>
      <c r="C328" s="212"/>
      <c r="D328" s="212">
        <v>0</v>
      </c>
      <c r="E328" s="240">
        <v>0</v>
      </c>
      <c r="F328" s="212">
        <v>702</v>
      </c>
      <c r="G328" s="212">
        <v>2808</v>
      </c>
      <c r="H328" s="212">
        <v>104</v>
      </c>
      <c r="I328" s="212">
        <v>416</v>
      </c>
      <c r="J328" s="212">
        <v>0</v>
      </c>
      <c r="K328" s="212">
        <v>1272</v>
      </c>
      <c r="L328" s="240">
        <v>0</v>
      </c>
      <c r="M328" s="212">
        <v>110</v>
      </c>
      <c r="N328" s="212">
        <v>184</v>
      </c>
    </row>
    <row r="329" spans="1:14" ht="13.5">
      <c r="A329" s="213">
        <v>13</v>
      </c>
      <c r="B329" s="214" t="s">
        <v>55</v>
      </c>
      <c r="C329" s="212">
        <v>0</v>
      </c>
      <c r="D329" s="212">
        <v>0</v>
      </c>
      <c r="E329" s="212">
        <v>0</v>
      </c>
      <c r="F329" s="212">
        <v>156</v>
      </c>
      <c r="G329" s="212">
        <v>624</v>
      </c>
      <c r="H329" s="212">
        <v>26</v>
      </c>
      <c r="I329" s="212">
        <v>104</v>
      </c>
      <c r="J329" s="212">
        <v>0</v>
      </c>
      <c r="K329" s="212">
        <v>3129</v>
      </c>
      <c r="L329" s="212">
        <v>91000</v>
      </c>
      <c r="M329" s="212">
        <v>29</v>
      </c>
      <c r="N329" s="212">
        <v>12</v>
      </c>
    </row>
    <row r="330" spans="1:14" ht="13.5">
      <c r="A330" s="213">
        <v>14</v>
      </c>
      <c r="B330" s="214" t="s">
        <v>56</v>
      </c>
      <c r="C330" s="215"/>
      <c r="D330" s="212">
        <v>0</v>
      </c>
      <c r="E330" s="212">
        <v>0</v>
      </c>
      <c r="F330" s="212">
        <v>104</v>
      </c>
      <c r="G330" s="212">
        <v>416</v>
      </c>
      <c r="H330" s="212">
        <v>78</v>
      </c>
      <c r="I330" s="212">
        <v>312</v>
      </c>
      <c r="J330" s="212">
        <v>0</v>
      </c>
      <c r="K330" s="212">
        <v>1904</v>
      </c>
      <c r="L330" s="212">
        <v>88000</v>
      </c>
      <c r="M330" s="240">
        <v>830</v>
      </c>
      <c r="N330" s="240">
        <v>9</v>
      </c>
    </row>
    <row r="331" spans="1:14" ht="13.5">
      <c r="A331" s="216"/>
      <c r="B331" s="217" t="s">
        <v>197</v>
      </c>
      <c r="C331" s="218">
        <v>0</v>
      </c>
      <c r="D331" s="218">
        <f aca="true" t="shared" si="32" ref="D331:I331">SUM(D317:D330)</f>
        <v>3366</v>
      </c>
      <c r="E331" s="218">
        <f t="shared" si="32"/>
        <v>22400</v>
      </c>
      <c r="F331" s="218">
        <f t="shared" si="32"/>
        <v>2782</v>
      </c>
      <c r="G331" s="218">
        <f t="shared" si="32"/>
        <v>11128</v>
      </c>
      <c r="H331" s="218">
        <f t="shared" si="32"/>
        <v>2262</v>
      </c>
      <c r="I331" s="218">
        <f t="shared" si="32"/>
        <v>9048</v>
      </c>
      <c r="J331" s="218">
        <f>SUM(J321:J329)</f>
        <v>0</v>
      </c>
      <c r="K331" s="218">
        <f>SUM(K317:K330)</f>
        <v>65324</v>
      </c>
      <c r="L331" s="218">
        <f>SUM(L317:L330)</f>
        <v>1037300</v>
      </c>
      <c r="M331" s="218">
        <f>SUM(M317:M330)</f>
        <v>10939</v>
      </c>
      <c r="N331" s="218">
        <f>SUM(N317:N330)</f>
        <v>2433</v>
      </c>
    </row>
    <row r="332" spans="1:14" ht="13.5">
      <c r="A332" s="220"/>
      <c r="B332" s="210" t="s">
        <v>198</v>
      </c>
      <c r="C332" s="221"/>
      <c r="D332" s="221">
        <v>0</v>
      </c>
      <c r="E332" s="221"/>
      <c r="F332" s="221">
        <f>F331+G331</f>
        <v>13910</v>
      </c>
      <c r="G332" s="221"/>
      <c r="H332" s="221">
        <f>H331+I331</f>
        <v>11310</v>
      </c>
      <c r="I332" s="221"/>
      <c r="J332" s="221"/>
      <c r="K332" s="221"/>
      <c r="L332" s="221"/>
      <c r="M332" s="221"/>
      <c r="N332" s="221"/>
    </row>
    <row r="333" spans="1:14" ht="13.5">
      <c r="A333" s="223"/>
      <c r="B333" s="224" t="s">
        <v>200</v>
      </c>
      <c r="C333" s="225">
        <v>0</v>
      </c>
      <c r="D333" s="225">
        <v>108702</v>
      </c>
      <c r="E333" s="225">
        <v>92800</v>
      </c>
      <c r="F333" s="225">
        <v>64857</v>
      </c>
      <c r="G333" s="225">
        <v>15496</v>
      </c>
      <c r="H333" s="225">
        <v>21944</v>
      </c>
      <c r="I333" s="225">
        <v>13104</v>
      </c>
      <c r="J333" s="225">
        <v>0</v>
      </c>
      <c r="K333" s="225">
        <v>66908</v>
      </c>
      <c r="L333" s="225">
        <v>484750</v>
      </c>
      <c r="M333" s="225">
        <v>14888</v>
      </c>
      <c r="N333" s="225">
        <v>2458</v>
      </c>
    </row>
    <row r="335" ht="12.75">
      <c r="K335" s="183" t="s">
        <v>214</v>
      </c>
    </row>
    <row r="336" spans="10:13" ht="12.75">
      <c r="J336" s="234"/>
      <c r="K336" s="184" t="s">
        <v>60</v>
      </c>
      <c r="M336" s="183"/>
    </row>
    <row r="337" spans="10:13" ht="15">
      <c r="J337" s="235"/>
      <c r="K337" s="184" t="s">
        <v>61</v>
      </c>
      <c r="M337" s="227"/>
    </row>
    <row r="338" spans="10:13" ht="15">
      <c r="J338" s="235"/>
      <c r="K338" s="184"/>
      <c r="M338" s="227"/>
    </row>
    <row r="339" spans="10:13" ht="15">
      <c r="J339" s="234"/>
      <c r="K339" s="184" t="s">
        <v>62</v>
      </c>
      <c r="M339" s="227"/>
    </row>
    <row r="340" spans="10:13" ht="15">
      <c r="J340" s="234"/>
      <c r="K340" s="184" t="s">
        <v>125</v>
      </c>
      <c r="M340" s="227"/>
    </row>
    <row r="344" spans="1:14" ht="12.75">
      <c r="A344" s="479" t="s">
        <v>181</v>
      </c>
      <c r="B344" s="479"/>
      <c r="C344" s="479"/>
      <c r="D344" s="479"/>
      <c r="E344" s="479"/>
      <c r="F344" s="479"/>
      <c r="G344" s="479"/>
      <c r="H344" s="479"/>
      <c r="I344" s="479"/>
      <c r="J344" s="479"/>
      <c r="K344" s="479"/>
      <c r="L344" s="479"/>
      <c r="M344" s="479"/>
      <c r="N344" s="479"/>
    </row>
    <row r="346" ht="12.75">
      <c r="A346" s="155" t="s">
        <v>182</v>
      </c>
    </row>
    <row r="347" spans="1:12" ht="14.25">
      <c r="A347" s="155" t="s">
        <v>188</v>
      </c>
      <c r="K347" s="155" t="s">
        <v>189</v>
      </c>
      <c r="L347" s="236" t="s">
        <v>215</v>
      </c>
    </row>
    <row r="349" spans="1:14" ht="12.75">
      <c r="A349" s="198" t="s">
        <v>183</v>
      </c>
      <c r="B349" s="199"/>
      <c r="C349" s="200" t="s">
        <v>114</v>
      </c>
      <c r="D349" s="201" t="s">
        <v>184</v>
      </c>
      <c r="E349" s="200" t="s">
        <v>113</v>
      </c>
      <c r="F349" s="471" t="s">
        <v>115</v>
      </c>
      <c r="G349" s="472"/>
      <c r="H349" s="471" t="s">
        <v>116</v>
      </c>
      <c r="I349" s="472"/>
      <c r="J349" s="201" t="s">
        <v>117</v>
      </c>
      <c r="K349" s="201" t="s">
        <v>185</v>
      </c>
      <c r="L349" s="201" t="s">
        <v>186</v>
      </c>
      <c r="M349" s="200" t="s">
        <v>121</v>
      </c>
      <c r="N349" s="201" t="s">
        <v>187</v>
      </c>
    </row>
    <row r="350" spans="1:14" ht="12.75">
      <c r="A350" s="203"/>
      <c r="B350" s="204"/>
      <c r="C350" s="205"/>
      <c r="D350" s="206"/>
      <c r="E350" s="205"/>
      <c r="F350" s="207" t="s">
        <v>191</v>
      </c>
      <c r="G350" s="208" t="s">
        <v>192</v>
      </c>
      <c r="H350" s="207" t="s">
        <v>191</v>
      </c>
      <c r="I350" s="208" t="s">
        <v>192</v>
      </c>
      <c r="J350" s="230"/>
      <c r="K350" s="230" t="s">
        <v>193</v>
      </c>
      <c r="L350" s="230"/>
      <c r="M350" s="208"/>
      <c r="N350" s="230" t="s">
        <v>194</v>
      </c>
    </row>
    <row r="351" spans="1:14" ht="13.5">
      <c r="A351" s="209">
        <v>1</v>
      </c>
      <c r="B351" s="210" t="s">
        <v>43</v>
      </c>
      <c r="C351" s="211">
        <v>0</v>
      </c>
      <c r="D351" s="212">
        <v>2574</v>
      </c>
      <c r="E351" s="212">
        <v>12200</v>
      </c>
      <c r="F351" s="212">
        <v>0</v>
      </c>
      <c r="G351" s="212">
        <v>0</v>
      </c>
      <c r="H351" s="212">
        <v>0</v>
      </c>
      <c r="I351" s="212">
        <v>0</v>
      </c>
      <c r="J351" s="212">
        <v>0</v>
      </c>
      <c r="K351" s="212">
        <v>1816</v>
      </c>
      <c r="L351" s="212">
        <v>100000</v>
      </c>
      <c r="M351" s="212">
        <v>759</v>
      </c>
      <c r="N351" s="212">
        <v>36</v>
      </c>
    </row>
    <row r="352" spans="1:14" ht="13.5">
      <c r="A352" s="213">
        <v>2</v>
      </c>
      <c r="B352" s="214" t="s">
        <v>44</v>
      </c>
      <c r="C352" s="212">
        <v>0</v>
      </c>
      <c r="D352" s="212">
        <v>0</v>
      </c>
      <c r="E352" s="212">
        <v>0</v>
      </c>
      <c r="F352" s="212">
        <v>0</v>
      </c>
      <c r="G352" s="212">
        <v>0</v>
      </c>
      <c r="H352" s="212">
        <v>0</v>
      </c>
      <c r="I352" s="212">
        <v>0</v>
      </c>
      <c r="J352" s="212">
        <v>0</v>
      </c>
      <c r="K352" s="212">
        <v>11108</v>
      </c>
      <c r="L352" s="212">
        <v>23500</v>
      </c>
      <c r="M352" s="212">
        <v>1596</v>
      </c>
      <c r="N352" s="212">
        <v>571</v>
      </c>
    </row>
    <row r="353" spans="1:14" ht="13.5">
      <c r="A353" s="213">
        <v>3</v>
      </c>
      <c r="B353" s="214" t="s">
        <v>45</v>
      </c>
      <c r="C353" s="212">
        <v>0</v>
      </c>
      <c r="D353" s="212">
        <v>0</v>
      </c>
      <c r="E353" s="212">
        <v>400</v>
      </c>
      <c r="F353" s="212">
        <v>117</v>
      </c>
      <c r="G353" s="212">
        <v>468</v>
      </c>
      <c r="H353" s="212">
        <v>299</v>
      </c>
      <c r="I353" s="212">
        <v>1196</v>
      </c>
      <c r="J353" s="212">
        <v>0</v>
      </c>
      <c r="K353" s="212">
        <v>11093</v>
      </c>
      <c r="L353" s="212">
        <v>94300</v>
      </c>
      <c r="M353" s="212">
        <v>2081</v>
      </c>
      <c r="N353" s="212">
        <v>72</v>
      </c>
    </row>
    <row r="354" spans="1:14" ht="13.5">
      <c r="A354" s="213">
        <v>4</v>
      </c>
      <c r="B354" s="214" t="s">
        <v>46</v>
      </c>
      <c r="C354" s="212">
        <v>0</v>
      </c>
      <c r="D354" s="212">
        <v>0</v>
      </c>
      <c r="E354" s="212">
        <v>0</v>
      </c>
      <c r="F354" s="212">
        <v>0</v>
      </c>
      <c r="G354" s="212">
        <v>0</v>
      </c>
      <c r="H354" s="212">
        <v>0</v>
      </c>
      <c r="I354" s="212">
        <v>0</v>
      </c>
      <c r="J354" s="212">
        <v>0</v>
      </c>
      <c r="K354" s="212">
        <v>8866</v>
      </c>
      <c r="L354" s="212">
        <v>141500</v>
      </c>
      <c r="M354" s="212">
        <v>307</v>
      </c>
      <c r="N354" s="212">
        <v>7</v>
      </c>
    </row>
    <row r="355" spans="1:14" ht="13.5">
      <c r="A355" s="213">
        <v>5</v>
      </c>
      <c r="B355" s="214" t="s">
        <v>47</v>
      </c>
      <c r="C355" s="212">
        <v>0</v>
      </c>
      <c r="D355" s="212">
        <v>0</v>
      </c>
      <c r="E355" s="212">
        <v>0</v>
      </c>
      <c r="F355" s="212">
        <v>169</v>
      </c>
      <c r="G355" s="212">
        <v>676</v>
      </c>
      <c r="H355" s="212">
        <v>273</v>
      </c>
      <c r="I355" s="212">
        <v>1092</v>
      </c>
      <c r="J355" s="212">
        <v>0</v>
      </c>
      <c r="K355" s="212">
        <v>7608</v>
      </c>
      <c r="L355" s="212">
        <v>0</v>
      </c>
      <c r="M355" s="212">
        <v>2372</v>
      </c>
      <c r="N355" s="212">
        <v>59</v>
      </c>
    </row>
    <row r="356" spans="1:14" ht="13.5">
      <c r="A356" s="213">
        <v>6</v>
      </c>
      <c r="B356" s="214" t="s">
        <v>48</v>
      </c>
      <c r="C356" s="212">
        <v>0</v>
      </c>
      <c r="D356" s="212">
        <v>0</v>
      </c>
      <c r="E356" s="212">
        <v>200</v>
      </c>
      <c r="F356" s="212">
        <v>0</v>
      </c>
      <c r="G356" s="212">
        <v>0</v>
      </c>
      <c r="H356" s="212">
        <v>0</v>
      </c>
      <c r="I356" s="212">
        <v>0</v>
      </c>
      <c r="J356" s="212">
        <v>0</v>
      </c>
      <c r="K356" s="212">
        <v>3164</v>
      </c>
      <c r="L356" s="212">
        <v>210000</v>
      </c>
      <c r="M356" s="212">
        <v>147</v>
      </c>
      <c r="N356" s="212">
        <v>29</v>
      </c>
    </row>
    <row r="357" spans="1:14" ht="13.5">
      <c r="A357" s="213">
        <v>7</v>
      </c>
      <c r="B357" s="214" t="s">
        <v>49</v>
      </c>
      <c r="C357" s="212">
        <v>0</v>
      </c>
      <c r="D357" s="212">
        <v>0</v>
      </c>
      <c r="E357" s="212">
        <v>2600</v>
      </c>
      <c r="F357" s="212">
        <v>104</v>
      </c>
      <c r="G357" s="212">
        <v>416</v>
      </c>
      <c r="H357" s="212">
        <v>156</v>
      </c>
      <c r="I357" s="212">
        <v>624</v>
      </c>
      <c r="J357" s="212">
        <v>0</v>
      </c>
      <c r="K357" s="212">
        <v>2346</v>
      </c>
      <c r="L357" s="212">
        <v>3000</v>
      </c>
      <c r="M357" s="212">
        <v>126</v>
      </c>
      <c r="N357" s="212">
        <v>557</v>
      </c>
    </row>
    <row r="358" spans="1:14" ht="13.5">
      <c r="A358" s="213">
        <v>8</v>
      </c>
      <c r="B358" s="214" t="s">
        <v>50</v>
      </c>
      <c r="C358" s="212">
        <v>0</v>
      </c>
      <c r="D358" s="212">
        <v>0</v>
      </c>
      <c r="E358" s="212">
        <v>1000</v>
      </c>
      <c r="F358" s="212">
        <v>0</v>
      </c>
      <c r="G358" s="212">
        <v>0</v>
      </c>
      <c r="H358" s="212">
        <v>0</v>
      </c>
      <c r="I358" s="212">
        <v>0</v>
      </c>
      <c r="J358" s="212">
        <v>0</v>
      </c>
      <c r="K358" s="212">
        <v>1987</v>
      </c>
      <c r="L358" s="212">
        <v>113000</v>
      </c>
      <c r="M358" s="212">
        <v>860</v>
      </c>
      <c r="N358" s="212">
        <v>580</v>
      </c>
    </row>
    <row r="359" spans="1:14" ht="13.5">
      <c r="A359" s="213">
        <v>9</v>
      </c>
      <c r="B359" s="214" t="s">
        <v>51</v>
      </c>
      <c r="C359" s="212">
        <v>0</v>
      </c>
      <c r="D359" s="212">
        <v>0</v>
      </c>
      <c r="E359" s="212">
        <v>0</v>
      </c>
      <c r="F359" s="212">
        <v>442</v>
      </c>
      <c r="G359" s="212">
        <v>1768</v>
      </c>
      <c r="H359" s="212">
        <v>507</v>
      </c>
      <c r="I359" s="212">
        <v>2028</v>
      </c>
      <c r="J359" s="212">
        <v>0</v>
      </c>
      <c r="K359" s="212">
        <v>1631</v>
      </c>
      <c r="L359" s="212">
        <v>32000</v>
      </c>
      <c r="M359" s="212">
        <v>90</v>
      </c>
      <c r="N359" s="212">
        <v>14</v>
      </c>
    </row>
    <row r="360" spans="1:14" ht="13.5">
      <c r="A360" s="213">
        <v>10</v>
      </c>
      <c r="B360" s="214" t="s">
        <v>52</v>
      </c>
      <c r="C360" s="212">
        <v>0</v>
      </c>
      <c r="D360" s="212">
        <v>0</v>
      </c>
      <c r="E360" s="212">
        <v>0</v>
      </c>
      <c r="F360" s="212">
        <v>26</v>
      </c>
      <c r="G360" s="212">
        <v>104</v>
      </c>
      <c r="H360" s="212">
        <v>39</v>
      </c>
      <c r="I360" s="212">
        <v>156</v>
      </c>
      <c r="J360" s="212">
        <v>0</v>
      </c>
      <c r="K360" s="212">
        <v>2457</v>
      </c>
      <c r="L360" s="212">
        <v>24000</v>
      </c>
      <c r="M360" s="212">
        <v>338</v>
      </c>
      <c r="N360" s="212">
        <v>193</v>
      </c>
    </row>
    <row r="361" spans="1:14" ht="13.5">
      <c r="A361" s="213">
        <v>11</v>
      </c>
      <c r="B361" s="214" t="s">
        <v>53</v>
      </c>
      <c r="C361" s="212">
        <v>0</v>
      </c>
      <c r="D361" s="212">
        <v>0</v>
      </c>
      <c r="E361" s="212">
        <v>0</v>
      </c>
      <c r="F361" s="212">
        <v>130</v>
      </c>
      <c r="G361" s="212">
        <v>520</v>
      </c>
      <c r="H361" s="212">
        <v>130</v>
      </c>
      <c r="I361" s="212">
        <v>520</v>
      </c>
      <c r="J361" s="212">
        <v>0</v>
      </c>
      <c r="K361" s="212">
        <v>6934</v>
      </c>
      <c r="L361" s="212">
        <v>118000</v>
      </c>
      <c r="M361" s="212">
        <v>143</v>
      </c>
      <c r="N361" s="212">
        <v>107</v>
      </c>
    </row>
    <row r="362" spans="1:14" ht="13.5">
      <c r="A362" s="213">
        <v>12</v>
      </c>
      <c r="B362" s="214" t="s">
        <v>54</v>
      </c>
      <c r="C362" s="212">
        <v>0</v>
      </c>
      <c r="D362" s="212">
        <v>0</v>
      </c>
      <c r="E362" s="212">
        <v>0</v>
      </c>
      <c r="F362" s="212">
        <v>598</v>
      </c>
      <c r="G362" s="212">
        <v>2392</v>
      </c>
      <c r="H362" s="212">
        <v>78</v>
      </c>
      <c r="I362" s="212">
        <v>312</v>
      </c>
      <c r="J362" s="212">
        <v>0</v>
      </c>
      <c r="K362" s="212">
        <v>1279</v>
      </c>
      <c r="L362" s="212">
        <v>0</v>
      </c>
      <c r="M362" s="212">
        <v>115</v>
      </c>
      <c r="N362" s="212">
        <v>185</v>
      </c>
    </row>
    <row r="363" spans="1:14" ht="13.5">
      <c r="A363" s="213">
        <v>13</v>
      </c>
      <c r="B363" s="214" t="s">
        <v>55</v>
      </c>
      <c r="C363" s="212">
        <v>0</v>
      </c>
      <c r="D363" s="212">
        <v>0</v>
      </c>
      <c r="E363" s="212">
        <v>0</v>
      </c>
      <c r="F363" s="212">
        <v>195</v>
      </c>
      <c r="G363" s="212">
        <v>780</v>
      </c>
      <c r="H363" s="212">
        <v>39</v>
      </c>
      <c r="I363" s="212">
        <v>156</v>
      </c>
      <c r="J363" s="212">
        <v>0</v>
      </c>
      <c r="K363" s="212">
        <v>3129</v>
      </c>
      <c r="L363" s="212">
        <v>96000</v>
      </c>
      <c r="M363" s="212">
        <v>29</v>
      </c>
      <c r="N363" s="212">
        <v>12</v>
      </c>
    </row>
    <row r="364" spans="1:14" ht="13.5">
      <c r="A364" s="213">
        <v>14</v>
      </c>
      <c r="B364" s="214" t="s">
        <v>56</v>
      </c>
      <c r="C364" s="215">
        <v>0</v>
      </c>
      <c r="D364" s="212">
        <v>0</v>
      </c>
      <c r="E364" s="212">
        <v>0</v>
      </c>
      <c r="F364" s="212">
        <v>26</v>
      </c>
      <c r="G364" s="212">
        <v>104</v>
      </c>
      <c r="H364" s="212">
        <v>195</v>
      </c>
      <c r="I364" s="212">
        <v>780</v>
      </c>
      <c r="J364" s="212">
        <v>0</v>
      </c>
      <c r="K364" s="212">
        <v>1904</v>
      </c>
      <c r="L364" s="212">
        <v>34600</v>
      </c>
      <c r="M364" s="212">
        <v>830</v>
      </c>
      <c r="N364" s="212">
        <v>9</v>
      </c>
    </row>
    <row r="365" spans="1:14" ht="13.5">
      <c r="A365" s="216"/>
      <c r="B365" s="217" t="s">
        <v>197</v>
      </c>
      <c r="C365" s="218">
        <f aca="true" t="shared" si="33" ref="C365:N365">SUM(C351:C364)</f>
        <v>0</v>
      </c>
      <c r="D365" s="218">
        <f t="shared" si="33"/>
        <v>2574</v>
      </c>
      <c r="E365" s="218">
        <f t="shared" si="33"/>
        <v>16400</v>
      </c>
      <c r="F365" s="218">
        <f t="shared" si="33"/>
        <v>1807</v>
      </c>
      <c r="G365" s="218">
        <f t="shared" si="33"/>
        <v>7228</v>
      </c>
      <c r="H365" s="218">
        <f t="shared" si="33"/>
        <v>1716</v>
      </c>
      <c r="I365" s="218">
        <f t="shared" si="33"/>
        <v>6864</v>
      </c>
      <c r="J365" s="218">
        <f t="shared" si="33"/>
        <v>0</v>
      </c>
      <c r="K365" s="218">
        <f t="shared" si="33"/>
        <v>65322</v>
      </c>
      <c r="L365" s="218">
        <f t="shared" si="33"/>
        <v>989900</v>
      </c>
      <c r="M365" s="218">
        <f t="shared" si="33"/>
        <v>9793</v>
      </c>
      <c r="N365" s="218">
        <f t="shared" si="33"/>
        <v>2431</v>
      </c>
    </row>
    <row r="366" spans="1:14" ht="13.5">
      <c r="A366" s="220"/>
      <c r="B366" s="210" t="s">
        <v>198</v>
      </c>
      <c r="C366" s="221"/>
      <c r="D366" s="221"/>
      <c r="E366" s="221"/>
      <c r="F366" s="221">
        <f>F365+G365</f>
        <v>9035</v>
      </c>
      <c r="G366" s="221"/>
      <c r="H366" s="221">
        <f>H365+I365</f>
        <v>8580</v>
      </c>
      <c r="I366" s="221"/>
      <c r="J366" s="221"/>
      <c r="K366" s="221"/>
      <c r="L366" s="221"/>
      <c r="M366" s="221"/>
      <c r="N366" s="221"/>
    </row>
    <row r="367" spans="1:14" ht="13.5">
      <c r="A367" s="223"/>
      <c r="B367" s="224" t="s">
        <v>197</v>
      </c>
      <c r="C367" s="225">
        <v>0</v>
      </c>
      <c r="D367" s="225">
        <v>108702</v>
      </c>
      <c r="E367" s="225">
        <v>92800</v>
      </c>
      <c r="F367" s="225">
        <v>64857</v>
      </c>
      <c r="G367" s="225">
        <v>15496</v>
      </c>
      <c r="H367" s="225">
        <v>21944</v>
      </c>
      <c r="I367" s="225">
        <v>13104</v>
      </c>
      <c r="J367" s="225">
        <v>0</v>
      </c>
      <c r="K367" s="225">
        <v>66908</v>
      </c>
      <c r="L367" s="225">
        <v>484750</v>
      </c>
      <c r="M367" s="225">
        <v>14888</v>
      </c>
      <c r="N367" s="225">
        <v>2458</v>
      </c>
    </row>
    <row r="369" ht="12.75">
      <c r="K369" s="183" t="s">
        <v>199</v>
      </c>
    </row>
    <row r="370" spans="10:13" ht="12.75">
      <c r="J370" s="234"/>
      <c r="K370" s="184" t="s">
        <v>60</v>
      </c>
      <c r="M370" s="183"/>
    </row>
    <row r="371" spans="10:13" ht="15">
      <c r="J371" s="235"/>
      <c r="K371" s="184" t="s">
        <v>61</v>
      </c>
      <c r="M371" s="227"/>
    </row>
    <row r="372" spans="10:13" ht="15">
      <c r="J372" s="235"/>
      <c r="K372" s="184"/>
      <c r="M372" s="227"/>
    </row>
    <row r="373" spans="10:13" ht="15">
      <c r="J373" s="234"/>
      <c r="K373" s="184" t="s">
        <v>62</v>
      </c>
      <c r="M373" s="227"/>
    </row>
    <row r="374" spans="10:13" ht="15">
      <c r="J374" s="234"/>
      <c r="K374" s="184" t="s">
        <v>125</v>
      </c>
      <c r="M374" s="227"/>
    </row>
    <row r="378" spans="1:14" ht="12.75">
      <c r="A378" s="479" t="s">
        <v>181</v>
      </c>
      <c r="B378" s="479"/>
      <c r="C378" s="479"/>
      <c r="D378" s="479"/>
      <c r="E378" s="479"/>
      <c r="F378" s="479"/>
      <c r="G378" s="479"/>
      <c r="H378" s="479"/>
      <c r="I378" s="479"/>
      <c r="J378" s="479"/>
      <c r="K378" s="479"/>
      <c r="L378" s="479"/>
      <c r="M378" s="479"/>
      <c r="N378" s="479"/>
    </row>
    <row r="380" ht="12.75">
      <c r="A380" s="155" t="s">
        <v>182</v>
      </c>
    </row>
    <row r="381" spans="1:12" ht="14.25">
      <c r="A381" s="155" t="s">
        <v>188</v>
      </c>
      <c r="K381" s="155" t="s">
        <v>189</v>
      </c>
      <c r="L381" s="236" t="s">
        <v>216</v>
      </c>
    </row>
    <row r="383" spans="1:14" ht="12.75">
      <c r="A383" s="198" t="s">
        <v>183</v>
      </c>
      <c r="B383" s="199"/>
      <c r="C383" s="200" t="s">
        <v>114</v>
      </c>
      <c r="D383" s="201" t="s">
        <v>184</v>
      </c>
      <c r="E383" s="200" t="s">
        <v>113</v>
      </c>
      <c r="F383" s="471" t="s">
        <v>115</v>
      </c>
      <c r="G383" s="472"/>
      <c r="H383" s="471" t="s">
        <v>116</v>
      </c>
      <c r="I383" s="472"/>
      <c r="J383" s="201" t="s">
        <v>117</v>
      </c>
      <c r="K383" s="201" t="s">
        <v>185</v>
      </c>
      <c r="L383" s="201" t="s">
        <v>186</v>
      </c>
      <c r="M383" s="200" t="s">
        <v>121</v>
      </c>
      <c r="N383" s="201" t="s">
        <v>187</v>
      </c>
    </row>
    <row r="384" spans="1:14" ht="12.75">
      <c r="A384" s="203"/>
      <c r="B384" s="204"/>
      <c r="C384" s="205"/>
      <c r="D384" s="206"/>
      <c r="E384" s="205"/>
      <c r="F384" s="207" t="s">
        <v>191</v>
      </c>
      <c r="G384" s="208" t="s">
        <v>192</v>
      </c>
      <c r="H384" s="207" t="s">
        <v>191</v>
      </c>
      <c r="I384" s="208" t="s">
        <v>192</v>
      </c>
      <c r="J384" s="230"/>
      <c r="K384" s="230" t="s">
        <v>193</v>
      </c>
      <c r="L384" s="230"/>
      <c r="M384" s="208"/>
      <c r="N384" s="230" t="s">
        <v>194</v>
      </c>
    </row>
    <row r="385" spans="1:14" ht="13.5">
      <c r="A385" s="209">
        <v>1</v>
      </c>
      <c r="B385" s="242" t="s">
        <v>43</v>
      </c>
      <c r="C385" s="243">
        <v>0</v>
      </c>
      <c r="D385" s="244">
        <v>2970</v>
      </c>
      <c r="E385" s="244">
        <v>13000</v>
      </c>
      <c r="F385" s="244">
        <v>1196</v>
      </c>
      <c r="G385" s="244">
        <v>4784</v>
      </c>
      <c r="H385" s="244">
        <v>1053</v>
      </c>
      <c r="I385" s="244">
        <v>4212</v>
      </c>
      <c r="J385" s="244">
        <v>0</v>
      </c>
      <c r="K385" s="244">
        <v>1821</v>
      </c>
      <c r="L385" s="244">
        <v>103000</v>
      </c>
      <c r="M385" s="244">
        <v>727</v>
      </c>
      <c r="N385" s="244">
        <v>40</v>
      </c>
    </row>
    <row r="386" spans="1:14" ht="13.5">
      <c r="A386" s="213">
        <v>2</v>
      </c>
      <c r="B386" s="245" t="s">
        <v>44</v>
      </c>
      <c r="C386" s="244">
        <v>0</v>
      </c>
      <c r="D386" s="244">
        <v>0</v>
      </c>
      <c r="E386" s="244">
        <v>0</v>
      </c>
      <c r="F386" s="244">
        <v>0</v>
      </c>
      <c r="G386" s="244">
        <v>0</v>
      </c>
      <c r="H386" s="244">
        <v>0</v>
      </c>
      <c r="I386" s="244">
        <v>0</v>
      </c>
      <c r="J386" s="244">
        <v>0</v>
      </c>
      <c r="K386" s="244">
        <v>11112</v>
      </c>
      <c r="L386" s="244">
        <v>23500</v>
      </c>
      <c r="M386" s="244">
        <v>1598</v>
      </c>
      <c r="N386" s="244">
        <v>571</v>
      </c>
    </row>
    <row r="387" spans="1:14" ht="13.5">
      <c r="A387" s="213">
        <v>3</v>
      </c>
      <c r="B387" s="245" t="s">
        <v>45</v>
      </c>
      <c r="C387" s="244">
        <v>0</v>
      </c>
      <c r="D387" s="244">
        <v>0</v>
      </c>
      <c r="E387" s="244">
        <v>0</v>
      </c>
      <c r="F387" s="244">
        <v>65</v>
      </c>
      <c r="G387" s="244">
        <v>260</v>
      </c>
      <c r="H387" s="244">
        <v>182</v>
      </c>
      <c r="I387" s="244">
        <v>728</v>
      </c>
      <c r="J387" s="244">
        <v>0</v>
      </c>
      <c r="K387" s="244">
        <v>11093</v>
      </c>
      <c r="L387" s="244">
        <v>82800</v>
      </c>
      <c r="M387" s="244">
        <v>2081</v>
      </c>
      <c r="N387" s="244">
        <v>72</v>
      </c>
    </row>
    <row r="388" spans="1:14" ht="13.5">
      <c r="A388" s="213">
        <v>4</v>
      </c>
      <c r="B388" s="245" t="s">
        <v>46</v>
      </c>
      <c r="C388" s="244">
        <v>0</v>
      </c>
      <c r="D388" s="244">
        <v>0</v>
      </c>
      <c r="E388" s="244">
        <v>0</v>
      </c>
      <c r="F388" s="244">
        <v>0</v>
      </c>
      <c r="G388" s="244">
        <v>0</v>
      </c>
      <c r="H388" s="244">
        <v>0</v>
      </c>
      <c r="I388" s="244">
        <v>0</v>
      </c>
      <c r="J388" s="244">
        <v>0</v>
      </c>
      <c r="K388" s="244">
        <v>8871</v>
      </c>
      <c r="L388" s="244">
        <v>64000</v>
      </c>
      <c r="M388" s="244">
        <v>308</v>
      </c>
      <c r="N388" s="244">
        <v>8</v>
      </c>
    </row>
    <row r="389" spans="1:14" ht="13.5">
      <c r="A389" s="213">
        <v>5</v>
      </c>
      <c r="B389" s="245" t="s">
        <v>47</v>
      </c>
      <c r="C389" s="244">
        <v>0</v>
      </c>
      <c r="D389" s="244">
        <v>0</v>
      </c>
      <c r="E389" s="244">
        <v>0</v>
      </c>
      <c r="F389" s="244">
        <v>195</v>
      </c>
      <c r="G389" s="244">
        <v>780</v>
      </c>
      <c r="H389" s="244">
        <v>260</v>
      </c>
      <c r="I389" s="244">
        <v>1040</v>
      </c>
      <c r="J389" s="244">
        <v>0</v>
      </c>
      <c r="K389" s="244">
        <v>7604</v>
      </c>
      <c r="L389" s="244">
        <v>0</v>
      </c>
      <c r="M389" s="244">
        <v>2382</v>
      </c>
      <c r="N389" s="244">
        <v>59</v>
      </c>
    </row>
    <row r="390" spans="1:14" ht="13.5">
      <c r="A390" s="213">
        <v>6</v>
      </c>
      <c r="B390" s="245" t="s">
        <v>48</v>
      </c>
      <c r="C390" s="244">
        <v>0</v>
      </c>
      <c r="D390" s="244">
        <v>198</v>
      </c>
      <c r="E390" s="244">
        <v>200</v>
      </c>
      <c r="F390" s="244">
        <v>0</v>
      </c>
      <c r="G390" s="244">
        <v>0</v>
      </c>
      <c r="H390" s="244">
        <v>0</v>
      </c>
      <c r="I390" s="244">
        <v>0</v>
      </c>
      <c r="J390" s="244">
        <v>0</v>
      </c>
      <c r="K390" s="244">
        <v>3189</v>
      </c>
      <c r="L390" s="244">
        <v>210000</v>
      </c>
      <c r="M390" s="244">
        <v>135</v>
      </c>
      <c r="N390" s="244">
        <v>36</v>
      </c>
    </row>
    <row r="391" spans="1:14" ht="13.5">
      <c r="A391" s="213">
        <v>7</v>
      </c>
      <c r="B391" s="245" t="s">
        <v>49</v>
      </c>
      <c r="C391" s="244">
        <v>0</v>
      </c>
      <c r="D391" s="244">
        <v>0</v>
      </c>
      <c r="E391" s="244">
        <v>2800</v>
      </c>
      <c r="F391" s="244">
        <v>130</v>
      </c>
      <c r="G391" s="244">
        <v>520</v>
      </c>
      <c r="H391" s="244">
        <v>325</v>
      </c>
      <c r="I391" s="244">
        <v>1300</v>
      </c>
      <c r="J391" s="244">
        <v>0</v>
      </c>
      <c r="K391" s="244">
        <v>2360</v>
      </c>
      <c r="L391" s="244">
        <v>3000</v>
      </c>
      <c r="M391" s="244">
        <v>127</v>
      </c>
      <c r="N391" s="244">
        <v>557</v>
      </c>
    </row>
    <row r="392" spans="1:14" ht="13.5">
      <c r="A392" s="213">
        <v>8</v>
      </c>
      <c r="B392" s="245" t="s">
        <v>50</v>
      </c>
      <c r="C392" s="244">
        <v>0</v>
      </c>
      <c r="D392" s="244">
        <v>0</v>
      </c>
      <c r="E392" s="244">
        <v>1000</v>
      </c>
      <c r="F392" s="244">
        <v>0</v>
      </c>
      <c r="G392" s="244">
        <v>0</v>
      </c>
      <c r="H392" s="244">
        <v>0</v>
      </c>
      <c r="I392" s="244">
        <v>0</v>
      </c>
      <c r="J392" s="244">
        <v>0</v>
      </c>
      <c r="K392" s="244">
        <v>1987</v>
      </c>
      <c r="L392" s="244">
        <v>113000</v>
      </c>
      <c r="M392" s="244">
        <v>860</v>
      </c>
      <c r="N392" s="244">
        <v>580</v>
      </c>
    </row>
    <row r="393" spans="1:14" ht="13.5">
      <c r="A393" s="213">
        <v>9</v>
      </c>
      <c r="B393" s="245" t="s">
        <v>51</v>
      </c>
      <c r="C393" s="244">
        <v>0</v>
      </c>
      <c r="D393" s="244">
        <v>0</v>
      </c>
      <c r="E393" s="244">
        <v>0</v>
      </c>
      <c r="F393" s="244">
        <v>507</v>
      </c>
      <c r="G393" s="244">
        <v>2028</v>
      </c>
      <c r="H393" s="244">
        <v>572</v>
      </c>
      <c r="I393" s="244">
        <v>2288</v>
      </c>
      <c r="J393" s="244">
        <v>0</v>
      </c>
      <c r="K393" s="244">
        <v>2071</v>
      </c>
      <c r="L393" s="244">
        <v>32000</v>
      </c>
      <c r="M393" s="244">
        <v>90</v>
      </c>
      <c r="N393" s="244">
        <v>13</v>
      </c>
    </row>
    <row r="394" spans="1:14" ht="13.5">
      <c r="A394" s="213">
        <v>10</v>
      </c>
      <c r="B394" s="245" t="s">
        <v>52</v>
      </c>
      <c r="C394" s="244">
        <v>0</v>
      </c>
      <c r="D394" s="244">
        <v>0</v>
      </c>
      <c r="E394" s="244">
        <v>0</v>
      </c>
      <c r="F394" s="244">
        <v>26</v>
      </c>
      <c r="G394" s="244">
        <v>104</v>
      </c>
      <c r="H394" s="244">
        <v>39</v>
      </c>
      <c r="I394" s="244">
        <v>156</v>
      </c>
      <c r="J394" s="244">
        <v>0</v>
      </c>
      <c r="K394" s="244">
        <v>2465</v>
      </c>
      <c r="L394" s="244">
        <v>24000</v>
      </c>
      <c r="M394" s="244">
        <v>339</v>
      </c>
      <c r="N394" s="244">
        <v>194</v>
      </c>
    </row>
    <row r="395" spans="1:14" ht="13.5">
      <c r="A395" s="213">
        <v>11</v>
      </c>
      <c r="B395" s="245" t="s">
        <v>53</v>
      </c>
      <c r="C395" s="244">
        <v>0</v>
      </c>
      <c r="D395" s="244">
        <v>0</v>
      </c>
      <c r="E395" s="244">
        <v>0</v>
      </c>
      <c r="F395" s="244">
        <v>130</v>
      </c>
      <c r="G395" s="244">
        <v>520</v>
      </c>
      <c r="H395" s="244">
        <v>130</v>
      </c>
      <c r="I395" s="244">
        <v>520</v>
      </c>
      <c r="J395" s="244">
        <v>0</v>
      </c>
      <c r="K395" s="244">
        <v>6934</v>
      </c>
      <c r="L395" s="244">
        <v>118000</v>
      </c>
      <c r="M395" s="244">
        <v>143</v>
      </c>
      <c r="N395" s="244">
        <v>107</v>
      </c>
    </row>
    <row r="396" spans="1:14" ht="13.5">
      <c r="A396" s="213">
        <v>12</v>
      </c>
      <c r="B396" s="245" t="s">
        <v>54</v>
      </c>
      <c r="C396" s="244">
        <v>0</v>
      </c>
      <c r="D396" s="244">
        <v>0</v>
      </c>
      <c r="E396" s="244">
        <v>0</v>
      </c>
      <c r="F396" s="244">
        <v>624</v>
      </c>
      <c r="G396" s="244">
        <v>2496</v>
      </c>
      <c r="H396" s="244">
        <v>104</v>
      </c>
      <c r="I396" s="244">
        <v>416</v>
      </c>
      <c r="J396" s="244">
        <v>0</v>
      </c>
      <c r="K396" s="244">
        <v>1288</v>
      </c>
      <c r="L396" s="244">
        <v>0</v>
      </c>
      <c r="M396" s="244">
        <v>134</v>
      </c>
      <c r="N396" s="244">
        <v>187</v>
      </c>
    </row>
    <row r="397" spans="1:14" ht="13.5">
      <c r="A397" s="213">
        <v>13</v>
      </c>
      <c r="B397" s="245" t="s">
        <v>55</v>
      </c>
      <c r="C397" s="244">
        <v>0</v>
      </c>
      <c r="D397" s="244">
        <v>0</v>
      </c>
      <c r="E397" s="244">
        <v>0</v>
      </c>
      <c r="F397" s="244">
        <v>195</v>
      </c>
      <c r="G397" s="244">
        <v>780</v>
      </c>
      <c r="H397" s="244">
        <v>39</v>
      </c>
      <c r="I397" s="244">
        <v>156</v>
      </c>
      <c r="J397" s="244">
        <v>0</v>
      </c>
      <c r="K397" s="244">
        <v>3129</v>
      </c>
      <c r="L397" s="244">
        <v>96000</v>
      </c>
      <c r="M397" s="244">
        <v>29</v>
      </c>
      <c r="N397" s="244">
        <v>12</v>
      </c>
    </row>
    <row r="398" spans="1:14" ht="13.5">
      <c r="A398" s="213">
        <v>14</v>
      </c>
      <c r="B398" s="245" t="s">
        <v>56</v>
      </c>
      <c r="C398" s="246">
        <v>0</v>
      </c>
      <c r="D398" s="244">
        <v>0</v>
      </c>
      <c r="E398" s="244">
        <v>0</v>
      </c>
      <c r="F398" s="244">
        <v>52</v>
      </c>
      <c r="G398" s="244">
        <v>208</v>
      </c>
      <c r="H398" s="244">
        <v>0</v>
      </c>
      <c r="I398" s="244">
        <v>0</v>
      </c>
      <c r="J398" s="244">
        <v>0</v>
      </c>
      <c r="K398" s="244">
        <v>1904</v>
      </c>
      <c r="L398" s="244">
        <v>88500</v>
      </c>
      <c r="M398" s="244">
        <v>830</v>
      </c>
      <c r="N398" s="244">
        <v>9</v>
      </c>
    </row>
    <row r="399" spans="1:14" ht="13.5">
      <c r="A399" s="216"/>
      <c r="B399" s="217" t="s">
        <v>197</v>
      </c>
      <c r="C399" s="218">
        <v>0</v>
      </c>
      <c r="D399" s="218">
        <f aca="true" t="shared" si="34" ref="D399:M399">SUM(D385:D398)</f>
        <v>3168</v>
      </c>
      <c r="E399" s="218">
        <f t="shared" si="34"/>
        <v>17000</v>
      </c>
      <c r="F399" s="218">
        <f t="shared" si="34"/>
        <v>3120</v>
      </c>
      <c r="G399" s="218">
        <f t="shared" si="34"/>
        <v>12480</v>
      </c>
      <c r="H399" s="218">
        <f t="shared" si="34"/>
        <v>2704</v>
      </c>
      <c r="I399" s="218">
        <f t="shared" si="34"/>
        <v>10816</v>
      </c>
      <c r="J399" s="218">
        <f t="shared" si="34"/>
        <v>0</v>
      </c>
      <c r="K399" s="218">
        <v>65829</v>
      </c>
      <c r="L399" s="218">
        <f>SUM(L385:L398)</f>
        <v>957800</v>
      </c>
      <c r="M399" s="218">
        <f t="shared" si="34"/>
        <v>9783</v>
      </c>
      <c r="N399" s="218">
        <v>2446</v>
      </c>
    </row>
    <row r="400" spans="1:14" ht="13.5">
      <c r="A400" s="220"/>
      <c r="B400" s="210" t="s">
        <v>198</v>
      </c>
      <c r="C400" s="221"/>
      <c r="D400" s="221"/>
      <c r="E400" s="221"/>
      <c r="F400" s="221">
        <f>F399+G399</f>
        <v>15600</v>
      </c>
      <c r="G400" s="221"/>
      <c r="H400" s="221">
        <f>H399+I399</f>
        <v>13520</v>
      </c>
      <c r="I400" s="221"/>
      <c r="J400" s="221"/>
      <c r="K400" s="221"/>
      <c r="L400" s="221"/>
      <c r="M400" s="221"/>
      <c r="N400" s="221"/>
    </row>
    <row r="401" spans="1:14" ht="13.5">
      <c r="A401" s="223"/>
      <c r="B401" s="224" t="s">
        <v>200</v>
      </c>
      <c r="C401" s="247">
        <v>0</v>
      </c>
      <c r="D401" s="247">
        <v>108702</v>
      </c>
      <c r="E401" s="247">
        <v>92800</v>
      </c>
      <c r="F401" s="247">
        <v>64857</v>
      </c>
      <c r="G401" s="247">
        <v>15496</v>
      </c>
      <c r="H401" s="247">
        <v>21944</v>
      </c>
      <c r="I401" s="247">
        <v>13104</v>
      </c>
      <c r="J401" s="247">
        <v>0</v>
      </c>
      <c r="K401" s="247">
        <v>66908</v>
      </c>
      <c r="L401" s="247">
        <v>484750</v>
      </c>
      <c r="M401" s="247">
        <v>14888</v>
      </c>
      <c r="N401" s="247">
        <v>2458</v>
      </c>
    </row>
    <row r="403" ht="12.75">
      <c r="K403" s="183" t="s">
        <v>59</v>
      </c>
    </row>
    <row r="404" spans="10:13" ht="12.75">
      <c r="J404" s="234"/>
      <c r="K404" s="184" t="s">
        <v>60</v>
      </c>
      <c r="M404" s="183"/>
    </row>
    <row r="405" spans="10:13" ht="15">
      <c r="J405" s="235"/>
      <c r="K405" s="184" t="s">
        <v>61</v>
      </c>
      <c r="M405" s="227"/>
    </row>
    <row r="406" spans="10:13" ht="15">
      <c r="J406" s="235"/>
      <c r="K406" s="184"/>
      <c r="M406" s="227"/>
    </row>
    <row r="407" spans="10:13" ht="15">
      <c r="J407" s="234"/>
      <c r="K407" s="184" t="s">
        <v>62</v>
      </c>
      <c r="M407" s="227"/>
    </row>
    <row r="408" spans="10:13" ht="15">
      <c r="J408" s="234"/>
      <c r="K408" s="184" t="s">
        <v>125</v>
      </c>
      <c r="M408" s="227"/>
    </row>
    <row r="409" spans="10:13" ht="15">
      <c r="J409" s="234"/>
      <c r="M409" s="227"/>
    </row>
  </sheetData>
  <sheetProtection/>
  <mergeCells count="59">
    <mergeCell ref="Q1:AD1"/>
    <mergeCell ref="Q2:AD2"/>
    <mergeCell ref="A4:N4"/>
    <mergeCell ref="V6:W6"/>
    <mergeCell ref="X6:Y6"/>
    <mergeCell ref="F9:G9"/>
    <mergeCell ref="H9:I9"/>
    <mergeCell ref="V23:W23"/>
    <mergeCell ref="X23:Y23"/>
    <mergeCell ref="F26:G26"/>
    <mergeCell ref="H26:I26"/>
    <mergeCell ref="Q35:AD35"/>
    <mergeCell ref="Q36:AD36"/>
    <mergeCell ref="A38:N38"/>
    <mergeCell ref="V40:W40"/>
    <mergeCell ref="X40:Y40"/>
    <mergeCell ref="F43:G43"/>
    <mergeCell ref="H43:I43"/>
    <mergeCell ref="F60:G60"/>
    <mergeCell ref="H60:I60"/>
    <mergeCell ref="A72:N72"/>
    <mergeCell ref="Q72:AD72"/>
    <mergeCell ref="F77:G77"/>
    <mergeCell ref="H77:I77"/>
    <mergeCell ref="V77:W77"/>
    <mergeCell ref="X77:Y77"/>
    <mergeCell ref="F94:G94"/>
    <mergeCell ref="H94:I94"/>
    <mergeCell ref="A106:N106"/>
    <mergeCell ref="F111:G111"/>
    <mergeCell ref="H111:I111"/>
    <mergeCell ref="F128:G128"/>
    <mergeCell ref="H128:I128"/>
    <mergeCell ref="A140:N140"/>
    <mergeCell ref="F145:G145"/>
    <mergeCell ref="H145:I145"/>
    <mergeCell ref="F162:G162"/>
    <mergeCell ref="H162:I162"/>
    <mergeCell ref="A174:N174"/>
    <mergeCell ref="F179:G179"/>
    <mergeCell ref="H179:I179"/>
    <mergeCell ref="A208:N208"/>
    <mergeCell ref="F213:G213"/>
    <mergeCell ref="H213:I213"/>
    <mergeCell ref="A242:N242"/>
    <mergeCell ref="F247:G247"/>
    <mergeCell ref="H247:I247"/>
    <mergeCell ref="A276:N276"/>
    <mergeCell ref="F281:G281"/>
    <mergeCell ref="H281:I281"/>
    <mergeCell ref="A310:N310"/>
    <mergeCell ref="F383:G383"/>
    <mergeCell ref="H383:I383"/>
    <mergeCell ref="F315:G315"/>
    <mergeCell ref="H315:I315"/>
    <mergeCell ref="A344:N344"/>
    <mergeCell ref="F349:G349"/>
    <mergeCell ref="H349:I349"/>
    <mergeCell ref="A378:N378"/>
  </mergeCells>
  <printOptions horizontalCentered="1"/>
  <pageMargins left="0.9048611111111111" right="0.7479166666666667" top="1.2201388888888889" bottom="0.2361111111111111" header="0.2361111111111111" footer="0.2361111111111111"/>
  <pageSetup fitToHeight="1" fitToWidth="1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T106"/>
  <sheetViews>
    <sheetView zoomScalePageLayoutView="0" workbookViewId="0" topLeftCell="B43">
      <pane xSplit="1" topLeftCell="C1" activePane="topRight" state="frozen"/>
      <selection pane="topLeft" activeCell="B2" sqref="B2"/>
      <selection pane="topRight" activeCell="P43" sqref="P43"/>
    </sheetView>
  </sheetViews>
  <sheetFormatPr defaultColWidth="9.140625" defaultRowHeight="15"/>
  <cols>
    <col min="1" max="1" width="4.140625" style="152" customWidth="1"/>
    <col min="2" max="2" width="17.421875" style="152" customWidth="1"/>
    <col min="3" max="4" width="10.28125" style="152" bestFit="1" customWidth="1"/>
    <col min="5" max="5" width="10.421875" style="152" bestFit="1" customWidth="1"/>
    <col min="6" max="6" width="10.28125" style="152" bestFit="1" customWidth="1"/>
    <col min="7" max="7" width="10.421875" style="152" bestFit="1" customWidth="1"/>
    <col min="8" max="10" width="10.28125" style="152" bestFit="1" customWidth="1"/>
    <col min="11" max="11" width="10.7109375" style="152" bestFit="1" customWidth="1"/>
    <col min="12" max="13" width="10.28125" style="152" bestFit="1" customWidth="1"/>
    <col min="14" max="14" width="10.421875" style="152" bestFit="1" customWidth="1"/>
    <col min="15" max="15" width="14.140625" style="152" bestFit="1" customWidth="1"/>
    <col min="16" max="16" width="11.7109375" style="153" customWidth="1"/>
    <col min="17" max="17" width="11.8515625" style="154" customWidth="1"/>
    <col min="18" max="18" width="14.00390625" style="155" bestFit="1" customWidth="1"/>
    <col min="19" max="19" width="9.140625" style="155" customWidth="1"/>
    <col min="20" max="20" width="13.00390625" style="156" bestFit="1" customWidth="1"/>
    <col min="21" max="16384" width="9.140625" style="155" customWidth="1"/>
  </cols>
  <sheetData>
    <row r="1" ht="12.75"/>
    <row r="2" spans="1:17" ht="12.75">
      <c r="A2" s="500" t="s">
        <v>217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</row>
    <row r="3" ht="12.75"/>
    <row r="4" ht="12.75"/>
    <row r="5" spans="1:20" s="149" customFormat="1" ht="28.5" customHeight="1">
      <c r="A5" s="157"/>
      <c r="B5" s="158" t="s">
        <v>1</v>
      </c>
      <c r="C5" s="159" t="s">
        <v>29</v>
      </c>
      <c r="D5" s="159" t="s">
        <v>30</v>
      </c>
      <c r="E5" s="159" t="s">
        <v>31</v>
      </c>
      <c r="F5" s="159" t="s">
        <v>32</v>
      </c>
      <c r="G5" s="159" t="s">
        <v>33</v>
      </c>
      <c r="H5" s="159" t="s">
        <v>34</v>
      </c>
      <c r="I5" s="159" t="s">
        <v>35</v>
      </c>
      <c r="J5" s="159" t="s">
        <v>36</v>
      </c>
      <c r="K5" s="159" t="s">
        <v>37</v>
      </c>
      <c r="L5" s="159" t="s">
        <v>38</v>
      </c>
      <c r="M5" s="159" t="s">
        <v>39</v>
      </c>
      <c r="N5" s="159" t="s">
        <v>40</v>
      </c>
      <c r="O5" s="159" t="s">
        <v>218</v>
      </c>
      <c r="P5" s="176" t="s">
        <v>219</v>
      </c>
      <c r="Q5" s="186" t="s">
        <v>220</v>
      </c>
      <c r="T5" s="187"/>
    </row>
    <row r="6" spans="1:20" ht="13.5">
      <c r="A6" s="160">
        <v>1</v>
      </c>
      <c r="B6" s="161" t="s">
        <v>43</v>
      </c>
      <c r="C6" s="162">
        <v>49027</v>
      </c>
      <c r="D6" s="162">
        <v>49207</v>
      </c>
      <c r="E6" s="162">
        <v>49207</v>
      </c>
      <c r="F6" s="162">
        <v>49318</v>
      </c>
      <c r="G6" s="162">
        <v>49802</v>
      </c>
      <c r="H6" s="162">
        <v>50313</v>
      </c>
      <c r="I6" s="162">
        <v>50313</v>
      </c>
      <c r="J6" s="162">
        <v>50468</v>
      </c>
      <c r="K6" s="162">
        <v>50233</v>
      </c>
      <c r="L6" s="162">
        <v>50258</v>
      </c>
      <c r="M6" s="162">
        <v>50174</v>
      </c>
      <c r="N6" s="177">
        <v>50323</v>
      </c>
      <c r="O6" s="178">
        <f>SUM(C6:N6)</f>
        <v>598643</v>
      </c>
      <c r="P6" s="179">
        <f>O6/20</f>
        <v>29932.15</v>
      </c>
      <c r="Q6" s="188">
        <v>29733.55</v>
      </c>
      <c r="R6" s="189"/>
      <c r="T6" s="156">
        <v>49268.61786</v>
      </c>
    </row>
    <row r="7" spans="1:20" ht="13.5">
      <c r="A7" s="163">
        <v>2</v>
      </c>
      <c r="B7" s="164" t="s">
        <v>44</v>
      </c>
      <c r="C7" s="162">
        <v>307758</v>
      </c>
      <c r="D7" s="162">
        <v>307761</v>
      </c>
      <c r="E7" s="162">
        <v>307909</v>
      </c>
      <c r="F7" s="162">
        <v>308108</v>
      </c>
      <c r="G7" s="162">
        <v>308291</v>
      </c>
      <c r="H7" s="162">
        <v>305941</v>
      </c>
      <c r="I7" s="162">
        <v>305941</v>
      </c>
      <c r="J7" s="162">
        <v>306270</v>
      </c>
      <c r="K7" s="162">
        <v>306490</v>
      </c>
      <c r="L7" s="162">
        <v>306731</v>
      </c>
      <c r="M7" s="162">
        <v>306899</v>
      </c>
      <c r="N7" s="177">
        <v>307029</v>
      </c>
      <c r="O7" s="178">
        <f aca="true" t="shared" si="0" ref="O7:O12">SUM(C7:N7)</f>
        <v>3685128</v>
      </c>
      <c r="P7" s="179">
        <f>O7/20</f>
        <v>184256.4</v>
      </c>
      <c r="Q7" s="190">
        <v>184328.5</v>
      </c>
      <c r="R7" s="189"/>
      <c r="T7" s="156">
        <v>306467.9772</v>
      </c>
    </row>
    <row r="8" spans="1:20" ht="13.5">
      <c r="A8" s="163">
        <v>3</v>
      </c>
      <c r="B8" s="164" t="s">
        <v>45</v>
      </c>
      <c r="C8" s="162">
        <v>303737</v>
      </c>
      <c r="D8" s="162">
        <v>304251</v>
      </c>
      <c r="E8" s="162">
        <v>304766</v>
      </c>
      <c r="F8" s="162">
        <v>304766</v>
      </c>
      <c r="G8" s="162">
        <v>304766</v>
      </c>
      <c r="H8" s="162">
        <v>305284</v>
      </c>
      <c r="I8" s="162">
        <v>305284</v>
      </c>
      <c r="J8" s="162">
        <v>305801</v>
      </c>
      <c r="K8" s="162">
        <v>305801</v>
      </c>
      <c r="L8" s="162">
        <v>306316</v>
      </c>
      <c r="M8" s="162">
        <v>306502</v>
      </c>
      <c r="N8" s="177">
        <v>306502</v>
      </c>
      <c r="O8" s="178">
        <f t="shared" si="0"/>
        <v>3663776</v>
      </c>
      <c r="P8" s="180">
        <f>O8/20</f>
        <v>183188.8</v>
      </c>
      <c r="Q8" s="190">
        <v>179328.8</v>
      </c>
      <c r="R8" s="189"/>
      <c r="T8" s="156">
        <v>294033.79698</v>
      </c>
    </row>
    <row r="9" spans="1:20" ht="13.5">
      <c r="A9" s="163">
        <v>4</v>
      </c>
      <c r="B9" s="164" t="s">
        <v>46</v>
      </c>
      <c r="C9" s="162">
        <v>252044</v>
      </c>
      <c r="D9" s="162">
        <v>251973</v>
      </c>
      <c r="E9" s="162">
        <v>252298</v>
      </c>
      <c r="F9" s="162">
        <v>252366</v>
      </c>
      <c r="G9" s="162">
        <v>252552</v>
      </c>
      <c r="H9" s="162">
        <v>245280</v>
      </c>
      <c r="I9" s="162">
        <v>245447</v>
      </c>
      <c r="J9" s="162">
        <v>245292</v>
      </c>
      <c r="K9" s="162">
        <v>245447</v>
      </c>
      <c r="L9" s="162">
        <v>244973</v>
      </c>
      <c r="M9" s="162">
        <v>244951</v>
      </c>
      <c r="N9" s="177">
        <v>245106</v>
      </c>
      <c r="O9" s="178">
        <f t="shared" si="0"/>
        <v>2977729</v>
      </c>
      <c r="P9" s="180">
        <f>O9/20</f>
        <v>148886.45</v>
      </c>
      <c r="Q9" s="190">
        <v>160197.45</v>
      </c>
      <c r="R9" s="189"/>
      <c r="T9" s="156">
        <v>289551.16806</v>
      </c>
    </row>
    <row r="10" spans="1:20" ht="13.5">
      <c r="A10" s="163">
        <v>5</v>
      </c>
      <c r="B10" s="164" t="s">
        <v>47</v>
      </c>
      <c r="C10" s="162">
        <v>188453</v>
      </c>
      <c r="D10" s="162">
        <v>188599</v>
      </c>
      <c r="E10" s="162">
        <v>188596</v>
      </c>
      <c r="F10" s="162">
        <v>188596</v>
      </c>
      <c r="G10" s="162">
        <v>188559</v>
      </c>
      <c r="H10" s="162">
        <v>188540</v>
      </c>
      <c r="I10" s="162">
        <v>188494</v>
      </c>
      <c r="J10" s="162">
        <v>188593</v>
      </c>
      <c r="K10" s="162">
        <v>188574</v>
      </c>
      <c r="L10" s="162">
        <v>210308</v>
      </c>
      <c r="M10" s="162">
        <v>210203</v>
      </c>
      <c r="N10" s="177">
        <v>210098</v>
      </c>
      <c r="O10" s="178">
        <f t="shared" si="0"/>
        <v>2327613</v>
      </c>
      <c r="P10" s="180">
        <f aca="true" t="shared" si="1" ref="P10:P19">O10/20</f>
        <v>116380.65</v>
      </c>
      <c r="Q10" s="190">
        <v>113262.55</v>
      </c>
      <c r="R10" s="189"/>
      <c r="T10" s="156">
        <v>189020.61948</v>
      </c>
    </row>
    <row r="11" spans="1:20" ht="13.5">
      <c r="A11" s="163">
        <v>6</v>
      </c>
      <c r="B11" s="164" t="s">
        <v>48</v>
      </c>
      <c r="C11" s="162">
        <v>81989</v>
      </c>
      <c r="D11" s="162">
        <v>81989</v>
      </c>
      <c r="E11" s="162">
        <v>83908</v>
      </c>
      <c r="F11" s="162">
        <v>83908</v>
      </c>
      <c r="G11" s="162">
        <v>82972</v>
      </c>
      <c r="H11" s="162">
        <v>84023</v>
      </c>
      <c r="I11" s="162">
        <v>84022.94208</v>
      </c>
      <c r="J11" s="162">
        <v>84996</v>
      </c>
      <c r="K11" s="162">
        <v>86931</v>
      </c>
      <c r="L11" s="162">
        <v>89188</v>
      </c>
      <c r="M11" s="162">
        <v>87421</v>
      </c>
      <c r="N11" s="177">
        <v>88106</v>
      </c>
      <c r="O11" s="178">
        <f t="shared" si="0"/>
        <v>1019453.94208</v>
      </c>
      <c r="P11" s="180">
        <f t="shared" si="1"/>
        <v>50972.697104</v>
      </c>
      <c r="Q11" s="190">
        <v>52409.2</v>
      </c>
      <c r="R11" s="189"/>
      <c r="T11" s="156">
        <v>93214.50138</v>
      </c>
    </row>
    <row r="12" spans="1:20" ht="13.5">
      <c r="A12" s="163">
        <v>7</v>
      </c>
      <c r="B12" s="164" t="s">
        <v>49</v>
      </c>
      <c r="C12" s="162">
        <v>64567</v>
      </c>
      <c r="D12" s="162">
        <v>64567</v>
      </c>
      <c r="E12" s="162">
        <v>64567</v>
      </c>
      <c r="F12" s="162">
        <v>64567</v>
      </c>
      <c r="G12" s="162">
        <v>64539</v>
      </c>
      <c r="H12" s="162">
        <v>64539</v>
      </c>
      <c r="I12" s="162">
        <v>64440</v>
      </c>
      <c r="J12" s="162">
        <v>64440</v>
      </c>
      <c r="K12" s="162">
        <v>64440</v>
      </c>
      <c r="L12" s="162">
        <v>64440</v>
      </c>
      <c r="M12" s="162">
        <v>64815</v>
      </c>
      <c r="N12" s="177">
        <v>65203</v>
      </c>
      <c r="O12" s="178">
        <f t="shared" si="0"/>
        <v>775124</v>
      </c>
      <c r="P12" s="180">
        <f t="shared" si="1"/>
        <v>38756.2</v>
      </c>
      <c r="Q12" s="190">
        <v>40136.05</v>
      </c>
      <c r="R12" s="189"/>
      <c r="T12" s="156">
        <v>67692.03671999999</v>
      </c>
    </row>
    <row r="13" spans="1:20" ht="13.5">
      <c r="A13" s="163">
        <v>8</v>
      </c>
      <c r="B13" s="164" t="s">
        <v>50</v>
      </c>
      <c r="C13" s="162">
        <v>53026</v>
      </c>
      <c r="D13" s="162">
        <v>53026</v>
      </c>
      <c r="E13" s="162">
        <v>53221</v>
      </c>
      <c r="F13" s="162">
        <v>53221</v>
      </c>
      <c r="G13" s="162">
        <v>56699</v>
      </c>
      <c r="H13" s="162">
        <v>53221</v>
      </c>
      <c r="I13" s="162">
        <v>53993</v>
      </c>
      <c r="J13" s="162">
        <v>53993</v>
      </c>
      <c r="K13" s="162">
        <v>53993</v>
      </c>
      <c r="L13" s="162">
        <v>54120</v>
      </c>
      <c r="M13" s="162">
        <v>54911</v>
      </c>
      <c r="N13" s="177">
        <v>54911</v>
      </c>
      <c r="O13" s="178">
        <f aca="true" t="shared" si="2" ref="O13:O20">SUM(C13:N13)</f>
        <v>648335</v>
      </c>
      <c r="P13" s="180">
        <f t="shared" si="1"/>
        <v>32416.75</v>
      </c>
      <c r="Q13" s="190">
        <v>31608.3</v>
      </c>
      <c r="R13" s="189"/>
      <c r="T13" s="156">
        <v>52818.14076</v>
      </c>
    </row>
    <row r="14" spans="1:20" ht="13.5">
      <c r="A14" s="163">
        <v>9</v>
      </c>
      <c r="B14" s="164" t="s">
        <v>51</v>
      </c>
      <c r="C14" s="162">
        <v>30814</v>
      </c>
      <c r="D14" s="162">
        <v>31078</v>
      </c>
      <c r="E14" s="162">
        <v>31078</v>
      </c>
      <c r="F14" s="162">
        <v>31372</v>
      </c>
      <c r="G14" s="162">
        <v>31341</v>
      </c>
      <c r="H14" s="162">
        <v>44969</v>
      </c>
      <c r="I14" s="162">
        <v>44969</v>
      </c>
      <c r="J14" s="162">
        <v>45446</v>
      </c>
      <c r="K14" s="162">
        <v>44656</v>
      </c>
      <c r="L14" s="162">
        <v>44997</v>
      </c>
      <c r="M14" s="162">
        <v>45074</v>
      </c>
      <c r="N14" s="177">
        <v>57226</v>
      </c>
      <c r="O14" s="178">
        <f t="shared" si="2"/>
        <v>483020</v>
      </c>
      <c r="P14" s="180">
        <f t="shared" si="1"/>
        <v>24151</v>
      </c>
      <c r="Q14" s="190">
        <v>17436.7</v>
      </c>
      <c r="R14" s="189"/>
      <c r="T14" s="156">
        <v>26102.1684</v>
      </c>
    </row>
    <row r="15" spans="1:20" ht="13.5">
      <c r="A15" s="163">
        <v>10</v>
      </c>
      <c r="B15" s="164" t="s">
        <v>52</v>
      </c>
      <c r="C15" s="162">
        <v>67472</v>
      </c>
      <c r="D15" s="162">
        <v>67208</v>
      </c>
      <c r="E15" s="162">
        <v>67351</v>
      </c>
      <c r="F15" s="162">
        <v>67630</v>
      </c>
      <c r="G15" s="162">
        <v>67500</v>
      </c>
      <c r="H15" s="162">
        <v>67580</v>
      </c>
      <c r="I15" s="162">
        <v>67689</v>
      </c>
      <c r="J15" s="162">
        <v>67438</v>
      </c>
      <c r="K15" s="162">
        <v>67627</v>
      </c>
      <c r="L15" s="162">
        <v>67729</v>
      </c>
      <c r="M15" s="162">
        <v>67872</v>
      </c>
      <c r="N15" s="177">
        <v>68114</v>
      </c>
      <c r="O15" s="178">
        <f t="shared" si="2"/>
        <v>811210</v>
      </c>
      <c r="P15" s="180">
        <f t="shared" si="1"/>
        <v>40560.5</v>
      </c>
      <c r="Q15" s="190">
        <v>40032.55</v>
      </c>
      <c r="R15" s="189"/>
      <c r="T15" s="156">
        <v>65720.424</v>
      </c>
    </row>
    <row r="16" spans="1:20" ht="13.5">
      <c r="A16" s="163">
        <v>11</v>
      </c>
      <c r="B16" s="164" t="s">
        <v>53</v>
      </c>
      <c r="C16" s="162">
        <v>189107</v>
      </c>
      <c r="D16" s="162">
        <v>189107</v>
      </c>
      <c r="E16" s="162">
        <v>189107</v>
      </c>
      <c r="F16" s="162">
        <v>190320</v>
      </c>
      <c r="G16" s="162">
        <v>191581</v>
      </c>
      <c r="H16" s="162">
        <v>189107</v>
      </c>
      <c r="I16" s="162">
        <v>189107</v>
      </c>
      <c r="J16" s="162">
        <v>195301</v>
      </c>
      <c r="K16" s="162">
        <v>191581</v>
      </c>
      <c r="L16" s="162">
        <v>191581</v>
      </c>
      <c r="M16" s="162">
        <v>191581</v>
      </c>
      <c r="N16" s="177">
        <v>191581</v>
      </c>
      <c r="O16" s="178">
        <f t="shared" si="2"/>
        <v>2289061</v>
      </c>
      <c r="P16" s="180">
        <f t="shared" si="1"/>
        <v>114453.05</v>
      </c>
      <c r="Q16" s="190">
        <v>113464.2</v>
      </c>
      <c r="R16" s="189"/>
      <c r="T16" s="156">
        <v>189107.42004</v>
      </c>
    </row>
    <row r="17" spans="1:20" ht="13.5">
      <c r="A17" s="163">
        <v>12</v>
      </c>
      <c r="B17" s="164" t="s">
        <v>54</v>
      </c>
      <c r="C17" s="162">
        <v>36797</v>
      </c>
      <c r="D17" s="162">
        <v>36515</v>
      </c>
      <c r="E17" s="162">
        <v>36583</v>
      </c>
      <c r="F17" s="162">
        <v>36267</v>
      </c>
      <c r="G17" s="162">
        <v>36723</v>
      </c>
      <c r="H17" s="162">
        <v>36791</v>
      </c>
      <c r="I17" s="162">
        <v>36190</v>
      </c>
      <c r="J17" s="162">
        <v>36190</v>
      </c>
      <c r="K17" s="162">
        <v>35095</v>
      </c>
      <c r="L17" s="162">
        <v>35139</v>
      </c>
      <c r="M17" s="162">
        <v>35328</v>
      </c>
      <c r="N17" s="177">
        <v>35576</v>
      </c>
      <c r="O17" s="178">
        <f t="shared" si="2"/>
        <v>433194</v>
      </c>
      <c r="P17" s="180">
        <f t="shared" si="1"/>
        <v>21659.7</v>
      </c>
      <c r="Q17" s="190">
        <v>23395.65</v>
      </c>
      <c r="R17" s="189">
        <v>454500</v>
      </c>
      <c r="S17" s="189">
        <f>R17+P17</f>
        <v>476159.7</v>
      </c>
      <c r="T17" s="156">
        <v>43902.48324</v>
      </c>
    </row>
    <row r="18" spans="1:20" ht="13.5">
      <c r="A18" s="163">
        <v>13</v>
      </c>
      <c r="B18" s="164" t="s">
        <v>55</v>
      </c>
      <c r="C18" s="162">
        <v>85114</v>
      </c>
      <c r="D18" s="162">
        <v>85114</v>
      </c>
      <c r="E18" s="162">
        <v>85114</v>
      </c>
      <c r="F18" s="162">
        <v>85700</v>
      </c>
      <c r="G18" s="162">
        <v>85638</v>
      </c>
      <c r="H18" s="162">
        <v>86534</v>
      </c>
      <c r="I18" s="162">
        <v>85781</v>
      </c>
      <c r="J18" s="162">
        <v>85781</v>
      </c>
      <c r="K18" s="162">
        <v>86441</v>
      </c>
      <c r="L18" s="162">
        <v>86441</v>
      </c>
      <c r="M18" s="162">
        <v>86441</v>
      </c>
      <c r="N18" s="177">
        <v>86441</v>
      </c>
      <c r="O18" s="178">
        <f t="shared" si="2"/>
        <v>1030540</v>
      </c>
      <c r="P18" s="180">
        <f t="shared" si="1"/>
        <v>51527</v>
      </c>
      <c r="Q18" s="190">
        <v>51753.1</v>
      </c>
      <c r="R18" s="189"/>
      <c r="T18" s="156">
        <v>86707.5594</v>
      </c>
    </row>
    <row r="19" spans="1:20" ht="13.5">
      <c r="A19" s="163">
        <v>14</v>
      </c>
      <c r="B19" s="164" t="s">
        <v>56</v>
      </c>
      <c r="C19" s="162">
        <v>48050</v>
      </c>
      <c r="D19" s="162">
        <v>51150</v>
      </c>
      <c r="E19" s="162">
        <v>51770</v>
      </c>
      <c r="F19" s="162">
        <v>51770</v>
      </c>
      <c r="G19" s="162">
        <v>50995</v>
      </c>
      <c r="H19" s="162">
        <v>51398</v>
      </c>
      <c r="I19" s="162">
        <v>51398</v>
      </c>
      <c r="J19" s="162">
        <v>52204</v>
      </c>
      <c r="K19" s="162">
        <v>52204</v>
      </c>
      <c r="L19" s="162">
        <v>52604</v>
      </c>
      <c r="M19" s="162">
        <v>52604</v>
      </c>
      <c r="N19" s="177">
        <v>52604</v>
      </c>
      <c r="O19" s="178">
        <f t="shared" si="2"/>
        <v>618751</v>
      </c>
      <c r="P19" s="180">
        <f t="shared" si="1"/>
        <v>30937.55</v>
      </c>
      <c r="Q19" s="191">
        <v>15485.35</v>
      </c>
      <c r="R19" s="189"/>
      <c r="T19" s="156">
        <v>13528.48728</v>
      </c>
    </row>
    <row r="20" spans="1:20" s="150" customFormat="1" ht="12.75">
      <c r="A20" s="165"/>
      <c r="B20" s="166" t="s">
        <v>221</v>
      </c>
      <c r="C20" s="167">
        <f>SUM(C6:C19)</f>
        <v>1757955</v>
      </c>
      <c r="D20" s="168">
        <f>SUM(D6:D19)</f>
        <v>1761545</v>
      </c>
      <c r="E20" s="168">
        <f aca="true" t="shared" si="3" ref="E20:N20">SUM(E6:E19)</f>
        <v>1765475</v>
      </c>
      <c r="F20" s="168">
        <f t="shared" si="3"/>
        <v>1767909</v>
      </c>
      <c r="G20" s="168">
        <f t="shared" si="3"/>
        <v>1771958</v>
      </c>
      <c r="H20" s="168">
        <f t="shared" si="3"/>
        <v>1773520</v>
      </c>
      <c r="I20" s="168">
        <f t="shared" si="3"/>
        <v>1773068.94208</v>
      </c>
      <c r="J20" s="168">
        <f t="shared" si="3"/>
        <v>1782213</v>
      </c>
      <c r="K20" s="181">
        <f t="shared" si="3"/>
        <v>1779513</v>
      </c>
      <c r="L20" s="168">
        <f t="shared" si="3"/>
        <v>1804825</v>
      </c>
      <c r="M20" s="168">
        <f t="shared" si="3"/>
        <v>1804776</v>
      </c>
      <c r="N20" s="168">
        <f t="shared" si="3"/>
        <v>1818820</v>
      </c>
      <c r="O20" s="168">
        <f t="shared" si="2"/>
        <v>21361577.94208</v>
      </c>
      <c r="P20" s="168">
        <v>1068080</v>
      </c>
      <c r="Q20" s="192"/>
      <c r="R20" s="193">
        <f>SUM(R6:R19)</f>
        <v>454500</v>
      </c>
      <c r="T20" s="194">
        <f>SUM(T6:T19)</f>
        <v>1767135.4008000004</v>
      </c>
    </row>
    <row r="21" spans="1:17" s="151" customFormat="1" ht="12.75">
      <c r="A21" s="169"/>
      <c r="B21" s="170" t="s">
        <v>222</v>
      </c>
      <c r="C21" s="171">
        <v>1766478</v>
      </c>
      <c r="D21" s="171">
        <v>1768492</v>
      </c>
      <c r="E21" s="171">
        <v>1770337</v>
      </c>
      <c r="F21" s="171">
        <v>1758237</v>
      </c>
      <c r="G21" s="171">
        <v>1758536</v>
      </c>
      <c r="H21" s="171">
        <v>1764377</v>
      </c>
      <c r="I21" s="171">
        <v>1758663</v>
      </c>
      <c r="J21" s="182">
        <v>1743686</v>
      </c>
      <c r="K21" s="171">
        <v>1735947</v>
      </c>
      <c r="L21" s="171">
        <v>1742198</v>
      </c>
      <c r="M21" s="171">
        <v>1742231</v>
      </c>
      <c r="N21" s="171">
        <v>1742257</v>
      </c>
      <c r="O21" s="171">
        <v>21051439</v>
      </c>
      <c r="P21" s="171">
        <v>1052571.9500000002</v>
      </c>
      <c r="Q21" s="154"/>
    </row>
    <row r="22" spans="1:17" s="151" customFormat="1" ht="12.75">
      <c r="A22" s="172"/>
      <c r="B22" s="173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54"/>
    </row>
    <row r="23" spans="1:17" s="151" customFormat="1" ht="12.75">
      <c r="A23" s="172"/>
      <c r="B23" s="173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83" t="s">
        <v>59</v>
      </c>
      <c r="P23" s="172"/>
      <c r="Q23" s="154"/>
    </row>
    <row r="24" spans="1:17" s="151" customFormat="1" ht="12.75">
      <c r="A24" s="172"/>
      <c r="B24" s="173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84" t="s">
        <v>60</v>
      </c>
      <c r="P24" s="172"/>
      <c r="Q24" s="154"/>
    </row>
    <row r="25" spans="1:17" s="151" customFormat="1" ht="12.75">
      <c r="A25" s="172"/>
      <c r="B25" s="173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84" t="s">
        <v>61</v>
      </c>
      <c r="P25" s="172"/>
      <c r="Q25" s="154"/>
    </row>
    <row r="26" spans="1:17" s="151" customFormat="1" ht="17.25" customHeight="1">
      <c r="A26" s="172"/>
      <c r="B26" s="173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84"/>
      <c r="P26" s="172"/>
      <c r="Q26" s="154"/>
    </row>
    <row r="27" spans="1:17" s="151" customFormat="1" ht="12.75">
      <c r="A27" s="172"/>
      <c r="B27" s="173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84" t="s">
        <v>62</v>
      </c>
      <c r="P27" s="172"/>
      <c r="Q27" s="154"/>
    </row>
    <row r="28" ht="12.75">
      <c r="O28" s="184" t="s">
        <v>125</v>
      </c>
    </row>
    <row r="29" ht="12.75">
      <c r="O29" s="184"/>
    </row>
    <row r="30" spans="1:17" ht="12.75">
      <c r="A30" s="500" t="s">
        <v>223</v>
      </c>
      <c r="B30" s="500"/>
      <c r="C30" s="500"/>
      <c r="D30" s="500"/>
      <c r="E30" s="500"/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</row>
    <row r="31" ht="12.75"/>
    <row r="32" ht="12.75"/>
    <row r="33" spans="1:20" s="149" customFormat="1" ht="26.25" customHeight="1">
      <c r="A33" s="501" t="s">
        <v>183</v>
      </c>
      <c r="B33" s="502"/>
      <c r="C33" s="159" t="s">
        <v>29</v>
      </c>
      <c r="D33" s="159" t="s">
        <v>30</v>
      </c>
      <c r="E33" s="159" t="s">
        <v>31</v>
      </c>
      <c r="F33" s="159" t="s">
        <v>32</v>
      </c>
      <c r="G33" s="159" t="s">
        <v>33</v>
      </c>
      <c r="H33" s="159" t="s">
        <v>34</v>
      </c>
      <c r="I33" s="159" t="s">
        <v>35</v>
      </c>
      <c r="J33" s="159" t="s">
        <v>36</v>
      </c>
      <c r="K33" s="159" t="s">
        <v>37</v>
      </c>
      <c r="L33" s="159" t="s">
        <v>38</v>
      </c>
      <c r="M33" s="159" t="s">
        <v>39</v>
      </c>
      <c r="N33" s="159" t="s">
        <v>40</v>
      </c>
      <c r="O33" s="159" t="s">
        <v>224</v>
      </c>
      <c r="P33" s="176" t="s">
        <v>219</v>
      </c>
      <c r="Q33" s="186" t="s">
        <v>220</v>
      </c>
      <c r="T33" s="187"/>
    </row>
    <row r="34" spans="1:20" ht="13.5">
      <c r="A34" s="160">
        <v>1</v>
      </c>
      <c r="B34" s="161" t="s">
        <v>43</v>
      </c>
      <c r="C34" s="162">
        <v>179897</v>
      </c>
      <c r="D34" s="162">
        <v>198199</v>
      </c>
      <c r="E34" s="162">
        <v>198199</v>
      </c>
      <c r="F34" s="162">
        <v>198199</v>
      </c>
      <c r="G34" s="162">
        <v>198199</v>
      </c>
      <c r="H34" s="162">
        <v>177105</v>
      </c>
      <c r="I34" s="162">
        <v>177105</v>
      </c>
      <c r="J34" s="162">
        <v>161098</v>
      </c>
      <c r="K34" s="162">
        <v>157906</v>
      </c>
      <c r="L34" s="162">
        <v>158418</v>
      </c>
      <c r="M34" s="162">
        <v>158418</v>
      </c>
      <c r="N34" s="177">
        <v>151699</v>
      </c>
      <c r="O34" s="185">
        <f>SUM(C34:N34)</f>
        <v>2114442</v>
      </c>
      <c r="P34" s="179">
        <f>O34/13</f>
        <v>162649.38461538462</v>
      </c>
      <c r="Q34" s="188">
        <v>183672.46153846153</v>
      </c>
      <c r="R34" s="155">
        <v>183672</v>
      </c>
      <c r="T34" s="156">
        <v>210492.494025</v>
      </c>
    </row>
    <row r="35" spans="1:20" ht="13.5">
      <c r="A35" s="163">
        <v>2</v>
      </c>
      <c r="B35" s="164" t="s">
        <v>44</v>
      </c>
      <c r="C35" s="162">
        <v>338092</v>
      </c>
      <c r="D35" s="162">
        <v>338366</v>
      </c>
      <c r="E35" s="162">
        <v>338997</v>
      </c>
      <c r="F35" s="162">
        <v>336163</v>
      </c>
      <c r="G35" s="162">
        <v>336522</v>
      </c>
      <c r="H35" s="162">
        <v>331715</v>
      </c>
      <c r="I35" s="162">
        <v>331715</v>
      </c>
      <c r="J35" s="162">
        <v>331280</v>
      </c>
      <c r="K35" s="162">
        <v>332014</v>
      </c>
      <c r="L35" s="162">
        <v>332526</v>
      </c>
      <c r="M35" s="162">
        <v>333090</v>
      </c>
      <c r="N35" s="177">
        <v>333525</v>
      </c>
      <c r="O35" s="178">
        <f aca="true" t="shared" si="4" ref="O35:O48">SUM(C35:N35)</f>
        <v>4014005</v>
      </c>
      <c r="P35" s="180">
        <f aca="true" t="shared" si="5" ref="P35:P47">O35/13</f>
        <v>308769.6153846154</v>
      </c>
      <c r="Q35" s="190">
        <v>296676.92307692306</v>
      </c>
      <c r="R35" s="155">
        <v>296677</v>
      </c>
      <c r="T35" s="156">
        <v>333986.20447500004</v>
      </c>
    </row>
    <row r="36" spans="1:20" ht="13.5">
      <c r="A36" s="163">
        <v>3</v>
      </c>
      <c r="B36" s="164" t="s">
        <v>45</v>
      </c>
      <c r="C36" s="162">
        <v>472052</v>
      </c>
      <c r="D36" s="162">
        <v>410826</v>
      </c>
      <c r="E36" s="162">
        <v>410826</v>
      </c>
      <c r="F36" s="162">
        <v>410826</v>
      </c>
      <c r="G36" s="162">
        <v>410826</v>
      </c>
      <c r="H36" s="162">
        <v>410826</v>
      </c>
      <c r="I36" s="162">
        <v>410826</v>
      </c>
      <c r="J36" s="162">
        <v>417656</v>
      </c>
      <c r="K36" s="162">
        <v>429104</v>
      </c>
      <c r="L36" s="162">
        <v>429104</v>
      </c>
      <c r="M36" s="162">
        <v>434277</v>
      </c>
      <c r="N36" s="177">
        <v>434277</v>
      </c>
      <c r="O36" s="178">
        <f t="shared" si="4"/>
        <v>5081426</v>
      </c>
      <c r="P36" s="180">
        <f>(O36/13)</f>
        <v>390878.92307692306</v>
      </c>
      <c r="Q36" s="190">
        <v>361608.5</v>
      </c>
      <c r="R36" s="155">
        <v>361608</v>
      </c>
      <c r="T36" s="156">
        <v>550608.1388500001</v>
      </c>
    </row>
    <row r="37" spans="1:20" ht="13.5">
      <c r="A37" s="163">
        <v>4</v>
      </c>
      <c r="B37" s="164" t="s">
        <v>46</v>
      </c>
      <c r="C37" s="162">
        <v>62840</v>
      </c>
      <c r="D37" s="162">
        <v>62976</v>
      </c>
      <c r="E37" s="162">
        <v>62891</v>
      </c>
      <c r="F37" s="162">
        <v>62891</v>
      </c>
      <c r="G37" s="162">
        <v>62882</v>
      </c>
      <c r="H37" s="162">
        <v>61508</v>
      </c>
      <c r="I37" s="162">
        <v>61508</v>
      </c>
      <c r="J37" s="162">
        <v>62848</v>
      </c>
      <c r="K37" s="162">
        <v>61508</v>
      </c>
      <c r="L37" s="162">
        <v>64743</v>
      </c>
      <c r="M37" s="162">
        <v>64180</v>
      </c>
      <c r="N37" s="177">
        <v>64257</v>
      </c>
      <c r="O37" s="178">
        <f t="shared" si="4"/>
        <v>755032</v>
      </c>
      <c r="P37" s="180">
        <f t="shared" si="5"/>
        <v>58079.38461538462</v>
      </c>
      <c r="Q37" s="190">
        <v>74706.30769230769</v>
      </c>
      <c r="R37" s="155">
        <v>74706</v>
      </c>
      <c r="T37" s="156">
        <v>210963.46975</v>
      </c>
    </row>
    <row r="38" spans="1:20" ht="13.5">
      <c r="A38" s="163">
        <v>5</v>
      </c>
      <c r="B38" s="164" t="s">
        <v>47</v>
      </c>
      <c r="C38" s="162">
        <v>497885</v>
      </c>
      <c r="D38" s="162">
        <v>495469</v>
      </c>
      <c r="E38" s="162">
        <v>498004</v>
      </c>
      <c r="F38" s="162">
        <v>496399</v>
      </c>
      <c r="G38" s="162">
        <v>495400</v>
      </c>
      <c r="H38" s="162">
        <v>496348</v>
      </c>
      <c r="I38" s="162">
        <v>497193</v>
      </c>
      <c r="J38" s="162">
        <v>504117</v>
      </c>
      <c r="K38" s="162">
        <v>505611</v>
      </c>
      <c r="L38" s="162">
        <v>736233</v>
      </c>
      <c r="M38" s="162">
        <v>494991</v>
      </c>
      <c r="N38" s="177">
        <v>497193</v>
      </c>
      <c r="O38" s="178">
        <f t="shared" si="4"/>
        <v>6214843</v>
      </c>
      <c r="P38" s="180">
        <f>(O38/13)</f>
        <v>478064.8461538461</v>
      </c>
      <c r="Q38" s="190">
        <v>503484.73076923075</v>
      </c>
      <c r="R38" s="155">
        <v>503484</v>
      </c>
      <c r="T38" s="156">
        <v>518236.49844999996</v>
      </c>
    </row>
    <row r="39" spans="1:20" ht="13.5">
      <c r="A39" s="163">
        <v>6</v>
      </c>
      <c r="B39" s="164" t="s">
        <v>48</v>
      </c>
      <c r="C39" s="162">
        <v>19413</v>
      </c>
      <c r="D39" s="162">
        <v>19413</v>
      </c>
      <c r="E39" s="162">
        <v>18935</v>
      </c>
      <c r="F39" s="162">
        <v>18935</v>
      </c>
      <c r="G39" s="162">
        <v>19353</v>
      </c>
      <c r="H39" s="162">
        <v>23664</v>
      </c>
      <c r="I39" s="162">
        <v>23664</v>
      </c>
      <c r="J39" s="162">
        <v>27164</v>
      </c>
      <c r="K39" s="162">
        <v>28453</v>
      </c>
      <c r="L39" s="162">
        <v>35462</v>
      </c>
      <c r="M39" s="162">
        <v>30630</v>
      </c>
      <c r="N39" s="177">
        <v>28189</v>
      </c>
      <c r="O39" s="178">
        <f t="shared" si="4"/>
        <v>293275</v>
      </c>
      <c r="P39" s="180">
        <f t="shared" si="5"/>
        <v>22559.615384615383</v>
      </c>
      <c r="Q39" s="190">
        <v>17054.615384615383</v>
      </c>
      <c r="R39" s="155">
        <v>17055</v>
      </c>
      <c r="T39" s="156">
        <v>17713.911875</v>
      </c>
    </row>
    <row r="40" spans="1:20" ht="13.5">
      <c r="A40" s="163">
        <v>7</v>
      </c>
      <c r="B40" s="164" t="s">
        <v>49</v>
      </c>
      <c r="C40" s="162">
        <v>26123</v>
      </c>
      <c r="D40" s="162">
        <v>26123</v>
      </c>
      <c r="E40" s="162">
        <v>26123</v>
      </c>
      <c r="F40" s="162">
        <v>26123</v>
      </c>
      <c r="G40" s="162">
        <v>26123</v>
      </c>
      <c r="H40" s="162">
        <v>26123</v>
      </c>
      <c r="I40" s="162">
        <v>26123</v>
      </c>
      <c r="J40" s="162">
        <v>26123</v>
      </c>
      <c r="K40" s="162">
        <v>26362</v>
      </c>
      <c r="L40" s="162">
        <v>26362</v>
      </c>
      <c r="M40" s="162">
        <v>26362</v>
      </c>
      <c r="N40" s="177">
        <v>26421</v>
      </c>
      <c r="O40" s="178">
        <f t="shared" si="4"/>
        <v>314491</v>
      </c>
      <c r="P40" s="180">
        <f t="shared" si="5"/>
        <v>24191.615384615383</v>
      </c>
      <c r="Q40" s="190">
        <v>59588.307692307695</v>
      </c>
      <c r="R40" s="155">
        <v>59588</v>
      </c>
      <c r="T40" s="156">
        <v>84173.09449999999</v>
      </c>
    </row>
    <row r="41" spans="1:20" ht="13.5">
      <c r="A41" s="163">
        <v>8</v>
      </c>
      <c r="B41" s="164" t="s">
        <v>50</v>
      </c>
      <c r="C41" s="162">
        <v>187981</v>
      </c>
      <c r="D41" s="162">
        <v>187981</v>
      </c>
      <c r="E41" s="162">
        <v>187981</v>
      </c>
      <c r="F41" s="162">
        <v>187981</v>
      </c>
      <c r="G41" s="162">
        <v>187981</v>
      </c>
      <c r="H41" s="162">
        <v>187981</v>
      </c>
      <c r="I41" s="162">
        <v>187981</v>
      </c>
      <c r="J41" s="162">
        <v>187981</v>
      </c>
      <c r="K41" s="162">
        <v>179444</v>
      </c>
      <c r="L41" s="162">
        <v>179444</v>
      </c>
      <c r="M41" s="162">
        <v>179444</v>
      </c>
      <c r="N41" s="177">
        <v>179444</v>
      </c>
      <c r="O41" s="178">
        <f t="shared" si="4"/>
        <v>2221624</v>
      </c>
      <c r="P41" s="180">
        <f t="shared" si="5"/>
        <v>170894.15384615384</v>
      </c>
      <c r="Q41" s="190">
        <v>299671.3846153846</v>
      </c>
      <c r="R41" s="155">
        <v>299671</v>
      </c>
      <c r="T41" s="156">
        <v>281937.18245</v>
      </c>
    </row>
    <row r="42" spans="1:20" ht="13.5">
      <c r="A42" s="163">
        <v>9</v>
      </c>
      <c r="B42" s="164" t="s">
        <v>51</v>
      </c>
      <c r="C42" s="162">
        <v>18781</v>
      </c>
      <c r="D42" s="162">
        <v>18781</v>
      </c>
      <c r="E42" s="162">
        <v>18781</v>
      </c>
      <c r="F42" s="162">
        <v>18781</v>
      </c>
      <c r="G42" s="162">
        <v>18781</v>
      </c>
      <c r="H42" s="162">
        <v>18781</v>
      </c>
      <c r="I42" s="162">
        <v>18781</v>
      </c>
      <c r="J42" s="162">
        <v>18781</v>
      </c>
      <c r="K42" s="162">
        <v>18781</v>
      </c>
      <c r="L42" s="162">
        <v>18781</v>
      </c>
      <c r="M42" s="162">
        <v>18781</v>
      </c>
      <c r="N42" s="177">
        <v>18781</v>
      </c>
      <c r="O42" s="178">
        <f t="shared" si="4"/>
        <v>225372</v>
      </c>
      <c r="P42" s="180">
        <f t="shared" si="5"/>
        <v>17336.30769230769</v>
      </c>
      <c r="Q42" s="190">
        <v>14181.384615384615</v>
      </c>
      <c r="R42" s="155">
        <v>14181</v>
      </c>
      <c r="T42" s="156">
        <v>8622.19325</v>
      </c>
    </row>
    <row r="43" spans="1:20" ht="13.5">
      <c r="A43" s="163">
        <v>10</v>
      </c>
      <c r="B43" s="164" t="s">
        <v>52</v>
      </c>
      <c r="C43" s="162">
        <v>69635</v>
      </c>
      <c r="D43" s="162">
        <v>68995</v>
      </c>
      <c r="E43" s="162">
        <v>72623</v>
      </c>
      <c r="F43" s="162">
        <v>70028</v>
      </c>
      <c r="G43" s="162">
        <v>69686</v>
      </c>
      <c r="H43" s="162">
        <v>69848</v>
      </c>
      <c r="I43" s="162">
        <v>70164</v>
      </c>
      <c r="J43" s="162">
        <v>69618</v>
      </c>
      <c r="K43" s="162">
        <v>70036</v>
      </c>
      <c r="L43" s="162">
        <v>70181</v>
      </c>
      <c r="M43" s="162">
        <v>70446</v>
      </c>
      <c r="N43" s="177">
        <v>70839</v>
      </c>
      <c r="O43" s="178">
        <f t="shared" si="4"/>
        <v>842099</v>
      </c>
      <c r="P43" s="180">
        <f t="shared" si="5"/>
        <v>64776.846153846156</v>
      </c>
      <c r="Q43" s="190">
        <v>59296.769230769234</v>
      </c>
      <c r="R43" s="155">
        <v>59297</v>
      </c>
      <c r="T43" s="156">
        <v>66100.635975</v>
      </c>
    </row>
    <row r="44" spans="1:20" ht="13.5">
      <c r="A44" s="163">
        <v>11</v>
      </c>
      <c r="B44" s="164" t="s">
        <v>53</v>
      </c>
      <c r="C44" s="162">
        <v>0</v>
      </c>
      <c r="D44" s="162">
        <v>0</v>
      </c>
      <c r="E44" s="162">
        <v>0</v>
      </c>
      <c r="F44" s="162">
        <v>0</v>
      </c>
      <c r="G44" s="162">
        <v>0</v>
      </c>
      <c r="H44" s="162">
        <v>0</v>
      </c>
      <c r="I44" s="162">
        <v>0</v>
      </c>
      <c r="J44" s="162">
        <v>85368</v>
      </c>
      <c r="K44" s="162">
        <v>29879</v>
      </c>
      <c r="L44" s="162">
        <v>29879</v>
      </c>
      <c r="M44" s="162">
        <v>29879</v>
      </c>
      <c r="N44" s="177">
        <v>29879</v>
      </c>
      <c r="O44" s="178">
        <f t="shared" si="4"/>
        <v>204884</v>
      </c>
      <c r="P44" s="180">
        <f t="shared" si="5"/>
        <v>15760.307692307691</v>
      </c>
      <c r="Q44" s="190">
        <v>0</v>
      </c>
      <c r="R44" s="155">
        <v>0</v>
      </c>
      <c r="T44" s="156">
        <v>0</v>
      </c>
    </row>
    <row r="45" spans="1:20" ht="13.5">
      <c r="A45" s="163">
        <v>12</v>
      </c>
      <c r="B45" s="164" t="s">
        <v>54</v>
      </c>
      <c r="C45" s="162">
        <v>16220</v>
      </c>
      <c r="D45" s="162">
        <v>15366</v>
      </c>
      <c r="E45" s="162">
        <v>15366</v>
      </c>
      <c r="F45" s="162">
        <v>17074</v>
      </c>
      <c r="G45" s="162">
        <v>19848</v>
      </c>
      <c r="H45" s="162">
        <v>21342</v>
      </c>
      <c r="I45" s="162">
        <v>17970</v>
      </c>
      <c r="J45" s="162">
        <v>17970</v>
      </c>
      <c r="K45" s="162">
        <v>19891</v>
      </c>
      <c r="L45" s="162">
        <v>22964</v>
      </c>
      <c r="M45" s="162">
        <v>23903</v>
      </c>
      <c r="N45" s="177">
        <v>27958</v>
      </c>
      <c r="O45" s="178">
        <f t="shared" si="4"/>
        <v>235872</v>
      </c>
      <c r="P45" s="180">
        <f t="shared" si="5"/>
        <v>18144</v>
      </c>
      <c r="Q45" s="190">
        <v>21670.46153846154</v>
      </c>
      <c r="R45" s="155">
        <v>21670</v>
      </c>
      <c r="T45" s="156">
        <v>14085.761250000001</v>
      </c>
    </row>
    <row r="46" spans="1:20" ht="13.5">
      <c r="A46" s="163">
        <v>13</v>
      </c>
      <c r="B46" s="164" t="s">
        <v>55</v>
      </c>
      <c r="C46" s="162">
        <v>5976</v>
      </c>
      <c r="D46" s="162">
        <v>6095</v>
      </c>
      <c r="E46" s="162">
        <v>6095</v>
      </c>
      <c r="F46" s="162">
        <v>6095</v>
      </c>
      <c r="G46" s="162">
        <v>6095</v>
      </c>
      <c r="H46" s="162">
        <v>6095</v>
      </c>
      <c r="I46" s="162">
        <v>6095</v>
      </c>
      <c r="J46" s="162">
        <v>6095</v>
      </c>
      <c r="K46" s="162">
        <v>6095</v>
      </c>
      <c r="L46" s="162">
        <v>6095</v>
      </c>
      <c r="M46" s="162">
        <v>6095</v>
      </c>
      <c r="N46" s="177">
        <v>6095</v>
      </c>
      <c r="O46" s="178">
        <f t="shared" si="4"/>
        <v>73021</v>
      </c>
      <c r="P46" s="180">
        <f t="shared" si="5"/>
        <v>5617</v>
      </c>
      <c r="Q46" s="190">
        <v>5483.461538461538</v>
      </c>
      <c r="R46" s="155">
        <v>5483</v>
      </c>
      <c r="T46" s="156">
        <v>5975.777499999999</v>
      </c>
    </row>
    <row r="47" spans="1:20" ht="13.5">
      <c r="A47" s="163">
        <v>14</v>
      </c>
      <c r="B47" s="174" t="s">
        <v>56</v>
      </c>
      <c r="C47" s="162">
        <v>187810</v>
      </c>
      <c r="D47" s="162">
        <v>179273</v>
      </c>
      <c r="E47" s="162">
        <v>175005</v>
      </c>
      <c r="F47" s="162">
        <v>175005</v>
      </c>
      <c r="G47" s="162">
        <v>175005</v>
      </c>
      <c r="H47" s="162">
        <v>173298</v>
      </c>
      <c r="I47" s="162">
        <v>173298</v>
      </c>
      <c r="J47" s="162">
        <v>173298</v>
      </c>
      <c r="K47" s="162">
        <v>173298</v>
      </c>
      <c r="L47" s="162">
        <v>173298</v>
      </c>
      <c r="M47" s="162">
        <v>173298</v>
      </c>
      <c r="N47" s="177">
        <v>173298</v>
      </c>
      <c r="O47" s="178">
        <f t="shared" si="4"/>
        <v>2105184</v>
      </c>
      <c r="P47" s="180">
        <f t="shared" si="5"/>
        <v>161937.23076923078</v>
      </c>
      <c r="Q47" s="190">
        <v>169226.09326923077</v>
      </c>
      <c r="R47" s="155">
        <v>169226</v>
      </c>
      <c r="T47" s="156">
        <v>170736.5</v>
      </c>
    </row>
    <row r="48" spans="1:20" ht="12.75">
      <c r="A48" s="165"/>
      <c r="B48" s="166" t="s">
        <v>221</v>
      </c>
      <c r="C48" s="168">
        <f aca="true" t="shared" si="6" ref="C48:N48">SUM(C34:C47)</f>
        <v>2082705</v>
      </c>
      <c r="D48" s="168">
        <f t="shared" si="6"/>
        <v>2027863</v>
      </c>
      <c r="E48" s="168">
        <f t="shared" si="6"/>
        <v>2029826</v>
      </c>
      <c r="F48" s="168">
        <f t="shared" si="6"/>
        <v>2024500</v>
      </c>
      <c r="G48" s="168">
        <f t="shared" si="6"/>
        <v>2026701</v>
      </c>
      <c r="H48" s="168">
        <f t="shared" si="6"/>
        <v>2004634</v>
      </c>
      <c r="I48" s="168">
        <f t="shared" si="6"/>
        <v>2002423</v>
      </c>
      <c r="J48" s="168">
        <f t="shared" si="6"/>
        <v>2089397</v>
      </c>
      <c r="K48" s="168">
        <f t="shared" si="6"/>
        <v>2038382</v>
      </c>
      <c r="L48" s="168">
        <f t="shared" si="6"/>
        <v>2283490</v>
      </c>
      <c r="M48" s="168">
        <f t="shared" si="6"/>
        <v>2043794</v>
      </c>
      <c r="N48" s="168">
        <f t="shared" si="6"/>
        <v>2041855</v>
      </c>
      <c r="O48" s="168">
        <f t="shared" si="4"/>
        <v>24695570</v>
      </c>
      <c r="P48" s="168">
        <f>SUM(P34:P47)</f>
        <v>1899659.230769231</v>
      </c>
      <c r="Q48" s="191"/>
      <c r="R48" s="155">
        <f>SUM(R34:R47)</f>
        <v>2066318</v>
      </c>
      <c r="T48" s="175">
        <f>SUM(T34:T47)</f>
        <v>2473631.86235</v>
      </c>
    </row>
    <row r="49" spans="1:20" ht="12.75">
      <c r="A49" s="169"/>
      <c r="B49" s="170" t="s">
        <v>222</v>
      </c>
      <c r="C49" s="175">
        <v>2510484</v>
      </c>
      <c r="D49" s="175">
        <v>2520210</v>
      </c>
      <c r="E49" s="175">
        <v>2471166</v>
      </c>
      <c r="F49" s="175">
        <v>2417101</v>
      </c>
      <c r="G49" s="175">
        <v>2366160</v>
      </c>
      <c r="H49" s="175">
        <v>2333747.5</v>
      </c>
      <c r="I49" s="175">
        <v>2090275</v>
      </c>
      <c r="J49" s="175">
        <v>2043609</v>
      </c>
      <c r="K49" s="175">
        <v>2005965</v>
      </c>
      <c r="L49" s="175">
        <v>1938435</v>
      </c>
      <c r="M49" s="175">
        <v>1940217</v>
      </c>
      <c r="N49" s="175">
        <v>1945343</v>
      </c>
      <c r="O49" s="175">
        <v>26582712.5</v>
      </c>
      <c r="P49" s="175">
        <v>2044825.038461538</v>
      </c>
      <c r="Q49" s="155"/>
      <c r="T49" s="155"/>
    </row>
    <row r="50" ht="12.75">
      <c r="R50" s="195">
        <v>1094071.5384615385</v>
      </c>
    </row>
    <row r="51" spans="1:17" s="151" customFormat="1" ht="12.75">
      <c r="A51" s="172"/>
      <c r="B51" s="173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83" t="s">
        <v>59</v>
      </c>
      <c r="P51" s="172"/>
      <c r="Q51" s="154"/>
    </row>
    <row r="52" spans="1:17" s="151" customFormat="1" ht="12.75">
      <c r="A52" s="172"/>
      <c r="B52" s="173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84" t="s">
        <v>60</v>
      </c>
      <c r="P52" s="172"/>
      <c r="Q52" s="154"/>
    </row>
    <row r="53" spans="1:17" s="151" customFormat="1" ht="12.75">
      <c r="A53" s="172"/>
      <c r="B53" s="173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84" t="s">
        <v>61</v>
      </c>
      <c r="P53" s="172"/>
      <c r="Q53" s="154"/>
    </row>
    <row r="54" spans="1:17" s="151" customFormat="1" ht="17.25" customHeight="1">
      <c r="A54" s="172"/>
      <c r="B54" s="173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84"/>
      <c r="P54" s="172"/>
      <c r="Q54" s="154"/>
    </row>
    <row r="55" spans="1:17" s="151" customFormat="1" ht="12.75">
      <c r="A55" s="172"/>
      <c r="B55" s="173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84" t="s">
        <v>62</v>
      </c>
      <c r="P55" s="172"/>
      <c r="Q55" s="154"/>
    </row>
    <row r="56" ht="12.75">
      <c r="O56" s="184" t="s">
        <v>125</v>
      </c>
    </row>
    <row r="57" ht="12.75">
      <c r="O57" s="184"/>
    </row>
    <row r="58" ht="12.75"/>
    <row r="59" spans="1:17" ht="12.75">
      <c r="A59" s="500" t="s">
        <v>225</v>
      </c>
      <c r="B59" s="500"/>
      <c r="C59" s="500"/>
      <c r="D59" s="500"/>
      <c r="E59" s="500"/>
      <c r="F59" s="500"/>
      <c r="G59" s="500"/>
      <c r="H59" s="500"/>
      <c r="I59" s="500"/>
      <c r="J59" s="500"/>
      <c r="K59" s="500"/>
      <c r="L59" s="500"/>
      <c r="M59" s="500"/>
      <c r="N59" s="500"/>
      <c r="O59" s="500"/>
      <c r="P59" s="500"/>
      <c r="Q59" s="500"/>
    </row>
    <row r="60" ht="12.75"/>
    <row r="61" ht="12.75"/>
    <row r="62" spans="1:20" s="149" customFormat="1" ht="26.25" customHeight="1">
      <c r="A62" s="501" t="s">
        <v>183</v>
      </c>
      <c r="B62" s="502"/>
      <c r="C62" s="159" t="s">
        <v>29</v>
      </c>
      <c r="D62" s="159" t="s">
        <v>30</v>
      </c>
      <c r="E62" s="159" t="s">
        <v>31</v>
      </c>
      <c r="F62" s="159" t="s">
        <v>32</v>
      </c>
      <c r="G62" s="159" t="s">
        <v>33</v>
      </c>
      <c r="H62" s="159" t="s">
        <v>34</v>
      </c>
      <c r="I62" s="159" t="s">
        <v>35</v>
      </c>
      <c r="J62" s="159" t="s">
        <v>36</v>
      </c>
      <c r="K62" s="159" t="s">
        <v>37</v>
      </c>
      <c r="L62" s="159" t="s">
        <v>38</v>
      </c>
      <c r="M62" s="159" t="s">
        <v>39</v>
      </c>
      <c r="N62" s="159" t="s">
        <v>40</v>
      </c>
      <c r="O62" s="159" t="s">
        <v>224</v>
      </c>
      <c r="P62" s="176" t="s">
        <v>219</v>
      </c>
      <c r="Q62" s="186" t="s">
        <v>220</v>
      </c>
      <c r="T62" s="187"/>
    </row>
    <row r="63" spans="1:17" ht="13.5">
      <c r="A63" s="160">
        <v>1</v>
      </c>
      <c r="B63" s="161" t="s">
        <v>43</v>
      </c>
      <c r="C63" s="162">
        <v>57780</v>
      </c>
      <c r="D63" s="162">
        <v>73800</v>
      </c>
      <c r="E63" s="162">
        <v>73800</v>
      </c>
      <c r="F63" s="162">
        <v>73800</v>
      </c>
      <c r="G63" s="162">
        <v>73800</v>
      </c>
      <c r="H63" s="162">
        <v>73800</v>
      </c>
      <c r="I63" s="162">
        <v>73800</v>
      </c>
      <c r="J63" s="162">
        <v>73800</v>
      </c>
      <c r="K63" s="162">
        <v>73800</v>
      </c>
      <c r="L63" s="162">
        <v>73800</v>
      </c>
      <c r="M63" s="162">
        <v>73800</v>
      </c>
      <c r="N63" s="177">
        <v>73800</v>
      </c>
      <c r="O63" s="185">
        <f>SUM(C63:N63)</f>
        <v>869580</v>
      </c>
      <c r="P63" s="179">
        <f>O63/86</f>
        <v>10111.39534883721</v>
      </c>
      <c r="Q63" s="188">
        <v>8497.67441860465</v>
      </c>
    </row>
    <row r="64" spans="1:17" ht="13.5">
      <c r="A64" s="163">
        <v>2</v>
      </c>
      <c r="B64" s="164" t="s">
        <v>44</v>
      </c>
      <c r="C64" s="162">
        <v>257400</v>
      </c>
      <c r="D64" s="162">
        <v>257400</v>
      </c>
      <c r="E64" s="162">
        <v>257400</v>
      </c>
      <c r="F64" s="162">
        <v>257400</v>
      </c>
      <c r="G64" s="162">
        <v>257400</v>
      </c>
      <c r="H64" s="162">
        <v>257400</v>
      </c>
      <c r="I64" s="162">
        <v>257400</v>
      </c>
      <c r="J64" s="162">
        <v>257400</v>
      </c>
      <c r="K64" s="162">
        <v>257400</v>
      </c>
      <c r="L64" s="162">
        <v>253800</v>
      </c>
      <c r="M64" s="162">
        <v>253800</v>
      </c>
      <c r="N64" s="177">
        <v>255600</v>
      </c>
      <c r="O64" s="178">
        <f aca="true" t="shared" si="7" ref="O64:O77">SUM(C64:N64)</f>
        <v>3079800</v>
      </c>
      <c r="P64" s="180">
        <f aca="true" t="shared" si="8" ref="P64:P76">O64/86</f>
        <v>35811.62790697674</v>
      </c>
      <c r="Q64" s="190">
        <v>18209.302325581397</v>
      </c>
    </row>
    <row r="65" spans="1:17" ht="13.5">
      <c r="A65" s="163">
        <v>3</v>
      </c>
      <c r="B65" s="164" t="s">
        <v>45</v>
      </c>
      <c r="C65" s="162">
        <v>270000</v>
      </c>
      <c r="D65" s="162">
        <v>270000</v>
      </c>
      <c r="E65" s="162">
        <v>298800</v>
      </c>
      <c r="F65" s="162">
        <v>298800</v>
      </c>
      <c r="G65" s="162">
        <v>298800</v>
      </c>
      <c r="H65" s="162">
        <v>342000</v>
      </c>
      <c r="I65" s="162">
        <v>342000</v>
      </c>
      <c r="J65" s="162">
        <v>342000</v>
      </c>
      <c r="K65" s="162">
        <v>342000</v>
      </c>
      <c r="L65" s="162">
        <v>342000</v>
      </c>
      <c r="M65" s="162">
        <v>342000</v>
      </c>
      <c r="N65" s="177">
        <v>342000</v>
      </c>
      <c r="O65" s="178">
        <f t="shared" si="7"/>
        <v>3830400</v>
      </c>
      <c r="P65" s="180">
        <f t="shared" si="8"/>
        <v>44539.53488372093</v>
      </c>
      <c r="Q65" s="190">
        <v>47522.09302325582</v>
      </c>
    </row>
    <row r="66" spans="1:17" ht="13.5">
      <c r="A66" s="163">
        <v>4</v>
      </c>
      <c r="B66" s="164" t="s">
        <v>46</v>
      </c>
      <c r="C66" s="162">
        <v>0</v>
      </c>
      <c r="D66" s="162">
        <v>0</v>
      </c>
      <c r="E66" s="162">
        <v>0</v>
      </c>
      <c r="F66" s="162">
        <v>0</v>
      </c>
      <c r="G66" s="162">
        <v>0</v>
      </c>
      <c r="H66" s="162">
        <v>0</v>
      </c>
      <c r="I66" s="162">
        <v>0</v>
      </c>
      <c r="J66" s="162">
        <v>0</v>
      </c>
      <c r="K66" s="162">
        <v>0</v>
      </c>
      <c r="L66" s="162">
        <v>0</v>
      </c>
      <c r="M66" s="162">
        <v>0</v>
      </c>
      <c r="N66" s="177">
        <v>0</v>
      </c>
      <c r="O66" s="178">
        <f t="shared" si="7"/>
        <v>0</v>
      </c>
      <c r="P66" s="180">
        <f t="shared" si="8"/>
        <v>0</v>
      </c>
      <c r="Q66" s="190">
        <v>0</v>
      </c>
    </row>
    <row r="67" spans="1:17" ht="13.5">
      <c r="A67" s="163">
        <v>5</v>
      </c>
      <c r="B67" s="164" t="s">
        <v>47</v>
      </c>
      <c r="C67" s="162">
        <v>0</v>
      </c>
      <c r="D67" s="162">
        <v>0</v>
      </c>
      <c r="E67" s="162">
        <v>0</v>
      </c>
      <c r="F67" s="162">
        <v>0</v>
      </c>
      <c r="G67" s="162">
        <v>0</v>
      </c>
      <c r="H67" s="162">
        <v>0</v>
      </c>
      <c r="I67" s="162">
        <v>0</v>
      </c>
      <c r="J67" s="162">
        <v>0</v>
      </c>
      <c r="K67" s="162">
        <v>0</v>
      </c>
      <c r="L67" s="162">
        <v>0</v>
      </c>
      <c r="M67" s="162">
        <v>0</v>
      </c>
      <c r="N67" s="177">
        <v>0</v>
      </c>
      <c r="O67" s="178">
        <f t="shared" si="7"/>
        <v>0</v>
      </c>
      <c r="P67" s="180">
        <f t="shared" si="8"/>
        <v>0</v>
      </c>
      <c r="Q67" s="190">
        <v>0</v>
      </c>
    </row>
    <row r="68" spans="1:17" ht="13.5">
      <c r="A68" s="163">
        <v>6</v>
      </c>
      <c r="B68" s="164" t="s">
        <v>48</v>
      </c>
      <c r="C68" s="162">
        <v>324000</v>
      </c>
      <c r="D68" s="162">
        <v>324000</v>
      </c>
      <c r="E68" s="162">
        <v>324000</v>
      </c>
      <c r="F68" s="162">
        <v>324000</v>
      </c>
      <c r="G68" s="162">
        <v>324000</v>
      </c>
      <c r="H68" s="162">
        <v>486000</v>
      </c>
      <c r="I68" s="162">
        <v>486000</v>
      </c>
      <c r="J68" s="162">
        <v>486000</v>
      </c>
      <c r="K68" s="162">
        <v>477000</v>
      </c>
      <c r="L68" s="162">
        <v>477000</v>
      </c>
      <c r="M68" s="162">
        <v>450000</v>
      </c>
      <c r="N68" s="177">
        <v>477000</v>
      </c>
      <c r="O68" s="178">
        <f t="shared" si="7"/>
        <v>4959000</v>
      </c>
      <c r="P68" s="180">
        <f t="shared" si="8"/>
        <v>57662.79069767442</v>
      </c>
      <c r="Q68" s="190">
        <v>9433.255813953489</v>
      </c>
    </row>
    <row r="69" spans="1:17" ht="13.5">
      <c r="A69" s="163">
        <v>7</v>
      </c>
      <c r="B69" s="164" t="s">
        <v>49</v>
      </c>
      <c r="C69" s="162">
        <v>4500</v>
      </c>
      <c r="D69" s="162">
        <v>4500</v>
      </c>
      <c r="E69" s="162">
        <v>4500</v>
      </c>
      <c r="F69" s="162">
        <v>4500</v>
      </c>
      <c r="G69" s="162">
        <v>4500</v>
      </c>
      <c r="H69" s="162">
        <v>4500</v>
      </c>
      <c r="I69" s="162">
        <v>4500</v>
      </c>
      <c r="J69" s="162">
        <v>4500</v>
      </c>
      <c r="K69" s="162">
        <v>4500</v>
      </c>
      <c r="L69" s="162">
        <v>4500</v>
      </c>
      <c r="M69" s="162">
        <v>4500</v>
      </c>
      <c r="N69" s="177">
        <v>4500</v>
      </c>
      <c r="O69" s="178">
        <f t="shared" si="7"/>
        <v>54000</v>
      </c>
      <c r="P69" s="180">
        <f t="shared" si="8"/>
        <v>627.9069767441861</v>
      </c>
      <c r="Q69" s="190">
        <v>753.4883720930233</v>
      </c>
    </row>
    <row r="70" spans="1:17" ht="13.5">
      <c r="A70" s="163">
        <v>8</v>
      </c>
      <c r="B70" s="164" t="s">
        <v>50</v>
      </c>
      <c r="C70" s="162">
        <v>90000</v>
      </c>
      <c r="D70" s="162">
        <v>90000</v>
      </c>
      <c r="E70" s="162">
        <v>144000</v>
      </c>
      <c r="F70" s="162">
        <v>144000</v>
      </c>
      <c r="G70" s="162">
        <v>144000</v>
      </c>
      <c r="H70" s="162">
        <v>144000</v>
      </c>
      <c r="I70" s="162">
        <v>144000</v>
      </c>
      <c r="J70" s="162">
        <v>144000</v>
      </c>
      <c r="K70" s="162">
        <v>90000</v>
      </c>
      <c r="L70" s="162">
        <v>90000</v>
      </c>
      <c r="M70" s="162">
        <v>90000</v>
      </c>
      <c r="N70" s="177">
        <v>90000</v>
      </c>
      <c r="O70" s="178">
        <f t="shared" si="7"/>
        <v>1404000</v>
      </c>
      <c r="P70" s="180">
        <f t="shared" si="8"/>
        <v>16325.581395348838</v>
      </c>
      <c r="Q70" s="190">
        <v>18837.20930232558</v>
      </c>
    </row>
    <row r="71" spans="1:17" ht="13.5">
      <c r="A71" s="163">
        <v>9</v>
      </c>
      <c r="B71" s="164" t="s">
        <v>51</v>
      </c>
      <c r="C71" s="162">
        <v>18000</v>
      </c>
      <c r="D71" s="162">
        <v>18000</v>
      </c>
      <c r="E71" s="162">
        <v>18000</v>
      </c>
      <c r="F71" s="162">
        <v>18000</v>
      </c>
      <c r="G71" s="162">
        <v>18000</v>
      </c>
      <c r="H71" s="162">
        <v>72000</v>
      </c>
      <c r="I71" s="162">
        <v>72000</v>
      </c>
      <c r="J71" s="162">
        <v>72000</v>
      </c>
      <c r="K71" s="162">
        <v>72000</v>
      </c>
      <c r="L71" s="162">
        <v>72000</v>
      </c>
      <c r="M71" s="162">
        <v>72000</v>
      </c>
      <c r="N71" s="177">
        <v>72000</v>
      </c>
      <c r="O71" s="178">
        <f t="shared" si="7"/>
        <v>594000</v>
      </c>
      <c r="P71" s="180">
        <f>(O71/86)</f>
        <v>6906.976744186047</v>
      </c>
      <c r="Q71" s="190">
        <v>3558.639534883721</v>
      </c>
    </row>
    <row r="72" spans="1:17" ht="13.5">
      <c r="A72" s="163">
        <v>10</v>
      </c>
      <c r="B72" s="164" t="s">
        <v>52</v>
      </c>
      <c r="C72" s="162">
        <v>0</v>
      </c>
      <c r="D72" s="162">
        <v>0</v>
      </c>
      <c r="E72" s="162">
        <v>0</v>
      </c>
      <c r="F72" s="162">
        <v>0</v>
      </c>
      <c r="G72" s="162">
        <v>0</v>
      </c>
      <c r="H72" s="162">
        <v>0</v>
      </c>
      <c r="I72" s="162">
        <v>0</v>
      </c>
      <c r="J72" s="162">
        <v>0</v>
      </c>
      <c r="K72" s="162">
        <v>0</v>
      </c>
      <c r="L72" s="162">
        <v>0</v>
      </c>
      <c r="M72" s="162">
        <v>0</v>
      </c>
      <c r="N72" s="177">
        <v>0</v>
      </c>
      <c r="O72" s="178">
        <f t="shared" si="7"/>
        <v>0</v>
      </c>
      <c r="P72" s="180">
        <f t="shared" si="8"/>
        <v>0</v>
      </c>
      <c r="Q72" s="190">
        <v>0</v>
      </c>
    </row>
    <row r="73" spans="1:17" ht="13.5">
      <c r="A73" s="163">
        <v>11</v>
      </c>
      <c r="B73" s="164" t="s">
        <v>53</v>
      </c>
      <c r="C73" s="162">
        <v>0</v>
      </c>
      <c r="D73" s="162">
        <v>0</v>
      </c>
      <c r="E73" s="162">
        <v>0</v>
      </c>
      <c r="F73" s="162">
        <v>0</v>
      </c>
      <c r="G73" s="162">
        <v>0</v>
      </c>
      <c r="H73" s="162">
        <v>0</v>
      </c>
      <c r="I73" s="162">
        <v>44442</v>
      </c>
      <c r="J73" s="162">
        <v>36000</v>
      </c>
      <c r="K73" s="162">
        <v>90000</v>
      </c>
      <c r="L73" s="162">
        <v>90000</v>
      </c>
      <c r="M73" s="162">
        <v>90000</v>
      </c>
      <c r="N73" s="177">
        <v>90000</v>
      </c>
      <c r="O73" s="178">
        <f t="shared" si="7"/>
        <v>440442</v>
      </c>
      <c r="P73" s="180">
        <f t="shared" si="8"/>
        <v>5121.418604651163</v>
      </c>
      <c r="Q73" s="190">
        <v>0</v>
      </c>
    </row>
    <row r="74" spans="1:17" ht="13.5">
      <c r="A74" s="163">
        <v>12</v>
      </c>
      <c r="B74" s="164" t="s">
        <v>54</v>
      </c>
      <c r="C74" s="162">
        <v>3600</v>
      </c>
      <c r="D74" s="162">
        <v>2700</v>
      </c>
      <c r="E74" s="162">
        <v>2700</v>
      </c>
      <c r="F74" s="162">
        <v>2772</v>
      </c>
      <c r="G74" s="162">
        <v>2250</v>
      </c>
      <c r="H74" s="162">
        <v>1800</v>
      </c>
      <c r="I74" s="162">
        <v>1800</v>
      </c>
      <c r="J74" s="162">
        <v>1800</v>
      </c>
      <c r="K74" s="162">
        <v>1800</v>
      </c>
      <c r="L74" s="162">
        <v>1800</v>
      </c>
      <c r="M74" s="162">
        <v>1800</v>
      </c>
      <c r="N74" s="177">
        <v>1800</v>
      </c>
      <c r="O74" s="178">
        <f t="shared" si="7"/>
        <v>26622</v>
      </c>
      <c r="P74" s="180">
        <f t="shared" si="8"/>
        <v>309.5581395348837</v>
      </c>
      <c r="Q74" s="190">
        <v>7430.232558139535</v>
      </c>
    </row>
    <row r="75" spans="1:17" ht="13.5">
      <c r="A75" s="163">
        <v>13</v>
      </c>
      <c r="B75" s="164" t="s">
        <v>55</v>
      </c>
      <c r="C75" s="162">
        <v>0</v>
      </c>
      <c r="D75" s="162">
        <v>0</v>
      </c>
      <c r="E75" s="162">
        <v>0</v>
      </c>
      <c r="F75" s="162">
        <v>0</v>
      </c>
      <c r="G75" s="162">
        <v>0</v>
      </c>
      <c r="H75" s="162">
        <v>0</v>
      </c>
      <c r="I75" s="162">
        <v>0</v>
      </c>
      <c r="J75" s="162">
        <v>0</v>
      </c>
      <c r="K75" s="162">
        <v>0</v>
      </c>
      <c r="L75" s="162">
        <v>0</v>
      </c>
      <c r="M75" s="162">
        <v>0</v>
      </c>
      <c r="N75" s="177">
        <v>0</v>
      </c>
      <c r="O75" s="178">
        <f t="shared" si="7"/>
        <v>0</v>
      </c>
      <c r="P75" s="180">
        <f t="shared" si="8"/>
        <v>0</v>
      </c>
      <c r="Q75" s="190">
        <v>0</v>
      </c>
    </row>
    <row r="76" spans="1:17" ht="13.5">
      <c r="A76" s="163">
        <v>14</v>
      </c>
      <c r="B76" s="164" t="s">
        <v>56</v>
      </c>
      <c r="C76" s="162">
        <v>1800000</v>
      </c>
      <c r="D76" s="162">
        <v>1800000</v>
      </c>
      <c r="E76" s="162">
        <v>1800000</v>
      </c>
      <c r="F76" s="162">
        <v>1800000</v>
      </c>
      <c r="G76" s="162">
        <v>1800000</v>
      </c>
      <c r="H76" s="162">
        <v>1800000</v>
      </c>
      <c r="I76" s="162">
        <v>1800000</v>
      </c>
      <c r="J76" s="162">
        <v>1800000</v>
      </c>
      <c r="K76" s="162">
        <v>1800000</v>
      </c>
      <c r="L76" s="162">
        <v>1800000</v>
      </c>
      <c r="M76" s="162">
        <v>1800000</v>
      </c>
      <c r="N76" s="177">
        <v>1800000</v>
      </c>
      <c r="O76" s="178">
        <f t="shared" si="7"/>
        <v>21600000</v>
      </c>
      <c r="P76" s="196">
        <f t="shared" si="8"/>
        <v>251162.7906976744</v>
      </c>
      <c r="Q76" s="191">
        <v>225000</v>
      </c>
    </row>
    <row r="77" spans="1:20" s="150" customFormat="1" ht="12.75">
      <c r="A77" s="165"/>
      <c r="B77" s="166" t="s">
        <v>221</v>
      </c>
      <c r="C77" s="168">
        <f>SUM(C63:C76)</f>
        <v>2825280</v>
      </c>
      <c r="D77" s="168">
        <f aca="true" t="shared" si="9" ref="D77:N77">SUM(D63:D76)</f>
        <v>2840400</v>
      </c>
      <c r="E77" s="168">
        <f t="shared" si="9"/>
        <v>2923200</v>
      </c>
      <c r="F77" s="168">
        <f t="shared" si="9"/>
        <v>2923272</v>
      </c>
      <c r="G77" s="168">
        <f t="shared" si="9"/>
        <v>2922750</v>
      </c>
      <c r="H77" s="168">
        <f t="shared" si="9"/>
        <v>3181500</v>
      </c>
      <c r="I77" s="168">
        <f t="shared" si="9"/>
        <v>3225942</v>
      </c>
      <c r="J77" s="168">
        <f t="shared" si="9"/>
        <v>3217500</v>
      </c>
      <c r="K77" s="168">
        <f t="shared" si="9"/>
        <v>3208500</v>
      </c>
      <c r="L77" s="168">
        <f t="shared" si="9"/>
        <v>3204900</v>
      </c>
      <c r="M77" s="168">
        <f t="shared" si="9"/>
        <v>3177900</v>
      </c>
      <c r="N77" s="168">
        <f t="shared" si="9"/>
        <v>3206700</v>
      </c>
      <c r="O77" s="168">
        <f t="shared" si="7"/>
        <v>36857844</v>
      </c>
      <c r="P77" s="168">
        <f>SUM(P63:P76)</f>
        <v>428579.5813953488</v>
      </c>
      <c r="Q77" s="192"/>
      <c r="T77" s="197"/>
    </row>
    <row r="78" spans="1:18" s="151" customFormat="1" ht="12.75">
      <c r="A78" s="169"/>
      <c r="B78" s="170" t="s">
        <v>222</v>
      </c>
      <c r="C78" s="171">
        <v>2580300</v>
      </c>
      <c r="D78" s="171">
        <v>2568150</v>
      </c>
      <c r="E78" s="171">
        <v>2898612</v>
      </c>
      <c r="F78" s="171">
        <v>2922300</v>
      </c>
      <c r="G78" s="171">
        <v>2970900</v>
      </c>
      <c r="H78" s="171">
        <v>3018600</v>
      </c>
      <c r="I78" s="171">
        <v>2960100</v>
      </c>
      <c r="J78" s="182">
        <v>3021300</v>
      </c>
      <c r="K78" s="171">
        <v>3056400</v>
      </c>
      <c r="L78" s="171">
        <v>3082500</v>
      </c>
      <c r="M78" s="171">
        <v>3063600</v>
      </c>
      <c r="N78" s="171">
        <v>2916180</v>
      </c>
      <c r="O78" s="171">
        <v>35058942</v>
      </c>
      <c r="P78" s="181">
        <v>407662.6162790698</v>
      </c>
      <c r="Q78" s="154"/>
      <c r="R78" s="151">
        <v>242352.83720930235</v>
      </c>
    </row>
    <row r="79" spans="1:17" s="151" customFormat="1" ht="12.75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92"/>
      <c r="Q79" s="154"/>
    </row>
    <row r="80" spans="1:17" s="151" customFormat="1" ht="12.75">
      <c r="A80" s="172"/>
      <c r="B80" s="173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83" t="s">
        <v>59</v>
      </c>
      <c r="P80" s="172"/>
      <c r="Q80" s="154"/>
    </row>
    <row r="81" spans="1:17" s="151" customFormat="1" ht="12.75">
      <c r="A81" s="172"/>
      <c r="B81" s="173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84" t="s">
        <v>60</v>
      </c>
      <c r="P81" s="172"/>
      <c r="Q81" s="154"/>
    </row>
    <row r="82" spans="1:17" s="151" customFormat="1" ht="12.75">
      <c r="A82" s="172"/>
      <c r="B82" s="173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84" t="s">
        <v>61</v>
      </c>
      <c r="P82" s="172"/>
      <c r="Q82" s="154"/>
    </row>
    <row r="83" spans="1:17" s="151" customFormat="1" ht="17.25" customHeight="1">
      <c r="A83" s="172"/>
      <c r="B83" s="173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84"/>
      <c r="P83" s="172"/>
      <c r="Q83" s="154"/>
    </row>
    <row r="84" spans="1:17" s="151" customFormat="1" ht="12.75">
      <c r="A84" s="172"/>
      <c r="B84" s="173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84" t="s">
        <v>62</v>
      </c>
      <c r="P84" s="172"/>
      <c r="Q84" s="154"/>
    </row>
    <row r="85" ht="12.75">
      <c r="O85" s="184" t="s">
        <v>125</v>
      </c>
    </row>
    <row r="86" ht="12.75">
      <c r="O86" s="184"/>
    </row>
    <row r="87" spans="1:17" ht="12.75">
      <c r="A87" s="503" t="s">
        <v>314</v>
      </c>
      <c r="B87" s="503"/>
      <c r="C87" s="503"/>
      <c r="D87" s="503"/>
      <c r="E87" s="503"/>
      <c r="F87" s="503"/>
      <c r="G87" s="503"/>
      <c r="H87" s="503"/>
      <c r="I87" s="503"/>
      <c r="J87" s="503"/>
      <c r="K87" s="503"/>
      <c r="L87" s="503"/>
      <c r="M87" s="503"/>
      <c r="N87" s="503"/>
      <c r="O87" s="503"/>
      <c r="P87" s="503"/>
      <c r="Q87" s="503"/>
    </row>
    <row r="88" spans="16:17" ht="12.75">
      <c r="P88" s="431"/>
      <c r="Q88" s="432"/>
    </row>
    <row r="89" spans="16:17" ht="12.75">
      <c r="P89" s="431"/>
      <c r="Q89" s="432"/>
    </row>
    <row r="90" spans="1:17" ht="38.25">
      <c r="A90" s="157"/>
      <c r="B90" s="158" t="s">
        <v>1</v>
      </c>
      <c r="C90" s="159" t="s">
        <v>29</v>
      </c>
      <c r="D90" s="159" t="s">
        <v>30</v>
      </c>
      <c r="E90" s="159" t="s">
        <v>31</v>
      </c>
      <c r="F90" s="159" t="s">
        <v>32</v>
      </c>
      <c r="G90" s="159" t="s">
        <v>33</v>
      </c>
      <c r="H90" s="159" t="s">
        <v>34</v>
      </c>
      <c r="I90" s="159" t="s">
        <v>35</v>
      </c>
      <c r="J90" s="159" t="s">
        <v>36</v>
      </c>
      <c r="K90" s="159" t="s">
        <v>37</v>
      </c>
      <c r="L90" s="159" t="s">
        <v>38</v>
      </c>
      <c r="M90" s="433" t="s">
        <v>39</v>
      </c>
      <c r="N90" s="159" t="s">
        <v>40</v>
      </c>
      <c r="O90" s="159" t="s">
        <v>218</v>
      </c>
      <c r="P90" s="434" t="s">
        <v>219</v>
      </c>
      <c r="Q90" s="435" t="s">
        <v>220</v>
      </c>
    </row>
    <row r="91" spans="1:17" ht="13.5">
      <c r="A91" s="436">
        <v>1</v>
      </c>
      <c r="B91" s="437" t="s">
        <v>43</v>
      </c>
      <c r="C91" s="438"/>
      <c r="D91" s="439"/>
      <c r="E91" s="438"/>
      <c r="F91" s="438"/>
      <c r="G91" s="438"/>
      <c r="H91" s="438"/>
      <c r="I91" s="438"/>
      <c r="J91" s="438"/>
      <c r="K91" s="438"/>
      <c r="L91" s="440"/>
      <c r="M91" s="438"/>
      <c r="N91" s="441"/>
      <c r="O91" s="442">
        <f>SUM(C91:N91)</f>
        <v>0</v>
      </c>
      <c r="P91" s="443">
        <f>O91/20</f>
        <v>0</v>
      </c>
      <c r="Q91" s="444">
        <v>29932</v>
      </c>
    </row>
    <row r="92" spans="1:17" ht="13.5">
      <c r="A92" s="445">
        <v>2</v>
      </c>
      <c r="B92" s="446" t="s">
        <v>44</v>
      </c>
      <c r="C92" s="438"/>
      <c r="D92" s="447"/>
      <c r="E92" s="438"/>
      <c r="F92" s="438"/>
      <c r="G92" s="438"/>
      <c r="H92" s="438"/>
      <c r="I92" s="438"/>
      <c r="J92" s="438"/>
      <c r="K92" s="438"/>
      <c r="L92" s="448"/>
      <c r="M92" s="438"/>
      <c r="N92" s="441"/>
      <c r="O92" s="442">
        <f aca="true" t="shared" si="10" ref="O92:O104">SUM(C92:N92)</f>
        <v>0</v>
      </c>
      <c r="P92" s="443">
        <f>O92/20</f>
        <v>0</v>
      </c>
      <c r="Q92" s="449">
        <v>184256</v>
      </c>
    </row>
    <row r="93" spans="1:17" ht="13.5">
      <c r="A93" s="445">
        <v>3</v>
      </c>
      <c r="B93" s="446" t="s">
        <v>45</v>
      </c>
      <c r="C93" s="438"/>
      <c r="D93" s="447"/>
      <c r="E93" s="438"/>
      <c r="F93" s="438"/>
      <c r="G93" s="438"/>
      <c r="H93" s="438"/>
      <c r="I93" s="438"/>
      <c r="J93" s="438"/>
      <c r="K93" s="438"/>
      <c r="L93" s="448"/>
      <c r="M93" s="438"/>
      <c r="N93" s="441"/>
      <c r="O93" s="442">
        <f t="shared" si="10"/>
        <v>0</v>
      </c>
      <c r="P93" s="450">
        <f>O93/20</f>
        <v>0</v>
      </c>
      <c r="Q93" s="449">
        <v>183189</v>
      </c>
    </row>
    <row r="94" spans="1:17" ht="13.5">
      <c r="A94" s="445">
        <v>4</v>
      </c>
      <c r="B94" s="446" t="s">
        <v>46</v>
      </c>
      <c r="C94" s="438"/>
      <c r="D94" s="447"/>
      <c r="E94" s="438"/>
      <c r="F94" s="438"/>
      <c r="G94" s="438"/>
      <c r="H94" s="438"/>
      <c r="I94" s="438"/>
      <c r="J94" s="438"/>
      <c r="K94" s="438"/>
      <c r="L94" s="448"/>
      <c r="M94" s="438"/>
      <c r="N94" s="441"/>
      <c r="O94" s="442">
        <f t="shared" si="10"/>
        <v>0</v>
      </c>
      <c r="P94" s="450">
        <f>O94/20</f>
        <v>0</v>
      </c>
      <c r="Q94" s="449">
        <v>148886</v>
      </c>
    </row>
    <row r="95" spans="1:17" ht="13.5">
      <c r="A95" s="445">
        <v>5</v>
      </c>
      <c r="B95" s="446" t="s">
        <v>47</v>
      </c>
      <c r="C95" s="438"/>
      <c r="D95" s="447"/>
      <c r="E95" s="438"/>
      <c r="F95" s="438"/>
      <c r="G95" s="438"/>
      <c r="H95" s="438"/>
      <c r="I95" s="438"/>
      <c r="J95" s="438"/>
      <c r="K95" s="438"/>
      <c r="L95" s="448"/>
      <c r="M95" s="438"/>
      <c r="N95" s="441"/>
      <c r="O95" s="442">
        <f t="shared" si="10"/>
        <v>0</v>
      </c>
      <c r="P95" s="450">
        <f aca="true" t="shared" si="11" ref="P95:P104">O95/20</f>
        <v>0</v>
      </c>
      <c r="Q95" s="449">
        <v>116381</v>
      </c>
    </row>
    <row r="96" spans="1:17" ht="13.5">
      <c r="A96" s="445">
        <v>6</v>
      </c>
      <c r="B96" s="446" t="s">
        <v>48</v>
      </c>
      <c r="C96" s="438"/>
      <c r="D96" s="447"/>
      <c r="E96" s="438"/>
      <c r="F96" s="438"/>
      <c r="G96" s="438"/>
      <c r="H96" s="438"/>
      <c r="I96" s="438"/>
      <c r="J96" s="438"/>
      <c r="K96" s="438"/>
      <c r="L96" s="448"/>
      <c r="M96" s="438"/>
      <c r="N96" s="441"/>
      <c r="O96" s="442">
        <f t="shared" si="10"/>
        <v>0</v>
      </c>
      <c r="P96" s="450">
        <f t="shared" si="11"/>
        <v>0</v>
      </c>
      <c r="Q96" s="449">
        <v>50973</v>
      </c>
    </row>
    <row r="97" spans="1:17" ht="13.5">
      <c r="A97" s="445">
        <v>7</v>
      </c>
      <c r="B97" s="446" t="s">
        <v>49</v>
      </c>
      <c r="C97" s="438"/>
      <c r="D97" s="447"/>
      <c r="E97" s="438"/>
      <c r="F97" s="438"/>
      <c r="G97" s="438"/>
      <c r="H97" s="438"/>
      <c r="I97" s="438"/>
      <c r="J97" s="438"/>
      <c r="K97" s="438"/>
      <c r="L97" s="448"/>
      <c r="M97" s="438"/>
      <c r="N97" s="441"/>
      <c r="O97" s="442">
        <f t="shared" si="10"/>
        <v>0</v>
      </c>
      <c r="P97" s="450">
        <f t="shared" si="11"/>
        <v>0</v>
      </c>
      <c r="Q97" s="449">
        <v>38756</v>
      </c>
    </row>
    <row r="98" spans="1:17" ht="13.5">
      <c r="A98" s="445">
        <v>8</v>
      </c>
      <c r="B98" s="446" t="s">
        <v>50</v>
      </c>
      <c r="C98" s="438"/>
      <c r="D98" s="447"/>
      <c r="E98" s="438"/>
      <c r="F98" s="438"/>
      <c r="G98" s="438"/>
      <c r="H98" s="438"/>
      <c r="I98" s="438"/>
      <c r="J98" s="438"/>
      <c r="K98" s="438"/>
      <c r="L98" s="448"/>
      <c r="M98" s="438"/>
      <c r="N98" s="441"/>
      <c r="O98" s="442">
        <f t="shared" si="10"/>
        <v>0</v>
      </c>
      <c r="P98" s="450">
        <f t="shared" si="11"/>
        <v>0</v>
      </c>
      <c r="Q98" s="449">
        <v>32417</v>
      </c>
    </row>
    <row r="99" spans="1:17" ht="13.5">
      <c r="A99" s="445">
        <v>9</v>
      </c>
      <c r="B99" s="446" t="s">
        <v>51</v>
      </c>
      <c r="C99" s="438"/>
      <c r="D99" s="447"/>
      <c r="E99" s="438"/>
      <c r="F99" s="438"/>
      <c r="G99" s="438"/>
      <c r="H99" s="438"/>
      <c r="I99" s="438"/>
      <c r="J99" s="438"/>
      <c r="K99" s="438"/>
      <c r="L99" s="448"/>
      <c r="M99" s="438"/>
      <c r="N99" s="441"/>
      <c r="O99" s="442">
        <f t="shared" si="10"/>
        <v>0</v>
      </c>
      <c r="P99" s="450">
        <f t="shared" si="11"/>
        <v>0</v>
      </c>
      <c r="Q99" s="449">
        <v>24151</v>
      </c>
    </row>
    <row r="100" spans="1:17" ht="13.5">
      <c r="A100" s="445">
        <v>10</v>
      </c>
      <c r="B100" s="446" t="s">
        <v>52</v>
      </c>
      <c r="C100" s="438"/>
      <c r="D100" s="447"/>
      <c r="E100" s="438"/>
      <c r="F100" s="438"/>
      <c r="G100" s="438"/>
      <c r="H100" s="438"/>
      <c r="I100" s="438"/>
      <c r="J100" s="438"/>
      <c r="K100" s="438"/>
      <c r="L100" s="448"/>
      <c r="M100" s="438"/>
      <c r="N100" s="441"/>
      <c r="O100" s="442">
        <f t="shared" si="10"/>
        <v>0</v>
      </c>
      <c r="P100" s="450">
        <f t="shared" si="11"/>
        <v>0</v>
      </c>
      <c r="Q100" s="449">
        <v>40561</v>
      </c>
    </row>
    <row r="101" spans="1:17" ht="13.5">
      <c r="A101" s="445">
        <v>11</v>
      </c>
      <c r="B101" s="446" t="s">
        <v>53</v>
      </c>
      <c r="C101" s="438"/>
      <c r="D101" s="447"/>
      <c r="E101" s="438"/>
      <c r="F101" s="438"/>
      <c r="G101" s="438"/>
      <c r="H101" s="438"/>
      <c r="I101" s="438"/>
      <c r="J101" s="438"/>
      <c r="K101" s="438"/>
      <c r="L101" s="448"/>
      <c r="M101" s="438"/>
      <c r="N101" s="441"/>
      <c r="O101" s="442">
        <f t="shared" si="10"/>
        <v>0</v>
      </c>
      <c r="P101" s="450">
        <f t="shared" si="11"/>
        <v>0</v>
      </c>
      <c r="Q101" s="449">
        <v>114453</v>
      </c>
    </row>
    <row r="102" spans="1:17" ht="13.5">
      <c r="A102" s="445">
        <v>12</v>
      </c>
      <c r="B102" s="446" t="s">
        <v>54</v>
      </c>
      <c r="C102" s="464">
        <v>1440000</v>
      </c>
      <c r="D102" s="464">
        <v>1350000</v>
      </c>
      <c r="E102" s="464">
        <v>1170000</v>
      </c>
      <c r="F102" s="464">
        <v>900000</v>
      </c>
      <c r="G102" s="464">
        <v>720000</v>
      </c>
      <c r="H102" s="464">
        <v>720000</v>
      </c>
      <c r="I102" s="464">
        <v>720000</v>
      </c>
      <c r="J102" s="464">
        <v>450000</v>
      </c>
      <c r="K102" s="464">
        <v>450000</v>
      </c>
      <c r="L102" s="464">
        <v>450000</v>
      </c>
      <c r="M102" s="464">
        <v>360000</v>
      </c>
      <c r="N102" s="464">
        <v>360000</v>
      </c>
      <c r="O102" s="442">
        <f t="shared" si="10"/>
        <v>9090000</v>
      </c>
      <c r="P102" s="450">
        <f t="shared" si="11"/>
        <v>454500</v>
      </c>
      <c r="Q102" s="449">
        <v>21660</v>
      </c>
    </row>
    <row r="103" spans="1:17" ht="13.5">
      <c r="A103" s="445">
        <v>13</v>
      </c>
      <c r="B103" s="446" t="s">
        <v>55</v>
      </c>
      <c r="C103" s="438"/>
      <c r="D103" s="447"/>
      <c r="E103" s="438"/>
      <c r="F103" s="438"/>
      <c r="G103" s="438"/>
      <c r="H103" s="438"/>
      <c r="I103" s="438"/>
      <c r="J103" s="438"/>
      <c r="K103" s="438"/>
      <c r="L103" s="448"/>
      <c r="M103" s="438"/>
      <c r="N103" s="441"/>
      <c r="O103" s="442">
        <f t="shared" si="10"/>
        <v>0</v>
      </c>
      <c r="P103" s="450">
        <f t="shared" si="11"/>
        <v>0</v>
      </c>
      <c r="Q103" s="449">
        <v>51527</v>
      </c>
    </row>
    <row r="104" spans="1:17" ht="13.5">
      <c r="A104" s="445">
        <v>14</v>
      </c>
      <c r="B104" s="446" t="s">
        <v>56</v>
      </c>
      <c r="C104" s="438"/>
      <c r="D104" s="451"/>
      <c r="E104" s="438"/>
      <c r="F104" s="438"/>
      <c r="G104" s="438"/>
      <c r="H104" s="438"/>
      <c r="I104" s="438"/>
      <c r="J104" s="438"/>
      <c r="K104" s="438"/>
      <c r="L104" s="452"/>
      <c r="M104" s="438"/>
      <c r="N104" s="441"/>
      <c r="O104" s="442">
        <f t="shared" si="10"/>
        <v>0</v>
      </c>
      <c r="P104" s="450">
        <f t="shared" si="11"/>
        <v>0</v>
      </c>
      <c r="Q104" s="453">
        <v>30938</v>
      </c>
    </row>
    <row r="105" spans="1:17" ht="12.75">
      <c r="A105" s="454"/>
      <c r="B105" s="455" t="s">
        <v>221</v>
      </c>
      <c r="C105" s="456">
        <f>SUM(C91:C104)</f>
        <v>1440000</v>
      </c>
      <c r="D105" s="457">
        <f>SUM(D91:D104)</f>
        <v>1350000</v>
      </c>
      <c r="E105" s="457">
        <f>SUM(E91:E104)</f>
        <v>1170000</v>
      </c>
      <c r="F105" s="457">
        <f>SUM(F91:F104)</f>
        <v>900000</v>
      </c>
      <c r="G105" s="457">
        <f>SUM(G91:G104)</f>
        <v>720000</v>
      </c>
      <c r="H105" s="457">
        <f>SUM(H91:H104)</f>
        <v>720000</v>
      </c>
      <c r="I105" s="457">
        <f>SUM(I91:I104)</f>
        <v>720000</v>
      </c>
      <c r="J105" s="457">
        <f>SUM(J91:J104)</f>
        <v>450000</v>
      </c>
      <c r="K105" s="458">
        <f>SUM(K91:K104)</f>
        <v>450000</v>
      </c>
      <c r="L105" s="457">
        <f>SUM(L91:L104)</f>
        <v>450000</v>
      </c>
      <c r="M105" s="457">
        <f>SUM(M91:M104)</f>
        <v>360000</v>
      </c>
      <c r="N105" s="457">
        <f>SUM(N91:N104)</f>
        <v>360000</v>
      </c>
      <c r="O105" s="457">
        <f>SUM(O91:O104)</f>
        <v>9090000</v>
      </c>
      <c r="P105" s="457">
        <f>SUM(P91:P104)</f>
        <v>454500</v>
      </c>
      <c r="Q105" s="459"/>
    </row>
    <row r="106" spans="1:17" ht="12.75">
      <c r="A106" s="460"/>
      <c r="B106" s="461" t="s">
        <v>222</v>
      </c>
      <c r="C106" s="462">
        <v>1757955</v>
      </c>
      <c r="D106" s="462">
        <v>1761545</v>
      </c>
      <c r="E106" s="462">
        <v>1765475</v>
      </c>
      <c r="F106" s="462">
        <v>1767909</v>
      </c>
      <c r="G106" s="462">
        <v>1771958</v>
      </c>
      <c r="H106" s="462">
        <v>1773520</v>
      </c>
      <c r="I106" s="462">
        <v>1773069</v>
      </c>
      <c r="J106" s="463">
        <v>1782213</v>
      </c>
      <c r="K106" s="462">
        <v>1779513</v>
      </c>
      <c r="L106" s="462">
        <v>1804825</v>
      </c>
      <c r="M106" s="462">
        <v>1804776</v>
      </c>
      <c r="N106" s="462">
        <v>1818820</v>
      </c>
      <c r="O106" s="462">
        <v>21361578</v>
      </c>
      <c r="P106" s="462">
        <v>1068079</v>
      </c>
      <c r="Q106" s="432"/>
    </row>
    <row r="107" ht="12.75"/>
    <row r="108" ht="12.75"/>
  </sheetData>
  <sheetProtection/>
  <mergeCells count="6">
    <mergeCell ref="A2:Q2"/>
    <mergeCell ref="A30:Q30"/>
    <mergeCell ref="A33:B33"/>
    <mergeCell ref="A59:Q59"/>
    <mergeCell ref="A62:B62"/>
    <mergeCell ref="A87:Q87"/>
  </mergeCells>
  <printOptions horizontalCentered="1"/>
  <pageMargins left="0.7083333333333334" right="0.7479166666666667" top="1.2201388888888889" bottom="0.2361111111111111" header="0.2361111111111111" footer="0.2361111111111111"/>
  <pageSetup fitToHeight="1" fitToWidth="1" orientation="landscape" paperSize="9" scale="7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S102"/>
  <sheetViews>
    <sheetView zoomScalePageLayoutView="0" workbookViewId="0" topLeftCell="A1">
      <selection activeCell="O6" sqref="O6"/>
    </sheetView>
  </sheetViews>
  <sheetFormatPr defaultColWidth="9.140625" defaultRowHeight="15"/>
  <cols>
    <col min="1" max="1" width="4.140625" style="152" customWidth="1"/>
    <col min="2" max="2" width="17.421875" style="152" customWidth="1"/>
    <col min="3" max="4" width="10.28125" style="152" bestFit="1" customWidth="1"/>
    <col min="5" max="5" width="10.421875" style="152" bestFit="1" customWidth="1"/>
    <col min="6" max="6" width="10.28125" style="152" bestFit="1" customWidth="1"/>
    <col min="7" max="7" width="10.421875" style="152" bestFit="1" customWidth="1"/>
    <col min="8" max="10" width="10.28125" style="152" bestFit="1" customWidth="1"/>
    <col min="11" max="11" width="10.7109375" style="152" bestFit="1" customWidth="1"/>
    <col min="12" max="13" width="10.28125" style="152" bestFit="1" customWidth="1"/>
    <col min="14" max="14" width="10.421875" style="152" bestFit="1" customWidth="1"/>
    <col min="15" max="15" width="14.140625" style="152" bestFit="1" customWidth="1"/>
    <col min="16" max="16" width="11.8515625" style="154" customWidth="1"/>
    <col min="17" max="17" width="14.00390625" style="155" bestFit="1" customWidth="1"/>
    <col min="18" max="18" width="9.140625" style="155" customWidth="1"/>
    <col min="19" max="19" width="13.00390625" style="156" bestFit="1" customWidth="1"/>
    <col min="20" max="16384" width="9.140625" style="155" customWidth="1"/>
  </cols>
  <sheetData>
    <row r="2" spans="1:16" ht="12.75">
      <c r="A2" s="503" t="s">
        <v>311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</row>
    <row r="5" spans="1:19" s="149" customFormat="1" ht="28.5" customHeight="1">
      <c r="A5" s="157"/>
      <c r="B5" s="158" t="s">
        <v>1</v>
      </c>
      <c r="C5" s="159" t="s">
        <v>29</v>
      </c>
      <c r="D5" s="159" t="s">
        <v>30</v>
      </c>
      <c r="E5" s="159" t="s">
        <v>31</v>
      </c>
      <c r="F5" s="159" t="s">
        <v>32</v>
      </c>
      <c r="G5" s="159" t="s">
        <v>33</v>
      </c>
      <c r="H5" s="159" t="s">
        <v>34</v>
      </c>
      <c r="I5" s="159" t="s">
        <v>35</v>
      </c>
      <c r="J5" s="159" t="s">
        <v>36</v>
      </c>
      <c r="K5" s="159" t="s">
        <v>37</v>
      </c>
      <c r="L5" s="159" t="s">
        <v>38</v>
      </c>
      <c r="M5" s="159" t="s">
        <v>39</v>
      </c>
      <c r="N5" s="159" t="s">
        <v>40</v>
      </c>
      <c r="O5" s="159" t="s">
        <v>312</v>
      </c>
      <c r="P5" s="186" t="s">
        <v>313</v>
      </c>
      <c r="S5" s="187"/>
    </row>
    <row r="6" spans="1:19" ht="13.5">
      <c r="A6" s="160">
        <v>1</v>
      </c>
      <c r="B6" s="161" t="s">
        <v>43</v>
      </c>
      <c r="C6" s="162">
        <v>155</v>
      </c>
      <c r="D6" s="162">
        <v>145</v>
      </c>
      <c r="E6" s="162">
        <v>155</v>
      </c>
      <c r="F6" s="162">
        <v>150</v>
      </c>
      <c r="G6" s="162">
        <v>155</v>
      </c>
      <c r="H6" s="162">
        <v>150</v>
      </c>
      <c r="I6" s="162">
        <v>155</v>
      </c>
      <c r="J6" s="162">
        <v>155</v>
      </c>
      <c r="K6" s="162">
        <v>150</v>
      </c>
      <c r="L6" s="162">
        <v>155</v>
      </c>
      <c r="M6" s="162">
        <v>150</v>
      </c>
      <c r="N6" s="177">
        <v>155</v>
      </c>
      <c r="O6" s="178">
        <f>SUM(C6:N6)</f>
        <v>1830</v>
      </c>
      <c r="P6" s="188"/>
      <c r="Q6" s="189">
        <v>28856</v>
      </c>
      <c r="S6" s="156">
        <v>49268.61786</v>
      </c>
    </row>
    <row r="7" spans="1:19" ht="13.5">
      <c r="A7" s="163">
        <v>2</v>
      </c>
      <c r="B7" s="164" t="s">
        <v>44</v>
      </c>
      <c r="C7" s="162">
        <v>0</v>
      </c>
      <c r="D7" s="162">
        <v>0</v>
      </c>
      <c r="E7" s="162"/>
      <c r="F7" s="162"/>
      <c r="G7" s="162"/>
      <c r="H7" s="162"/>
      <c r="I7" s="162"/>
      <c r="J7" s="162"/>
      <c r="K7" s="162"/>
      <c r="L7" s="162"/>
      <c r="M7" s="162"/>
      <c r="N7" s="177"/>
      <c r="O7" s="178">
        <f aca="true" t="shared" si="0" ref="O7:O20">SUM(C7:N7)</f>
        <v>0</v>
      </c>
      <c r="P7" s="190"/>
      <c r="Q7" s="189">
        <v>184194</v>
      </c>
      <c r="S7" s="156">
        <v>306467.9772</v>
      </c>
    </row>
    <row r="8" spans="1:19" ht="13.5">
      <c r="A8" s="163">
        <v>3</v>
      </c>
      <c r="B8" s="164" t="s">
        <v>45</v>
      </c>
      <c r="C8" s="162">
        <v>0</v>
      </c>
      <c r="D8" s="162">
        <v>0</v>
      </c>
      <c r="E8" s="162"/>
      <c r="F8" s="162"/>
      <c r="G8" s="162"/>
      <c r="H8" s="162"/>
      <c r="I8" s="162"/>
      <c r="J8" s="162"/>
      <c r="K8" s="162"/>
      <c r="L8" s="162"/>
      <c r="M8" s="162"/>
      <c r="N8" s="177"/>
      <c r="O8" s="178">
        <f t="shared" si="0"/>
        <v>0</v>
      </c>
      <c r="P8" s="190"/>
      <c r="Q8" s="189">
        <v>174547</v>
      </c>
      <c r="S8" s="156">
        <v>294033.79698</v>
      </c>
    </row>
    <row r="9" spans="1:19" ht="13.5">
      <c r="A9" s="163">
        <v>4</v>
      </c>
      <c r="B9" s="164" t="s">
        <v>46</v>
      </c>
      <c r="C9" s="162">
        <v>0</v>
      </c>
      <c r="D9" s="162">
        <v>0</v>
      </c>
      <c r="E9" s="162"/>
      <c r="F9" s="162"/>
      <c r="G9" s="162"/>
      <c r="H9" s="162"/>
      <c r="I9" s="162"/>
      <c r="J9" s="162"/>
      <c r="K9" s="162"/>
      <c r="L9" s="162"/>
      <c r="M9" s="162"/>
      <c r="N9" s="177"/>
      <c r="O9" s="178">
        <f t="shared" si="0"/>
        <v>0</v>
      </c>
      <c r="P9" s="190"/>
      <c r="Q9" s="189">
        <v>169617</v>
      </c>
      <c r="S9" s="156">
        <v>289551.16806</v>
      </c>
    </row>
    <row r="10" spans="1:19" ht="13.5">
      <c r="A10" s="163">
        <v>5</v>
      </c>
      <c r="B10" s="164" t="s">
        <v>47</v>
      </c>
      <c r="C10" s="162">
        <v>0</v>
      </c>
      <c r="D10" s="162">
        <v>0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77"/>
      <c r="O10" s="178">
        <f t="shared" si="0"/>
        <v>0</v>
      </c>
      <c r="P10" s="190"/>
      <c r="Q10" s="189">
        <v>111865</v>
      </c>
      <c r="S10" s="156">
        <v>189020.61948</v>
      </c>
    </row>
    <row r="11" spans="1:19" ht="13.5">
      <c r="A11" s="163">
        <v>6</v>
      </c>
      <c r="B11" s="164" t="s">
        <v>48</v>
      </c>
      <c r="C11" s="162">
        <v>0</v>
      </c>
      <c r="D11" s="162">
        <v>0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77"/>
      <c r="O11" s="178">
        <f t="shared" si="0"/>
        <v>0</v>
      </c>
      <c r="P11" s="190"/>
      <c r="Q11" s="189">
        <v>54257</v>
      </c>
      <c r="S11" s="156">
        <v>93214.50138</v>
      </c>
    </row>
    <row r="12" spans="1:19" ht="13.5">
      <c r="A12" s="163">
        <v>7</v>
      </c>
      <c r="B12" s="164" t="s">
        <v>49</v>
      </c>
      <c r="C12" s="162">
        <v>0</v>
      </c>
      <c r="D12" s="162">
        <v>0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77"/>
      <c r="O12" s="178">
        <f t="shared" si="0"/>
        <v>0</v>
      </c>
      <c r="P12" s="190"/>
      <c r="Q12" s="189">
        <v>74531</v>
      </c>
      <c r="S12" s="156">
        <v>67692.03671999999</v>
      </c>
    </row>
    <row r="13" spans="1:19" ht="13.5">
      <c r="A13" s="163">
        <v>8</v>
      </c>
      <c r="B13" s="164" t="s">
        <v>50</v>
      </c>
      <c r="C13" s="162">
        <v>0</v>
      </c>
      <c r="D13" s="162">
        <v>0</v>
      </c>
      <c r="E13" s="162"/>
      <c r="F13" s="162"/>
      <c r="G13" s="162"/>
      <c r="H13" s="162"/>
      <c r="I13" s="162"/>
      <c r="J13" s="162"/>
      <c r="K13" s="162"/>
      <c r="L13" s="162"/>
      <c r="M13" s="162"/>
      <c r="N13" s="177"/>
      <c r="O13" s="178">
        <f t="shared" si="0"/>
        <v>0</v>
      </c>
      <c r="P13" s="190"/>
      <c r="Q13" s="189">
        <v>32265</v>
      </c>
      <c r="S13" s="156">
        <v>52818.14076</v>
      </c>
    </row>
    <row r="14" spans="1:19" ht="13.5">
      <c r="A14" s="163">
        <v>9</v>
      </c>
      <c r="B14" s="164" t="s">
        <v>51</v>
      </c>
      <c r="C14" s="162">
        <v>0</v>
      </c>
      <c r="D14" s="162">
        <v>0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77"/>
      <c r="O14" s="178">
        <f t="shared" si="0"/>
        <v>0</v>
      </c>
      <c r="P14" s="190"/>
      <c r="Q14" s="189">
        <v>17315</v>
      </c>
      <c r="S14" s="156">
        <v>26102.1684</v>
      </c>
    </row>
    <row r="15" spans="1:19" ht="13.5">
      <c r="A15" s="163">
        <v>10</v>
      </c>
      <c r="B15" s="164" t="s">
        <v>52</v>
      </c>
      <c r="C15" s="162">
        <v>0</v>
      </c>
      <c r="D15" s="162">
        <v>0</v>
      </c>
      <c r="E15" s="162"/>
      <c r="F15" s="162"/>
      <c r="G15" s="162"/>
      <c r="H15" s="162"/>
      <c r="I15" s="162"/>
      <c r="J15" s="162"/>
      <c r="K15" s="162"/>
      <c r="L15" s="162"/>
      <c r="M15" s="162"/>
      <c r="N15" s="177"/>
      <c r="O15" s="178">
        <f t="shared" si="0"/>
        <v>0</v>
      </c>
      <c r="P15" s="190"/>
      <c r="Q15" s="189">
        <v>38711</v>
      </c>
      <c r="S15" s="156">
        <v>65720.424</v>
      </c>
    </row>
    <row r="16" spans="1:19" ht="13.5">
      <c r="A16" s="163">
        <v>11</v>
      </c>
      <c r="B16" s="164" t="s">
        <v>53</v>
      </c>
      <c r="C16" s="162">
        <v>0</v>
      </c>
      <c r="D16" s="162">
        <v>0</v>
      </c>
      <c r="E16" s="162"/>
      <c r="F16" s="162"/>
      <c r="G16" s="162"/>
      <c r="H16" s="162"/>
      <c r="I16" s="162"/>
      <c r="J16" s="162"/>
      <c r="K16" s="162"/>
      <c r="L16" s="162"/>
      <c r="M16" s="162"/>
      <c r="N16" s="177"/>
      <c r="O16" s="178">
        <f t="shared" si="0"/>
        <v>0</v>
      </c>
      <c r="P16" s="190"/>
      <c r="Q16" s="189">
        <v>113464</v>
      </c>
      <c r="S16" s="156">
        <v>189107.42004</v>
      </c>
    </row>
    <row r="17" spans="1:19" ht="13.5">
      <c r="A17" s="163">
        <v>12</v>
      </c>
      <c r="B17" s="164" t="s">
        <v>54</v>
      </c>
      <c r="C17" s="162">
        <v>0</v>
      </c>
      <c r="D17" s="162">
        <v>0</v>
      </c>
      <c r="E17" s="162"/>
      <c r="F17" s="162"/>
      <c r="G17" s="162"/>
      <c r="H17" s="162"/>
      <c r="I17" s="162"/>
      <c r="J17" s="162"/>
      <c r="K17" s="162"/>
      <c r="L17" s="162"/>
      <c r="M17" s="162"/>
      <c r="N17" s="177"/>
      <c r="O17" s="178">
        <f t="shared" si="0"/>
        <v>0</v>
      </c>
      <c r="P17" s="190"/>
      <c r="Q17" s="189">
        <v>28145</v>
      </c>
      <c r="S17" s="156">
        <v>43902.48324</v>
      </c>
    </row>
    <row r="18" spans="1:19" ht="13.5">
      <c r="A18" s="163">
        <v>13</v>
      </c>
      <c r="B18" s="164" t="s">
        <v>55</v>
      </c>
      <c r="C18" s="162">
        <v>0</v>
      </c>
      <c r="D18" s="162">
        <v>0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77"/>
      <c r="O18" s="178">
        <f t="shared" si="0"/>
        <v>0</v>
      </c>
      <c r="P18" s="190"/>
      <c r="Q18" s="189">
        <v>51546</v>
      </c>
      <c r="S18" s="156">
        <v>86707.5594</v>
      </c>
    </row>
    <row r="19" spans="1:19" ht="13.5">
      <c r="A19" s="163">
        <v>14</v>
      </c>
      <c r="B19" s="164" t="s">
        <v>56</v>
      </c>
      <c r="C19" s="162">
        <v>0</v>
      </c>
      <c r="D19" s="162">
        <v>0</v>
      </c>
      <c r="E19" s="162"/>
      <c r="F19" s="162"/>
      <c r="G19" s="162"/>
      <c r="H19" s="162"/>
      <c r="I19" s="162"/>
      <c r="J19" s="162"/>
      <c r="K19" s="162"/>
      <c r="L19" s="162"/>
      <c r="M19" s="162"/>
      <c r="N19" s="177"/>
      <c r="O19" s="178">
        <f t="shared" si="0"/>
        <v>0</v>
      </c>
      <c r="P19" s="191"/>
      <c r="Q19" s="189">
        <v>8117</v>
      </c>
      <c r="S19" s="156">
        <v>13528.48728</v>
      </c>
    </row>
    <row r="20" spans="1:19" s="150" customFormat="1" ht="12.75">
      <c r="A20" s="165"/>
      <c r="B20" s="166" t="s">
        <v>221</v>
      </c>
      <c r="C20" s="167">
        <f>SUM(C6:C19)</f>
        <v>155</v>
      </c>
      <c r="D20" s="168">
        <f>SUM(D6:D19)</f>
        <v>145</v>
      </c>
      <c r="E20" s="168">
        <f aca="true" t="shared" si="1" ref="E20:N20">SUM(E6:E19)</f>
        <v>155</v>
      </c>
      <c r="F20" s="168">
        <f t="shared" si="1"/>
        <v>150</v>
      </c>
      <c r="G20" s="168">
        <f t="shared" si="1"/>
        <v>155</v>
      </c>
      <c r="H20" s="168">
        <f t="shared" si="1"/>
        <v>150</v>
      </c>
      <c r="I20" s="168">
        <f t="shared" si="1"/>
        <v>155</v>
      </c>
      <c r="J20" s="168">
        <f t="shared" si="1"/>
        <v>155</v>
      </c>
      <c r="K20" s="181">
        <f t="shared" si="1"/>
        <v>150</v>
      </c>
      <c r="L20" s="168">
        <f t="shared" si="1"/>
        <v>155</v>
      </c>
      <c r="M20" s="168">
        <f t="shared" si="1"/>
        <v>150</v>
      </c>
      <c r="N20" s="168">
        <f t="shared" si="1"/>
        <v>155</v>
      </c>
      <c r="O20" s="168">
        <f t="shared" si="0"/>
        <v>1830</v>
      </c>
      <c r="P20" s="192"/>
      <c r="Q20" s="193">
        <f>SUM(Q6:Q19)</f>
        <v>1087430</v>
      </c>
      <c r="S20" s="194">
        <f>SUM(S6:S19)</f>
        <v>1767135.4008000004</v>
      </c>
    </row>
    <row r="21" spans="1:16" s="151" customFormat="1" ht="12.75">
      <c r="A21" s="169"/>
      <c r="B21" s="170" t="s">
        <v>222</v>
      </c>
      <c r="C21" s="171"/>
      <c r="D21" s="171"/>
      <c r="E21" s="171"/>
      <c r="F21" s="171"/>
      <c r="G21" s="171"/>
      <c r="H21" s="171"/>
      <c r="I21" s="171"/>
      <c r="J21" s="182"/>
      <c r="K21" s="171"/>
      <c r="L21" s="171"/>
      <c r="M21" s="171"/>
      <c r="N21" s="171"/>
      <c r="O21" s="171"/>
      <c r="P21" s="154"/>
    </row>
    <row r="22" spans="1:16" s="151" customFormat="1" ht="12.75">
      <c r="A22" s="172"/>
      <c r="B22" s="173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54"/>
    </row>
    <row r="23" spans="1:16" s="151" customFormat="1" ht="12.75">
      <c r="A23" s="172"/>
      <c r="B23" s="173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83" t="s">
        <v>59</v>
      </c>
      <c r="P23" s="154"/>
    </row>
    <row r="24" spans="1:16" s="151" customFormat="1" ht="12.75">
      <c r="A24" s="172"/>
      <c r="B24" s="173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84" t="s">
        <v>60</v>
      </c>
      <c r="P24" s="154"/>
    </row>
    <row r="25" spans="1:16" s="151" customFormat="1" ht="12.75">
      <c r="A25" s="172"/>
      <c r="B25" s="173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84" t="s">
        <v>61</v>
      </c>
      <c r="P25" s="154"/>
    </row>
    <row r="26" spans="1:16" s="151" customFormat="1" ht="17.25" customHeight="1">
      <c r="A26" s="172"/>
      <c r="B26" s="173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84"/>
      <c r="P26" s="154"/>
    </row>
    <row r="27" spans="1:16" s="151" customFormat="1" ht="12.75">
      <c r="A27" s="172"/>
      <c r="B27" s="173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84" t="s">
        <v>62</v>
      </c>
      <c r="P27" s="154"/>
    </row>
    <row r="28" ht="12.75">
      <c r="O28" s="184" t="s">
        <v>125</v>
      </c>
    </row>
    <row r="29" ht="12.75">
      <c r="O29" s="184"/>
    </row>
    <row r="30" spans="1:19" ht="12.75">
      <c r="A30" s="155"/>
      <c r="B30" s="155"/>
      <c r="C30" s="156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S30" s="155"/>
    </row>
    <row r="31" spans="1:19" ht="12.75">
      <c r="A31" s="155"/>
      <c r="B31" s="155"/>
      <c r="C31" s="156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S31" s="155"/>
    </row>
    <row r="32" spans="1:19" ht="12.75">
      <c r="A32" s="155"/>
      <c r="B32" s="155"/>
      <c r="C32" s="156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S32" s="155"/>
    </row>
    <row r="33" s="149" customFormat="1" ht="26.25" customHeight="1">
      <c r="C33" s="187"/>
    </row>
    <row r="34" spans="1:19" ht="12.75">
      <c r="A34" s="155"/>
      <c r="B34" s="155"/>
      <c r="C34" s="156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S34" s="155"/>
    </row>
    <row r="35" spans="1:19" ht="12.75">
      <c r="A35" s="155"/>
      <c r="B35" s="155"/>
      <c r="C35" s="156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S35" s="155"/>
    </row>
    <row r="36" spans="1:19" ht="12.75">
      <c r="A36" s="155"/>
      <c r="B36" s="155"/>
      <c r="C36" s="156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S36" s="155"/>
    </row>
    <row r="37" spans="1:19" ht="12.75">
      <c r="A37" s="155"/>
      <c r="B37" s="155"/>
      <c r="C37" s="156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S37" s="155"/>
    </row>
    <row r="38" spans="1:19" ht="12.75">
      <c r="A38" s="155"/>
      <c r="B38" s="155"/>
      <c r="C38" s="156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S38" s="155"/>
    </row>
    <row r="39" spans="1:19" ht="12.75">
      <c r="A39" s="155"/>
      <c r="B39" s="155"/>
      <c r="C39" s="156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S39" s="155"/>
    </row>
    <row r="40" spans="1:19" ht="12.75">
      <c r="A40" s="155"/>
      <c r="B40" s="155"/>
      <c r="C40" s="156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S40" s="155"/>
    </row>
    <row r="41" spans="1:19" ht="12.75">
      <c r="A41" s="155"/>
      <c r="B41" s="155"/>
      <c r="C41" s="156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S41" s="155"/>
    </row>
    <row r="42" spans="1:19" ht="12.75">
      <c r="A42" s="155"/>
      <c r="B42" s="155"/>
      <c r="C42" s="156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S42" s="155"/>
    </row>
    <row r="43" spans="1:19" ht="12.75">
      <c r="A43" s="155"/>
      <c r="B43" s="155"/>
      <c r="C43" s="156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S43" s="155"/>
    </row>
    <row r="44" spans="1:19" ht="12.75">
      <c r="A44" s="155"/>
      <c r="B44" s="155"/>
      <c r="C44" s="156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S44" s="155"/>
    </row>
    <row r="45" spans="1:19" ht="12.75">
      <c r="A45" s="155"/>
      <c r="B45" s="155"/>
      <c r="C45" s="156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S45" s="155"/>
    </row>
    <row r="46" spans="1:19" ht="12.75">
      <c r="A46" s="155"/>
      <c r="B46" s="155"/>
      <c r="C46" s="156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S46" s="155"/>
    </row>
    <row r="47" spans="1:19" ht="12.75">
      <c r="A47" s="155"/>
      <c r="B47" s="155"/>
      <c r="C47" s="156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S47" s="155"/>
    </row>
    <row r="48" spans="1:19" ht="12.75">
      <c r="A48" s="155"/>
      <c r="B48" s="155"/>
      <c r="C48" s="17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S48" s="155"/>
    </row>
    <row r="49" spans="1:19" ht="12.75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S49" s="155"/>
    </row>
    <row r="50" spans="1:19" ht="12.75">
      <c r="A50" s="195"/>
      <c r="B50" s="155"/>
      <c r="C50" s="156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S50" s="155"/>
    </row>
    <row r="51" s="151" customFormat="1" ht="12.75"/>
    <row r="52" s="151" customFormat="1" ht="12.75"/>
    <row r="53" s="151" customFormat="1" ht="12.75"/>
    <row r="54" s="151" customFormat="1" ht="17.25" customHeight="1"/>
    <row r="55" s="151" customFormat="1" ht="12.75"/>
    <row r="56" spans="1:19" ht="12.75">
      <c r="A56" s="155"/>
      <c r="B56" s="155"/>
      <c r="C56" s="156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S56" s="155"/>
    </row>
    <row r="57" spans="1:19" ht="12.75">
      <c r="A57" s="155"/>
      <c r="B57" s="155"/>
      <c r="C57" s="156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S57" s="155"/>
    </row>
    <row r="58" spans="1:19" ht="12.75">
      <c r="A58" s="155"/>
      <c r="B58" s="155"/>
      <c r="C58" s="156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S58" s="155"/>
    </row>
    <row r="59" spans="1:19" ht="12.75">
      <c r="A59" s="155"/>
      <c r="B59" s="155"/>
      <c r="C59" s="156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S59" s="155"/>
    </row>
    <row r="60" spans="1:19" ht="12.75">
      <c r="A60" s="155"/>
      <c r="B60" s="155"/>
      <c r="C60" s="156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S60" s="155"/>
    </row>
    <row r="61" spans="1:19" ht="12.75">
      <c r="A61" s="155"/>
      <c r="B61" s="155"/>
      <c r="C61" s="156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S61" s="155"/>
    </row>
    <row r="62" s="149" customFormat="1" ht="26.25" customHeight="1">
      <c r="C62" s="187"/>
    </row>
    <row r="63" spans="1:19" ht="12.75">
      <c r="A63" s="155"/>
      <c r="B63" s="155"/>
      <c r="C63" s="156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S63" s="155"/>
    </row>
    <row r="64" spans="1:19" ht="12.75">
      <c r="A64" s="155"/>
      <c r="B64" s="155"/>
      <c r="C64" s="156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S64" s="155"/>
    </row>
    <row r="65" spans="1:19" ht="12.75">
      <c r="A65" s="155"/>
      <c r="B65" s="155"/>
      <c r="C65" s="156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S65" s="155"/>
    </row>
    <row r="66" spans="1:19" ht="12.75">
      <c r="A66" s="155"/>
      <c r="B66" s="155"/>
      <c r="C66" s="156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S66" s="155"/>
    </row>
    <row r="67" spans="1:19" ht="12.75">
      <c r="A67" s="155"/>
      <c r="B67" s="155"/>
      <c r="C67" s="156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S67" s="155"/>
    </row>
    <row r="68" spans="1:19" ht="12.75">
      <c r="A68" s="155"/>
      <c r="B68" s="155"/>
      <c r="C68" s="156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S68" s="155"/>
    </row>
    <row r="69" spans="1:19" ht="12.75">
      <c r="A69" s="155"/>
      <c r="B69" s="155"/>
      <c r="C69" s="156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S69" s="155"/>
    </row>
    <row r="70" spans="1:19" ht="12.75">
      <c r="A70" s="155"/>
      <c r="B70" s="155"/>
      <c r="C70" s="156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S70" s="155"/>
    </row>
    <row r="71" spans="1:19" ht="12.75">
      <c r="A71" s="155"/>
      <c r="B71" s="155"/>
      <c r="C71" s="156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S71" s="155"/>
    </row>
    <row r="72" spans="1:19" ht="12.75">
      <c r="A72" s="155"/>
      <c r="B72" s="155"/>
      <c r="C72" s="156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S72" s="155"/>
    </row>
    <row r="73" spans="1:19" ht="12.75">
      <c r="A73" s="155"/>
      <c r="B73" s="155"/>
      <c r="C73" s="156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S73" s="155"/>
    </row>
    <row r="74" spans="1:19" ht="12.75">
      <c r="A74" s="155"/>
      <c r="B74" s="155"/>
      <c r="C74" s="156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S74" s="155"/>
    </row>
    <row r="75" spans="1:19" ht="12.75">
      <c r="A75" s="155"/>
      <c r="B75" s="155"/>
      <c r="C75" s="156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S75" s="155"/>
    </row>
    <row r="76" spans="1:19" ht="12.75">
      <c r="A76" s="155"/>
      <c r="B76" s="155"/>
      <c r="C76" s="156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S76" s="155"/>
    </row>
    <row r="77" s="150" customFormat="1" ht="12.75">
      <c r="C77" s="197"/>
    </row>
    <row r="78" s="151" customFormat="1" ht="12.75">
      <c r="A78" s="151">
        <v>242352.83720930235</v>
      </c>
    </row>
    <row r="79" s="151" customFormat="1" ht="12.75"/>
    <row r="80" s="151" customFormat="1" ht="12.75"/>
    <row r="81" s="151" customFormat="1" ht="12.75"/>
    <row r="82" s="151" customFormat="1" ht="12.75"/>
    <row r="83" s="151" customFormat="1" ht="17.25" customHeight="1"/>
    <row r="84" s="151" customFormat="1" ht="12.75"/>
    <row r="85" spans="1:19" ht="12.75">
      <c r="A85" s="155"/>
      <c r="B85" s="155"/>
      <c r="C85" s="156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S85" s="155"/>
    </row>
    <row r="86" spans="1:19" ht="12.75">
      <c r="A86" s="155"/>
      <c r="B86" s="155"/>
      <c r="C86" s="156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S86" s="155"/>
    </row>
    <row r="87" spans="1:19" ht="12.75">
      <c r="A87" s="155"/>
      <c r="B87" s="155"/>
      <c r="C87" s="156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S87" s="155"/>
    </row>
    <row r="88" spans="1:19" ht="12.75">
      <c r="A88" s="155"/>
      <c r="B88" s="155"/>
      <c r="C88" s="156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S88" s="155"/>
    </row>
    <row r="89" spans="1:19" ht="12.75">
      <c r="A89" s="155"/>
      <c r="B89" s="155"/>
      <c r="C89" s="156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S89" s="155"/>
    </row>
    <row r="90" spans="1:19" ht="12.75">
      <c r="A90" s="155"/>
      <c r="B90" s="155"/>
      <c r="C90" s="156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S90" s="155"/>
    </row>
    <row r="91" spans="1:19" ht="12.75">
      <c r="A91" s="155"/>
      <c r="B91" s="155"/>
      <c r="C91" s="156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S91" s="155"/>
    </row>
    <row r="92" spans="1:19" ht="12.75">
      <c r="A92" s="155"/>
      <c r="B92" s="155"/>
      <c r="C92" s="156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S92" s="155"/>
    </row>
    <row r="93" spans="1:19" ht="12.75">
      <c r="A93" s="155"/>
      <c r="B93" s="155"/>
      <c r="C93" s="156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S93" s="155"/>
    </row>
    <row r="94" spans="1:19" ht="12.75">
      <c r="A94" s="155"/>
      <c r="B94" s="155"/>
      <c r="C94" s="156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S94" s="155"/>
    </row>
    <row r="95" spans="1:19" ht="12.75">
      <c r="A95" s="155"/>
      <c r="B95" s="155"/>
      <c r="C95" s="156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S95" s="155"/>
    </row>
    <row r="96" spans="1:19" ht="12.75">
      <c r="A96" s="155"/>
      <c r="B96" s="155"/>
      <c r="C96" s="156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S96" s="155"/>
    </row>
    <row r="97" spans="1:19" ht="12.75">
      <c r="A97" s="155"/>
      <c r="B97" s="155"/>
      <c r="C97" s="156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S97" s="155"/>
    </row>
    <row r="98" spans="1:19" ht="12.75">
      <c r="A98" s="155"/>
      <c r="B98" s="155"/>
      <c r="C98" s="156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S98" s="155"/>
    </row>
    <row r="99" spans="1:19" ht="12.75">
      <c r="A99" s="155"/>
      <c r="B99" s="155"/>
      <c r="C99" s="156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S99" s="155"/>
    </row>
    <row r="100" spans="1:19" ht="12.75">
      <c r="A100" s="155"/>
      <c r="B100" s="155"/>
      <c r="C100" s="156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S100" s="155"/>
    </row>
    <row r="101" spans="1:19" ht="12.75">
      <c r="A101" s="155"/>
      <c r="B101" s="155"/>
      <c r="C101" s="156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S101" s="155"/>
    </row>
    <row r="102" spans="1:19" ht="12.75">
      <c r="A102" s="155"/>
      <c r="B102" s="155"/>
      <c r="C102" s="156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S102" s="155"/>
    </row>
  </sheetData>
  <sheetProtection/>
  <mergeCells count="1">
    <mergeCell ref="A2:P2"/>
  </mergeCells>
  <printOptions horizontalCentered="1"/>
  <pageMargins left="0.7083333333333334" right="0.7479166666666667" top="1.2201388888888889" bottom="0.2361111111111111" header="0.2361111111111111" footer="0.2361111111111111"/>
  <pageSetup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w8</cp:lastModifiedBy>
  <cp:lastPrinted>2017-12-11T01:12:17Z</cp:lastPrinted>
  <dcterms:created xsi:type="dcterms:W3CDTF">2014-01-02T02:38:24Z</dcterms:created>
  <dcterms:modified xsi:type="dcterms:W3CDTF">2019-01-18T03:16:13Z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