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2C43F7C6-4657-40F7-A321-63A32A6130B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Sheet1!$A$2:$W$47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0" i="1" l="1"/>
  <c r="Q10" i="1"/>
  <c r="Q11" i="1"/>
  <c r="V10" i="1"/>
  <c r="S10" i="1"/>
  <c r="W10" i="1"/>
  <c r="T12" i="1"/>
  <c r="W11" i="1"/>
  <c r="T11" i="1"/>
  <c r="R11" i="1"/>
  <c r="T13" i="1" l="1"/>
  <c r="L10" i="1"/>
  <c r="M12" i="1" l="1"/>
  <c r="L12" i="1"/>
  <c r="M11" i="1"/>
  <c r="L11" i="1"/>
  <c r="M10" i="1"/>
  <c r="D10" i="1"/>
  <c r="N11" i="1" l="1"/>
  <c r="E11" i="1" s="1"/>
  <c r="O10" i="1"/>
  <c r="M36" i="1" l="1"/>
  <c r="J10" i="1"/>
  <c r="J11" i="1"/>
  <c r="K10" i="1"/>
  <c r="K11" i="1"/>
  <c r="H10" i="1"/>
  <c r="G10" i="1"/>
  <c r="H11" i="1"/>
  <c r="H13" i="1" s="1"/>
  <c r="G11" i="1"/>
  <c r="I59" i="1"/>
  <c r="H59" i="1"/>
  <c r="F59" i="1"/>
  <c r="I58" i="1"/>
  <c r="I60" i="1" s="1"/>
  <c r="H58" i="1"/>
  <c r="F57" i="1"/>
  <c r="F58" i="1" s="1"/>
  <c r="F60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AC19" i="1"/>
  <c r="AB18" i="1"/>
  <c r="AB19" i="1" s="1"/>
  <c r="W13" i="1"/>
  <c r="P13" i="1"/>
  <c r="M13" i="1"/>
  <c r="N12" i="1"/>
  <c r="K12" i="1"/>
  <c r="J12" i="1"/>
  <c r="I12" i="1"/>
  <c r="F12" i="1"/>
  <c r="F13" i="1" s="1"/>
  <c r="V11" i="1"/>
  <c r="V13" i="1" s="1"/>
  <c r="U11" i="1"/>
  <c r="S11" i="1"/>
  <c r="O11" i="1"/>
  <c r="O13" i="1" s="1"/>
  <c r="I11" i="1"/>
  <c r="U10" i="1"/>
  <c r="U13" i="1" s="1"/>
  <c r="S13" i="1"/>
  <c r="R10" i="1"/>
  <c r="R13" i="1" s="1"/>
  <c r="Q13" i="1"/>
  <c r="N10" i="1"/>
  <c r="I10" i="1"/>
  <c r="K54" i="1" l="1"/>
  <c r="K57" i="1" s="1"/>
  <c r="H60" i="1"/>
  <c r="J13" i="1"/>
  <c r="K13" i="1"/>
  <c r="C10" i="1"/>
  <c r="Y11" i="1"/>
  <c r="E13" i="1"/>
  <c r="V14" i="1"/>
  <c r="D13" i="1"/>
  <c r="C52" i="1" s="1"/>
  <c r="L13" i="1"/>
  <c r="X11" i="1"/>
  <c r="Z11" i="1" s="1"/>
  <c r="X10" i="1"/>
  <c r="AA10" i="1" s="1"/>
  <c r="AB20" i="1" s="1"/>
  <c r="N13" i="1"/>
  <c r="Y10" i="1"/>
  <c r="I13" i="1"/>
  <c r="C35" i="1" l="1"/>
  <c r="C32" i="1"/>
  <c r="C55" i="1"/>
  <c r="C49" i="1"/>
  <c r="C13" i="1"/>
  <c r="C29" i="1" s="1"/>
  <c r="AA11" i="1"/>
  <c r="AC20" i="1" s="1"/>
  <c r="Z10" i="1"/>
  <c r="Z12" i="1" s="1"/>
</calcChain>
</file>

<file path=xl/sharedStrings.xml><?xml version="1.0" encoding="utf-8"?>
<sst xmlns="http://schemas.openxmlformats.org/spreadsheetml/2006/main" count="53" uniqueCount="43">
  <si>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</si>
  <si>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</si>
  <si>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</si>
  <si>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</si>
  <si>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</si>
  <si>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</si>
  <si>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</si>
  <si>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</si>
  <si>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</si>
  <si>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</si>
  <si>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</si>
  <si>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</si>
  <si>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</si>
  <si>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</si>
  <si>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</si>
  <si>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</si>
  <si>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</si>
  <si>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</si>
  <si>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</si>
  <si>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</si>
  <si>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</si>
  <si>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</si>
  <si>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</si>
  <si>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</si>
  <si>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</si>
  <si>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</si>
  <si>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</si>
  <si>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</si>
  <si>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</si>
  <si>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</si>
  <si>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</si>
  <si>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</si>
  <si>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</si>
  <si>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</si>
  <si>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</si>
  <si>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</si>
  <si>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297.495.013.132
                             --------------------------------X 100% = 3,07%
9.700.425.451.668</t>
  </si>
  <si>
    <t>Triwulan IV</t>
  </si>
  <si>
    <t xml:space="preserve">                187
            -----------------X 100% = 3,72%
               4910</t>
  </si>
  <si>
    <t>TRIWULAN I</t>
  </si>
  <si>
    <t>TAHUN 2025</t>
  </si>
  <si>
    <t xml:space="preserve">Sumber Data : Dinas Perdagangan&lt; koperasi, usaha Kecil dan Menengah </t>
  </si>
  <si>
    <t>NO : 1153 Jumlah Omset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</si>
</sst>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</numFmts>
  <fonts count="16">
    <font>
      <sz val="11"/>
      <color theme="1"/>
      <name val="Calibri"/>
      <charset val="1"/>
      <scheme val="minor"/>
    </font>
    <font>
      <sz val="11"/>
      <color theme="1"/>
      <name val="Arial"/>
      <charset val="134"/>
    </font>
    <font>
      <sz val="11"/>
      <color theme="0"/>
      <name val="Arial"/>
      <charset val="134"/>
    </font>
    <font>
      <b/>
      <sz val="14"/>
      <color theme="1"/>
      <name val="Arial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9"/>
      <name val="Arial"/>
      <charset val="134"/>
    </font>
    <font>
      <sz val="11"/>
      <color rgb="FFFF0000"/>
      <name val="Arial"/>
      <charset val="134"/>
    </font>
    <font>
      <b/>
      <sz val="11"/>
      <color rgb="FFFF0000"/>
      <name val="Arial"/>
      <charset val="134"/>
    </font>
    <font>
      <b/>
      <u/>
      <sz val="11"/>
      <name val="Arial"/>
      <charset val="134"/>
    </font>
    <font>
      <b/>
      <u/>
      <sz val="11"/>
      <color rgb="FFFF0000"/>
      <name val="Arial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theme="1"/>
      <name val="Calibri"/>
      <charset val="1"/>
      <scheme val="minor"/>
    </font>
    <font>
      <sz val="1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164" fontId="7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0" fontId="14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3" fontId="4" fillId="3" borderId="1" xfId="0" applyNumberFormat="1" applyFont="1" applyFill="1" applyBorder="1" applyAlignment="1">
      <alignment horizontal="center" vertical="center"/>
    </xf>
    <xf numFmtId="0" fontId="15" fillId="0" borderId="0" xfId="0" applyFont="1"/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Layout" zoomScale="69" zoomScaleNormal="100" zoomScaleSheetLayoutView="70" zoomScalePageLayoutView="69" workbookViewId="0">
      <selection activeCell="F6" sqref="F6"/>
    </sheetView>
  </sheetViews>
  <sheetFormatPr defaultColWidth="9.140625" defaultRowHeight="14.25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9.7109375" style="4" customWidth="1"/>
    <col min="10" max="10" width="23.5703125" style="4" customWidth="1"/>
    <col min="11" max="11" width="24.5703125" style="4" customWidth="1"/>
    <col min="12" max="12" width="9.85546875" style="4" customWidth="1"/>
    <col min="13" max="13" width="9.1406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24.75" customHeight="1">
      <c r="A1" s="75" t="s">
        <v>42</v>
      </c>
    </row>
    <row r="2" spans="1:29" ht="18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9" ht="18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29" ht="18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</row>
    <row r="5" spans="1:29" ht="18">
      <c r="A5" s="73" t="s">
        <v>39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</row>
    <row r="7" spans="1:29" s="1" customFormat="1" ht="37.5" customHeight="1">
      <c r="A7" s="71" t="s">
        <v>2</v>
      </c>
      <c r="B7" s="71" t="s">
        <v>3</v>
      </c>
      <c r="C7" s="72" t="s">
        <v>4</v>
      </c>
      <c r="D7" s="72" t="s">
        <v>5</v>
      </c>
      <c r="E7" s="72" t="s">
        <v>6</v>
      </c>
      <c r="F7" s="72" t="s">
        <v>7</v>
      </c>
      <c r="G7" s="71" t="s">
        <v>8</v>
      </c>
      <c r="H7" s="71"/>
      <c r="I7" s="71"/>
      <c r="J7" s="6" t="s">
        <v>9</v>
      </c>
      <c r="K7" s="6" t="s">
        <v>10</v>
      </c>
      <c r="L7" s="71" t="s">
        <v>11</v>
      </c>
      <c r="M7" s="71"/>
      <c r="N7" s="71"/>
      <c r="O7" s="71" t="s">
        <v>12</v>
      </c>
      <c r="P7" s="71"/>
      <c r="Q7" s="71"/>
      <c r="R7" s="71"/>
      <c r="S7" s="71"/>
      <c r="T7" s="71"/>
      <c r="U7" s="71"/>
      <c r="V7" s="71"/>
      <c r="W7" s="71"/>
      <c r="X7" s="48"/>
      <c r="Y7" s="48"/>
      <c r="Z7" s="48"/>
      <c r="AA7" s="48"/>
      <c r="AB7" s="48"/>
      <c r="AC7" s="48"/>
    </row>
    <row r="8" spans="1:29" ht="24.75" customHeight="1">
      <c r="A8" s="71"/>
      <c r="B8" s="71"/>
      <c r="C8" s="72"/>
      <c r="D8" s="72"/>
      <c r="E8" s="72"/>
      <c r="F8" s="72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>
      <c r="A9" s="8">
        <v>1</v>
      </c>
      <c r="B9" s="8">
        <v>2</v>
      </c>
      <c r="C9" s="70">
        <v>3</v>
      </c>
      <c r="D9" s="70"/>
      <c r="E9" s="70"/>
      <c r="F9" s="70"/>
      <c r="G9" s="70">
        <v>4</v>
      </c>
      <c r="H9" s="70"/>
      <c r="I9" s="70"/>
      <c r="J9" s="8">
        <v>5</v>
      </c>
      <c r="K9" s="8">
        <v>6</v>
      </c>
      <c r="L9" s="70">
        <v>7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49"/>
      <c r="Y9" s="49"/>
      <c r="Z9" s="49"/>
      <c r="AA9" s="49"/>
      <c r="AB9" s="49"/>
      <c r="AC9" s="49"/>
    </row>
    <row r="10" spans="1:29" s="3" customFormat="1" ht="36.75" customHeight="1">
      <c r="A10" s="7" t="s">
        <v>17</v>
      </c>
      <c r="B10" s="9" t="s">
        <v>18</v>
      </c>
      <c r="C10" s="10">
        <f>D10+E11+F12</f>
        <v>43669</v>
      </c>
      <c r="D10" s="10">
        <f>L10+M10</f>
        <v>38188</v>
      </c>
      <c r="E10" s="11"/>
      <c r="F10" s="11"/>
      <c r="G10" s="11">
        <f>20167+67+1220+190</f>
        <v>21644</v>
      </c>
      <c r="H10" s="10">
        <f>34528+289+1928+248</f>
        <v>36993</v>
      </c>
      <c r="I10" s="11">
        <f>G10+H10</f>
        <v>58637</v>
      </c>
      <c r="J10" s="11">
        <f>128605412000+96090600+115257102896+32900000001</f>
        <v>276858605497</v>
      </c>
      <c r="K10" s="11">
        <f>847281765200+96090600+980000000+115257102896+5000000000+5000000000</f>
        <v>973614958696</v>
      </c>
      <c r="L10" s="11">
        <f>13384-359+925+482+2018</f>
        <v>16450</v>
      </c>
      <c r="M10" s="11">
        <f>15506-359+236+1928+74+2235+100+2018</f>
        <v>21738</v>
      </c>
      <c r="N10" s="11">
        <f>L10+M10</f>
        <v>38188</v>
      </c>
      <c r="O10" s="10">
        <f>8620+36+49+196+326+10+159</f>
        <v>9396</v>
      </c>
      <c r="P10" s="10">
        <v>0</v>
      </c>
      <c r="Q10" s="10">
        <f>1479+51+260+1000</f>
        <v>2790</v>
      </c>
      <c r="R10" s="10">
        <f>441+12+234+387+831</f>
        <v>1905</v>
      </c>
      <c r="S10" s="10">
        <f>440+26+526+241+57+59</f>
        <v>1349</v>
      </c>
      <c r="T10" s="10">
        <f>11768+527+328+755+903+2864-3776+2963+2306+127+246</f>
        <v>19011</v>
      </c>
      <c r="U10" s="10">
        <f>281+9+45+24</f>
        <v>359</v>
      </c>
      <c r="V10" s="10">
        <f>691+9+3+7+13+9</f>
        <v>732</v>
      </c>
      <c r="W10" s="10">
        <f>1054+19+656+59</f>
        <v>1788</v>
      </c>
      <c r="X10" s="50">
        <f>SUM(O10:W10)</f>
        <v>37330</v>
      </c>
      <c r="Y10" s="50">
        <f>N10</f>
        <v>38188</v>
      </c>
      <c r="Z10" s="50">
        <f>X10-Y10</f>
        <v>-858</v>
      </c>
      <c r="AA10" s="50">
        <f>N10-X10</f>
        <v>858</v>
      </c>
      <c r="AB10" s="52">
        <v>21</v>
      </c>
      <c r="AC10" s="52">
        <v>3</v>
      </c>
    </row>
    <row r="11" spans="1:29" s="3" customFormat="1" ht="36.75" customHeight="1">
      <c r="A11" s="9"/>
      <c r="B11" s="9"/>
      <c r="C11" s="11"/>
      <c r="D11" s="11"/>
      <c r="E11" s="10">
        <f>N11</f>
        <v>5073</v>
      </c>
      <c r="F11" s="11"/>
      <c r="G11" s="11">
        <f>7137+169+462+109+17</f>
        <v>7894</v>
      </c>
      <c r="H11" s="10">
        <f>4967+269+522+201+17</f>
        <v>5976</v>
      </c>
      <c r="I11" s="11">
        <f>G11+H11</f>
        <v>13870</v>
      </c>
      <c r="J11" s="11">
        <f>338496090600+96090600+423568908891+43876600002+115257102896+7794199321</f>
        <v>929088992310</v>
      </c>
      <c r="K11" s="11">
        <f>432710428526+96090600+272284463132+24230550000+115257102896+50000000000+50000000000</f>
        <v>944578635154</v>
      </c>
      <c r="L11" s="11">
        <f>2823+101+19+6+100</f>
        <v>3049</v>
      </c>
      <c r="M11" s="11">
        <f>1742+40+79+80+20+63</f>
        <v>2024</v>
      </c>
      <c r="N11" s="11">
        <f>L11+M11</f>
        <v>5073</v>
      </c>
      <c r="O11" s="10">
        <f>1232+2+4</f>
        <v>1238</v>
      </c>
      <c r="P11" s="10">
        <v>0</v>
      </c>
      <c r="Q11" s="10">
        <f>419+5+9+6+9</f>
        <v>448</v>
      </c>
      <c r="R11" s="10">
        <f>127+3+4+25+30</f>
        <v>189</v>
      </c>
      <c r="S11" s="10">
        <f>180+7+9+16</f>
        <v>212</v>
      </c>
      <c r="T11" s="10">
        <f>1695+22+39+12+T23+1093+20</f>
        <v>2881</v>
      </c>
      <c r="U11" s="10">
        <f>119+5+9+14</f>
        <v>147</v>
      </c>
      <c r="V11" s="10">
        <f>467+5+13+16+16</f>
        <v>517</v>
      </c>
      <c r="W11" s="10">
        <f>272+3+6+1+16</f>
        <v>298</v>
      </c>
      <c r="X11" s="50">
        <f>SUM(O11:W11)</f>
        <v>5930</v>
      </c>
      <c r="Y11" s="50">
        <f>N11</f>
        <v>5073</v>
      </c>
      <c r="Z11" s="50">
        <f>X11-Y11</f>
        <v>857</v>
      </c>
      <c r="AA11" s="50">
        <f>N11-X11</f>
        <v>-857</v>
      </c>
      <c r="AB11" s="52">
        <v>0</v>
      </c>
      <c r="AC11" s="52">
        <v>0</v>
      </c>
    </row>
    <row r="12" spans="1:29" s="3" customFormat="1" ht="36.75" customHeight="1">
      <c r="A12" s="9"/>
      <c r="B12" s="9"/>
      <c r="C12" s="11"/>
      <c r="D12" s="11"/>
      <c r="E12" s="11"/>
      <c r="F12" s="10">
        <f>L12+M12</f>
        <v>408</v>
      </c>
      <c r="G12" s="11">
        <v>17117</v>
      </c>
      <c r="H12" s="7">
        <v>6811</v>
      </c>
      <c r="I12" s="11">
        <f>G12+H12</f>
        <v>23928</v>
      </c>
      <c r="J12" s="11">
        <f>4958993960000+8993960000</f>
        <v>4967987920000</v>
      </c>
      <c r="K12" s="11">
        <f>8138917478610+8993960000</f>
        <v>8147911438610</v>
      </c>
      <c r="L12" s="11">
        <f>336+3</f>
        <v>339</v>
      </c>
      <c r="M12" s="11">
        <f>66+3</f>
        <v>69</v>
      </c>
      <c r="N12" s="11">
        <f>L12+M12</f>
        <v>408</v>
      </c>
      <c r="O12" s="10">
        <v>60</v>
      </c>
      <c r="P12" s="10">
        <v>1</v>
      </c>
      <c r="Q12" s="10">
        <v>82</v>
      </c>
      <c r="R12" s="10">
        <v>2</v>
      </c>
      <c r="S12" s="10">
        <v>12</v>
      </c>
      <c r="T12" s="10">
        <f>93+7</f>
        <v>100</v>
      </c>
      <c r="U12" s="10">
        <v>3</v>
      </c>
      <c r="V12" s="10">
        <v>149</v>
      </c>
      <c r="W12" s="10">
        <v>0</v>
      </c>
      <c r="X12" s="50"/>
      <c r="Y12" s="52">
        <v>402</v>
      </c>
      <c r="Z12" s="50">
        <f>SUM(Z10:Z11)</f>
        <v>-1</v>
      </c>
      <c r="AA12" s="52"/>
      <c r="AB12" s="52">
        <v>49</v>
      </c>
      <c r="AC12" s="52">
        <v>4</v>
      </c>
    </row>
    <row r="13" spans="1:29" s="3" customFormat="1" ht="54" customHeight="1">
      <c r="A13" s="9"/>
      <c r="B13" s="12" t="s">
        <v>15</v>
      </c>
      <c r="C13" s="13">
        <f>C10</f>
        <v>43669</v>
      </c>
      <c r="D13" s="13">
        <f>D10</f>
        <v>38188</v>
      </c>
      <c r="E13" s="13">
        <f>E11</f>
        <v>5073</v>
      </c>
      <c r="F13" s="13">
        <f>F12</f>
        <v>408</v>
      </c>
      <c r="G13" s="13">
        <v>46655</v>
      </c>
      <c r="H13" s="13">
        <f>SUM(H10:H12)</f>
        <v>49780</v>
      </c>
      <c r="I13" s="13">
        <f>SUM(I10:I12)</f>
        <v>96435</v>
      </c>
      <c r="J13" s="33">
        <f t="shared" ref="J13:M13" si="0">SUM(J10:J12)</f>
        <v>6173935517807</v>
      </c>
      <c r="K13" s="74">
        <f t="shared" si="0"/>
        <v>10066105032460</v>
      </c>
      <c r="L13" s="13">
        <f t="shared" si="0"/>
        <v>19838</v>
      </c>
      <c r="M13" s="13">
        <f t="shared" si="0"/>
        <v>23831</v>
      </c>
      <c r="N13" s="33">
        <f>SUM(N10:N12)</f>
        <v>43669</v>
      </c>
      <c r="O13" s="13">
        <f>SUM(O10:O12)</f>
        <v>10694</v>
      </c>
      <c r="P13" s="13">
        <f t="shared" ref="P13:W13" si="1">SUM(P10:P12)</f>
        <v>1</v>
      </c>
      <c r="Q13" s="13">
        <f t="shared" si="1"/>
        <v>3320</v>
      </c>
      <c r="R13" s="13">
        <f t="shared" si="1"/>
        <v>2096</v>
      </c>
      <c r="S13" s="13">
        <f t="shared" si="1"/>
        <v>1573</v>
      </c>
      <c r="T13" s="33">
        <f>SUM(T10:T12)</f>
        <v>21992</v>
      </c>
      <c r="U13" s="13">
        <f t="shared" si="1"/>
        <v>509</v>
      </c>
      <c r="V13" s="13">
        <f t="shared" si="1"/>
        <v>1398</v>
      </c>
      <c r="W13" s="33">
        <f t="shared" si="1"/>
        <v>2086</v>
      </c>
      <c r="X13" s="50"/>
      <c r="Y13" s="52"/>
      <c r="Z13" s="52"/>
      <c r="AA13" s="52"/>
      <c r="AB13" s="52">
        <v>8</v>
      </c>
      <c r="AC13" s="52">
        <v>1</v>
      </c>
    </row>
    <row r="14" spans="1:29" s="3" customFormat="1" ht="23.1" customHeight="1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1">
        <f>V13+W13</f>
        <v>3484</v>
      </c>
      <c r="W14" s="34"/>
      <c r="X14" s="52"/>
      <c r="Y14" s="52"/>
      <c r="Z14" s="52"/>
      <c r="AA14" s="52"/>
      <c r="AB14" s="52">
        <v>19</v>
      </c>
      <c r="AC14" s="52">
        <v>3</v>
      </c>
    </row>
    <row r="15" spans="1:29" s="3" customFormat="1" ht="23.1" customHeight="1">
      <c r="C15" s="14"/>
      <c r="D15" s="14"/>
      <c r="E15" s="15"/>
      <c r="F15" s="15"/>
      <c r="G15" s="16"/>
      <c r="H15" s="15"/>
      <c r="I15" s="16"/>
      <c r="J15" s="35"/>
      <c r="K15" s="60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2"/>
      <c r="Y15" s="52"/>
      <c r="Z15" s="52"/>
      <c r="AA15" s="52"/>
      <c r="AB15" s="52">
        <v>79</v>
      </c>
      <c r="AC15" s="52">
        <v>14</v>
      </c>
    </row>
    <row r="16" spans="1:29" s="3" customFormat="1" ht="17.100000000000001" customHeight="1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7"/>
      <c r="S16" s="39"/>
      <c r="T16" s="39"/>
      <c r="U16" s="39"/>
      <c r="V16" s="39"/>
      <c r="W16" s="51"/>
      <c r="X16" s="52"/>
      <c r="Y16" s="52"/>
      <c r="Z16" s="52"/>
      <c r="AA16" s="52"/>
      <c r="AB16" s="52">
        <v>15</v>
      </c>
      <c r="AC16" s="52">
        <v>3</v>
      </c>
    </row>
    <row r="17" spans="1:29" s="3" customFormat="1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1"/>
      <c r="L17" s="19"/>
      <c r="M17" s="20"/>
      <c r="N17" s="20"/>
      <c r="O17" s="34"/>
      <c r="P17" s="39"/>
      <c r="Q17" s="39"/>
      <c r="R17" s="47"/>
      <c r="S17" s="39"/>
      <c r="T17" s="39"/>
      <c r="U17" s="39"/>
      <c r="V17" s="39"/>
      <c r="W17" s="51"/>
      <c r="X17" s="52"/>
      <c r="Y17" s="27">
        <v>30620</v>
      </c>
      <c r="Z17" s="52"/>
      <c r="AA17" s="52"/>
      <c r="AB17" s="52">
        <v>14</v>
      </c>
      <c r="AC17" s="52">
        <v>6</v>
      </c>
    </row>
    <row r="18" spans="1:29" s="3" customFormat="1" ht="15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40"/>
      <c r="L18" s="20"/>
      <c r="M18" s="20"/>
      <c r="N18" s="20"/>
      <c r="O18" s="41"/>
      <c r="P18" s="39"/>
      <c r="Q18" s="39"/>
      <c r="R18" s="47"/>
      <c r="S18" s="39"/>
      <c r="T18" s="39"/>
      <c r="U18" s="39"/>
      <c r="V18" s="39"/>
      <c r="W18" s="51"/>
      <c r="X18" s="52"/>
      <c r="Y18" s="27">
        <v>30363</v>
      </c>
      <c r="Z18" s="52"/>
      <c r="AA18" s="52"/>
      <c r="AB18" s="52">
        <f>15+28</f>
        <v>43</v>
      </c>
      <c r="AC18" s="52">
        <v>5</v>
      </c>
    </row>
    <row r="19" spans="1:29" s="3" customFormat="1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20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2"/>
      <c r="Y19" s="5"/>
      <c r="Z19" s="52"/>
      <c r="AA19" s="52"/>
      <c r="AB19" s="52">
        <f>SUM(AB10:AB18)</f>
        <v>248</v>
      </c>
      <c r="AC19" s="52">
        <f>SUM(AC10:AC18)</f>
        <v>39</v>
      </c>
    </row>
    <row r="20" spans="1:29">
      <c r="A20" s="21" t="s">
        <v>23</v>
      </c>
      <c r="B20" s="18"/>
      <c r="E20" s="23"/>
      <c r="F20" s="24"/>
      <c r="G20" s="25"/>
      <c r="H20" s="19"/>
      <c r="I20" s="24"/>
      <c r="J20" s="42"/>
      <c r="K20" s="25"/>
      <c r="L20" s="24"/>
      <c r="M20" s="24"/>
      <c r="N20" s="24"/>
      <c r="P20" s="24"/>
      <c r="Q20" s="24"/>
      <c r="R20" s="47"/>
      <c r="S20" s="24"/>
      <c r="T20" s="24"/>
      <c r="U20" s="24"/>
      <c r="V20" s="24"/>
      <c r="W20" s="5"/>
      <c r="AB20" s="55">
        <f>AA10-AB19</f>
        <v>610</v>
      </c>
      <c r="AC20" s="55">
        <f>AA11-AC19</f>
        <v>-896</v>
      </c>
    </row>
    <row r="21" spans="1:29">
      <c r="A21" s="56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P21" s="24"/>
      <c r="Q21" s="24"/>
      <c r="R21" s="47"/>
      <c r="S21" s="25"/>
      <c r="T21" s="24"/>
      <c r="U21" s="24"/>
      <c r="V21" s="24"/>
      <c r="W21" s="5"/>
      <c r="Y21" s="32">
        <f>Y17-Y18</f>
        <v>257</v>
      </c>
    </row>
    <row r="22" spans="1:29" ht="15">
      <c r="A22" s="56" t="s">
        <v>25</v>
      </c>
      <c r="B22" s="18"/>
      <c r="E22" s="23"/>
      <c r="F22" s="24"/>
      <c r="G22" s="24"/>
      <c r="H22" s="24"/>
      <c r="I22" s="25"/>
      <c r="J22" s="43"/>
      <c r="K22" s="44"/>
      <c r="L22" s="24"/>
      <c r="M22" s="24"/>
      <c r="N22" s="24"/>
      <c r="P22" s="24"/>
      <c r="Q22" s="24"/>
      <c r="R22" s="62"/>
      <c r="S22" s="24"/>
      <c r="T22" s="24"/>
      <c r="U22" s="24"/>
      <c r="V22" s="25"/>
      <c r="W22" s="5"/>
      <c r="Y22" s="5">
        <f>Y21/Y18*100</f>
        <v>0.84642492507327993</v>
      </c>
    </row>
    <row r="23" spans="1:29">
      <c r="A23" s="56" t="s">
        <v>26</v>
      </c>
      <c r="B23" s="18"/>
      <c r="E23" s="23"/>
      <c r="F23" s="24"/>
      <c r="G23" s="24"/>
      <c r="H23" s="24"/>
      <c r="I23" s="24"/>
      <c r="J23" s="24"/>
      <c r="K23" s="45"/>
      <c r="L23" s="24"/>
      <c r="M23" s="24"/>
      <c r="N23" s="24"/>
      <c r="P23" s="24"/>
      <c r="Q23" s="24"/>
      <c r="R23" s="47"/>
      <c r="S23" s="25"/>
      <c r="T23" s="24"/>
      <c r="U23" s="24"/>
      <c r="V23" s="24"/>
      <c r="W23" s="5"/>
    </row>
    <row r="24" spans="1:29">
      <c r="A24" s="56" t="s">
        <v>27</v>
      </c>
      <c r="B24" s="18"/>
      <c r="E24" s="23"/>
      <c r="F24" s="24"/>
      <c r="G24" s="24"/>
      <c r="H24" s="25"/>
      <c r="I24" s="24"/>
      <c r="J24" s="24"/>
      <c r="K24" s="57"/>
      <c r="L24" s="24"/>
      <c r="M24" s="24"/>
      <c r="N24" s="24"/>
      <c r="P24" s="24"/>
      <c r="Q24" s="24"/>
      <c r="R24" s="47"/>
      <c r="S24" s="24"/>
      <c r="T24" s="24"/>
      <c r="U24" s="24"/>
      <c r="V24" s="24"/>
      <c r="W24" s="5"/>
    </row>
    <row r="25" spans="1:29" ht="15">
      <c r="A25" s="56" t="s">
        <v>28</v>
      </c>
      <c r="B25" s="18"/>
      <c r="E25" s="23"/>
      <c r="F25" s="25"/>
      <c r="G25" s="24"/>
      <c r="H25" s="24"/>
      <c r="I25" s="24"/>
      <c r="J25" s="24"/>
      <c r="K25" s="24"/>
      <c r="L25" s="46"/>
      <c r="M25" s="45"/>
      <c r="N25" s="67"/>
      <c r="O25" s="29"/>
      <c r="P25" s="24"/>
      <c r="Q25" s="24"/>
      <c r="R25" s="63"/>
      <c r="S25" s="24"/>
      <c r="T25" s="24"/>
      <c r="U25" s="24"/>
      <c r="V25" s="24"/>
      <c r="W25" s="5"/>
    </row>
    <row r="26" spans="1:29" ht="15">
      <c r="E26" s="26"/>
      <c r="F26" s="25"/>
      <c r="G26" s="24"/>
      <c r="H26" s="24"/>
      <c r="I26" s="24"/>
      <c r="J26" s="24"/>
      <c r="K26" s="24"/>
      <c r="L26" s="46"/>
      <c r="M26" s="45"/>
      <c r="N26" s="67"/>
      <c r="O26" s="24"/>
      <c r="P26" s="24"/>
      <c r="Q26" s="24"/>
      <c r="R26" s="53"/>
      <c r="S26" s="24"/>
      <c r="T26" s="24"/>
      <c r="U26" s="24"/>
      <c r="V26" s="24"/>
      <c r="W26" s="5"/>
    </row>
    <row r="27" spans="1:29">
      <c r="A27" s="24"/>
      <c r="B27" s="64" t="s">
        <v>41</v>
      </c>
      <c r="C27" s="24"/>
      <c r="D27" s="24"/>
      <c r="E27" s="24"/>
      <c r="F27" s="24"/>
      <c r="G27" s="24"/>
      <c r="H27" s="24"/>
      <c r="I27" s="24"/>
      <c r="J27" s="24"/>
      <c r="K27" s="24"/>
      <c r="L27" s="46"/>
      <c r="M27" s="24"/>
      <c r="N27" s="24"/>
      <c r="O27" s="24"/>
      <c r="P27" s="24"/>
      <c r="Q27" s="24"/>
      <c r="R27" s="54"/>
      <c r="S27" s="24"/>
      <c r="T27" s="24"/>
      <c r="U27" s="24"/>
      <c r="V27" s="24"/>
      <c r="W27" s="5"/>
    </row>
    <row r="28" spans="1:29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6"/>
      <c r="M28" s="24"/>
      <c r="N28" s="67"/>
      <c r="O28" s="44"/>
      <c r="P28" s="24"/>
      <c r="Q28" s="24"/>
      <c r="R28" s="54"/>
      <c r="S28" s="24"/>
      <c r="T28" s="24"/>
      <c r="U28" s="24"/>
      <c r="V28" s="24"/>
      <c r="W28" s="5"/>
    </row>
    <row r="29" spans="1:29">
      <c r="A29" s="5"/>
      <c r="B29" s="5"/>
      <c r="C29" s="28">
        <f>C28/C13*100</f>
        <v>4.6119672994572802</v>
      </c>
      <c r="D29" s="26" t="s">
        <v>37</v>
      </c>
      <c r="E29" s="5"/>
      <c r="F29" s="29"/>
      <c r="G29" s="24"/>
      <c r="H29" s="24"/>
      <c r="I29" s="24"/>
      <c r="J29" s="24"/>
      <c r="K29" s="24"/>
      <c r="L29" s="46"/>
      <c r="M29" s="45"/>
      <c r="N29" s="67"/>
      <c r="O29" s="24"/>
      <c r="P29" s="24"/>
      <c r="Q29" s="24"/>
      <c r="R29" s="24"/>
      <c r="S29" s="24"/>
      <c r="T29" s="24"/>
      <c r="U29" s="24"/>
      <c r="V29" s="24"/>
      <c r="W29" s="5"/>
    </row>
    <row r="30" spans="1:29">
      <c r="A30" s="5"/>
      <c r="B30" s="5" t="s">
        <v>30</v>
      </c>
      <c r="C30" s="27"/>
      <c r="D30" s="30" t="s">
        <v>31</v>
      </c>
      <c r="E30" s="5"/>
      <c r="F30" s="5"/>
      <c r="G30" s="24"/>
      <c r="H30" s="58" t="s">
        <v>32</v>
      </c>
      <c r="I30" s="65" t="s">
        <v>33</v>
      </c>
      <c r="J30" s="66"/>
      <c r="K30" s="66"/>
      <c r="L30" s="66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66"/>
      <c r="J31" s="66"/>
      <c r="K31" s="66"/>
      <c r="L31" s="66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>
      <c r="A32" s="5"/>
      <c r="B32" s="5"/>
      <c r="C32" s="28">
        <f>C31/D13*100</f>
        <v>51.90373939457421</v>
      </c>
      <c r="D32" s="5"/>
      <c r="F32" s="5"/>
      <c r="G32" s="24"/>
      <c r="H32" s="29"/>
      <c r="I32" s="66"/>
      <c r="J32" s="66"/>
      <c r="K32" s="66"/>
      <c r="L32" s="66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>
      <c r="A33" s="5"/>
      <c r="B33" s="5"/>
      <c r="C33" s="5"/>
      <c r="D33" s="27">
        <v>20148</v>
      </c>
      <c r="F33" s="5"/>
      <c r="G33" s="24"/>
      <c r="H33" s="24"/>
      <c r="I33" s="66"/>
      <c r="J33" s="66"/>
      <c r="K33" s="66"/>
      <c r="L33" s="66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>
      <c r="A35" s="5"/>
      <c r="B35" s="5"/>
      <c r="C35" s="28">
        <f>C34/D13*100</f>
        <v>52.760029328584899</v>
      </c>
      <c r="D35" s="27"/>
      <c r="E35" s="5"/>
      <c r="F35" s="5"/>
      <c r="G35" s="24"/>
      <c r="H35" s="58" t="s">
        <v>32</v>
      </c>
      <c r="I35" s="24"/>
      <c r="J35" s="68" t="s">
        <v>38</v>
      </c>
      <c r="K35" s="69"/>
      <c r="L35" s="69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69"/>
      <c r="K36" s="69"/>
      <c r="L36" s="69"/>
      <c r="M36" s="24">
        <f>187/4910*100</f>
        <v>3.808553971486762</v>
      </c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69"/>
      <c r="K37" s="69"/>
      <c r="L37" s="69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>
      <c r="A42" s="5"/>
      <c r="B42" s="5"/>
      <c r="C42" s="27"/>
      <c r="D42" s="59" t="s">
        <v>34</v>
      </c>
      <c r="E42" s="5"/>
      <c r="F42" s="5"/>
      <c r="G42" s="24"/>
      <c r="H42" s="58" t="s">
        <v>32</v>
      </c>
      <c r="I42" s="65" t="s">
        <v>35</v>
      </c>
      <c r="J42" s="66"/>
      <c r="K42" s="66"/>
      <c r="L42" s="66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66"/>
      <c r="J43" s="66"/>
      <c r="K43" s="66"/>
      <c r="L43" s="66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66"/>
      <c r="J44" s="66"/>
      <c r="K44" s="66"/>
      <c r="L44" s="66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66"/>
      <c r="J45" s="66"/>
      <c r="K45" s="66"/>
      <c r="L45" s="66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65" t="s">
        <v>36</v>
      </c>
      <c r="J47" s="66"/>
      <c r="K47" s="66"/>
      <c r="L47" s="66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8" t="s">
        <v>32</v>
      </c>
      <c r="I48" s="66"/>
      <c r="J48" s="66"/>
      <c r="K48" s="66"/>
      <c r="L48" s="66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>
      <c r="A49" s="5"/>
      <c r="B49" s="32">
        <f>SUM(B47:B48)</f>
        <v>34595000</v>
      </c>
      <c r="C49" s="31">
        <f>C48/D13*100</f>
        <v>38.313082643762435</v>
      </c>
      <c r="D49" s="5"/>
      <c r="E49" s="5"/>
      <c r="F49" s="5"/>
      <c r="G49" s="5"/>
      <c r="H49" s="5"/>
      <c r="I49" s="66"/>
      <c r="J49" s="66"/>
      <c r="K49" s="66"/>
      <c r="L49" s="66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>
      <c r="A50" s="5"/>
      <c r="B50" s="5"/>
      <c r="C50" s="5"/>
      <c r="D50" s="27">
        <v>20694</v>
      </c>
      <c r="E50" s="5"/>
      <c r="F50" s="5"/>
      <c r="G50" s="5"/>
      <c r="H50" s="5"/>
      <c r="I50" s="66"/>
      <c r="J50" s="66"/>
      <c r="K50" s="66"/>
      <c r="L50" s="66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>
      <c r="A52" s="5"/>
      <c r="B52" s="5"/>
      <c r="C52" s="28">
        <f>C51/D13*100</f>
        <v>54.189797842254109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>
      <c r="A55" s="5"/>
      <c r="B55" s="5"/>
      <c r="C55" s="28">
        <f>C54/D13*100</f>
        <v>20.325756782235256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2:W2"/>
    <mergeCell ref="A3:W3"/>
    <mergeCell ref="A4:W4"/>
    <mergeCell ref="A5:W5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HP</cp:lastModifiedBy>
  <cp:lastPrinted>2023-10-05T04:43:00Z</cp:lastPrinted>
  <dcterms:created xsi:type="dcterms:W3CDTF">2019-12-09T07:18:00Z</dcterms:created>
  <dcterms:modified xsi:type="dcterms:W3CDTF">2025-05-06T08:27:06Z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