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295" windowHeight="5520" activeTab="1"/>
  </bookViews>
  <sheets>
    <sheet name="rincian AJK Per triwulan (2)" sheetId="15" r:id="rId1"/>
    <sheet name="AJK" sheetId="4" r:id="rId2"/>
    <sheet name="Sheet3" sheetId="3" r:id="rId3"/>
  </sheets>
  <definedNames>
    <definedName name="_xlnm.Print_Area" localSheetId="1">AJK!$A$1:$P$186</definedName>
    <definedName name="_xlnm.Print_Area" localSheetId="0">'rincian AJK Per triwulan (2)'!$A$1:$P$187</definedName>
    <definedName name="_xlnm.Print_Titles" localSheetId="1">AJK!$5:$6</definedName>
    <definedName name="_xlnm.Print_Titles" localSheetId="0">'rincian AJK Per triwulan (2)'!$5:$6</definedName>
  </definedNames>
  <calcPr calcId="144525"/>
</workbook>
</file>

<file path=xl/calcChain.xml><?xml version="1.0" encoding="utf-8"?>
<calcChain xmlns="http://schemas.openxmlformats.org/spreadsheetml/2006/main">
  <c r="O173" i="15" l="1"/>
  <c r="N173" i="15"/>
  <c r="G171" i="15"/>
  <c r="I170" i="15"/>
  <c r="F169" i="15"/>
  <c r="D168" i="15"/>
  <c r="D167" i="15"/>
  <c r="E166" i="15"/>
  <c r="G166" i="15" s="1"/>
  <c r="I166" i="15" s="1"/>
  <c r="K166" i="15" s="1"/>
  <c r="M166" i="15" s="1"/>
  <c r="D165" i="15"/>
  <c r="K164" i="15"/>
  <c r="F164" i="15"/>
  <c r="E164" i="15"/>
  <c r="N161" i="15"/>
  <c r="C160" i="15"/>
  <c r="C157" i="15" s="1"/>
  <c r="D159" i="15"/>
  <c r="D156" i="15"/>
  <c r="C156" i="15"/>
  <c r="D155" i="15"/>
  <c r="C155" i="15"/>
  <c r="D154" i="15"/>
  <c r="C154" i="15"/>
  <c r="D153" i="15"/>
  <c r="C153" i="15"/>
  <c r="C151" i="15" s="1"/>
  <c r="C148" i="15"/>
  <c r="M147" i="15"/>
  <c r="L147" i="15"/>
  <c r="L173" i="15" s="1"/>
  <c r="K147" i="15"/>
  <c r="J147" i="15"/>
  <c r="J173" i="15" s="1"/>
  <c r="I147" i="15"/>
  <c r="H147" i="15"/>
  <c r="G147" i="15"/>
  <c r="F147" i="15"/>
  <c r="E147" i="15"/>
  <c r="E173" i="15" s="1"/>
  <c r="D147" i="15"/>
  <c r="D142" i="15"/>
  <c r="H139" i="15"/>
  <c r="H173" i="15" s="1"/>
  <c r="F139" i="15"/>
  <c r="F173" i="15" s="1"/>
  <c r="C137" i="15"/>
  <c r="F136" i="15"/>
  <c r="C134" i="15"/>
  <c r="D129" i="15"/>
  <c r="C129" i="15"/>
  <c r="D128" i="15"/>
  <c r="E127" i="15"/>
  <c r="D127" i="15"/>
  <c r="C124" i="15"/>
  <c r="M120" i="15"/>
  <c r="J120" i="15"/>
  <c r="C119" i="15"/>
  <c r="O118" i="15"/>
  <c r="O122" i="15" s="1"/>
  <c r="N118" i="15"/>
  <c r="N122" i="15" s="1"/>
  <c r="M118" i="15"/>
  <c r="M122" i="15" s="1"/>
  <c r="L118" i="15"/>
  <c r="K118" i="15"/>
  <c r="K122" i="15" s="1"/>
  <c r="J118" i="15"/>
  <c r="I118" i="15"/>
  <c r="H118" i="15"/>
  <c r="G118" i="15"/>
  <c r="F118" i="15"/>
  <c r="E118" i="15"/>
  <c r="E122" i="15" s="1"/>
  <c r="D118" i="15"/>
  <c r="C117" i="15"/>
  <c r="G116" i="15"/>
  <c r="G115" i="15"/>
  <c r="C115" i="15"/>
  <c r="F113" i="15"/>
  <c r="F112" i="15"/>
  <c r="D112" i="15"/>
  <c r="C112" i="15"/>
  <c r="N111" i="15"/>
  <c r="M111" i="15"/>
  <c r="J111" i="15"/>
  <c r="J122" i="15" s="1"/>
  <c r="G111" i="15"/>
  <c r="E111" i="15"/>
  <c r="D111" i="15"/>
  <c r="C111" i="15"/>
  <c r="M110" i="15"/>
  <c r="L110" i="15"/>
  <c r="I110" i="15"/>
  <c r="H110" i="15"/>
  <c r="E110" i="15"/>
  <c r="D110" i="15"/>
  <c r="C110" i="15"/>
  <c r="I109" i="15"/>
  <c r="E109" i="15"/>
  <c r="C109" i="15"/>
  <c r="C108" i="15"/>
  <c r="L107" i="15"/>
  <c r="H107" i="15"/>
  <c r="H122" i="15" s="1"/>
  <c r="D107" i="15"/>
  <c r="C107" i="15"/>
  <c r="C106" i="15"/>
  <c r="L105" i="15"/>
  <c r="L122" i="15" s="1"/>
  <c r="H105" i="15"/>
  <c r="D105" i="15"/>
  <c r="D122" i="15" s="1"/>
  <c r="C105" i="15"/>
  <c r="G101" i="15"/>
  <c r="G122" i="15" s="1"/>
  <c r="I98" i="15"/>
  <c r="F97" i="15"/>
  <c r="F122" i="15" s="1"/>
  <c r="I93" i="15"/>
  <c r="I122" i="15" s="1"/>
  <c r="C93" i="15"/>
  <c r="C92" i="15"/>
  <c r="C89" i="15"/>
  <c r="C87" i="15"/>
  <c r="C122" i="15" s="1"/>
  <c r="O86" i="15"/>
  <c r="N86" i="15"/>
  <c r="M86" i="15"/>
  <c r="L86" i="15"/>
  <c r="K86" i="15"/>
  <c r="J86" i="15"/>
  <c r="I86" i="15"/>
  <c r="H86" i="15"/>
  <c r="H176" i="15" s="1"/>
  <c r="G86" i="15"/>
  <c r="F86" i="15"/>
  <c r="E86" i="15"/>
  <c r="D86" i="15"/>
  <c r="C82" i="15"/>
  <c r="C65" i="15"/>
  <c r="C86" i="15" s="1"/>
  <c r="O64" i="15"/>
  <c r="M64" i="15"/>
  <c r="L64" i="15"/>
  <c r="K64" i="15"/>
  <c r="J64" i="15"/>
  <c r="I64" i="15"/>
  <c r="H64" i="15"/>
  <c r="G64" i="15"/>
  <c r="E64" i="15"/>
  <c r="C58" i="15"/>
  <c r="D57" i="15"/>
  <c r="C55" i="15"/>
  <c r="N54" i="15"/>
  <c r="N64" i="15" s="1"/>
  <c r="D54" i="15"/>
  <c r="C53" i="15"/>
  <c r="D53" i="15" s="1"/>
  <c r="F52" i="15"/>
  <c r="F64" i="15" s="1"/>
  <c r="D51" i="15"/>
  <c r="F50" i="15"/>
  <c r="D49" i="15"/>
  <c r="D45" i="15"/>
  <c r="C45" i="15"/>
  <c r="C35" i="15" s="1"/>
  <c r="C64" i="15" s="1"/>
  <c r="O34" i="15"/>
  <c r="O176" i="15" s="1"/>
  <c r="J34" i="15"/>
  <c r="J176" i="15" s="1"/>
  <c r="H34" i="15"/>
  <c r="F34" i="15"/>
  <c r="C31" i="15"/>
  <c r="D30" i="15"/>
  <c r="D34" i="15" s="1"/>
  <c r="C24" i="15"/>
  <c r="C17" i="15"/>
  <c r="I16" i="15"/>
  <c r="K16" i="15" s="1"/>
  <c r="M16" i="15" s="1"/>
  <c r="N16" i="15" s="1"/>
  <c r="N34" i="15" s="1"/>
  <c r="N176" i="15" s="1"/>
  <c r="E16" i="15"/>
  <c r="E34" i="15" s="1"/>
  <c r="E176" i="15" s="1"/>
  <c r="F15" i="15"/>
  <c r="I15" i="15" s="1"/>
  <c r="L15" i="15" s="1"/>
  <c r="L14" i="15"/>
  <c r="K14" i="15"/>
  <c r="I14" i="15"/>
  <c r="F14" i="15"/>
  <c r="L13" i="15"/>
  <c r="I13" i="15"/>
  <c r="L12" i="15"/>
  <c r="L34" i="15" s="1"/>
  <c r="L176" i="15" s="1"/>
  <c r="F12" i="15"/>
  <c r="G11" i="15"/>
  <c r="G34" i="15" s="1"/>
  <c r="C7" i="15"/>
  <c r="C34" i="15" s="1"/>
  <c r="G176" i="15" l="1"/>
  <c r="F176" i="15"/>
  <c r="G173" i="15"/>
  <c r="K173" i="15"/>
  <c r="D64" i="15"/>
  <c r="C173" i="15"/>
  <c r="C176" i="15" s="1"/>
  <c r="I173" i="15"/>
  <c r="M173" i="15"/>
  <c r="I11" i="15"/>
  <c r="D160" i="15"/>
  <c r="D173" i="15" s="1"/>
  <c r="D176" i="15" l="1"/>
  <c r="D177" i="15" s="1"/>
  <c r="I34" i="15"/>
  <c r="I176" i="15" s="1"/>
  <c r="G177" i="15" s="1"/>
  <c r="K11" i="15"/>
  <c r="K34" i="15" l="1"/>
  <c r="K176" i="15" s="1"/>
  <c r="J177" i="15" s="1"/>
  <c r="M11" i="15"/>
  <c r="M34" i="15" s="1"/>
  <c r="M176" i="15" s="1"/>
  <c r="M177" i="15" s="1"/>
  <c r="C173" i="4" l="1"/>
  <c r="C157" i="4"/>
  <c r="C160" i="4"/>
  <c r="C124" i="4"/>
  <c r="C129" i="4"/>
  <c r="C151" i="4"/>
  <c r="C156" i="4"/>
  <c r="C155" i="4"/>
  <c r="C154" i="4"/>
  <c r="C153" i="4"/>
  <c r="C148" i="4"/>
  <c r="C55" i="4"/>
  <c r="C45" i="4"/>
  <c r="C53" i="4"/>
  <c r="C24" i="4"/>
  <c r="C7" i="4"/>
  <c r="C35" i="4" l="1"/>
  <c r="R40" i="4" s="1"/>
  <c r="C137" i="4" l="1"/>
  <c r="C134" i="4"/>
  <c r="C119" i="4" l="1"/>
  <c r="C93" i="4"/>
  <c r="C92" i="4"/>
  <c r="C89" i="4"/>
  <c r="C117" i="4"/>
  <c r="C115" i="4"/>
  <c r="C112" i="4"/>
  <c r="C111" i="4"/>
  <c r="C110" i="4"/>
  <c r="C109" i="4"/>
  <c r="C108" i="4"/>
  <c r="C107" i="4"/>
  <c r="C106" i="4"/>
  <c r="C105" i="4"/>
  <c r="C82" i="4"/>
  <c r="C65" i="4"/>
  <c r="C87" i="4" l="1"/>
  <c r="C122" i="4" s="1"/>
  <c r="C86" i="4"/>
  <c r="C58" i="4"/>
  <c r="C64" i="4" l="1"/>
  <c r="C31" i="4"/>
  <c r="C17" i="4"/>
  <c r="C34" i="4" l="1"/>
  <c r="C177" i="4" s="1"/>
</calcChain>
</file>

<file path=xl/comments1.xml><?xml version="1.0" encoding="utf-8"?>
<comments xmlns="http://schemas.openxmlformats.org/spreadsheetml/2006/main">
  <authors>
    <author>admin</author>
  </authors>
  <commentList>
    <comment ref="F1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13,500,000</t>
        </r>
      </text>
    </comment>
  </commentList>
</comments>
</file>

<file path=xl/sharedStrings.xml><?xml version="1.0" encoding="utf-8"?>
<sst xmlns="http://schemas.openxmlformats.org/spreadsheetml/2006/main" count="429" uniqueCount="215">
  <si>
    <t>JADWAL KEGIATAN</t>
  </si>
  <si>
    <t>NO</t>
  </si>
  <si>
    <t>KEGIATAN</t>
  </si>
  <si>
    <t>ANGGARAN</t>
  </si>
  <si>
    <t>BULAN</t>
  </si>
  <si>
    <t>PENANGGUNGJAWAB</t>
  </si>
  <si>
    <t>( RP )</t>
  </si>
  <si>
    <t>JAN</t>
  </si>
  <si>
    <t>FEB</t>
  </si>
  <si>
    <t>MARET</t>
  </si>
  <si>
    <t>JUNI</t>
  </si>
  <si>
    <t>JULI</t>
  </si>
  <si>
    <t>AGUST</t>
  </si>
  <si>
    <t>SEPT</t>
  </si>
  <si>
    <t>OKT</t>
  </si>
  <si>
    <t>NOP</t>
  </si>
  <si>
    <t>DES</t>
  </si>
  <si>
    <t>APRIL</t>
  </si>
  <si>
    <t>MEI</t>
  </si>
  <si>
    <t xml:space="preserve">BIDANG </t>
  </si>
  <si>
    <t>BIDANG</t>
  </si>
  <si>
    <t>Penyediaan jasa surat menyurat</t>
  </si>
  <si>
    <t>Penyediaan jasa komunikasi,SDA/L</t>
  </si>
  <si>
    <t>Penyediaan ATK</t>
  </si>
  <si>
    <t>Penyediaan bahan bacaan &amp; PPU</t>
  </si>
  <si>
    <t>Penyediaan makanan dan minuman</t>
  </si>
  <si>
    <t>Rapat-rapat &amp; konsultasi luar daerah</t>
  </si>
  <si>
    <t>Penyediaan jasa pegawai non PNS</t>
  </si>
  <si>
    <t xml:space="preserve"> </t>
  </si>
  <si>
    <t>KABUPATEN DEMAK</t>
  </si>
  <si>
    <t>Pembina Utama Muda</t>
  </si>
  <si>
    <t>DINPERMADES P2KB KABUPATEN DEMAK</t>
  </si>
  <si>
    <t>Pelayanan Terpadu</t>
  </si>
  <si>
    <t>Penanganan Komplikasi dan kegagalan</t>
  </si>
  <si>
    <t>Pengiriman Kader</t>
  </si>
  <si>
    <t>Pelayanan KIE</t>
  </si>
  <si>
    <t>Pembinaan Keluarga Berencana</t>
  </si>
  <si>
    <t>Operasional PPKBD dan Sub PPKBD</t>
  </si>
  <si>
    <t>Penyediaan barang cetakan &amp; penggandaan</t>
  </si>
  <si>
    <t>Penyediaan komponen Instalasi listrik/penerangan</t>
  </si>
  <si>
    <t>Penyediaan jasa peralatan&amp;perlengkapan kantor</t>
  </si>
  <si>
    <t>Pengadaan perlengkapan gedung kantor</t>
  </si>
  <si>
    <t>Pemeliharaan rutin/berkala gedung kantor</t>
  </si>
  <si>
    <t>Pemeliharaan rutin/berkala perlengkapan gedung</t>
  </si>
  <si>
    <t>Pendidikan dan pelatihan formal</t>
  </si>
  <si>
    <t>KELEMBAGAAN DESA</t>
  </si>
  <si>
    <t>PENGEMBANGAN</t>
  </si>
  <si>
    <t>USAHA EKONOMI DAN</t>
  </si>
  <si>
    <t>KAWASAN PERDESAAN</t>
  </si>
  <si>
    <t>SEKRETARIAT</t>
  </si>
  <si>
    <t>PENGENDALIAN PENDU</t>
  </si>
  <si>
    <t>DUK,PENYULUHAN</t>
  </si>
  <si>
    <t>DAN PENGGERAKAN</t>
  </si>
  <si>
    <t>KELUARGA BERENCANA</t>
  </si>
  <si>
    <t>KETAHANAN DAN KESE</t>
  </si>
  <si>
    <t>JAHTERAAN KELUARGA</t>
  </si>
  <si>
    <t>PKK</t>
  </si>
  <si>
    <t>RENCANA SERAPAN ANGGARAN/TRIWULAN</t>
  </si>
  <si>
    <t>RENCANA SERAPAN ANGGARAN</t>
  </si>
  <si>
    <t xml:space="preserve">  </t>
  </si>
  <si>
    <t>TAHUN ANGGARAN 2020</t>
  </si>
  <si>
    <t>Lomba-lomba dalam Rangka Harganas</t>
  </si>
  <si>
    <t>Pelayanan Pemasangan Komtrasepsi KB</t>
  </si>
  <si>
    <t>Operasional mobil pelayanan</t>
  </si>
  <si>
    <t>Pelayanan KB Media Operasi MOP/MOW</t>
  </si>
  <si>
    <t>Pengadaan Medical supply</t>
  </si>
  <si>
    <t>Operasional tim jaga mutu</t>
  </si>
  <si>
    <t>Pembinaan Ketahanan Keluarga</t>
  </si>
  <si>
    <t>Pelatihan Kerampilan UPPKS</t>
  </si>
  <si>
    <t>Fasiliitasi Galery UPPKS Tk. Prop</t>
  </si>
  <si>
    <t>Pelatihan Pendamping Kelompok Bina Keluarga</t>
  </si>
  <si>
    <t>Dukungan Pengembangan dan pembinaan Pengelola  UPPKS</t>
  </si>
  <si>
    <t>Pengembangan BKB Holistic integratif</t>
  </si>
  <si>
    <t>Pembinaan Kesehatan Reproduksi</t>
  </si>
  <si>
    <t>Pembentukan dan pembinaan Pusat Informasi Konseling  Remaja Berbasis Masyarakat</t>
  </si>
  <si>
    <t>Pembinaan dan pemilihan Duta Genre</t>
  </si>
  <si>
    <t>Fasilitasi pembentukan kelompok masyarakat peduli KB</t>
  </si>
  <si>
    <t>Pembinaan PLKB, PPKBD DAN SUB PPKBD</t>
  </si>
  <si>
    <t>Penilaian Lomba PLKB, PPKBD, SUB PPKBD Dan Akseptor Lestari</t>
  </si>
  <si>
    <t>Pelatihan PLKB dan Kader</t>
  </si>
  <si>
    <t>Rakor PLKB Dan IMP</t>
  </si>
  <si>
    <t>Jambore PLKB/PPKBD</t>
  </si>
  <si>
    <t>Pengiriman PLKB/PPKBD/Kader</t>
  </si>
  <si>
    <t>Pembinaan Saka Kencana</t>
  </si>
  <si>
    <t>Rakor Koalisi Kependudukan dan Fabsedu</t>
  </si>
  <si>
    <t>Pembentukan SSK</t>
  </si>
  <si>
    <t>Pembuatan Rumah Data di Kampung KB</t>
  </si>
  <si>
    <t>Pembentukan Pojok Data Kependudukan di 14 Sekolah</t>
  </si>
  <si>
    <t>Honorarium/Tranportasi Petugas RR</t>
  </si>
  <si>
    <t>Operasional Mobil Unit Penerangan (MUPEN)</t>
  </si>
  <si>
    <t>Pendataan Keluarga</t>
  </si>
  <si>
    <t>Penyusunan Laporan Pendataan keluarga</t>
  </si>
  <si>
    <t xml:space="preserve">Rakor Evaluasi Pengendalian Penduduk Tk.Kabupaten Demak </t>
  </si>
  <si>
    <t>Rakor bulanan evaluasi pencatatan dan pelaporan</t>
  </si>
  <si>
    <t>Monev Pendataan Keluarga</t>
  </si>
  <si>
    <t>Koordinasi dan konsultasi ke Provinsi Kegiatan Pendataan Keluarga</t>
  </si>
  <si>
    <t>Fasilitasi permodalan bagi kemitraan swasta dan UMKM</t>
  </si>
  <si>
    <t>Rakor dalam rangka Pembinaan dan Pembentukan BUMDES</t>
  </si>
  <si>
    <t>Pembinaan dan Monev BUMDES</t>
  </si>
  <si>
    <t>Pameran BUMDES</t>
  </si>
  <si>
    <t>Konsultasi dan Koordinasi di luar Provinsi Kegiatan BUMDES</t>
  </si>
  <si>
    <t>Rakor kegiatan POSYANTEK</t>
  </si>
  <si>
    <t>Konsultasi dan Koordinasi di luar Kabupaten Kegiatan POSYANTEK</t>
  </si>
  <si>
    <t>Perjalanan Dinas Dalam Daerah Pembinaan dan Monev KegiatanPOSYANTEK</t>
  </si>
  <si>
    <t>Rakor Pembinaan UPK BKAD Perdesaan dan Perkotaan</t>
  </si>
  <si>
    <t>Perjalanan Dinas Dalam Daerah Pembinaan dan Monev Kegiatan Fasilitasi Pasca Program PNPM</t>
  </si>
  <si>
    <t>Konsultasi dan koordinasi di luar Kabupaten Kegiatan Fasilitasi Pasca Program PNPM</t>
  </si>
  <si>
    <t>Rakor dan Pembinaan Kelembagaan KPSPAMS</t>
  </si>
  <si>
    <t>Konsultasi dan Koordinasi di luar Kabupaten Kegiatan Fasilitasi Pasca Program PAMSIMAS</t>
  </si>
  <si>
    <t>Perjalanan Dinas Dalam Daerah Pembinaan dan Monev Kegiatan Fasilitasi Pasca Program PAMSIMAS</t>
  </si>
  <si>
    <t>Rakor dan Pembinaan Fasilitasi BANGUB</t>
  </si>
  <si>
    <t>Konsultasi dan Koordinasi di luar Kabupaten Kegiatan Fasilitas BANGUB</t>
  </si>
  <si>
    <t>Perjalanan Dinas Dalam Daerah Pembinaan dan Monev Kegiatan Fasilitasi Pasca Program BANGUB</t>
  </si>
  <si>
    <t>Rakor Pembinaan Kawasan Perdesaan</t>
  </si>
  <si>
    <t>Pembinaan dan Monev Kawasan Perdesaan</t>
  </si>
  <si>
    <t>Konsultasi dan Koordinasi di luar Kabupaten Kegiatan Kawasan Perdesaan</t>
  </si>
  <si>
    <t>Fasilitasi kemitraan swasta dan UMKM</t>
  </si>
  <si>
    <t>Pemberdayaan Lembaga dan Organisasi Masyarakat Perdesaan</t>
  </si>
  <si>
    <t>Rakor Penyusunan Juklak Juknis</t>
  </si>
  <si>
    <t>Rakor Tim Kab, Kecamatan &amp; PD/PLD/TA</t>
  </si>
  <si>
    <t>Pengadaan Buku Panduan Kegiatan ADD/DD</t>
  </si>
  <si>
    <t>Sosialisasi Perbup Tahun 2020</t>
  </si>
  <si>
    <t>Monev ADD/DD</t>
  </si>
  <si>
    <t>Konsultasi &amp; Koordinas Ke Pusat Keg. ADD/DD</t>
  </si>
  <si>
    <t>Rakor Penyusunan Formula Tahun 2021</t>
  </si>
  <si>
    <t>Lokakarya Kegiatan ADD/DD</t>
  </si>
  <si>
    <t>Rakor Persiapan Pelaksanaan Keg. Lomba Desa/Kel</t>
  </si>
  <si>
    <t>Pelaksanaan Penilaian Lomba Desa/Kelurahan</t>
  </si>
  <si>
    <t>Rakor Kegiatan Revitalisasi Pokjanal Posyandu</t>
  </si>
  <si>
    <t>Monev / Pemantauan Keg. Posyandu</t>
  </si>
  <si>
    <t>Lomba Terbaik Posyandu Tk. Kab. &amp; Tk. Provinsi</t>
  </si>
  <si>
    <t>Rakor Persiapan Pelaksanaan Pembinaan LKMD</t>
  </si>
  <si>
    <t xml:space="preserve">Pelaksanaan Pembinaan LKMD </t>
  </si>
  <si>
    <t>Rakor Kegiatan TMMD</t>
  </si>
  <si>
    <t>Sosialisasi Keg. TMMD</t>
  </si>
  <si>
    <t>Penyuluhan Keg. TMMD</t>
  </si>
  <si>
    <t>Pelaksanaan Upacara Buka Tutup Sengkuyung</t>
  </si>
  <si>
    <t>Monev TMMD</t>
  </si>
  <si>
    <t>Pembangunan Sarpras / Infrastruktur Keg. TMMD</t>
  </si>
  <si>
    <t>Konsultasi dan Koordinasi Ke Provinsi Keg. TMMD</t>
  </si>
  <si>
    <t>Rakor P2M-BG Tk. Kabupaten dan Kecamatan</t>
  </si>
  <si>
    <t>Pembinaan / Pelatihan P2M-BG</t>
  </si>
  <si>
    <t>Monev P2M-BG</t>
  </si>
  <si>
    <t>Rakor Persiapan BBGRM</t>
  </si>
  <si>
    <t>Pelaksanaan BBGRM</t>
  </si>
  <si>
    <t>Operasional P3MD</t>
  </si>
  <si>
    <t>Konsultasi, Koordinasi &amp; Rapat Ke Provinsi dan Pusat Kegiatan Evaluasi Perkembangan Desa</t>
  </si>
  <si>
    <t>Bantuan Operasional Kecamatan Kegiatan Revitalisasi Posyandu</t>
  </si>
  <si>
    <t>Monev BBGRM</t>
  </si>
  <si>
    <t>Pelatihan aparatur pemdes dalam manajemen pemerintahan desa</t>
  </si>
  <si>
    <t>Pelaksanaan Pelatihan SID</t>
  </si>
  <si>
    <t>Pelaksanaan Bintek Profil Desa</t>
  </si>
  <si>
    <t>Belanja Telepon</t>
  </si>
  <si>
    <t>Belanja Air</t>
  </si>
  <si>
    <t>Belanja Listrik</t>
  </si>
  <si>
    <t>Pemeliharaan rutin kendaraan dinas/operasional</t>
  </si>
  <si>
    <t>Pemeliharaan rutin/berkala mebeleur</t>
  </si>
  <si>
    <t>BOP Pengadaan Barang/Jasa</t>
  </si>
  <si>
    <t>Penyediaan Bahan Logistik</t>
  </si>
  <si>
    <t>Penyediaan Jasa Administrasi Keuangan</t>
  </si>
  <si>
    <t>Monitoring Evaluasi</t>
  </si>
  <si>
    <t>Honorarium Petugas Pengelola Keuangan</t>
  </si>
  <si>
    <t>Penata Usahaan Keuangan</t>
  </si>
  <si>
    <t>KEPALA DINPERMADES P2KB</t>
  </si>
  <si>
    <t>Drs.DARYANTO,MM</t>
  </si>
  <si>
    <t>NIP. 19630712 198603 1 019</t>
  </si>
  <si>
    <t>Pembinaan PKK</t>
  </si>
  <si>
    <t>Belanja Alat Tulis Kantor</t>
  </si>
  <si>
    <t>Belanja Alat Tulis Kantor Penyusunan Laporan Kinerja</t>
  </si>
  <si>
    <t>Belanja Makan dan Minum Rapat &amp; Tamu</t>
  </si>
  <si>
    <t>Belanja Makan dan Minum Kegiatan Penyusunan Laporan Kinerja</t>
  </si>
  <si>
    <t>-</t>
  </si>
  <si>
    <t>Belanja Cetak dan Penggandaan</t>
  </si>
  <si>
    <t>Belanja Penggandaan Penyusunan Laporan Kinerja</t>
  </si>
  <si>
    <t xml:space="preserve"> KEPALA DINPERMADES P2KB</t>
  </si>
  <si>
    <t>NIP.19630712 198603 1 019</t>
  </si>
  <si>
    <t>Staff Meeting/Rapat Tehnis</t>
  </si>
  <si>
    <t>Pertemuan Kelompok Kerja di Kampung KB</t>
  </si>
  <si>
    <t>BOP Musyawarah Tk.Desa di Kampung KB</t>
  </si>
  <si>
    <t>Lokakarya Mini Tk.Desa di Kampung KB</t>
  </si>
  <si>
    <t>Lokakarya Mini Tk.Kecamatan di Kampung KB</t>
  </si>
  <si>
    <t>Operasional Ketahanan Berbasis Kelompok</t>
  </si>
  <si>
    <t>Operasional Kegiatan Penanganan Stunting</t>
  </si>
  <si>
    <t>Pengadaan BKB KIT Stunting</t>
  </si>
  <si>
    <t>Operasional Pembinaan Program KB Bagi Masyarakat Oleh Kader</t>
  </si>
  <si>
    <t>Orientasi kader di kampung KB percontohan</t>
  </si>
  <si>
    <t>Operasional Penyuluhan KB</t>
  </si>
  <si>
    <t>Orientasi tenaga lini lapangan</t>
  </si>
  <si>
    <t>Pengadaan PPKBD KIT</t>
  </si>
  <si>
    <t>Biaya Operasional Pengolahan Data</t>
  </si>
  <si>
    <t>Dukungan Pembuatan Media KIE Untuk Kecamatan</t>
  </si>
  <si>
    <t>ATK Operasional Balai Penyuluhan</t>
  </si>
  <si>
    <t>Operasional Distribusi Alokon</t>
  </si>
  <si>
    <t>Honorarium Pengelola BOKB</t>
  </si>
  <si>
    <t>Dukungan Administrasi Manajemen BOKB</t>
  </si>
  <si>
    <t>Rapat-rapat Pertemuan Koordinasi, Sosialisasi, Perencanaan Serta Monev</t>
  </si>
  <si>
    <t>Pembinaan Administrasi dan Program</t>
  </si>
  <si>
    <t>Pembangunan gedung kantor</t>
  </si>
  <si>
    <t>Pengembangan Gudang Alat Obat dan Kontrasepsi (Alokon)</t>
  </si>
  <si>
    <t>Pembangunan Balai Penyuluhan KB Kec.Bonang</t>
  </si>
  <si>
    <t>Belanja Modal Peralatan dan Mesin</t>
  </si>
  <si>
    <t>Pegadaan LCD</t>
  </si>
  <si>
    <t>Pengadaan Laptop</t>
  </si>
  <si>
    <t>Pengadaan Personal Computer</t>
  </si>
  <si>
    <t>Pengadaan Smartphone</t>
  </si>
  <si>
    <t>Belanja Langganan Daya dan jasa</t>
  </si>
  <si>
    <t>Paket internet Operasional Pengolahan Data</t>
  </si>
  <si>
    <t>Biaya Pemeliharaan Gedung Hijau</t>
  </si>
  <si>
    <t>Biaya Pemeliharaan Balai Penyuluhan KB</t>
  </si>
  <si>
    <t>Honorarium tenaga keamanan BP</t>
  </si>
  <si>
    <t>KELUARGA BERENCANA,</t>
  </si>
  <si>
    <t xml:space="preserve">KETAHANAN DAN </t>
  </si>
  <si>
    <t>KESEJAHTERAAN KELUARGA</t>
  </si>
  <si>
    <t>PENYULUHAN</t>
  </si>
  <si>
    <t>PENGENDALIAN PENDUDUK,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</si>
</sst>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_-;\-* #,##0_-;_-* &quot;-&quot;??_-;_-@_-"/>
    <numFmt numFmtId="166" formatCode="_(* #,##0_);_(* \(#,##0\);_(* &quot;-&quot;??_);_(@_)"/>
    <numFmt numFmtId="167" formatCode="_-* #,##0.00_-;\-* #,##0.00_-;_-* &quot;-&quot;_-;_-@_-"/>
  </numFmts>
  <fonts count="4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Angsana New"/>
      <family val="1"/>
    </font>
    <font>
      <i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theme="1"/>
      <name val="SansSerif"/>
    </font>
    <font>
      <sz val="12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767">
    <xf numFmtId="0" fontId="0" fillId="0" borderId="0" xfId="0"/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/>
    <xf numFmtId="0" fontId="10" fillId="0" borderId="0" xfId="0" applyFont="1"/>
    <xf numFmtId="0" fontId="9" fillId="0" borderId="0" xfId="0" applyFont="1"/>
    <xf numFmtId="0" fontId="4" fillId="2" borderId="0" xfId="0" applyFont="1" applyFill="1" applyAlignment="1">
      <alignment horizontal="centerContinuous" vertical="center"/>
    </xf>
    <xf numFmtId="0" fontId="0" fillId="2" borderId="0" xfId="0" applyFill="1"/>
    <xf numFmtId="0" fontId="5" fillId="2" borderId="4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9" xfId="0" applyFont="1" applyFill="1" applyBorder="1"/>
    <xf numFmtId="0" fontId="10" fillId="2" borderId="9" xfId="0" applyFont="1" applyFill="1" applyBorder="1"/>
    <xf numFmtId="0" fontId="10" fillId="2" borderId="8" xfId="0" applyFont="1" applyFill="1" applyBorder="1"/>
    <xf numFmtId="3" fontId="4" fillId="2" borderId="7" xfId="0" applyNumberFormat="1" applyFont="1" applyFill="1" applyBorder="1"/>
    <xf numFmtId="0" fontId="3" fillId="2" borderId="12" xfId="0" applyFont="1" applyFill="1" applyBorder="1"/>
    <xf numFmtId="0" fontId="3" fillId="2" borderId="3" xfId="0" applyFont="1" applyFill="1" applyBorder="1"/>
    <xf numFmtId="37" fontId="4" fillId="0" borderId="10" xfId="0" applyNumberFormat="1" applyFont="1" applyBorder="1"/>
    <xf numFmtId="164" fontId="12" fillId="2" borderId="12" xfId="0" applyNumberFormat="1" applyFont="1" applyFill="1" applyBorder="1"/>
    <xf numFmtId="0" fontId="2" fillId="2" borderId="0" xfId="0" applyFont="1" applyFill="1"/>
    <xf numFmtId="0" fontId="13" fillId="2" borderId="4" xfId="0" applyFont="1" applyFill="1" applyBorder="1" applyAlignment="1">
      <alignment horizontal="center"/>
    </xf>
    <xf numFmtId="3" fontId="0" fillId="0" borderId="0" xfId="0" applyNumberFormat="1"/>
    <xf numFmtId="0" fontId="3" fillId="2" borderId="0" xfId="0" applyFont="1" applyFill="1" applyBorder="1"/>
    <xf numFmtId="0" fontId="4" fillId="0" borderId="0" xfId="0" applyFont="1" applyBorder="1"/>
    <xf numFmtId="3" fontId="7" fillId="0" borderId="0" xfId="0" applyNumberFormat="1" applyFont="1"/>
    <xf numFmtId="0" fontId="14" fillId="0" borderId="0" xfId="0" applyFont="1" applyAlignment="1">
      <alignment horizontal="centerContinuous" vertical="center"/>
    </xf>
    <xf numFmtId="0" fontId="15" fillId="0" borderId="0" xfId="0" applyFont="1"/>
    <xf numFmtId="37" fontId="14" fillId="0" borderId="10" xfId="0" applyNumberFormat="1" applyFont="1" applyBorder="1"/>
    <xf numFmtId="164" fontId="0" fillId="0" borderId="0" xfId="0" applyNumberFormat="1"/>
    <xf numFmtId="164" fontId="15" fillId="0" borderId="0" xfId="0" applyNumberFormat="1" applyFont="1"/>
    <xf numFmtId="0" fontId="19" fillId="0" borderId="0" xfId="0" applyFont="1"/>
    <xf numFmtId="0" fontId="17" fillId="0" borderId="0" xfId="0" applyFont="1"/>
    <xf numFmtId="0" fontId="20" fillId="0" borderId="0" xfId="0" applyFont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left" vertical="center" wrapText="1"/>
    </xf>
    <xf numFmtId="0" fontId="3" fillId="2" borderId="9" xfId="0" applyFont="1" applyFill="1" applyBorder="1"/>
    <xf numFmtId="0" fontId="3" fillId="4" borderId="3" xfId="0" applyFont="1" applyFill="1" applyBorder="1"/>
    <xf numFmtId="3" fontId="4" fillId="0" borderId="10" xfId="0" applyNumberFormat="1" applyFont="1" applyBorder="1"/>
    <xf numFmtId="3" fontId="9" fillId="2" borderId="0" xfId="0" applyNumberFormat="1" applyFont="1" applyFill="1" applyBorder="1"/>
    <xf numFmtId="0" fontId="3" fillId="0" borderId="0" xfId="0" applyFont="1" applyBorder="1"/>
    <xf numFmtId="0" fontId="5" fillId="2" borderId="19" xfId="0" applyFont="1" applyFill="1" applyBorder="1" applyAlignment="1">
      <alignment horizontal="center"/>
    </xf>
    <xf numFmtId="0" fontId="10" fillId="0" borderId="28" xfId="0" applyFont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9" fillId="2" borderId="21" xfId="0" applyFont="1" applyFill="1" applyBorder="1"/>
    <xf numFmtId="0" fontId="3" fillId="2" borderId="22" xfId="0" applyFont="1" applyFill="1" applyBorder="1"/>
    <xf numFmtId="0" fontId="10" fillId="3" borderId="9" xfId="0" applyFont="1" applyFill="1" applyBorder="1"/>
    <xf numFmtId="0" fontId="3" fillId="4" borderId="18" xfId="0" applyFont="1" applyFill="1" applyBorder="1"/>
    <xf numFmtId="0" fontId="3" fillId="4" borderId="9" xfId="0" applyFont="1" applyFill="1" applyBorder="1"/>
    <xf numFmtId="37" fontId="9" fillId="0" borderId="23" xfId="0" applyNumberFormat="1" applyFont="1" applyBorder="1" applyAlignment="1">
      <alignment vertical="top"/>
    </xf>
    <xf numFmtId="37" fontId="10" fillId="0" borderId="23" xfId="0" applyNumberFormat="1" applyFont="1" applyBorder="1" applyAlignment="1">
      <alignment vertical="top"/>
    </xf>
    <xf numFmtId="37" fontId="9" fillId="0" borderId="24" xfId="0" applyNumberFormat="1" applyFont="1" applyBorder="1" applyAlignment="1">
      <alignment vertical="top"/>
    </xf>
    <xf numFmtId="3" fontId="3" fillId="2" borderId="10" xfId="0" applyNumberFormat="1" applyFont="1" applyFill="1" applyBorder="1"/>
    <xf numFmtId="0" fontId="5" fillId="2" borderId="32" xfId="0" applyFont="1" applyFill="1" applyBorder="1" applyAlignment="1">
      <alignment horizontal="center"/>
    </xf>
    <xf numFmtId="0" fontId="9" fillId="2" borderId="33" xfId="0" applyFont="1" applyFill="1" applyBorder="1"/>
    <xf numFmtId="0" fontId="9" fillId="2" borderId="8" xfId="0" applyFont="1" applyFill="1" applyBorder="1"/>
    <xf numFmtId="0" fontId="3" fillId="2" borderId="34" xfId="0" applyFont="1" applyFill="1" applyBorder="1"/>
    <xf numFmtId="0" fontId="3" fillId="4" borderId="17" xfId="0" applyFont="1" applyFill="1" applyBorder="1"/>
    <xf numFmtId="0" fontId="3" fillId="4" borderId="8" xfId="0" applyFont="1" applyFill="1" applyBorder="1"/>
    <xf numFmtId="0" fontId="3" fillId="2" borderId="8" xfId="0" applyFont="1" applyFill="1" applyBorder="1"/>
    <xf numFmtId="0" fontId="4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5" xfId="0" applyFont="1" applyBorder="1"/>
    <xf numFmtId="0" fontId="10" fillId="0" borderId="35" xfId="0" applyFont="1" applyBorder="1"/>
    <xf numFmtId="0" fontId="7" fillId="0" borderId="35" xfId="0" applyFont="1" applyBorder="1"/>
    <xf numFmtId="0" fontId="11" fillId="0" borderId="35" xfId="0" applyFont="1" applyBorder="1" applyAlignment="1">
      <alignment horizontal="center"/>
    </xf>
    <xf numFmtId="0" fontId="7" fillId="2" borderId="0" xfId="0" applyFont="1" applyFill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1" xfId="0" applyFont="1" applyBorder="1"/>
    <xf numFmtId="0" fontId="3" fillId="2" borderId="2" xfId="0" applyFont="1" applyFill="1" applyBorder="1"/>
    <xf numFmtId="0" fontId="3" fillId="8" borderId="12" xfId="0" applyFont="1" applyFill="1" applyBorder="1"/>
    <xf numFmtId="0" fontId="3" fillId="2" borderId="33" xfId="0" applyFont="1" applyFill="1" applyBorder="1"/>
    <xf numFmtId="0" fontId="3" fillId="2" borderId="21" xfId="0" applyFont="1" applyFill="1" applyBorder="1"/>
    <xf numFmtId="37" fontId="1" fillId="0" borderId="23" xfId="0" applyNumberFormat="1" applyFont="1" applyBorder="1" applyAlignment="1">
      <alignment vertical="top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12" fillId="2" borderId="22" xfId="0" applyNumberFormat="1" applyFont="1" applyFill="1" applyBorder="1"/>
    <xf numFmtId="3" fontId="14" fillId="2" borderId="20" xfId="0" applyNumberFormat="1" applyFont="1" applyFill="1" applyBorder="1"/>
    <xf numFmtId="164" fontId="1" fillId="2" borderId="9" xfId="0" applyNumberFormat="1" applyFont="1" applyFill="1" applyBorder="1"/>
    <xf numFmtId="164" fontId="1" fillId="2" borderId="5" xfId="0" applyNumberFormat="1" applyFont="1" applyFill="1" applyBorder="1"/>
    <xf numFmtId="164" fontId="15" fillId="2" borderId="9" xfId="0" applyNumberFormat="1" applyFont="1" applyFill="1" applyBorder="1"/>
    <xf numFmtId="164" fontId="15" fillId="2" borderId="22" xfId="0" applyNumberFormat="1" applyFont="1" applyFill="1" applyBorder="1"/>
    <xf numFmtId="164" fontId="15" fillId="2" borderId="12" xfId="0" applyNumberFormat="1" applyFont="1" applyFill="1" applyBorder="1"/>
    <xf numFmtId="0" fontId="1" fillId="2" borderId="0" xfId="0" applyFont="1" applyFill="1" applyBorder="1"/>
    <xf numFmtId="0" fontId="10" fillId="0" borderId="16" xfId="0" applyFont="1" applyBorder="1" applyAlignment="1">
      <alignment horizontal="center"/>
    </xf>
    <xf numFmtId="37" fontId="4" fillId="0" borderId="7" xfId="0" applyNumberFormat="1" applyFont="1" applyBorder="1"/>
    <xf numFmtId="0" fontId="3" fillId="0" borderId="20" xfId="0" applyFont="1" applyBorder="1"/>
    <xf numFmtId="37" fontId="9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/>
    </xf>
    <xf numFmtId="164" fontId="1" fillId="2" borderId="3" xfId="0" applyNumberFormat="1" applyFont="1" applyFill="1" applyBorder="1"/>
    <xf numFmtId="41" fontId="1" fillId="2" borderId="5" xfId="2" applyFont="1" applyFill="1" applyBorder="1"/>
    <xf numFmtId="41" fontId="1" fillId="0" borderId="5" xfId="2" applyFont="1" applyFill="1" applyBorder="1"/>
    <xf numFmtId="0" fontId="3" fillId="2" borderId="37" xfId="0" applyFont="1" applyFill="1" applyBorder="1"/>
    <xf numFmtId="37" fontId="14" fillId="0" borderId="10" xfId="0" applyNumberFormat="1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3" fontId="9" fillId="2" borderId="10" xfId="0" applyNumberFormat="1" applyFont="1" applyFill="1" applyBorder="1"/>
    <xf numFmtId="164" fontId="37" fillId="2" borderId="9" xfId="0" applyNumberFormat="1" applyFont="1" applyFill="1" applyBorder="1"/>
    <xf numFmtId="164" fontId="39" fillId="2" borderId="36" xfId="0" applyNumberFormat="1" applyFont="1" applyFill="1" applyBorder="1" applyAlignment="1">
      <alignment vertical="center"/>
    </xf>
    <xf numFmtId="164" fontId="39" fillId="2" borderId="9" xfId="0" applyNumberFormat="1" applyFont="1" applyFill="1" applyBorder="1"/>
    <xf numFmtId="164" fontId="39" fillId="2" borderId="5" xfId="0" applyNumberFormat="1" applyFont="1" applyFill="1" applyBorder="1"/>
    <xf numFmtId="165" fontId="22" fillId="5" borderId="9" xfId="1" applyNumberFormat="1" applyFont="1" applyFill="1" applyBorder="1" applyAlignment="1">
      <alignment vertical="top"/>
    </xf>
    <xf numFmtId="165" fontId="22" fillId="0" borderId="8" xfId="1" applyNumberFormat="1" applyFont="1" applyBorder="1" applyAlignment="1">
      <alignment vertical="top"/>
    </xf>
    <xf numFmtId="41" fontId="10" fillId="0" borderId="0" xfId="2" applyFont="1"/>
    <xf numFmtId="41" fontId="10" fillId="0" borderId="0" xfId="0" applyNumberFormat="1" applyFont="1"/>
    <xf numFmtId="41" fontId="0" fillId="0" borderId="0" xfId="2" applyFont="1"/>
    <xf numFmtId="0" fontId="3" fillId="0" borderId="24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37" fontId="14" fillId="2" borderId="39" xfId="0" applyNumberFormat="1" applyFont="1" applyFill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0" fontId="10" fillId="0" borderId="44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3" fillId="2" borderId="43" xfId="0" applyFont="1" applyFill="1" applyBorder="1"/>
    <xf numFmtId="0" fontId="3" fillId="0" borderId="10" xfId="0" applyFont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/>
    <xf numFmtId="0" fontId="3" fillId="2" borderId="39" xfId="0" applyFont="1" applyFill="1" applyBorder="1"/>
    <xf numFmtId="0" fontId="3" fillId="0" borderId="41" xfId="0" applyFont="1" applyBorder="1" applyAlignment="1">
      <alignment wrapText="1"/>
    </xf>
    <xf numFmtId="0" fontId="3" fillId="0" borderId="41" xfId="0" applyFont="1" applyBorder="1"/>
    <xf numFmtId="0" fontId="3" fillId="0" borderId="44" xfId="0" applyFont="1" applyBorder="1"/>
    <xf numFmtId="0" fontId="10" fillId="0" borderId="44" xfId="0" applyFont="1" applyBorder="1"/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vertical="center" wrapText="1"/>
    </xf>
    <xf numFmtId="0" fontId="9" fillId="0" borderId="44" xfId="0" applyFont="1" applyBorder="1"/>
    <xf numFmtId="0" fontId="23" fillId="0" borderId="44" xfId="0" applyFont="1" applyBorder="1"/>
    <xf numFmtId="0" fontId="3" fillId="2" borderId="40" xfId="0" applyFont="1" applyFill="1" applyBorder="1"/>
    <xf numFmtId="0" fontId="3" fillId="8" borderId="22" xfId="0" applyFont="1" applyFill="1" applyBorder="1"/>
    <xf numFmtId="3" fontId="27" fillId="2" borderId="35" xfId="0" applyNumberFormat="1" applyFont="1" applyFill="1" applyBorder="1"/>
    <xf numFmtId="0" fontId="1" fillId="0" borderId="43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7" fillId="0" borderId="44" xfId="0" applyFont="1" applyBorder="1"/>
    <xf numFmtId="0" fontId="17" fillId="0" borderId="20" xfId="0" applyFont="1" applyBorder="1"/>
    <xf numFmtId="164" fontId="1" fillId="2" borderId="36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3" fontId="3" fillId="2" borderId="30" xfId="0" applyNumberFormat="1" applyFont="1" applyFill="1" applyBorder="1"/>
    <xf numFmtId="3" fontId="28" fillId="2" borderId="46" xfId="0" applyNumberFormat="1" applyFont="1" applyFill="1" applyBorder="1"/>
    <xf numFmtId="3" fontId="3" fillId="2" borderId="46" xfId="0" applyNumberFormat="1" applyFont="1" applyFill="1" applyBorder="1"/>
    <xf numFmtId="3" fontId="10" fillId="2" borderId="46" xfId="0" applyNumberFormat="1" applyFont="1" applyFill="1" applyBorder="1"/>
    <xf numFmtId="3" fontId="1" fillId="2" borderId="46" xfId="0" applyNumberFormat="1" applyFont="1" applyFill="1" applyBorder="1"/>
    <xf numFmtId="3" fontId="10" fillId="2" borderId="46" xfId="0" applyNumberFormat="1" applyFont="1" applyFill="1" applyBorder="1" applyAlignment="1">
      <alignment vertical="center"/>
    </xf>
    <xf numFmtId="3" fontId="3" fillId="0" borderId="46" xfId="0" applyNumberFormat="1" applyFont="1" applyBorder="1"/>
    <xf numFmtId="3" fontId="9" fillId="0" borderId="46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2" borderId="18" xfId="0" applyNumberFormat="1" applyFont="1" applyFill="1" applyBorder="1"/>
    <xf numFmtId="164" fontId="1" fillId="2" borderId="47" xfId="0" applyNumberFormat="1" applyFont="1" applyFill="1" applyBorder="1"/>
    <xf numFmtId="164" fontId="1" fillId="2" borderId="48" xfId="0" applyNumberFormat="1" applyFont="1" applyFill="1" applyBorder="1"/>
    <xf numFmtId="3" fontId="4" fillId="0" borderId="15" xfId="0" applyNumberFormat="1" applyFont="1" applyBorder="1"/>
    <xf numFmtId="0" fontId="3" fillId="0" borderId="30" xfId="0" applyFont="1" applyBorder="1"/>
    <xf numFmtId="0" fontId="13" fillId="2" borderId="50" xfId="0" applyFont="1" applyFill="1" applyBorder="1" applyAlignment="1">
      <alignment horizontal="center"/>
    </xf>
    <xf numFmtId="164" fontId="39" fillId="2" borderId="51" xfId="0" applyNumberFormat="1" applyFont="1" applyFill="1" applyBorder="1"/>
    <xf numFmtId="164" fontId="15" fillId="2" borderId="11" xfId="0" applyNumberFormat="1" applyFont="1" applyFill="1" applyBorder="1"/>
    <xf numFmtId="164" fontId="1" fillId="2" borderId="52" xfId="0" applyNumberFormat="1" applyFont="1" applyFill="1" applyBorder="1" applyAlignment="1">
      <alignment vertical="center"/>
    </xf>
    <xf numFmtId="164" fontId="1" fillId="2" borderId="51" xfId="0" applyNumberFormat="1" applyFont="1" applyFill="1" applyBorder="1"/>
    <xf numFmtId="164" fontId="39" fillId="2" borderId="52" xfId="0" applyNumberFormat="1" applyFont="1" applyFill="1" applyBorder="1" applyAlignment="1">
      <alignment vertical="center"/>
    </xf>
    <xf numFmtId="164" fontId="12" fillId="2" borderId="11" xfId="0" applyNumberFormat="1" applyFont="1" applyFill="1" applyBorder="1"/>
    <xf numFmtId="41" fontId="9" fillId="2" borderId="51" xfId="2" applyFont="1" applyFill="1" applyBorder="1"/>
    <xf numFmtId="164" fontId="12" fillId="2" borderId="53" xfId="0" applyNumberFormat="1" applyFont="1" applyFill="1" applyBorder="1"/>
    <xf numFmtId="164" fontId="0" fillId="2" borderId="53" xfId="0" applyNumberFormat="1" applyFont="1" applyFill="1" applyBorder="1"/>
    <xf numFmtId="165" fontId="33" fillId="0" borderId="48" xfId="1" applyNumberFormat="1" applyFont="1" applyBorder="1" applyAlignment="1">
      <alignment vertical="top"/>
    </xf>
    <xf numFmtId="164" fontId="15" fillId="2" borderId="48" xfId="0" applyNumberFormat="1" applyFont="1" applyFill="1" applyBorder="1"/>
    <xf numFmtId="164" fontId="9" fillId="2" borderId="48" xfId="0" applyNumberFormat="1" applyFont="1" applyFill="1" applyBorder="1"/>
    <xf numFmtId="164" fontId="9" fillId="2" borderId="48" xfId="0" applyNumberFormat="1" applyFont="1" applyFill="1" applyBorder="1" applyAlignment="1">
      <alignment vertical="center"/>
    </xf>
    <xf numFmtId="41" fontId="1" fillId="2" borderId="48" xfId="2" applyFont="1" applyFill="1" applyBorder="1"/>
    <xf numFmtId="41" fontId="1" fillId="2" borderId="9" xfId="2" applyFont="1" applyFill="1" applyBorder="1"/>
    <xf numFmtId="166" fontId="1" fillId="2" borderId="48" xfId="1" applyNumberFormat="1" applyFont="1" applyFill="1" applyBorder="1"/>
    <xf numFmtId="43" fontId="1" fillId="2" borderId="48" xfId="1" applyFont="1" applyFill="1" applyBorder="1"/>
    <xf numFmtId="164" fontId="1" fillId="2" borderId="44" xfId="0" applyNumberFormat="1" applyFont="1" applyFill="1" applyBorder="1"/>
    <xf numFmtId="165" fontId="33" fillId="0" borderId="12" xfId="1" applyNumberFormat="1" applyFont="1" applyBorder="1" applyAlignment="1">
      <alignment vertical="top"/>
    </xf>
    <xf numFmtId="164" fontId="39" fillId="2" borderId="6" xfId="0" applyNumberFormat="1" applyFont="1" applyFill="1" applyBorder="1" applyAlignment="1">
      <alignment vertical="center"/>
    </xf>
    <xf numFmtId="165" fontId="33" fillId="0" borderId="55" xfId="1" applyNumberFormat="1" applyFont="1" applyBorder="1" applyAlignment="1">
      <alignment vertical="top"/>
    </xf>
    <xf numFmtId="164" fontId="15" fillId="2" borderId="55" xfId="0" applyNumberFormat="1" applyFont="1" applyFill="1" applyBorder="1"/>
    <xf numFmtId="164" fontId="39" fillId="2" borderId="44" xfId="0" applyNumberFormat="1" applyFont="1" applyFill="1" applyBorder="1"/>
    <xf numFmtId="164" fontId="15" fillId="2" borderId="40" xfId="0" applyNumberFormat="1" applyFont="1" applyFill="1" applyBorder="1"/>
    <xf numFmtId="164" fontId="1" fillId="2" borderId="55" xfId="0" applyNumberFormat="1" applyFont="1" applyFill="1" applyBorder="1"/>
    <xf numFmtId="164" fontId="1" fillId="2" borderId="0" xfId="0" applyNumberFormat="1" applyFont="1" applyFill="1" applyBorder="1" applyAlignment="1">
      <alignment vertical="center"/>
    </xf>
    <xf numFmtId="164" fontId="9" fillId="2" borderId="55" xfId="0" applyNumberFormat="1" applyFont="1" applyFill="1" applyBorder="1"/>
    <xf numFmtId="164" fontId="9" fillId="2" borderId="55" xfId="0" applyNumberFormat="1" applyFont="1" applyFill="1" applyBorder="1" applyAlignment="1">
      <alignment vertical="center"/>
    </xf>
    <xf numFmtId="164" fontId="39" fillId="2" borderId="0" xfId="0" applyNumberFormat="1" applyFont="1" applyFill="1" applyBorder="1" applyAlignment="1">
      <alignment vertical="center"/>
    </xf>
    <xf numFmtId="164" fontId="12" fillId="2" borderId="40" xfId="0" applyNumberFormat="1" applyFont="1" applyFill="1" applyBorder="1"/>
    <xf numFmtId="41" fontId="1" fillId="2" borderId="55" xfId="2" applyFont="1" applyFill="1" applyBorder="1"/>
    <xf numFmtId="41" fontId="1" fillId="2" borderId="44" xfId="2" applyFont="1" applyFill="1" applyBorder="1"/>
    <xf numFmtId="164" fontId="1" fillId="2" borderId="41" xfId="0" applyNumberFormat="1" applyFont="1" applyFill="1" applyBorder="1"/>
    <xf numFmtId="166" fontId="1" fillId="2" borderId="55" xfId="1" applyNumberFormat="1" applyFont="1" applyFill="1" applyBorder="1"/>
    <xf numFmtId="43" fontId="1" fillId="2" borderId="55" xfId="1" applyFont="1" applyFill="1" applyBorder="1"/>
    <xf numFmtId="164" fontId="37" fillId="2" borderId="44" xfId="0" applyNumberFormat="1" applyFont="1" applyFill="1" applyBorder="1"/>
    <xf numFmtId="164" fontId="15" fillId="2" borderId="44" xfId="0" applyNumberFormat="1" applyFont="1" applyFill="1" applyBorder="1"/>
    <xf numFmtId="0" fontId="10" fillId="0" borderId="55" xfId="0" applyFont="1" applyBorder="1" applyAlignment="1">
      <alignment vertical="top"/>
    </xf>
    <xf numFmtId="0" fontId="10" fillId="2" borderId="55" xfId="0" applyNumberFormat="1" applyFont="1" applyFill="1" applyBorder="1" applyAlignment="1" applyProtection="1">
      <alignment horizontal="left" vertical="top" wrapText="1"/>
    </xf>
    <xf numFmtId="0" fontId="1" fillId="0" borderId="55" xfId="0" applyFont="1" applyBorder="1" applyAlignment="1">
      <alignment vertical="top"/>
    </xf>
    <xf numFmtId="0" fontId="1" fillId="0" borderId="49" xfId="0" applyFont="1" applyBorder="1" applyAlignment="1">
      <alignment horizontal="center" vertical="top"/>
    </xf>
    <xf numFmtId="37" fontId="1" fillId="0" borderId="49" xfId="0" applyNumberFormat="1" applyFont="1" applyBorder="1" applyAlignment="1">
      <alignment vertical="top"/>
    </xf>
    <xf numFmtId="0" fontId="10" fillId="0" borderId="49" xfId="0" applyFont="1" applyBorder="1" applyAlignment="1">
      <alignment horizontal="center" vertical="top"/>
    </xf>
    <xf numFmtId="37" fontId="10" fillId="0" borderId="49" xfId="0" applyNumberFormat="1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" fillId="2" borderId="44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9" fillId="0" borderId="55" xfId="0" applyFont="1" applyBorder="1" applyAlignment="1">
      <alignment vertical="top"/>
    </xf>
    <xf numFmtId="0" fontId="28" fillId="0" borderId="46" xfId="0" applyFont="1" applyBorder="1"/>
    <xf numFmtId="0" fontId="3" fillId="0" borderId="46" xfId="0" applyFont="1" applyBorder="1"/>
    <xf numFmtId="0" fontId="10" fillId="0" borderId="46" xfId="0" applyFont="1" applyBorder="1"/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164" fontId="1" fillId="2" borderId="46" xfId="0" applyNumberFormat="1" applyFont="1" applyFill="1" applyBorder="1"/>
    <xf numFmtId="164" fontId="1" fillId="2" borderId="59" xfId="0" applyNumberFormat="1" applyFont="1" applyFill="1" applyBorder="1"/>
    <xf numFmtId="0" fontId="9" fillId="0" borderId="46" xfId="0" applyFont="1" applyBorder="1"/>
    <xf numFmtId="0" fontId="3" fillId="2" borderId="26" xfId="0" applyFont="1" applyFill="1" applyBorder="1"/>
    <xf numFmtId="0" fontId="9" fillId="0" borderId="39" xfId="0" applyFont="1" applyBorder="1" applyAlignment="1">
      <alignment horizontal="center" vertical="top"/>
    </xf>
    <xf numFmtId="37" fontId="16" fillId="2" borderId="39" xfId="0" applyNumberFormat="1" applyFont="1" applyFill="1" applyBorder="1" applyAlignment="1">
      <alignment vertical="top"/>
    </xf>
    <xf numFmtId="3" fontId="10" fillId="2" borderId="39" xfId="0" applyNumberFormat="1" applyFont="1" applyFill="1" applyBorder="1" applyAlignment="1" applyProtection="1">
      <alignment horizontal="right" vertical="top" wrapText="1"/>
    </xf>
    <xf numFmtId="0" fontId="1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164" fontId="1" fillId="2" borderId="6" xfId="0" applyNumberFormat="1" applyFont="1" applyFill="1" applyBorder="1"/>
    <xf numFmtId="0" fontId="10" fillId="0" borderId="62" xfId="0" applyFont="1" applyBorder="1" applyAlignment="1">
      <alignment horizontal="center" vertical="top"/>
    </xf>
    <xf numFmtId="0" fontId="41" fillId="2" borderId="8" xfId="0" applyFont="1" applyFill="1" applyBorder="1"/>
    <xf numFmtId="164" fontId="1" fillId="4" borderId="44" xfId="0" applyNumberFormat="1" applyFont="1" applyFill="1" applyBorder="1"/>
    <xf numFmtId="165" fontId="22" fillId="2" borderId="9" xfId="1" applyNumberFormat="1" applyFont="1" applyFill="1" applyBorder="1" applyAlignment="1">
      <alignment vertical="top"/>
    </xf>
    <xf numFmtId="41" fontId="3" fillId="0" borderId="35" xfId="2" applyFont="1" applyBorder="1"/>
    <xf numFmtId="0" fontId="3" fillId="0" borderId="16" xfId="0" applyFont="1" applyBorder="1"/>
    <xf numFmtId="164" fontId="1" fillId="4" borderId="59" xfId="0" applyNumberFormat="1" applyFont="1" applyFill="1" applyBorder="1"/>
    <xf numFmtId="164" fontId="1" fillId="2" borderId="53" xfId="0" applyNumberFormat="1" applyFont="1" applyFill="1" applyBorder="1"/>
    <xf numFmtId="164" fontId="42" fillId="2" borderId="54" xfId="0" applyNumberFormat="1" applyFont="1" applyFill="1" applyBorder="1"/>
    <xf numFmtId="164" fontId="42" fillId="2" borderId="38" xfId="0" applyNumberFormat="1" applyFont="1" applyFill="1" applyBorder="1"/>
    <xf numFmtId="164" fontId="42" fillId="2" borderId="42" xfId="0" applyNumberFormat="1" applyFont="1" applyFill="1" applyBorder="1"/>
    <xf numFmtId="164" fontId="42" fillId="2" borderId="56" xfId="0" applyNumberFormat="1" applyFont="1" applyFill="1" applyBorder="1"/>
    <xf numFmtId="164" fontId="1" fillId="2" borderId="66" xfId="0" applyNumberFormat="1" applyFont="1" applyFill="1" applyBorder="1"/>
    <xf numFmtId="0" fontId="7" fillId="0" borderId="3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31" fillId="0" borderId="16" xfId="1" applyNumberFormat="1" applyFont="1" applyBorder="1" applyAlignment="1">
      <alignment vertical="top"/>
    </xf>
    <xf numFmtId="0" fontId="20" fillId="0" borderId="16" xfId="0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5" fontId="32" fillId="0" borderId="16" xfId="1" applyNumberFormat="1" applyFont="1" applyBorder="1" applyAlignment="1">
      <alignment vertical="top"/>
    </xf>
    <xf numFmtId="0" fontId="14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8" fillId="0" borderId="16" xfId="0" applyFont="1" applyBorder="1"/>
    <xf numFmtId="164" fontId="3" fillId="0" borderId="16" xfId="0" applyNumberFormat="1" applyFont="1" applyBorder="1"/>
    <xf numFmtId="164" fontId="9" fillId="0" borderId="16" xfId="0" applyNumberFormat="1" applyFont="1" applyBorder="1"/>
    <xf numFmtId="0" fontId="4" fillId="0" borderId="31" xfId="0" applyFont="1" applyBorder="1"/>
    <xf numFmtId="0" fontId="13" fillId="2" borderId="67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top"/>
    </xf>
    <xf numFmtId="37" fontId="10" fillId="0" borderId="62" xfId="0" applyNumberFormat="1" applyFont="1" applyBorder="1" applyAlignment="1">
      <alignment vertical="top"/>
    </xf>
    <xf numFmtId="164" fontId="15" fillId="2" borderId="61" xfId="0" applyNumberFormat="1" applyFont="1" applyFill="1" applyBorder="1"/>
    <xf numFmtId="37" fontId="17" fillId="2" borderId="62" xfId="0" applyNumberFormat="1" applyFont="1" applyFill="1" applyBorder="1" applyAlignment="1">
      <alignment vertical="top"/>
    </xf>
    <xf numFmtId="37" fontId="17" fillId="2" borderId="62" xfId="0" applyNumberFormat="1" applyFont="1" applyFill="1" applyBorder="1" applyAlignment="1">
      <alignment horizontal="right" vertical="top"/>
    </xf>
    <xf numFmtId="0" fontId="1" fillId="2" borderId="16" xfId="0" applyFont="1" applyFill="1" applyBorder="1"/>
    <xf numFmtId="3" fontId="1" fillId="2" borderId="62" xfId="0" applyNumberFormat="1" applyFont="1" applyFill="1" applyBorder="1" applyAlignment="1">
      <alignment horizontal="right" vertical="center" wrapText="1"/>
    </xf>
    <xf numFmtId="0" fontId="9" fillId="0" borderId="62" xfId="0" applyFont="1" applyBorder="1" applyAlignment="1">
      <alignment horizontal="center" vertical="top"/>
    </xf>
    <xf numFmtId="37" fontId="16" fillId="2" borderId="62" xfId="0" applyNumberFormat="1" applyFont="1" applyFill="1" applyBorder="1" applyAlignment="1">
      <alignment vertical="top"/>
    </xf>
    <xf numFmtId="164" fontId="34" fillId="2" borderId="68" xfId="0" applyNumberFormat="1" applyFont="1" applyFill="1" applyBorder="1" applyAlignment="1">
      <alignment horizontal="center" vertical="center"/>
    </xf>
    <xf numFmtId="0" fontId="10" fillId="0" borderId="62" xfId="0" applyFont="1" applyBorder="1" applyAlignment="1">
      <alignment vertical="top"/>
    </xf>
    <xf numFmtId="37" fontId="17" fillId="0" borderId="62" xfId="0" applyNumberFormat="1" applyFont="1" applyBorder="1" applyAlignment="1">
      <alignment vertical="top"/>
    </xf>
    <xf numFmtId="164" fontId="25" fillId="2" borderId="16" xfId="0" applyNumberFormat="1" applyFont="1" applyFill="1" applyBorder="1" applyAlignment="1">
      <alignment vertical="center"/>
    </xf>
    <xf numFmtId="164" fontId="12" fillId="2" borderId="61" xfId="0" applyNumberFormat="1" applyFont="1" applyFill="1" applyBorder="1"/>
    <xf numFmtId="37" fontId="9" fillId="0" borderId="62" xfId="0" applyNumberFormat="1" applyFont="1" applyBorder="1" applyAlignment="1">
      <alignment vertical="top"/>
    </xf>
    <xf numFmtId="0" fontId="10" fillId="0" borderId="63" xfId="0" applyFont="1" applyBorder="1"/>
    <xf numFmtId="164" fontId="38" fillId="2" borderId="69" xfId="0" applyNumberFormat="1" applyFont="1" applyFill="1" applyBorder="1"/>
    <xf numFmtId="164" fontId="38" fillId="2" borderId="64" xfId="0" applyNumberFormat="1" applyFont="1" applyFill="1" applyBorder="1"/>
    <xf numFmtId="164" fontId="38" fillId="2" borderId="70" xfId="0" applyNumberFormat="1" applyFont="1" applyFill="1" applyBorder="1"/>
    <xf numFmtId="164" fontId="38" fillId="2" borderId="71" xfId="0" applyNumberFormat="1" applyFont="1" applyFill="1" applyBorder="1"/>
    <xf numFmtId="164" fontId="38" fillId="2" borderId="72" xfId="0" applyNumberFormat="1" applyFont="1" applyFill="1" applyBorder="1"/>
    <xf numFmtId="166" fontId="10" fillId="0" borderId="62" xfId="1" applyNumberFormat="1" applyFont="1" applyBorder="1" applyAlignment="1">
      <alignment vertical="center"/>
    </xf>
    <xf numFmtId="166" fontId="10" fillId="0" borderId="62" xfId="1" applyNumberFormat="1" applyFont="1" applyBorder="1" applyAlignment="1">
      <alignment horizontal="center" vertical="center"/>
    </xf>
    <xf numFmtId="166" fontId="15" fillId="0" borderId="62" xfId="1" applyNumberFormat="1" applyFont="1" applyBorder="1"/>
    <xf numFmtId="166" fontId="1" fillId="0" borderId="62" xfId="1" applyNumberFormat="1" applyFont="1" applyBorder="1"/>
    <xf numFmtId="166" fontId="10" fillId="0" borderId="62" xfId="1" applyNumberFormat="1" applyFont="1" applyBorder="1"/>
    <xf numFmtId="164" fontId="37" fillId="2" borderId="46" xfId="0" applyNumberFormat="1" applyFont="1" applyFill="1" applyBorder="1"/>
    <xf numFmtId="164" fontId="1" fillId="2" borderId="74" xfId="0" applyNumberFormat="1" applyFont="1" applyFill="1" applyBorder="1"/>
    <xf numFmtId="164" fontId="1" fillId="2" borderId="75" xfId="0" applyNumberFormat="1" applyFont="1" applyFill="1" applyBorder="1"/>
    <xf numFmtId="3" fontId="1" fillId="2" borderId="76" xfId="0" applyNumberFormat="1" applyFont="1" applyFill="1" applyBorder="1" applyAlignment="1" applyProtection="1">
      <alignment horizontal="right" vertical="top" wrapText="1"/>
    </xf>
    <xf numFmtId="164" fontId="1" fillId="2" borderId="77" xfId="0" applyNumberFormat="1" applyFont="1" applyFill="1" applyBorder="1"/>
    <xf numFmtId="164" fontId="1" fillId="2" borderId="78" xfId="0" applyNumberFormat="1" applyFont="1" applyFill="1" applyBorder="1"/>
    <xf numFmtId="164" fontId="1" fillId="2" borderId="79" xfId="0" applyNumberFormat="1" applyFont="1" applyFill="1" applyBorder="1"/>
    <xf numFmtId="164" fontId="1" fillId="2" borderId="81" xfId="0" applyNumberFormat="1" applyFont="1" applyFill="1" applyBorder="1"/>
    <xf numFmtId="164" fontId="1" fillId="2" borderId="80" xfId="0" applyNumberFormat="1" applyFont="1" applyFill="1" applyBorder="1"/>
    <xf numFmtId="164" fontId="1" fillId="2" borderId="82" xfId="0" applyNumberFormat="1" applyFont="1" applyFill="1" applyBorder="1"/>
    <xf numFmtId="164" fontId="1" fillId="2" borderId="83" xfId="0" applyNumberFormat="1" applyFont="1" applyFill="1" applyBorder="1"/>
    <xf numFmtId="0" fontId="1" fillId="2" borderId="84" xfId="0" applyNumberFormat="1" applyFont="1" applyFill="1" applyBorder="1" applyAlignment="1" applyProtection="1">
      <alignment horizontal="left" vertical="top" wrapText="1"/>
    </xf>
    <xf numFmtId="3" fontId="1" fillId="2" borderId="84" xfId="0" applyNumberFormat="1" applyFont="1" applyFill="1" applyBorder="1" applyAlignment="1" applyProtection="1">
      <alignment horizontal="right" vertical="top" wrapText="1"/>
    </xf>
    <xf numFmtId="164" fontId="1" fillId="2" borderId="85" xfId="0" applyNumberFormat="1" applyFont="1" applyFill="1" applyBorder="1"/>
    <xf numFmtId="164" fontId="1" fillId="2" borderId="86" xfId="0" applyNumberFormat="1" applyFont="1" applyFill="1" applyBorder="1"/>
    <xf numFmtId="0" fontId="1" fillId="2" borderId="87" xfId="0" applyNumberFormat="1" applyFont="1" applyFill="1" applyBorder="1" applyAlignment="1" applyProtection="1">
      <alignment horizontal="left" vertical="top" wrapText="1"/>
    </xf>
    <xf numFmtId="3" fontId="1" fillId="2" borderId="87" xfId="0" applyNumberFormat="1" applyFont="1" applyFill="1" applyBorder="1" applyAlignment="1" applyProtection="1">
      <alignment horizontal="right" vertical="top" wrapText="1"/>
    </xf>
    <xf numFmtId="164" fontId="1" fillId="2" borderId="88" xfId="0" applyNumberFormat="1" applyFont="1" applyFill="1" applyBorder="1"/>
    <xf numFmtId="164" fontId="1" fillId="2" borderId="89" xfId="0" applyNumberFormat="1" applyFont="1" applyFill="1" applyBorder="1"/>
    <xf numFmtId="0" fontId="1" fillId="2" borderId="90" xfId="0" applyNumberFormat="1" applyFont="1" applyFill="1" applyBorder="1" applyAlignment="1" applyProtection="1">
      <alignment horizontal="left" vertical="top" wrapText="1"/>
    </xf>
    <xf numFmtId="3" fontId="1" fillId="2" borderId="90" xfId="0" applyNumberFormat="1" applyFont="1" applyFill="1" applyBorder="1" applyAlignment="1" applyProtection="1">
      <alignment horizontal="right" vertical="top" wrapText="1"/>
    </xf>
    <xf numFmtId="164" fontId="1" fillId="2" borderId="91" xfId="0" applyNumberFormat="1" applyFont="1" applyFill="1" applyBorder="1"/>
    <xf numFmtId="164" fontId="1" fillId="2" borderId="92" xfId="0" applyNumberFormat="1" applyFont="1" applyFill="1" applyBorder="1"/>
    <xf numFmtId="0" fontId="1" fillId="2" borderId="93" xfId="0" applyNumberFormat="1" applyFont="1" applyFill="1" applyBorder="1" applyAlignment="1" applyProtection="1">
      <alignment horizontal="left" vertical="top" wrapText="1"/>
    </xf>
    <xf numFmtId="3" fontId="1" fillId="2" borderId="93" xfId="0" applyNumberFormat="1" applyFont="1" applyFill="1" applyBorder="1" applyAlignment="1" applyProtection="1">
      <alignment horizontal="right" vertical="top" wrapText="1"/>
    </xf>
    <xf numFmtId="164" fontId="1" fillId="2" borderId="94" xfId="0" applyNumberFormat="1" applyFont="1" applyFill="1" applyBorder="1"/>
    <xf numFmtId="164" fontId="1" fillId="2" borderId="95" xfId="0" applyNumberFormat="1" applyFont="1" applyFill="1" applyBorder="1"/>
    <xf numFmtId="0" fontId="1" fillId="2" borderId="96" xfId="0" applyNumberFormat="1" applyFont="1" applyFill="1" applyBorder="1" applyAlignment="1" applyProtection="1">
      <alignment horizontal="left" vertical="top" wrapText="1"/>
    </xf>
    <xf numFmtId="3" fontId="1" fillId="2" borderId="96" xfId="0" applyNumberFormat="1" applyFont="1" applyFill="1" applyBorder="1" applyAlignment="1" applyProtection="1">
      <alignment horizontal="right" vertical="top" wrapText="1"/>
    </xf>
    <xf numFmtId="164" fontId="1" fillId="2" borderId="97" xfId="0" applyNumberFormat="1" applyFont="1" applyFill="1" applyBorder="1"/>
    <xf numFmtId="164" fontId="1" fillId="2" borderId="98" xfId="0" applyNumberFormat="1" applyFont="1" applyFill="1" applyBorder="1"/>
    <xf numFmtId="0" fontId="1" fillId="2" borderId="99" xfId="0" applyNumberFormat="1" applyFont="1" applyFill="1" applyBorder="1" applyAlignment="1" applyProtection="1">
      <alignment horizontal="left" vertical="top" wrapText="1"/>
    </xf>
    <xf numFmtId="3" fontId="1" fillId="2" borderId="99" xfId="0" applyNumberFormat="1" applyFont="1" applyFill="1" applyBorder="1" applyAlignment="1" applyProtection="1">
      <alignment horizontal="right" vertical="top" wrapText="1"/>
    </xf>
    <xf numFmtId="164" fontId="1" fillId="2" borderId="100" xfId="0" applyNumberFormat="1" applyFont="1" applyFill="1" applyBorder="1"/>
    <xf numFmtId="164" fontId="1" fillId="2" borderId="101" xfId="0" applyNumberFormat="1" applyFont="1" applyFill="1" applyBorder="1"/>
    <xf numFmtId="164" fontId="13" fillId="2" borderId="102" xfId="0" applyNumberFormat="1" applyFont="1" applyFill="1" applyBorder="1"/>
    <xf numFmtId="164" fontId="1" fillId="2" borderId="103" xfId="0" applyNumberFormat="1" applyFont="1" applyFill="1" applyBorder="1"/>
    <xf numFmtId="0" fontId="10" fillId="0" borderId="39" xfId="0" applyFont="1" applyBorder="1" applyAlignment="1">
      <alignment horizontal="center" vertical="center"/>
    </xf>
    <xf numFmtId="0" fontId="23" fillId="0" borderId="72" xfId="0" applyFont="1" applyBorder="1"/>
    <xf numFmtId="164" fontId="12" fillId="2" borderId="69" xfId="0" applyNumberFormat="1" applyFont="1" applyFill="1" applyBorder="1"/>
    <xf numFmtId="164" fontId="12" fillId="2" borderId="64" xfId="0" applyNumberFormat="1" applyFont="1" applyFill="1" applyBorder="1"/>
    <xf numFmtId="164" fontId="12" fillId="2" borderId="70" xfId="0" applyNumberFormat="1" applyFont="1" applyFill="1" applyBorder="1"/>
    <xf numFmtId="164" fontId="12" fillId="2" borderId="71" xfId="0" applyNumberFormat="1" applyFont="1" applyFill="1" applyBorder="1"/>
    <xf numFmtId="164" fontId="12" fillId="2" borderId="72" xfId="0" applyNumberFormat="1" applyFont="1" applyFill="1" applyBorder="1"/>
    <xf numFmtId="0" fontId="3" fillId="0" borderId="104" xfId="0" applyFont="1" applyBorder="1"/>
    <xf numFmtId="0" fontId="3" fillId="0" borderId="105" xfId="0" applyFont="1" applyBorder="1"/>
    <xf numFmtId="3" fontId="16" fillId="0" borderId="62" xfId="0" applyNumberFormat="1" applyFont="1" applyBorder="1"/>
    <xf numFmtId="164" fontId="12" fillId="2" borderId="106" xfId="0" applyNumberFormat="1" applyFont="1" applyFill="1" applyBorder="1"/>
    <xf numFmtId="164" fontId="12" fillId="2" borderId="107" xfId="0" applyNumberFormat="1" applyFont="1" applyFill="1" applyBorder="1"/>
    <xf numFmtId="167" fontId="12" fillId="2" borderId="103" xfId="0" applyNumberFormat="1" applyFont="1" applyFill="1" applyBorder="1"/>
    <xf numFmtId="164" fontId="12" fillId="2" borderId="108" xfId="0" applyNumberFormat="1" applyFont="1" applyFill="1" applyBorder="1"/>
    <xf numFmtId="164" fontId="12" fillId="2" borderId="109" xfId="0" applyNumberFormat="1" applyFont="1" applyFill="1" applyBorder="1"/>
    <xf numFmtId="0" fontId="3" fillId="2" borderId="69" xfId="0" applyFont="1" applyFill="1" applyBorder="1"/>
    <xf numFmtId="164" fontId="42" fillId="2" borderId="31" xfId="0" applyNumberFormat="1" applyFont="1" applyFill="1" applyBorder="1"/>
    <xf numFmtId="3" fontId="10" fillId="2" borderId="111" xfId="0" applyNumberFormat="1" applyFont="1" applyFill="1" applyBorder="1" applyAlignment="1" applyProtection="1">
      <alignment horizontal="right" vertical="top" wrapText="1"/>
    </xf>
    <xf numFmtId="164" fontId="1" fillId="2" borderId="112" xfId="0" applyNumberFormat="1" applyFont="1" applyFill="1" applyBorder="1"/>
    <xf numFmtId="164" fontId="1" fillId="2" borderId="113" xfId="0" applyNumberFormat="1" applyFont="1" applyFill="1" applyBorder="1"/>
    <xf numFmtId="164" fontId="1" fillId="2" borderId="108" xfId="0" applyNumberFormat="1" applyFont="1" applyFill="1" applyBorder="1"/>
    <xf numFmtId="3" fontId="10" fillId="2" borderId="111" xfId="0" applyNumberFormat="1" applyFont="1" applyFill="1" applyBorder="1" applyAlignment="1">
      <alignment horizontal="right" vertical="top" wrapText="1"/>
    </xf>
    <xf numFmtId="164" fontId="1" fillId="2" borderId="114" xfId="0" applyNumberFormat="1" applyFont="1" applyFill="1" applyBorder="1"/>
    <xf numFmtId="0" fontId="9" fillId="0" borderId="70" xfId="0" applyFont="1" applyBorder="1" applyAlignment="1">
      <alignment vertical="top"/>
    </xf>
    <xf numFmtId="164" fontId="1" fillId="2" borderId="69" xfId="0" applyNumberFormat="1" applyFont="1" applyFill="1" applyBorder="1"/>
    <xf numFmtId="164" fontId="1" fillId="2" borderId="64" xfId="0" applyNumberFormat="1" applyFont="1" applyFill="1" applyBorder="1"/>
    <xf numFmtId="164" fontId="1" fillId="2" borderId="70" xfId="0" applyNumberFormat="1" applyFont="1" applyFill="1" applyBorder="1"/>
    <xf numFmtId="164" fontId="1" fillId="2" borderId="71" xfId="0" applyNumberFormat="1" applyFont="1" applyFill="1" applyBorder="1"/>
    <xf numFmtId="164" fontId="12" fillId="2" borderId="65" xfId="0" applyNumberFormat="1" applyFont="1" applyFill="1" applyBorder="1"/>
    <xf numFmtId="164" fontId="1" fillId="2" borderId="102" xfId="0" applyNumberFormat="1" applyFont="1" applyFill="1" applyBorder="1"/>
    <xf numFmtId="0" fontId="10" fillId="0" borderId="24" xfId="0" applyFont="1" applyBorder="1" applyAlignment="1">
      <alignment horizontal="center" vertical="top"/>
    </xf>
    <xf numFmtId="0" fontId="10" fillId="0" borderId="40" xfId="0" applyFont="1" applyBorder="1" applyAlignment="1">
      <alignment vertical="top"/>
    </xf>
    <xf numFmtId="37" fontId="17" fillId="2" borderId="24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40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34" fillId="2" borderId="61" xfId="0" applyNumberFormat="1" applyFont="1" applyFill="1" applyBorder="1" applyAlignment="1">
      <alignment horizontal="center" vertical="center"/>
    </xf>
    <xf numFmtId="41" fontId="1" fillId="2" borderId="113" xfId="2" applyFont="1" applyFill="1" applyBorder="1"/>
    <xf numFmtId="41" fontId="1" fillId="2" borderId="103" xfId="2" applyFont="1" applyFill="1" applyBorder="1"/>
    <xf numFmtId="41" fontId="1" fillId="2" borderId="108" xfId="2" applyFont="1" applyFill="1" applyBorder="1"/>
    <xf numFmtId="0" fontId="9" fillId="0" borderId="116" xfId="0" applyFont="1" applyBorder="1" applyAlignment="1">
      <alignment vertical="top" wrapText="1"/>
    </xf>
    <xf numFmtId="41" fontId="1" fillId="2" borderId="114" xfId="2" applyFont="1" applyFill="1" applyBorder="1"/>
    <xf numFmtId="0" fontId="10" fillId="0" borderId="116" xfId="0" applyFont="1" applyBorder="1"/>
    <xf numFmtId="41" fontId="1" fillId="2" borderId="112" xfId="2" applyFont="1" applyFill="1" applyBorder="1"/>
    <xf numFmtId="166" fontId="1" fillId="2" borderId="112" xfId="1" applyNumberFormat="1" applyFont="1" applyFill="1" applyBorder="1"/>
    <xf numFmtId="166" fontId="1" fillId="2" borderId="113" xfId="1" applyNumberFormat="1" applyFont="1" applyFill="1" applyBorder="1"/>
    <xf numFmtId="166" fontId="1" fillId="2" borderId="103" xfId="1" applyNumberFormat="1" applyFont="1" applyFill="1" applyBorder="1"/>
    <xf numFmtId="166" fontId="1" fillId="2" borderId="108" xfId="1" applyNumberFormat="1" applyFont="1" applyFill="1" applyBorder="1"/>
    <xf numFmtId="166" fontId="15" fillId="2" borderId="113" xfId="1" applyNumberFormat="1" applyFont="1" applyFill="1" applyBorder="1"/>
    <xf numFmtId="166" fontId="1" fillId="2" borderId="114" xfId="1" applyNumberFormat="1" applyFont="1" applyFill="1" applyBorder="1"/>
    <xf numFmtId="166" fontId="15" fillId="0" borderId="39" xfId="1" applyNumberFormat="1" applyFont="1" applyBorder="1"/>
    <xf numFmtId="166" fontId="1" fillId="2" borderId="69" xfId="1" applyNumberFormat="1" applyFont="1" applyFill="1" applyBorder="1"/>
    <xf numFmtId="166" fontId="1" fillId="2" borderId="64" xfId="1" applyNumberFormat="1" applyFont="1" applyFill="1" applyBorder="1"/>
    <xf numFmtId="166" fontId="1" fillId="2" borderId="70" xfId="1" applyNumberFormat="1" applyFont="1" applyFill="1" applyBorder="1"/>
    <xf numFmtId="166" fontId="1" fillId="2" borderId="71" xfId="1" applyNumberFormat="1" applyFont="1" applyFill="1" applyBorder="1"/>
    <xf numFmtId="166" fontId="1" fillId="2" borderId="65" xfId="1" applyNumberFormat="1" applyFont="1" applyFill="1" applyBorder="1"/>
    <xf numFmtId="0" fontId="7" fillId="0" borderId="31" xfId="0" applyFont="1" applyBorder="1" applyAlignment="1">
      <alignment horizontal="center"/>
    </xf>
    <xf numFmtId="0" fontId="10" fillId="2" borderId="43" xfId="0" applyNumberFormat="1" applyFont="1" applyFill="1" applyBorder="1" applyAlignment="1" applyProtection="1">
      <alignment horizontal="left" vertical="top" wrapText="1"/>
    </xf>
    <xf numFmtId="3" fontId="10" fillId="2" borderId="23" xfId="0" applyNumberFormat="1" applyFont="1" applyFill="1" applyBorder="1" applyAlignment="1" applyProtection="1">
      <alignment horizontal="right" vertical="top" wrapText="1"/>
    </xf>
    <xf numFmtId="164" fontId="1" fillId="2" borderId="52" xfId="0" applyNumberFormat="1" applyFont="1" applyFill="1" applyBorder="1"/>
    <xf numFmtId="164" fontId="1" fillId="2" borderId="0" xfId="0" applyNumberFormat="1" applyFont="1" applyFill="1" applyBorder="1"/>
    <xf numFmtId="164" fontId="1" fillId="2" borderId="16" xfId="0" applyNumberFormat="1" applyFont="1" applyFill="1" applyBorder="1"/>
    <xf numFmtId="0" fontId="10" fillId="0" borderId="29" xfId="0" applyFont="1" applyBorder="1"/>
    <xf numFmtId="166" fontId="15" fillId="0" borderId="24" xfId="1" applyNumberFormat="1" applyFont="1" applyBorder="1"/>
    <xf numFmtId="166" fontId="1" fillId="2" borderId="11" xfId="1" applyNumberFormat="1" applyFont="1" applyFill="1" applyBorder="1"/>
    <xf numFmtId="166" fontId="1" fillId="2" borderId="12" xfId="1" applyNumberFormat="1" applyFont="1" applyFill="1" applyBorder="1"/>
    <xf numFmtId="166" fontId="1" fillId="2" borderId="40" xfId="1" applyNumberFormat="1" applyFont="1" applyFill="1" applyBorder="1"/>
    <xf numFmtId="166" fontId="1" fillId="2" borderId="22" xfId="1" applyNumberFormat="1" applyFont="1" applyFill="1" applyBorder="1"/>
    <xf numFmtId="166" fontId="1" fillId="2" borderId="61" xfId="1" applyNumberFormat="1" applyFont="1" applyFill="1" applyBorder="1"/>
    <xf numFmtId="0" fontId="1" fillId="0" borderId="116" xfId="0" applyFont="1" applyBorder="1" applyAlignment="1">
      <alignment horizontal="center" vertical="top"/>
    </xf>
    <xf numFmtId="166" fontId="10" fillId="0" borderId="115" xfId="1" applyNumberFormat="1" applyFont="1" applyBorder="1"/>
    <xf numFmtId="0" fontId="10" fillId="0" borderId="104" xfId="0" applyFont="1" applyBorder="1"/>
    <xf numFmtId="164" fontId="37" fillId="2" borderId="102" xfId="0" applyNumberFormat="1" applyFont="1" applyFill="1" applyBorder="1"/>
    <xf numFmtId="164" fontId="37" fillId="2" borderId="100" xfId="0" applyNumberFormat="1" applyFont="1" applyFill="1" applyBorder="1"/>
    <xf numFmtId="0" fontId="3" fillId="0" borderId="110" xfId="0" applyFont="1" applyBorder="1"/>
    <xf numFmtId="3" fontId="3" fillId="2" borderId="110" xfId="0" applyNumberFormat="1" applyFont="1" applyFill="1" applyBorder="1"/>
    <xf numFmtId="0" fontId="10" fillId="2" borderId="117" xfId="0" applyNumberFormat="1" applyFont="1" applyFill="1" applyBorder="1" applyAlignment="1" applyProtection="1">
      <alignment horizontal="left" vertical="top" wrapText="1"/>
    </xf>
    <xf numFmtId="3" fontId="10" fillId="2" borderId="118" xfId="0" applyNumberFormat="1" applyFont="1" applyFill="1" applyBorder="1" applyAlignment="1">
      <alignment horizontal="right" vertical="top" wrapText="1"/>
    </xf>
    <xf numFmtId="164" fontId="1" fillId="2" borderId="119" xfId="0" applyNumberFormat="1" applyFont="1" applyFill="1" applyBorder="1"/>
    <xf numFmtId="0" fontId="1" fillId="0" borderId="120" xfId="0" applyFont="1" applyBorder="1" applyAlignment="1">
      <alignment horizontal="center" vertical="center"/>
    </xf>
    <xf numFmtId="164" fontId="1" fillId="2" borderId="121" xfId="0" applyNumberFormat="1" applyFont="1" applyFill="1" applyBorder="1"/>
    <xf numFmtId="164" fontId="1" fillId="2" borderId="122" xfId="0" applyNumberFormat="1" applyFont="1" applyFill="1" applyBorder="1"/>
    <xf numFmtId="164" fontId="1" fillId="2" borderId="123" xfId="0" applyNumberFormat="1" applyFont="1" applyFill="1" applyBorder="1"/>
    <xf numFmtId="41" fontId="1" fillId="2" borderId="124" xfId="2" applyFont="1" applyFill="1" applyBorder="1"/>
    <xf numFmtId="41" fontId="1" fillId="2" borderId="122" xfId="2" applyFont="1" applyFill="1" applyBorder="1"/>
    <xf numFmtId="41" fontId="1" fillId="2" borderId="125" xfId="2" applyFont="1" applyFill="1" applyBorder="1"/>
    <xf numFmtId="41" fontId="1" fillId="2" borderId="126" xfId="2" applyFont="1" applyFill="1" applyBorder="1"/>
    <xf numFmtId="41" fontId="1" fillId="2" borderId="123" xfId="2" applyFont="1" applyFill="1" applyBorder="1"/>
    <xf numFmtId="41" fontId="10" fillId="2" borderId="124" xfId="2" applyFont="1" applyFill="1" applyBorder="1"/>
    <xf numFmtId="41" fontId="10" fillId="2" borderId="122" xfId="2" applyFont="1" applyFill="1" applyBorder="1"/>
    <xf numFmtId="41" fontId="10" fillId="2" borderId="125" xfId="2" applyFont="1" applyFill="1" applyBorder="1"/>
    <xf numFmtId="41" fontId="10" fillId="2" borderId="126" xfId="2" applyFont="1" applyFill="1" applyBorder="1"/>
    <xf numFmtId="41" fontId="10" fillId="2" borderId="123" xfId="2" applyFont="1" applyFill="1" applyBorder="1"/>
    <xf numFmtId="164" fontId="15" fillId="2" borderId="119" xfId="0" applyNumberFormat="1" applyFont="1" applyFill="1" applyBorder="1"/>
    <xf numFmtId="164" fontId="15" fillId="2" borderId="94" xfId="0" applyNumberFormat="1" applyFont="1" applyFill="1" applyBorder="1"/>
    <xf numFmtId="164" fontId="15" fillId="2" borderId="95" xfId="0" applyNumberFormat="1" applyFont="1" applyFill="1" applyBorder="1"/>
    <xf numFmtId="0" fontId="10" fillId="2" borderId="96" xfId="0" applyNumberFormat="1" applyFont="1" applyFill="1" applyBorder="1" applyAlignment="1" applyProtection="1">
      <alignment horizontal="left" vertical="top" wrapText="1"/>
    </xf>
    <xf numFmtId="164" fontId="15" fillId="2" borderId="124" xfId="0" applyNumberFormat="1" applyFont="1" applyFill="1" applyBorder="1"/>
    <xf numFmtId="164" fontId="15" fillId="2" borderId="122" xfId="0" applyNumberFormat="1" applyFont="1" applyFill="1" applyBorder="1"/>
    <xf numFmtId="164" fontId="15" fillId="2" borderId="125" xfId="0" applyNumberFormat="1" applyFont="1" applyFill="1" applyBorder="1"/>
    <xf numFmtId="164" fontId="1" fillId="2" borderId="124" xfId="0" applyNumberFormat="1" applyFont="1" applyFill="1" applyBorder="1"/>
    <xf numFmtId="164" fontId="1" fillId="2" borderId="125" xfId="0" applyNumberFormat="1" applyFont="1" applyFill="1" applyBorder="1"/>
    <xf numFmtId="164" fontId="12" fillId="2" borderId="119" xfId="0" applyNumberFormat="1" applyFont="1" applyFill="1" applyBorder="1"/>
    <xf numFmtId="164" fontId="15" fillId="2" borderId="124" xfId="0" applyNumberFormat="1" applyFont="1" applyFill="1" applyBorder="1" applyAlignment="1">
      <alignment vertical="center"/>
    </xf>
    <xf numFmtId="164" fontId="15" fillId="2" borderId="122" xfId="0" applyNumberFormat="1" applyFont="1" applyFill="1" applyBorder="1" applyAlignment="1">
      <alignment vertical="center"/>
    </xf>
    <xf numFmtId="164" fontId="15" fillId="2" borderId="125" xfId="0" applyNumberFormat="1" applyFont="1" applyFill="1" applyBorder="1" applyAlignment="1">
      <alignment vertical="center"/>
    </xf>
    <xf numFmtId="164" fontId="15" fillId="2" borderId="126" xfId="0" applyNumberFormat="1" applyFont="1" applyFill="1" applyBorder="1" applyAlignment="1">
      <alignment vertical="center"/>
    </xf>
    <xf numFmtId="164" fontId="15" fillId="2" borderId="123" xfId="0" applyNumberFormat="1" applyFont="1" applyFill="1" applyBorder="1" applyAlignment="1">
      <alignment vertical="center"/>
    </xf>
    <xf numFmtId="3" fontId="3" fillId="2" borderId="127" xfId="0" applyNumberFormat="1" applyFont="1" applyFill="1" applyBorder="1"/>
    <xf numFmtId="3" fontId="10" fillId="2" borderId="118" xfId="0" applyNumberFormat="1" applyFont="1" applyFill="1" applyBorder="1" applyAlignment="1" applyProtection="1">
      <alignment horizontal="right" vertical="top" wrapText="1"/>
    </xf>
    <xf numFmtId="3" fontId="1" fillId="2" borderId="128" xfId="0" applyNumberFormat="1" applyFont="1" applyFill="1" applyBorder="1" applyAlignment="1" applyProtection="1">
      <alignment horizontal="right" vertical="top" wrapText="1"/>
    </xf>
    <xf numFmtId="0" fontId="40" fillId="2" borderId="96" xfId="0" applyNumberFormat="1" applyFont="1" applyFill="1" applyBorder="1" applyAlignment="1" applyProtection="1">
      <alignment horizontal="left" vertical="top" wrapText="1"/>
    </xf>
    <xf numFmtId="0" fontId="10" fillId="2" borderId="129" xfId="0" applyNumberFormat="1" applyFont="1" applyFill="1" applyBorder="1" applyAlignment="1" applyProtection="1">
      <alignment horizontal="left" vertical="top" wrapText="1"/>
    </xf>
    <xf numFmtId="3" fontId="10" fillId="2" borderId="129" xfId="0" applyNumberFormat="1" applyFont="1" applyFill="1" applyBorder="1" applyAlignment="1" applyProtection="1">
      <alignment horizontal="right" vertical="top" wrapText="1"/>
    </xf>
    <xf numFmtId="3" fontId="1" fillId="2" borderId="130" xfId="0" applyNumberFormat="1" applyFont="1" applyFill="1" applyBorder="1" applyAlignment="1" applyProtection="1">
      <alignment horizontal="right" vertical="top" wrapText="1"/>
    </xf>
    <xf numFmtId="3" fontId="1" fillId="2" borderId="131" xfId="0" applyNumberFormat="1" applyFont="1" applyFill="1" applyBorder="1" applyAlignment="1" applyProtection="1">
      <alignment horizontal="right" vertical="top" wrapText="1"/>
    </xf>
    <xf numFmtId="3" fontId="1" fillId="2" borderId="132" xfId="0" applyNumberFormat="1" applyFont="1" applyFill="1" applyBorder="1" applyAlignment="1" applyProtection="1">
      <alignment horizontal="right" vertical="top" wrapText="1"/>
    </xf>
    <xf numFmtId="164" fontId="1" fillId="2" borderId="133" xfId="0" applyNumberFormat="1" applyFont="1" applyFill="1" applyBorder="1"/>
    <xf numFmtId="3" fontId="10" fillId="2" borderId="134" xfId="0" applyNumberFormat="1" applyFont="1" applyFill="1" applyBorder="1"/>
    <xf numFmtId="0" fontId="10" fillId="2" borderId="70" xfId="0" applyNumberFormat="1" applyFont="1" applyFill="1" applyBorder="1" applyAlignment="1" applyProtection="1">
      <alignment horizontal="left" vertical="top" wrapText="1"/>
    </xf>
    <xf numFmtId="164" fontId="1" fillId="2" borderId="65" xfId="0" applyNumberFormat="1" applyFont="1" applyFill="1" applyBorder="1"/>
    <xf numFmtId="0" fontId="10" fillId="0" borderId="135" xfId="0" applyFont="1" applyBorder="1" applyAlignment="1">
      <alignment vertical="top"/>
    </xf>
    <xf numFmtId="165" fontId="22" fillId="0" borderId="137" xfId="1" applyNumberFormat="1" applyFont="1" applyBorder="1" applyAlignment="1">
      <alignment vertical="top"/>
    </xf>
    <xf numFmtId="165" fontId="33" fillId="0" borderId="137" xfId="1" applyNumberFormat="1" applyFont="1" applyBorder="1" applyAlignment="1">
      <alignment vertical="top"/>
    </xf>
    <xf numFmtId="0" fontId="10" fillId="2" borderId="130" xfId="0" applyNumberFormat="1" applyFont="1" applyFill="1" applyBorder="1" applyAlignment="1" applyProtection="1">
      <alignment horizontal="left" vertical="top" wrapText="1"/>
    </xf>
    <xf numFmtId="0" fontId="10" fillId="2" borderId="136" xfId="0" applyFont="1" applyFill="1" applyBorder="1"/>
    <xf numFmtId="0" fontId="10" fillId="2" borderId="77" xfId="0" applyFont="1" applyFill="1" applyBorder="1"/>
    <xf numFmtId="0" fontId="10" fillId="2" borderId="137" xfId="0" applyFont="1" applyFill="1" applyBorder="1"/>
    <xf numFmtId="165" fontId="22" fillId="5" borderId="137" xfId="1" applyNumberFormat="1" applyFont="1" applyFill="1" applyBorder="1" applyAlignment="1">
      <alignment vertical="top"/>
    </xf>
    <xf numFmtId="0" fontId="9" fillId="2" borderId="74" xfId="0" applyFont="1" applyFill="1" applyBorder="1"/>
    <xf numFmtId="0" fontId="10" fillId="0" borderId="134" xfId="0" applyFont="1" applyBorder="1" applyAlignment="1">
      <alignment horizontal="center" vertical="top"/>
    </xf>
    <xf numFmtId="37" fontId="10" fillId="0" borderId="134" xfId="0" applyNumberFormat="1" applyFont="1" applyBorder="1" applyAlignment="1">
      <alignment vertical="top"/>
    </xf>
    <xf numFmtId="0" fontId="10" fillId="0" borderId="134" xfId="0" applyFont="1" applyBorder="1" applyAlignment="1">
      <alignment vertical="top"/>
    </xf>
    <xf numFmtId="0" fontId="10" fillId="2" borderId="74" xfId="0" applyFont="1" applyFill="1" applyBorder="1"/>
    <xf numFmtId="0" fontId="10" fillId="0" borderId="70" xfId="0" applyFont="1" applyBorder="1" applyAlignment="1">
      <alignment vertical="top"/>
    </xf>
    <xf numFmtId="37" fontId="10" fillId="0" borderId="39" xfId="0" applyNumberFormat="1" applyFont="1" applyBorder="1" applyAlignment="1">
      <alignment vertical="top"/>
    </xf>
    <xf numFmtId="0" fontId="10" fillId="3" borderId="77" xfId="0" applyFont="1" applyFill="1" applyBorder="1"/>
    <xf numFmtId="0" fontId="9" fillId="2" borderId="136" xfId="0" applyFont="1" applyFill="1" applyBorder="1"/>
    <xf numFmtId="0" fontId="9" fillId="2" borderId="77" xfId="0" applyFont="1" applyFill="1" applyBorder="1"/>
    <xf numFmtId="0" fontId="9" fillId="3" borderId="77" xfId="0" applyFont="1" applyFill="1" applyBorder="1"/>
    <xf numFmtId="0" fontId="9" fillId="2" borderId="137" xfId="0" applyFont="1" applyFill="1" applyBorder="1"/>
    <xf numFmtId="0" fontId="9" fillId="3" borderId="74" xfId="0" applyFont="1" applyFill="1" applyBorder="1"/>
    <xf numFmtId="0" fontId="10" fillId="3" borderId="74" xfId="0" applyFont="1" applyFill="1" applyBorder="1"/>
    <xf numFmtId="0" fontId="10" fillId="2" borderId="117" xfId="0" applyFont="1" applyFill="1" applyBorder="1" applyAlignment="1">
      <alignment horizontal="left" vertical="top" wrapText="1"/>
    </xf>
    <xf numFmtId="0" fontId="10" fillId="2" borderId="130" xfId="0" applyFont="1" applyFill="1" applyBorder="1" applyAlignment="1">
      <alignment horizontal="left" vertical="top" wrapText="1"/>
    </xf>
    <xf numFmtId="3" fontId="10" fillId="2" borderId="138" xfId="0" applyNumberFormat="1" applyFont="1" applyFill="1" applyBorder="1" applyAlignment="1">
      <alignment horizontal="right" vertical="top" wrapText="1"/>
    </xf>
    <xf numFmtId="3" fontId="1" fillId="2" borderId="138" xfId="0" applyNumberFormat="1" applyFont="1" applyFill="1" applyBorder="1" applyAlignment="1">
      <alignment horizontal="right" vertical="center" wrapText="1"/>
    </xf>
    <xf numFmtId="0" fontId="1" fillId="2" borderId="140" xfId="0" applyFont="1" applyFill="1" applyBorder="1" applyAlignment="1">
      <alignment horizontal="left" vertical="center" wrapText="1"/>
    </xf>
    <xf numFmtId="0" fontId="10" fillId="3" borderId="107" xfId="0" applyFont="1" applyFill="1" applyBorder="1"/>
    <xf numFmtId="0" fontId="10" fillId="2" borderId="105" xfId="0" applyFont="1" applyFill="1" applyBorder="1"/>
    <xf numFmtId="0" fontId="9" fillId="0" borderId="140" xfId="0" applyFont="1" applyBorder="1" applyAlignment="1">
      <alignment vertical="top"/>
    </xf>
    <xf numFmtId="0" fontId="10" fillId="2" borderId="141" xfId="0" applyFont="1" applyFill="1" applyBorder="1"/>
    <xf numFmtId="0" fontId="10" fillId="2" borderId="107" xfId="0" applyFont="1" applyFill="1" applyBorder="1"/>
    <xf numFmtId="0" fontId="10" fillId="0" borderId="140" xfId="0" applyFont="1" applyBorder="1" applyAlignment="1">
      <alignment vertical="top"/>
    </xf>
    <xf numFmtId="0" fontId="10" fillId="3" borderId="141" xfId="0" applyFont="1" applyFill="1" applyBorder="1"/>
    <xf numFmtId="0" fontId="3" fillId="2" borderId="141" xfId="0" applyFont="1" applyFill="1" applyBorder="1"/>
    <xf numFmtId="0" fontId="3" fillId="2" borderId="107" xfId="0" applyFont="1" applyFill="1" applyBorder="1"/>
    <xf numFmtId="0" fontId="3" fillId="3" borderId="107" xfId="0" applyFont="1" applyFill="1" applyBorder="1"/>
    <xf numFmtId="0" fontId="3" fillId="2" borderId="105" xfId="0" applyFont="1" applyFill="1" applyBorder="1"/>
    <xf numFmtId="0" fontId="10" fillId="2" borderId="71" xfId="0" applyFont="1" applyFill="1" applyBorder="1"/>
    <xf numFmtId="0" fontId="10" fillId="2" borderId="64" xfId="0" applyFont="1" applyFill="1" applyBorder="1"/>
    <xf numFmtId="0" fontId="10" fillId="2" borderId="139" xfId="0" applyFont="1" applyFill="1" applyBorder="1"/>
    <xf numFmtId="0" fontId="10" fillId="0" borderId="20" xfId="0" applyFont="1" applyBorder="1"/>
    <xf numFmtId="0" fontId="10" fillId="6" borderId="141" xfId="0" applyFont="1" applyFill="1" applyBorder="1"/>
    <xf numFmtId="0" fontId="10" fillId="6" borderId="107" xfId="0" applyFont="1" applyFill="1" applyBorder="1"/>
    <xf numFmtId="0" fontId="10" fillId="0" borderId="107" xfId="0" applyFont="1" applyFill="1" applyBorder="1"/>
    <xf numFmtId="0" fontId="10" fillId="0" borderId="141" xfId="0" applyFont="1" applyFill="1" applyBorder="1"/>
    <xf numFmtId="0" fontId="3" fillId="0" borderId="62" xfId="0" applyFont="1" applyBorder="1" applyAlignment="1">
      <alignment vertical="top"/>
    </xf>
    <xf numFmtId="0" fontId="10" fillId="0" borderId="140" xfId="0" applyFont="1" applyBorder="1" applyAlignment="1">
      <alignment vertical="top" wrapText="1"/>
    </xf>
    <xf numFmtId="0" fontId="9" fillId="0" borderId="140" xfId="0" applyFont="1" applyBorder="1" applyAlignment="1">
      <alignment vertical="top" wrapText="1"/>
    </xf>
    <xf numFmtId="0" fontId="10" fillId="0" borderId="134" xfId="0" applyFont="1" applyBorder="1"/>
    <xf numFmtId="43" fontId="1" fillId="0" borderId="141" xfId="1" applyFont="1" applyBorder="1"/>
    <xf numFmtId="0" fontId="10" fillId="0" borderId="39" xfId="0" applyFont="1" applyBorder="1"/>
    <xf numFmtId="0" fontId="10" fillId="0" borderId="140" xfId="0" applyFont="1" applyBorder="1"/>
    <xf numFmtId="0" fontId="10" fillId="0" borderId="20" xfId="0" applyFont="1" applyBorder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 vertical="top" wrapText="1"/>
    </xf>
    <xf numFmtId="3" fontId="10" fillId="2" borderId="35" xfId="0" applyNumberFormat="1" applyFont="1" applyFill="1" applyBorder="1" applyAlignment="1" applyProtection="1">
      <alignment horizontal="right" vertical="top" wrapText="1"/>
    </xf>
    <xf numFmtId="0" fontId="3" fillId="4" borderId="6" xfId="0" applyFont="1" applyFill="1" applyBorder="1"/>
    <xf numFmtId="0" fontId="3" fillId="2" borderId="6" xfId="0" applyFont="1" applyFill="1" applyBorder="1"/>
    <xf numFmtId="0" fontId="41" fillId="2" borderId="6" xfId="0" applyFont="1" applyFill="1" applyBorder="1"/>
    <xf numFmtId="0" fontId="3" fillId="2" borderId="45" xfId="0" applyFont="1" applyFill="1" applyBorder="1"/>
    <xf numFmtId="0" fontId="3" fillId="0" borderId="140" xfId="0" applyFont="1" applyBorder="1"/>
    <xf numFmtId="0" fontId="28" fillId="0" borderId="44" xfId="0" applyFont="1" applyBorder="1"/>
    <xf numFmtId="0" fontId="10" fillId="2" borderId="142" xfId="0" applyNumberFormat="1" applyFont="1" applyFill="1" applyBorder="1" applyAlignment="1" applyProtection="1">
      <alignment horizontal="left" vertical="top" wrapText="1"/>
    </xf>
    <xf numFmtId="3" fontId="10" fillId="2" borderId="143" xfId="0" applyNumberFormat="1" applyFont="1" applyFill="1" applyBorder="1" applyAlignment="1">
      <alignment horizontal="right" vertical="top" wrapText="1"/>
    </xf>
    <xf numFmtId="3" fontId="10" fillId="2" borderId="143" xfId="0" applyNumberFormat="1" applyFont="1" applyFill="1" applyBorder="1" applyAlignment="1" applyProtection="1">
      <alignment horizontal="right" vertical="top" wrapText="1"/>
    </xf>
    <xf numFmtId="0" fontId="10" fillId="2" borderId="73" xfId="0" applyNumberFormat="1" applyFont="1" applyFill="1" applyBorder="1" applyAlignment="1" applyProtection="1">
      <alignment horizontal="left" vertical="top" wrapText="1"/>
    </xf>
    <xf numFmtId="3" fontId="10" fillId="2" borderId="144" xfId="0" applyNumberFormat="1" applyFont="1" applyFill="1" applyBorder="1" applyAlignment="1" applyProtection="1">
      <alignment horizontal="right" vertical="top" wrapText="1"/>
    </xf>
    <xf numFmtId="0" fontId="1" fillId="0" borderId="58" xfId="0" applyFont="1" applyBorder="1" applyAlignment="1">
      <alignment horizontal="center" vertical="top"/>
    </xf>
    <xf numFmtId="165" fontId="33" fillId="0" borderId="145" xfId="1" applyNumberFormat="1" applyFont="1" applyBorder="1" applyAlignment="1">
      <alignment vertical="top"/>
    </xf>
    <xf numFmtId="165" fontId="33" fillId="0" borderId="146" xfId="1" applyNumberFormat="1" applyFont="1" applyBorder="1" applyAlignment="1">
      <alignment vertical="top"/>
    </xf>
    <xf numFmtId="165" fontId="33" fillId="0" borderId="147" xfId="1" applyNumberFormat="1" applyFont="1" applyBorder="1" applyAlignment="1">
      <alignment vertical="top"/>
    </xf>
    <xf numFmtId="165" fontId="33" fillId="0" borderId="148" xfId="1" applyNumberFormat="1" applyFont="1" applyBorder="1" applyAlignment="1">
      <alignment vertical="top"/>
    </xf>
    <xf numFmtId="3" fontId="10" fillId="2" borderId="58" xfId="0" applyNumberFormat="1" applyFont="1" applyFill="1" applyBorder="1" applyAlignment="1" applyProtection="1">
      <alignment horizontal="right" vertical="top" wrapText="1"/>
    </xf>
    <xf numFmtId="37" fontId="1" fillId="0" borderId="58" xfId="0" applyNumberFormat="1" applyFont="1" applyBorder="1" applyAlignment="1">
      <alignment vertical="top"/>
    </xf>
    <xf numFmtId="164" fontId="15" fillId="2" borderId="145" xfId="0" applyNumberFormat="1" applyFont="1" applyFill="1" applyBorder="1"/>
    <xf numFmtId="164" fontId="15" fillId="2" borderId="146" xfId="0" applyNumberFormat="1" applyFont="1" applyFill="1" applyBorder="1"/>
    <xf numFmtId="164" fontId="15" fillId="2" borderId="148" xfId="0" applyNumberFormat="1" applyFont="1" applyFill="1" applyBorder="1"/>
    <xf numFmtId="165" fontId="24" fillId="0" borderId="58" xfId="1" applyNumberFormat="1" applyFont="1" applyBorder="1" applyAlignment="1">
      <alignment horizontal="left" vertical="top" wrapText="1"/>
    </xf>
    <xf numFmtId="37" fontId="10" fillId="0" borderId="58" xfId="0" applyNumberFormat="1" applyFont="1" applyBorder="1" applyAlignment="1">
      <alignment vertical="top"/>
    </xf>
    <xf numFmtId="164" fontId="39" fillId="2" borderId="57" xfId="0" applyNumberFormat="1" applyFont="1" applyFill="1" applyBorder="1"/>
    <xf numFmtId="0" fontId="10" fillId="0" borderId="58" xfId="0" applyFont="1" applyBorder="1" applyAlignment="1">
      <alignment horizontal="center" vertical="top"/>
    </xf>
    <xf numFmtId="37" fontId="17" fillId="2" borderId="58" xfId="0" applyNumberFormat="1" applyFont="1" applyFill="1" applyBorder="1" applyAlignment="1">
      <alignment vertical="top"/>
    </xf>
    <xf numFmtId="164" fontId="1" fillId="2" borderId="145" xfId="0" applyNumberFormat="1" applyFont="1" applyFill="1" applyBorder="1"/>
    <xf numFmtId="164" fontId="1" fillId="2" borderId="146" xfId="0" applyNumberFormat="1" applyFont="1" applyFill="1" applyBorder="1"/>
    <xf numFmtId="164" fontId="4" fillId="2" borderId="148" xfId="0" applyNumberFormat="1" applyFont="1" applyFill="1" applyBorder="1"/>
    <xf numFmtId="37" fontId="17" fillId="2" borderId="58" xfId="0" applyNumberFormat="1" applyFont="1" applyFill="1" applyBorder="1" applyAlignment="1">
      <alignment horizontal="right" vertical="top"/>
    </xf>
    <xf numFmtId="164" fontId="6" fillId="2" borderId="148" xfId="0" applyNumberFormat="1" applyFont="1" applyFill="1" applyBorder="1"/>
    <xf numFmtId="164" fontId="9" fillId="2" borderId="148" xfId="0" applyNumberFormat="1" applyFont="1" applyFill="1" applyBorder="1"/>
    <xf numFmtId="0" fontId="10" fillId="2" borderId="142" xfId="0" applyFont="1" applyFill="1" applyBorder="1" applyAlignment="1">
      <alignment horizontal="left" vertical="top" wrapText="1"/>
    </xf>
    <xf numFmtId="164" fontId="1" fillId="2" borderId="147" xfId="0" applyNumberFormat="1" applyFont="1" applyFill="1" applyBorder="1"/>
    <xf numFmtId="0" fontId="10" fillId="2" borderId="73" xfId="0" applyFont="1" applyFill="1" applyBorder="1" applyAlignment="1">
      <alignment horizontal="left" vertical="top" wrapText="1"/>
    </xf>
    <xf numFmtId="3" fontId="10" fillId="2" borderId="144" xfId="0" applyNumberFormat="1" applyFont="1" applyFill="1" applyBorder="1" applyAlignment="1">
      <alignment horizontal="right" vertical="top" wrapText="1"/>
    </xf>
    <xf numFmtId="164" fontId="1" fillId="2" borderId="148" xfId="0" applyNumberFormat="1" applyFont="1" applyFill="1" applyBorder="1"/>
    <xf numFmtId="3" fontId="1" fillId="2" borderId="144" xfId="0" applyNumberFormat="1" applyFont="1" applyFill="1" applyBorder="1" applyAlignment="1">
      <alignment horizontal="right" vertical="center" wrapText="1"/>
    </xf>
    <xf numFmtId="164" fontId="12" fillId="2" borderId="57" xfId="0" applyNumberFormat="1" applyFont="1" applyFill="1" applyBorder="1"/>
    <xf numFmtId="164" fontId="9" fillId="2" borderId="145" xfId="0" applyNumberFormat="1" applyFont="1" applyFill="1" applyBorder="1"/>
    <xf numFmtId="164" fontId="9" fillId="2" borderId="146" xfId="0" applyNumberFormat="1" applyFont="1" applyFill="1" applyBorder="1"/>
    <xf numFmtId="164" fontId="9" fillId="2" borderId="145" xfId="0" applyNumberFormat="1" applyFont="1" applyFill="1" applyBorder="1" applyAlignment="1">
      <alignment vertical="center"/>
    </xf>
    <xf numFmtId="164" fontId="9" fillId="2" borderId="146" xfId="0" applyNumberFormat="1" applyFont="1" applyFill="1" applyBorder="1" applyAlignment="1">
      <alignment vertical="center"/>
    </xf>
    <xf numFmtId="164" fontId="12" fillId="2" borderId="148" xfId="0" applyNumberFormat="1" applyFont="1" applyFill="1" applyBorder="1"/>
    <xf numFmtId="0" fontId="10" fillId="0" borderId="149" xfId="0" applyFont="1" applyBorder="1" applyAlignment="1">
      <alignment vertical="top"/>
    </xf>
    <xf numFmtId="41" fontId="9" fillId="2" borderId="145" xfId="2" applyFont="1" applyFill="1" applyBorder="1"/>
    <xf numFmtId="41" fontId="1" fillId="2" borderId="146" xfId="2" applyFont="1" applyFill="1" applyBorder="1"/>
    <xf numFmtId="41" fontId="1" fillId="0" borderId="146" xfId="2" applyFont="1" applyFill="1" applyBorder="1"/>
    <xf numFmtId="0" fontId="1" fillId="2" borderId="148" xfId="0" applyNumberFormat="1" applyFont="1" applyFill="1" applyBorder="1"/>
    <xf numFmtId="41" fontId="1" fillId="0" borderId="146" xfId="2" applyFont="1" applyBorder="1"/>
    <xf numFmtId="0" fontId="3" fillId="0" borderId="149" xfId="0" applyFont="1" applyBorder="1" applyAlignment="1">
      <alignment vertical="top"/>
    </xf>
    <xf numFmtId="0" fontId="10" fillId="0" borderId="149" xfId="0" applyFont="1" applyBorder="1" applyAlignment="1">
      <alignment vertical="top" wrapText="1"/>
    </xf>
    <xf numFmtId="0" fontId="9" fillId="0" borderId="149" xfId="0" applyFont="1" applyBorder="1" applyAlignment="1">
      <alignment horizontal="center" vertical="top"/>
    </xf>
    <xf numFmtId="0" fontId="9" fillId="0" borderId="149" xfId="0" applyFont="1" applyBorder="1" applyAlignment="1">
      <alignment vertical="top" wrapText="1"/>
    </xf>
    <xf numFmtId="41" fontId="12" fillId="2" borderId="145" xfId="2" applyFont="1" applyFill="1" applyBorder="1"/>
    <xf numFmtId="41" fontId="1" fillId="2" borderId="148" xfId="2" applyFont="1" applyFill="1" applyBorder="1"/>
    <xf numFmtId="41" fontId="1" fillId="2" borderId="57" xfId="2" applyFont="1" applyFill="1" applyBorder="1"/>
    <xf numFmtId="0" fontId="10" fillId="0" borderId="149" xfId="0" applyFont="1" applyBorder="1"/>
    <xf numFmtId="41" fontId="1" fillId="2" borderId="145" xfId="2" applyFont="1" applyFill="1" applyBorder="1"/>
    <xf numFmtId="166" fontId="1" fillId="2" borderId="145" xfId="1" applyNumberFormat="1" applyFont="1" applyFill="1" applyBorder="1"/>
    <xf numFmtId="166" fontId="1" fillId="2" borderId="146" xfId="1" applyNumberFormat="1" applyFont="1" applyFill="1" applyBorder="1"/>
    <xf numFmtId="43" fontId="1" fillId="0" borderId="146" xfId="1" applyFont="1" applyFill="1" applyBorder="1"/>
    <xf numFmtId="43" fontId="1" fillId="2" borderId="146" xfId="1" applyFont="1" applyFill="1" applyBorder="1"/>
    <xf numFmtId="43" fontId="1" fillId="0" borderId="148" xfId="1" applyFont="1" applyFill="1" applyBorder="1"/>
    <xf numFmtId="41" fontId="25" fillId="2" borderId="146" xfId="2" applyFont="1" applyFill="1" applyBorder="1"/>
    <xf numFmtId="41" fontId="15" fillId="2" borderId="146" xfId="2" applyFont="1" applyFill="1" applyBorder="1"/>
    <xf numFmtId="43" fontId="1" fillId="2" borderId="145" xfId="1" applyFont="1" applyFill="1" applyBorder="1"/>
    <xf numFmtId="166" fontId="15" fillId="2" borderId="146" xfId="1" applyNumberFormat="1" applyFont="1" applyFill="1" applyBorder="1"/>
    <xf numFmtId="166" fontId="1" fillId="2" borderId="148" xfId="1" applyNumberFormat="1" applyFont="1" applyFill="1" applyBorder="1"/>
    <xf numFmtId="166" fontId="1" fillId="0" borderId="146" xfId="1" applyNumberFormat="1" applyFont="1" applyBorder="1"/>
    <xf numFmtId="43" fontId="1" fillId="0" borderId="146" xfId="1" applyFont="1" applyBorder="1"/>
    <xf numFmtId="43" fontId="1" fillId="0" borderId="148" xfId="1" applyFont="1" applyBorder="1"/>
    <xf numFmtId="41" fontId="1" fillId="2" borderId="147" xfId="2" applyFont="1" applyFill="1" applyBorder="1"/>
    <xf numFmtId="0" fontId="10" fillId="0" borderId="149" xfId="0" applyFont="1" applyBorder="1" applyAlignment="1">
      <alignment horizontal="left" vertical="top" wrapText="1"/>
    </xf>
    <xf numFmtId="165" fontId="32" fillId="0" borderId="146" xfId="1" applyNumberFormat="1" applyFont="1" applyBorder="1" applyAlignment="1">
      <alignment vertical="top"/>
    </xf>
    <xf numFmtId="165" fontId="32" fillId="0" borderId="148" xfId="1" applyNumberFormat="1" applyFont="1" applyBorder="1" applyAlignment="1">
      <alignment vertical="top"/>
    </xf>
    <xf numFmtId="0" fontId="10" fillId="0" borderId="120" xfId="0" applyFont="1" applyBorder="1" applyAlignment="1">
      <alignment horizontal="center" vertical="top"/>
    </xf>
    <xf numFmtId="165" fontId="22" fillId="0" borderId="141" xfId="1" applyNumberFormat="1" applyFont="1" applyBorder="1" applyAlignment="1">
      <alignment vertical="top"/>
    </xf>
    <xf numFmtId="165" fontId="22" fillId="5" borderId="146" xfId="1" applyNumberFormat="1" applyFont="1" applyFill="1" applyBorder="1" applyAlignment="1">
      <alignment vertical="top"/>
    </xf>
    <xf numFmtId="165" fontId="22" fillId="0" borderId="146" xfId="1" applyNumberFormat="1" applyFont="1" applyBorder="1" applyAlignment="1">
      <alignment vertical="top"/>
    </xf>
    <xf numFmtId="0" fontId="10" fillId="2" borderId="150" xfId="0" applyNumberFormat="1" applyFont="1" applyFill="1" applyBorder="1" applyAlignment="1" applyProtection="1">
      <alignment horizontal="left" vertical="top" wrapText="1"/>
    </xf>
    <xf numFmtId="165" fontId="22" fillId="5" borderId="141" xfId="1" applyNumberFormat="1" applyFont="1" applyFill="1" applyBorder="1" applyAlignment="1">
      <alignment vertical="top"/>
    </xf>
    <xf numFmtId="165" fontId="22" fillId="2" borderId="141" xfId="1" applyNumberFormat="1" applyFont="1" applyFill="1" applyBorder="1" applyAlignment="1">
      <alignment vertical="top"/>
    </xf>
    <xf numFmtId="3" fontId="10" fillId="2" borderId="151" xfId="0" applyNumberFormat="1" applyFont="1" applyFill="1" applyBorder="1" applyAlignment="1" applyProtection="1">
      <alignment horizontal="right" vertical="top" wrapText="1"/>
    </xf>
    <xf numFmtId="165" fontId="33" fillId="0" borderId="106" xfId="1" applyNumberFormat="1" applyFont="1" applyBorder="1" applyAlignment="1">
      <alignment vertical="top"/>
    </xf>
    <xf numFmtId="165" fontId="33" fillId="5" borderId="146" xfId="1" applyNumberFormat="1" applyFont="1" applyFill="1" applyBorder="1" applyAlignment="1">
      <alignment vertical="top"/>
    </xf>
    <xf numFmtId="165" fontId="33" fillId="0" borderId="140" xfId="1" applyNumberFormat="1" applyFont="1" applyBorder="1" applyAlignment="1">
      <alignment vertical="top"/>
    </xf>
    <xf numFmtId="165" fontId="33" fillId="0" borderId="141" xfId="1" applyNumberFormat="1" applyFont="1" applyBorder="1" applyAlignment="1">
      <alignment vertical="top"/>
    </xf>
    <xf numFmtId="165" fontId="33" fillId="5" borderId="140" xfId="1" applyNumberFormat="1" applyFont="1" applyFill="1" applyBorder="1" applyAlignment="1">
      <alignment vertical="top"/>
    </xf>
    <xf numFmtId="0" fontId="10" fillId="2" borderId="152" xfId="0" applyNumberFormat="1" applyFont="1" applyFill="1" applyBorder="1" applyAlignment="1" applyProtection="1">
      <alignment horizontal="left" vertical="top" wrapText="1"/>
    </xf>
    <xf numFmtId="3" fontId="10" fillId="2" borderId="153" xfId="0" applyNumberFormat="1" applyFont="1" applyFill="1" applyBorder="1" applyAlignment="1" applyProtection="1">
      <alignment horizontal="right" vertical="top" wrapText="1"/>
    </xf>
    <xf numFmtId="0" fontId="10" fillId="0" borderId="154" xfId="0" applyFont="1" applyBorder="1" applyAlignment="1">
      <alignment horizontal="center" vertical="top"/>
    </xf>
    <xf numFmtId="0" fontId="10" fillId="2" borderId="140" xfId="0" applyNumberFormat="1" applyFont="1" applyFill="1" applyBorder="1" applyAlignment="1" applyProtection="1">
      <alignment horizontal="left" vertical="top" wrapText="1"/>
    </xf>
    <xf numFmtId="3" fontId="10" fillId="2" borderId="154" xfId="0" applyNumberFormat="1" applyFont="1" applyFill="1" applyBorder="1" applyAlignment="1" applyProtection="1">
      <alignment horizontal="right" vertical="top" wrapText="1"/>
    </xf>
    <xf numFmtId="0" fontId="1" fillId="0" borderId="154" xfId="0" applyFont="1" applyBorder="1" applyAlignment="1">
      <alignment horizontal="center" vertical="top"/>
    </xf>
    <xf numFmtId="37" fontId="1" fillId="0" borderId="154" xfId="0" applyNumberFormat="1" applyFont="1" applyBorder="1" applyAlignment="1">
      <alignment vertical="top"/>
    </xf>
    <xf numFmtId="0" fontId="10" fillId="2" borderId="146" xfId="0" applyFont="1" applyFill="1" applyBorder="1"/>
    <xf numFmtId="165" fontId="24" fillId="0" borderId="154" xfId="1" applyNumberFormat="1" applyFont="1" applyBorder="1" applyAlignment="1">
      <alignment horizontal="left" vertical="top" wrapText="1"/>
    </xf>
    <xf numFmtId="0" fontId="9" fillId="0" borderId="154" xfId="0" applyFont="1" applyBorder="1" applyAlignment="1">
      <alignment horizontal="center" vertical="top"/>
    </xf>
    <xf numFmtId="37" fontId="9" fillId="0" borderId="60" xfId="0" applyNumberFormat="1" applyFont="1" applyBorder="1" applyAlignment="1">
      <alignment vertical="top"/>
    </xf>
    <xf numFmtId="0" fontId="9" fillId="2" borderId="59" xfId="0" applyFont="1" applyFill="1" applyBorder="1"/>
    <xf numFmtId="0" fontId="10" fillId="0" borderId="60" xfId="0" applyFont="1" applyBorder="1" applyAlignment="1">
      <alignment horizontal="center" vertical="top"/>
    </xf>
    <xf numFmtId="37" fontId="10" fillId="0" borderId="60" xfId="0" applyNumberFormat="1" applyFont="1" applyBorder="1" applyAlignment="1">
      <alignment vertical="top"/>
    </xf>
    <xf numFmtId="0" fontId="10" fillId="0" borderId="60" xfId="0" applyFont="1" applyBorder="1" applyAlignment="1">
      <alignment vertical="top"/>
    </xf>
    <xf numFmtId="165" fontId="22" fillId="0" borderId="59" xfId="1" applyNumberFormat="1" applyFont="1" applyBorder="1" applyAlignment="1">
      <alignment vertical="top"/>
    </xf>
    <xf numFmtId="165" fontId="22" fillId="2" borderId="59" xfId="1" applyNumberFormat="1" applyFont="1" applyFill="1" applyBorder="1" applyAlignment="1">
      <alignment vertical="top"/>
    </xf>
    <xf numFmtId="0" fontId="10" fillId="2" borderId="59" xfId="0" applyFont="1" applyFill="1" applyBorder="1"/>
    <xf numFmtId="0" fontId="10" fillId="0" borderId="155" xfId="0" applyFont="1" applyBorder="1" applyAlignment="1">
      <alignment vertical="top"/>
    </xf>
    <xf numFmtId="165" fontId="22" fillId="0" borderId="156" xfId="1" applyNumberFormat="1" applyFont="1" applyBorder="1" applyAlignment="1">
      <alignment vertical="top"/>
    </xf>
    <xf numFmtId="165" fontId="22" fillId="0" borderId="157" xfId="1" applyNumberFormat="1" applyFont="1" applyBorder="1" applyAlignment="1">
      <alignment vertical="top"/>
    </xf>
    <xf numFmtId="165" fontId="22" fillId="5" borderId="157" xfId="1" applyNumberFormat="1" applyFont="1" applyFill="1" applyBorder="1" applyAlignment="1">
      <alignment vertical="top"/>
    </xf>
    <xf numFmtId="165" fontId="22" fillId="0" borderId="158" xfId="1" applyNumberFormat="1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42" xfId="0" applyFont="1" applyBorder="1" applyAlignment="1">
      <alignment vertical="top"/>
    </xf>
    <xf numFmtId="37" fontId="4" fillId="0" borderId="20" xfId="0" applyNumberFormat="1" applyFont="1" applyBorder="1" applyAlignment="1">
      <alignment vertical="top"/>
    </xf>
    <xf numFmtId="0" fontId="9" fillId="2" borderId="38" xfId="0" applyFont="1" applyFill="1" applyBorder="1"/>
    <xf numFmtId="0" fontId="9" fillId="2" borderId="56" xfId="0" applyFont="1" applyFill="1" applyBorder="1"/>
    <xf numFmtId="0" fontId="9" fillId="2" borderId="37" xfId="0" applyFont="1" applyFill="1" applyBorder="1"/>
    <xf numFmtId="0" fontId="9" fillId="0" borderId="20" xfId="0" applyFont="1" applyBorder="1" applyAlignment="1">
      <alignment horizontal="center"/>
    </xf>
    <xf numFmtId="0" fontId="10" fillId="0" borderId="23" xfId="0" applyFont="1" applyBorder="1"/>
    <xf numFmtId="0" fontId="10" fillId="0" borderId="43" xfId="0" applyFont="1" applyBorder="1" applyAlignment="1">
      <alignment vertical="top"/>
    </xf>
    <xf numFmtId="43" fontId="1" fillId="0" borderId="2" xfId="1" applyFont="1" applyBorder="1"/>
    <xf numFmtId="43" fontId="1" fillId="7" borderId="146" xfId="1" applyFont="1" applyFill="1" applyBorder="1"/>
    <xf numFmtId="43" fontId="1" fillId="0" borderId="137" xfId="1" applyFont="1" applyBorder="1"/>
    <xf numFmtId="37" fontId="9" fillId="0" borderId="25" xfId="0" applyNumberFormat="1" applyFont="1" applyBorder="1"/>
    <xf numFmtId="166" fontId="10" fillId="0" borderId="27" xfId="1" applyNumberFormat="1" applyFont="1" applyBorder="1" applyAlignment="1">
      <alignment vertical="center"/>
    </xf>
    <xf numFmtId="43" fontId="1" fillId="0" borderId="21" xfId="1" applyFont="1" applyBorder="1"/>
    <xf numFmtId="43" fontId="1" fillId="7" borderId="2" xfId="1" applyFont="1" applyFill="1" applyBorder="1"/>
    <xf numFmtId="0" fontId="3" fillId="2" borderId="53" xfId="0" applyFont="1" applyFill="1" applyBorder="1"/>
    <xf numFmtId="0" fontId="3" fillId="2" borderId="47" xfId="0" applyFont="1" applyFill="1" applyBorder="1"/>
    <xf numFmtId="43" fontId="1" fillId="7" borderId="1" xfId="1" applyFont="1" applyFill="1" applyBorder="1"/>
    <xf numFmtId="43" fontId="1" fillId="0" borderId="159" xfId="1" applyFont="1" applyBorder="1"/>
    <xf numFmtId="0" fontId="10" fillId="0" borderId="120" xfId="0" applyFont="1" applyBorder="1"/>
    <xf numFmtId="166" fontId="10" fillId="0" borderId="120" xfId="1" applyNumberFormat="1" applyFont="1" applyBorder="1"/>
    <xf numFmtId="166" fontId="10" fillId="0" borderId="60" xfId="1" applyNumberFormat="1" applyFont="1" applyBorder="1"/>
    <xf numFmtId="0" fontId="10" fillId="0" borderId="155" xfId="0" applyFont="1" applyBorder="1"/>
    <xf numFmtId="0" fontId="10" fillId="2" borderId="156" xfId="0" applyFont="1" applyFill="1" applyBorder="1"/>
    <xf numFmtId="0" fontId="10" fillId="2" borderId="157" xfId="0" applyFont="1" applyFill="1" applyBorder="1"/>
    <xf numFmtId="0" fontId="10" fillId="2" borderId="158" xfId="0" applyFont="1" applyFill="1" applyBorder="1"/>
    <xf numFmtId="3" fontId="3" fillId="2" borderId="120" xfId="0" applyNumberFormat="1" applyFont="1" applyFill="1" applyBorder="1"/>
    <xf numFmtId="0" fontId="3" fillId="2" borderId="146" xfId="0" applyFont="1" applyFill="1" applyBorder="1"/>
    <xf numFmtId="0" fontId="3" fillId="2" borderId="137" xfId="0" applyFont="1" applyFill="1" applyBorder="1"/>
    <xf numFmtId="3" fontId="28" fillId="2" borderId="60" xfId="0" applyNumberFormat="1" applyFont="1" applyFill="1" applyBorder="1"/>
    <xf numFmtId="0" fontId="3" fillId="4" borderId="59" xfId="0" applyFont="1" applyFill="1" applyBorder="1"/>
    <xf numFmtId="0" fontId="3" fillId="2" borderId="59" xfId="0" applyFont="1" applyFill="1" applyBorder="1"/>
    <xf numFmtId="0" fontId="10" fillId="2" borderId="160" xfId="0" applyNumberFormat="1" applyFont="1" applyFill="1" applyBorder="1" applyAlignment="1" applyProtection="1">
      <alignment horizontal="left" vertical="top" wrapText="1"/>
    </xf>
    <xf numFmtId="3" fontId="10" fillId="2" borderId="161" xfId="0" applyNumberFormat="1" applyFont="1" applyFill="1" applyBorder="1" applyAlignment="1">
      <alignment horizontal="right" vertical="top" wrapText="1"/>
    </xf>
    <xf numFmtId="0" fontId="3" fillId="4" borderId="162" xfId="0" applyFont="1" applyFill="1" applyBorder="1"/>
    <xf numFmtId="0" fontId="1" fillId="0" borderId="163" xfId="0" applyFont="1" applyBorder="1" applyAlignment="1">
      <alignment horizontal="center" vertical="center"/>
    </xf>
    <xf numFmtId="3" fontId="3" fillId="2" borderId="60" xfId="0" applyNumberFormat="1" applyFont="1" applyFill="1" applyBorder="1"/>
    <xf numFmtId="164" fontId="1" fillId="4" borderId="51" xfId="0" applyNumberFormat="1" applyFont="1" applyFill="1" applyBorder="1"/>
    <xf numFmtId="3" fontId="10" fillId="2" borderId="60" xfId="0" applyNumberFormat="1" applyFont="1" applyFill="1" applyBorder="1"/>
    <xf numFmtId="3" fontId="1" fillId="2" borderId="60" xfId="0" applyNumberFormat="1" applyFont="1" applyFill="1" applyBorder="1"/>
    <xf numFmtId="0" fontId="10" fillId="2" borderId="164" xfId="0" applyNumberFormat="1" applyFont="1" applyFill="1" applyBorder="1" applyAlignment="1" applyProtection="1">
      <alignment horizontal="left" vertical="top" wrapText="1"/>
    </xf>
    <xf numFmtId="3" fontId="1" fillId="2" borderId="165" xfId="0" applyNumberFormat="1" applyFont="1" applyFill="1" applyBorder="1"/>
    <xf numFmtId="0" fontId="3" fillId="2" borderId="166" xfId="0" applyFont="1" applyFill="1" applyBorder="1"/>
    <xf numFmtId="0" fontId="3" fillId="4" borderId="166" xfId="0" applyFont="1" applyFill="1" applyBorder="1"/>
    <xf numFmtId="3" fontId="3" fillId="2" borderId="165" xfId="0" applyNumberFormat="1" applyFont="1" applyFill="1" applyBorder="1"/>
    <xf numFmtId="0" fontId="10" fillId="0" borderId="167" xfId="0" applyFont="1" applyBorder="1"/>
    <xf numFmtId="3" fontId="10" fillId="2" borderId="165" xfId="0" applyNumberFormat="1" applyFont="1" applyFill="1" applyBorder="1"/>
    <xf numFmtId="3" fontId="10" fillId="2" borderId="165" xfId="0" applyNumberFormat="1" applyFont="1" applyFill="1" applyBorder="1" applyAlignment="1">
      <alignment vertical="center"/>
    </xf>
    <xf numFmtId="3" fontId="10" fillId="2" borderId="168" xfId="0" applyNumberFormat="1" applyFont="1" applyFill="1" applyBorder="1" applyAlignment="1" applyProtection="1">
      <alignment horizontal="right" vertical="top" wrapText="1"/>
    </xf>
    <xf numFmtId="0" fontId="40" fillId="2" borderId="164" xfId="0" applyNumberFormat="1" applyFont="1" applyFill="1" applyBorder="1" applyAlignment="1" applyProtection="1">
      <alignment horizontal="left" vertical="top" wrapText="1"/>
    </xf>
    <xf numFmtId="0" fontId="10" fillId="2" borderId="169" xfId="0" applyNumberFormat="1" applyFont="1" applyFill="1" applyBorder="1" applyAlignment="1" applyProtection="1">
      <alignment horizontal="left" vertical="top" wrapText="1"/>
    </xf>
    <xf numFmtId="3" fontId="10" fillId="2" borderId="170" xfId="0" applyNumberFormat="1" applyFont="1" applyFill="1" applyBorder="1" applyAlignment="1" applyProtection="1">
      <alignment horizontal="right" vertical="top" wrapText="1"/>
    </xf>
    <xf numFmtId="0" fontId="41" fillId="2" borderId="166" xfId="0" applyFont="1" applyFill="1" applyBorder="1"/>
    <xf numFmtId="0" fontId="10" fillId="2" borderId="171" xfId="0" applyNumberFormat="1" applyFont="1" applyFill="1" applyBorder="1" applyAlignment="1" applyProtection="1">
      <alignment horizontal="left" vertical="top" wrapText="1"/>
    </xf>
    <xf numFmtId="3" fontId="10" fillId="2" borderId="172" xfId="0" applyNumberFormat="1" applyFont="1" applyFill="1" applyBorder="1" applyAlignment="1" applyProtection="1">
      <alignment horizontal="right" vertical="top" wrapText="1"/>
    </xf>
    <xf numFmtId="0" fontId="3" fillId="4" borderId="173" xfId="0" applyFont="1" applyFill="1" applyBorder="1"/>
    <xf numFmtId="0" fontId="3" fillId="2" borderId="173" xfId="0" applyFont="1" applyFill="1" applyBorder="1"/>
    <xf numFmtId="0" fontId="41" fillId="2" borderId="173" xfId="0" applyFont="1" applyFill="1" applyBorder="1"/>
    <xf numFmtId="0" fontId="3" fillId="2" borderId="174" xfId="0" applyFont="1" applyFill="1" applyBorder="1"/>
    <xf numFmtId="0" fontId="1" fillId="0" borderId="175" xfId="0" applyFont="1" applyBorder="1" applyAlignment="1">
      <alignment horizontal="center" vertical="center"/>
    </xf>
    <xf numFmtId="0" fontId="10" fillId="2" borderId="176" xfId="0" applyNumberFormat="1" applyFont="1" applyFill="1" applyBorder="1" applyAlignment="1" applyProtection="1">
      <alignment horizontal="left" vertical="top" wrapText="1"/>
    </xf>
    <xf numFmtId="3" fontId="10" fillId="2" borderId="177" xfId="0" applyNumberFormat="1" applyFont="1" applyFill="1" applyBorder="1" applyAlignment="1" applyProtection="1">
      <alignment horizontal="right" vertical="top" wrapText="1"/>
    </xf>
    <xf numFmtId="0" fontId="10" fillId="2" borderId="178" xfId="0" applyNumberFormat="1" applyFont="1" applyFill="1" applyBorder="1" applyAlignment="1" applyProtection="1">
      <alignment horizontal="left" vertical="top" wrapText="1"/>
    </xf>
    <xf numFmtId="3" fontId="10" fillId="2" borderId="175" xfId="0" applyNumberFormat="1" applyFont="1" applyFill="1" applyBorder="1" applyAlignment="1" applyProtection="1">
      <alignment horizontal="right" vertical="top" wrapText="1"/>
    </xf>
    <xf numFmtId="0" fontId="10" fillId="2" borderId="179" xfId="0" applyNumberFormat="1" applyFont="1" applyFill="1" applyBorder="1" applyAlignment="1" applyProtection="1">
      <alignment horizontal="left" vertical="top" wrapText="1"/>
    </xf>
    <xf numFmtId="3" fontId="10" fillId="2" borderId="180" xfId="0" applyNumberFormat="1" applyFont="1" applyFill="1" applyBorder="1" applyAlignment="1" applyProtection="1">
      <alignment horizontal="right" vertical="top" wrapText="1"/>
    </xf>
    <xf numFmtId="164" fontId="1" fillId="2" borderId="181" xfId="0" applyNumberFormat="1" applyFont="1" applyFill="1" applyBorder="1"/>
    <xf numFmtId="164" fontId="1" fillId="4" borderId="166" xfId="0" applyNumberFormat="1" applyFont="1" applyFill="1" applyBorder="1"/>
    <xf numFmtId="164" fontId="1" fillId="2" borderId="166" xfId="0" applyNumberFormat="1" applyFont="1" applyFill="1" applyBorder="1"/>
    <xf numFmtId="164" fontId="1" fillId="2" borderId="182" xfId="0" applyNumberFormat="1" applyFont="1" applyFill="1" applyBorder="1"/>
    <xf numFmtId="3" fontId="3" fillId="0" borderId="165" xfId="0" applyNumberFormat="1" applyFont="1" applyBorder="1"/>
    <xf numFmtId="3" fontId="9" fillId="0" borderId="165" xfId="0" applyNumberFormat="1" applyFont="1" applyBorder="1"/>
    <xf numFmtId="0" fontId="10" fillId="0" borderId="165" xfId="0" applyFont="1" applyBorder="1" applyAlignment="1">
      <alignment horizontal="center" vertical="center"/>
    </xf>
    <xf numFmtId="3" fontId="9" fillId="2" borderId="175" xfId="0" applyNumberFormat="1" applyFont="1" applyFill="1" applyBorder="1"/>
    <xf numFmtId="0" fontId="3" fillId="2" borderId="175" xfId="0" applyFont="1" applyFill="1" applyBorder="1"/>
    <xf numFmtId="0" fontId="4" fillId="2" borderId="183" xfId="0" applyFont="1" applyFill="1" applyBorder="1"/>
    <xf numFmtId="0" fontId="3" fillId="2" borderId="184" xfId="0" applyFont="1" applyFill="1" applyBorder="1"/>
    <xf numFmtId="0" fontId="3" fillId="2" borderId="185" xfId="0" applyFont="1" applyFill="1" applyBorder="1"/>
    <xf numFmtId="0" fontId="3" fillId="2" borderId="186" xfId="0" applyFont="1" applyFill="1" applyBorder="1"/>
    <xf numFmtId="0" fontId="3" fillId="2" borderId="187" xfId="0" applyFont="1" applyFill="1" applyBorder="1"/>
    <xf numFmtId="0" fontId="9" fillId="0" borderId="43" xfId="0" applyFont="1" applyBorder="1" applyAlignment="1">
      <alignment vertical="center" wrapText="1"/>
    </xf>
    <xf numFmtId="37" fontId="9" fillId="0" borderId="23" xfId="0" applyNumberFormat="1" applyFont="1" applyBorder="1" applyAlignment="1">
      <alignment vertical="center"/>
    </xf>
    <xf numFmtId="43" fontId="1" fillId="2" borderId="21" xfId="1" applyFont="1" applyFill="1" applyBorder="1"/>
    <xf numFmtId="43" fontId="1" fillId="2" borderId="2" xfId="1" applyFont="1" applyFill="1" applyBorder="1"/>
    <xf numFmtId="43" fontId="1" fillId="2" borderId="33" xfId="1" applyFont="1" applyFill="1" applyBorder="1"/>
    <xf numFmtId="0" fontId="10" fillId="0" borderId="175" xfId="0" applyFont="1" applyBorder="1"/>
    <xf numFmtId="0" fontId="10" fillId="0" borderId="183" xfId="0" applyFont="1" applyBorder="1" applyAlignment="1">
      <alignment vertical="top"/>
    </xf>
    <xf numFmtId="166" fontId="10" fillId="0" borderId="188" xfId="1" applyNumberFormat="1" applyFont="1" applyBorder="1" applyAlignment="1">
      <alignment vertical="center"/>
    </xf>
    <xf numFmtId="43" fontId="26" fillId="7" borderId="189" xfId="1" applyFont="1" applyFill="1" applyBorder="1"/>
    <xf numFmtId="43" fontId="1" fillId="0" borderId="190" xfId="1" applyFont="1" applyBorder="1"/>
    <xf numFmtId="43" fontId="1" fillId="0" borderId="191" xfId="1" applyFont="1" applyBorder="1"/>
    <xf numFmtId="0" fontId="10" fillId="0" borderId="178" xfId="0" applyFont="1" applyBorder="1" applyAlignment="1">
      <alignment vertical="top"/>
    </xf>
    <xf numFmtId="43" fontId="1" fillId="0" borderId="190" xfId="1" applyFont="1" applyFill="1" applyBorder="1"/>
    <xf numFmtId="43" fontId="1" fillId="7" borderId="190" xfId="1" applyFont="1" applyFill="1" applyBorder="1"/>
    <xf numFmtId="43" fontId="1" fillId="2" borderId="190" xfId="1" applyFont="1" applyFill="1" applyBorder="1"/>
    <xf numFmtId="43" fontId="1" fillId="0" borderId="191" xfId="1" applyFont="1" applyFill="1" applyBorder="1"/>
    <xf numFmtId="43" fontId="25" fillId="0" borderId="190" xfId="1" applyFont="1" applyBorder="1"/>
    <xf numFmtId="43" fontId="1" fillId="0" borderId="189" xfId="1" applyFont="1" applyBorder="1"/>
    <xf numFmtId="43" fontId="15" fillId="7" borderId="190" xfId="1" applyFont="1" applyFill="1" applyBorder="1"/>
    <xf numFmtId="43" fontId="1" fillId="7" borderId="189" xfId="1" applyFont="1" applyFill="1" applyBorder="1"/>
    <xf numFmtId="0" fontId="10" fillId="0" borderId="165" xfId="0" applyFont="1" applyBorder="1"/>
    <xf numFmtId="166" fontId="10" fillId="0" borderId="167" xfId="1" applyNumberFormat="1" applyFont="1" applyBorder="1" applyAlignment="1">
      <alignment vertical="center"/>
    </xf>
    <xf numFmtId="43" fontId="1" fillId="0" borderId="181" xfId="1" applyFont="1" applyBorder="1"/>
    <xf numFmtId="43" fontId="25" fillId="2" borderId="166" xfId="1" applyFont="1" applyFill="1" applyBorder="1"/>
    <xf numFmtId="43" fontId="1" fillId="0" borderId="166" xfId="1" applyFont="1" applyBorder="1"/>
    <xf numFmtId="43" fontId="1" fillId="7" borderId="166" xfId="1" applyFont="1" applyFill="1" applyBorder="1"/>
    <xf numFmtId="43" fontId="1" fillId="0" borderId="182" xfId="1" applyFont="1" applyBorder="1"/>
    <xf numFmtId="0" fontId="10" fillId="0" borderId="189" xfId="0" applyFont="1" applyBorder="1"/>
    <xf numFmtId="0" fontId="10" fillId="0" borderId="190" xfId="0" applyFont="1" applyBorder="1" applyAlignment="1">
      <alignment vertical="top"/>
    </xf>
    <xf numFmtId="166" fontId="10" fillId="0" borderId="192" xfId="1" applyNumberFormat="1" applyFont="1" applyBorder="1" applyAlignment="1">
      <alignment vertical="center"/>
    </xf>
    <xf numFmtId="0" fontId="10" fillId="0" borderId="178" xfId="0" applyFont="1" applyBorder="1" applyAlignment="1">
      <alignment horizontal="left" vertical="top" wrapText="1"/>
    </xf>
    <xf numFmtId="166" fontId="10" fillId="0" borderId="188" xfId="1" applyNumberFormat="1" applyFont="1" applyBorder="1" applyAlignment="1">
      <alignment horizontal="center" vertical="center"/>
    </xf>
    <xf numFmtId="43" fontId="1" fillId="0" borderId="193" xfId="1" applyFont="1" applyBorder="1"/>
    <xf numFmtId="43" fontId="1" fillId="7" borderId="173" xfId="1" applyFont="1" applyFill="1" applyBorder="1"/>
    <xf numFmtId="43" fontId="1" fillId="0" borderId="173" xfId="1" applyFont="1" applyBorder="1"/>
    <xf numFmtId="43" fontId="1" fillId="0" borderId="194" xfId="1" applyFont="1" applyBorder="1"/>
    <xf numFmtId="0" fontId="10" fillId="0" borderId="178" xfId="0" applyFont="1" applyBorder="1" applyAlignment="1">
      <alignment vertical="top" wrapText="1"/>
    </xf>
    <xf numFmtId="166" fontId="10" fillId="0" borderId="175" xfId="1" applyNumberFormat="1" applyFont="1" applyBorder="1" applyAlignment="1">
      <alignment vertical="center"/>
    </xf>
    <xf numFmtId="0" fontId="10" fillId="0" borderId="178" xfId="0" applyFont="1" applyBorder="1"/>
    <xf numFmtId="166" fontId="15" fillId="0" borderId="175" xfId="1" applyNumberFormat="1" applyFont="1" applyBorder="1"/>
    <xf numFmtId="43" fontId="1" fillId="0" borderId="195" xfId="1" applyFont="1" applyBorder="1"/>
    <xf numFmtId="43" fontId="1" fillId="7" borderId="195" xfId="1" applyFont="1" applyFill="1" applyBorder="1"/>
    <xf numFmtId="166" fontId="1" fillId="0" borderId="175" xfId="1" applyNumberFormat="1" applyFont="1" applyBorder="1"/>
    <xf numFmtId="166" fontId="15" fillId="7" borderId="190" xfId="1" applyNumberFormat="1" applyFont="1" applyFill="1" applyBorder="1"/>
    <xf numFmtId="166" fontId="1" fillId="7" borderId="190" xfId="1" applyNumberFormat="1" applyFont="1" applyFill="1" applyBorder="1"/>
    <xf numFmtId="0" fontId="10" fillId="0" borderId="196" xfId="0" applyFont="1" applyBorder="1"/>
    <xf numFmtId="0" fontId="10" fillId="0" borderId="186" xfId="0" applyFont="1" applyBorder="1"/>
    <xf numFmtId="166" fontId="1" fillId="0" borderId="196" xfId="1" applyNumberFormat="1" applyFont="1" applyBorder="1"/>
    <xf numFmtId="43" fontId="1" fillId="7" borderId="187" xfId="1" applyFont="1" applyFill="1" applyBorder="1"/>
    <xf numFmtId="43" fontId="1" fillId="7" borderId="194" xfId="1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7"/>
  <sheetViews>
    <sheetView view="pageBreakPreview" topLeftCell="C161" zoomScale="80" zoomScaleNormal="82" zoomScaleSheetLayoutView="80" workbookViewId="0">
      <selection activeCell="D177" sqref="D177:O177"/>
    </sheetView>
  </sheetViews>
  <sheetFormatPr defaultRowHeight="15"/>
  <cols>
    <col min="1" max="1" width="4.7109375" customWidth="1"/>
    <col min="2" max="2" width="57.42578125" customWidth="1"/>
    <col min="3" max="3" width="16.5703125" style="26" customWidth="1"/>
    <col min="4" max="5" width="14" style="19" customWidth="1"/>
    <col min="6" max="6" width="14.140625" style="19" customWidth="1"/>
    <col min="7" max="7" width="14.28515625" style="19" customWidth="1"/>
    <col min="8" max="8" width="14.7109375" style="19" customWidth="1"/>
    <col min="9" max="9" width="14.28515625" style="19" customWidth="1"/>
    <col min="10" max="10" width="13.140625" style="19" customWidth="1"/>
    <col min="11" max="11" width="14" style="19" customWidth="1"/>
    <col min="12" max="12" width="14.7109375" style="19" customWidth="1"/>
    <col min="13" max="14" width="13.5703125" style="19" customWidth="1"/>
    <col min="15" max="15" width="13.42578125" style="19" customWidth="1"/>
    <col min="16" max="16" width="29.140625" customWidth="1"/>
    <col min="17" max="17" width="14.140625" customWidth="1"/>
  </cols>
  <sheetData>
    <row r="1" spans="1:16" ht="18.75">
      <c r="A1" s="2" t="s">
        <v>58</v>
      </c>
      <c r="B1" s="1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</row>
    <row r="2" spans="1:16" ht="23.25">
      <c r="A2" s="3" t="s">
        <v>31</v>
      </c>
      <c r="B2" s="1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6" ht="15.75">
      <c r="A3" s="1" t="s">
        <v>60</v>
      </c>
      <c r="B3" s="1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</row>
    <row r="4" spans="1:16" ht="15.75" thickBot="1"/>
    <row r="5" spans="1:16" ht="18" customHeight="1" thickBot="1">
      <c r="A5" s="748" t="s">
        <v>1</v>
      </c>
      <c r="B5" s="750" t="s">
        <v>2</v>
      </c>
      <c r="C5" s="81" t="s">
        <v>3</v>
      </c>
      <c r="D5" s="752" t="s">
        <v>4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5"/>
      <c r="P5" s="756" t="s">
        <v>5</v>
      </c>
    </row>
    <row r="6" spans="1:16" ht="18" customHeight="1" thickBot="1">
      <c r="A6" s="749"/>
      <c r="B6" s="751"/>
      <c r="C6" s="82" t="s">
        <v>6</v>
      </c>
      <c r="D6" s="169" t="s">
        <v>7</v>
      </c>
      <c r="E6" s="20" t="s">
        <v>8</v>
      </c>
      <c r="F6" s="20" t="s">
        <v>9</v>
      </c>
      <c r="G6" s="20" t="s">
        <v>17</v>
      </c>
      <c r="H6" s="20" t="s">
        <v>18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61" t="s">
        <v>16</v>
      </c>
      <c r="P6" s="757"/>
    </row>
    <row r="7" spans="1:16" s="31" customFormat="1" ht="18" customHeight="1" thickBot="1">
      <c r="A7" s="124">
        <v>1</v>
      </c>
      <c r="B7" s="142" t="s">
        <v>36</v>
      </c>
      <c r="C7" s="80">
        <f>SUM(C8:C16)</f>
        <v>1554336000</v>
      </c>
      <c r="D7" s="517"/>
      <c r="E7" s="188"/>
      <c r="F7" s="190"/>
      <c r="G7" s="188"/>
      <c r="H7" s="179"/>
      <c r="I7" s="518"/>
      <c r="J7" s="579"/>
      <c r="K7" s="579"/>
      <c r="L7" s="579"/>
      <c r="M7" s="579"/>
      <c r="N7" s="579"/>
      <c r="O7" s="580"/>
      <c r="P7" s="251"/>
    </row>
    <row r="8" spans="1:16" s="31" customFormat="1" ht="18" customHeight="1">
      <c r="A8" s="262"/>
      <c r="B8" s="207" t="s">
        <v>34</v>
      </c>
      <c r="C8" s="53">
        <v>17000000</v>
      </c>
      <c r="D8" s="517"/>
      <c r="E8" s="518">
        <v>4250000</v>
      </c>
      <c r="F8" s="190">
        <v>4250000</v>
      </c>
      <c r="G8" s="518">
        <v>4250000</v>
      </c>
      <c r="H8" s="179">
        <v>4250000</v>
      </c>
      <c r="I8" s="518"/>
      <c r="J8" s="518"/>
      <c r="K8" s="518"/>
      <c r="L8" s="518"/>
      <c r="M8" s="518"/>
      <c r="N8" s="518"/>
      <c r="O8" s="520"/>
      <c r="P8" s="73" t="s">
        <v>19</v>
      </c>
    </row>
    <row r="9" spans="1:16" s="31" customFormat="1" ht="18" customHeight="1">
      <c r="A9" s="124"/>
      <c r="B9" s="207" t="s">
        <v>61</v>
      </c>
      <c r="C9" s="53">
        <v>17000000</v>
      </c>
      <c r="D9" s="517"/>
      <c r="E9" s="518"/>
      <c r="F9" s="190">
        <v>17000000</v>
      </c>
      <c r="G9" s="518"/>
      <c r="H9" s="179"/>
      <c r="I9" s="518"/>
      <c r="J9" s="518"/>
      <c r="K9" s="518"/>
      <c r="L9" s="518"/>
      <c r="M9" s="518"/>
      <c r="N9" s="518"/>
      <c r="O9" s="520"/>
      <c r="P9" s="252" t="s">
        <v>53</v>
      </c>
    </row>
    <row r="10" spans="1:16" s="31" customFormat="1" ht="18" customHeight="1">
      <c r="A10" s="124"/>
      <c r="B10" s="511" t="s">
        <v>176</v>
      </c>
      <c r="C10" s="53">
        <v>213580000</v>
      </c>
      <c r="D10" s="517">
        <v>21358000</v>
      </c>
      <c r="E10" s="518">
        <v>21358000</v>
      </c>
      <c r="F10" s="190">
        <v>21358000</v>
      </c>
      <c r="G10" s="518">
        <v>21358000</v>
      </c>
      <c r="H10" s="179">
        <v>21358000</v>
      </c>
      <c r="I10" s="179">
        <v>21358000</v>
      </c>
      <c r="J10" s="179">
        <v>21358000</v>
      </c>
      <c r="K10" s="179">
        <v>21358000</v>
      </c>
      <c r="L10" s="179">
        <v>21358000</v>
      </c>
      <c r="M10" s="179">
        <v>21358000</v>
      </c>
      <c r="N10" s="179"/>
      <c r="O10" s="519"/>
      <c r="P10" s="252"/>
    </row>
    <row r="11" spans="1:16" s="31" customFormat="1" ht="18" customHeight="1">
      <c r="A11" s="124"/>
      <c r="B11" s="511" t="s">
        <v>177</v>
      </c>
      <c r="C11" s="513">
        <v>325920000</v>
      </c>
      <c r="D11" s="517"/>
      <c r="E11" s="518">
        <v>54320000</v>
      </c>
      <c r="F11" s="190"/>
      <c r="G11" s="518">
        <f>E11</f>
        <v>54320000</v>
      </c>
      <c r="H11" s="179"/>
      <c r="I11" s="518">
        <f>G11</f>
        <v>54320000</v>
      </c>
      <c r="J11" s="518"/>
      <c r="K11" s="518">
        <f>I11</f>
        <v>54320000</v>
      </c>
      <c r="L11" s="518"/>
      <c r="M11" s="518">
        <f>K11</f>
        <v>54320000</v>
      </c>
      <c r="N11" s="518">
        <v>54320000</v>
      </c>
      <c r="O11" s="520"/>
      <c r="P11" s="253"/>
    </row>
    <row r="12" spans="1:16" s="31" customFormat="1" ht="18" customHeight="1">
      <c r="A12" s="124"/>
      <c r="B12" s="511" t="s">
        <v>178</v>
      </c>
      <c r="C12" s="513">
        <v>190036000</v>
      </c>
      <c r="D12" s="517"/>
      <c r="E12" s="518"/>
      <c r="F12" s="190">
        <f>61600000+5236000</f>
        <v>66836000</v>
      </c>
      <c r="G12" s="518"/>
      <c r="H12" s="179"/>
      <c r="I12" s="518">
        <v>61600000</v>
      </c>
      <c r="J12" s="518"/>
      <c r="K12" s="518"/>
      <c r="L12" s="518">
        <f>I12</f>
        <v>61600000</v>
      </c>
      <c r="M12" s="518"/>
      <c r="N12" s="518"/>
      <c r="O12" s="520"/>
      <c r="P12" s="253"/>
    </row>
    <row r="13" spans="1:16" s="31" customFormat="1" ht="18" customHeight="1">
      <c r="A13" s="124"/>
      <c r="B13" s="511" t="s">
        <v>179</v>
      </c>
      <c r="C13" s="513">
        <v>184800000</v>
      </c>
      <c r="D13" s="517"/>
      <c r="E13" s="518"/>
      <c r="F13" s="190">
        <v>61600000</v>
      </c>
      <c r="G13" s="518"/>
      <c r="H13" s="179"/>
      <c r="I13" s="518">
        <f>F13</f>
        <v>61600000</v>
      </c>
      <c r="J13" s="518"/>
      <c r="K13" s="518"/>
      <c r="L13" s="518">
        <f>I13</f>
        <v>61600000</v>
      </c>
      <c r="M13" s="518"/>
      <c r="N13" s="518"/>
      <c r="O13" s="520"/>
      <c r="P13" s="252"/>
    </row>
    <row r="14" spans="1:16" s="31" customFormat="1" ht="18" customHeight="1">
      <c r="A14" s="124"/>
      <c r="B14" s="511" t="s">
        <v>180</v>
      </c>
      <c r="C14" s="513">
        <v>224560000</v>
      </c>
      <c r="D14" s="517"/>
      <c r="E14" s="518"/>
      <c r="F14" s="190">
        <f>C14/4</f>
        <v>56140000</v>
      </c>
      <c r="G14" s="518"/>
      <c r="H14" s="179"/>
      <c r="I14" s="518">
        <f>C14/4</f>
        <v>56140000</v>
      </c>
      <c r="J14" s="518"/>
      <c r="K14" s="518">
        <f>G14</f>
        <v>0</v>
      </c>
      <c r="L14" s="518">
        <f>I14</f>
        <v>56140000</v>
      </c>
      <c r="M14" s="518"/>
      <c r="N14" s="518">
        <v>56140000</v>
      </c>
      <c r="O14" s="520"/>
      <c r="P14" s="252"/>
    </row>
    <row r="15" spans="1:16" s="31" customFormat="1" ht="18" customHeight="1">
      <c r="A15" s="124"/>
      <c r="B15" s="514" t="s">
        <v>181</v>
      </c>
      <c r="C15" s="515">
        <v>173880000</v>
      </c>
      <c r="D15" s="517"/>
      <c r="E15" s="518"/>
      <c r="F15" s="190">
        <f>C15/3</f>
        <v>57960000</v>
      </c>
      <c r="G15" s="518"/>
      <c r="H15" s="179"/>
      <c r="I15" s="518">
        <f>F15</f>
        <v>57960000</v>
      </c>
      <c r="J15" s="518"/>
      <c r="K15" s="518"/>
      <c r="L15" s="518">
        <f>I15</f>
        <v>57960000</v>
      </c>
      <c r="M15" s="518"/>
      <c r="N15" s="518"/>
      <c r="O15" s="520"/>
      <c r="P15" s="252"/>
    </row>
    <row r="16" spans="1:16" s="31" customFormat="1" ht="18" customHeight="1">
      <c r="A16" s="124"/>
      <c r="B16" s="208" t="s">
        <v>182</v>
      </c>
      <c r="C16" s="521">
        <v>207560000</v>
      </c>
      <c r="D16" s="517"/>
      <c r="E16" s="518">
        <f>33600000+5960000</f>
        <v>39560000</v>
      </c>
      <c r="F16" s="190"/>
      <c r="G16" s="518">
        <v>33600000</v>
      </c>
      <c r="H16" s="179"/>
      <c r="I16" s="518">
        <f>G16</f>
        <v>33600000</v>
      </c>
      <c r="J16" s="518"/>
      <c r="K16" s="518">
        <f>I16</f>
        <v>33600000</v>
      </c>
      <c r="L16" s="518"/>
      <c r="M16" s="518">
        <f>K16</f>
        <v>33600000</v>
      </c>
      <c r="N16" s="518">
        <f>M16</f>
        <v>33600000</v>
      </c>
      <c r="O16" s="520"/>
      <c r="P16" s="252"/>
    </row>
    <row r="17" spans="1:16" s="31" customFormat="1" ht="18" customHeight="1">
      <c r="A17" s="516">
        <v>2</v>
      </c>
      <c r="B17" s="209" t="s">
        <v>62</v>
      </c>
      <c r="C17" s="522">
        <f>SUM(C18:C23)</f>
        <v>631803650</v>
      </c>
      <c r="D17" s="523"/>
      <c r="E17" s="524"/>
      <c r="F17" s="191"/>
      <c r="G17" s="524"/>
      <c r="H17" s="180"/>
      <c r="I17" s="524"/>
      <c r="J17" s="524"/>
      <c r="K17" s="524"/>
      <c r="L17" s="524"/>
      <c r="M17" s="524"/>
      <c r="N17" s="524"/>
      <c r="O17" s="525"/>
      <c r="P17" s="95" t="s">
        <v>54</v>
      </c>
    </row>
    <row r="18" spans="1:16" s="31" customFormat="1" ht="18" customHeight="1">
      <c r="A18" s="124"/>
      <c r="B18" s="207" t="s">
        <v>32</v>
      </c>
      <c r="C18" s="526">
        <v>358044900</v>
      </c>
      <c r="D18" s="517">
        <v>31194900</v>
      </c>
      <c r="E18" s="518">
        <v>39437500</v>
      </c>
      <c r="F18" s="190">
        <v>39437500</v>
      </c>
      <c r="G18" s="518">
        <v>18150000</v>
      </c>
      <c r="H18" s="179">
        <v>4850000</v>
      </c>
      <c r="I18" s="518">
        <v>38137500</v>
      </c>
      <c r="J18" s="518">
        <v>38137500</v>
      </c>
      <c r="K18" s="518">
        <v>38137500</v>
      </c>
      <c r="L18" s="518">
        <v>38137500</v>
      </c>
      <c r="M18" s="518">
        <v>38137500</v>
      </c>
      <c r="N18" s="518">
        <v>34287500</v>
      </c>
      <c r="O18" s="520"/>
      <c r="P18" s="95" t="s">
        <v>55</v>
      </c>
    </row>
    <row r="19" spans="1:16" s="31" customFormat="1" ht="18" customHeight="1">
      <c r="A19" s="516"/>
      <c r="B19" s="207" t="s">
        <v>33</v>
      </c>
      <c r="C19" s="526">
        <v>17000000</v>
      </c>
      <c r="D19" s="517">
        <v>1700000</v>
      </c>
      <c r="E19" s="518">
        <v>1700000</v>
      </c>
      <c r="F19" s="190">
        <v>1700000</v>
      </c>
      <c r="G19" s="518">
        <v>1700000</v>
      </c>
      <c r="H19" s="179">
        <v>1700000</v>
      </c>
      <c r="I19" s="518">
        <v>1700000</v>
      </c>
      <c r="J19" s="518">
        <v>1700000</v>
      </c>
      <c r="K19" s="518">
        <v>1700000</v>
      </c>
      <c r="L19" s="518">
        <v>1700000</v>
      </c>
      <c r="M19" s="518">
        <v>1700000</v>
      </c>
      <c r="N19" s="518"/>
      <c r="O19" s="520"/>
      <c r="P19" s="254"/>
    </row>
    <row r="20" spans="1:16" s="31" customFormat="1" ht="18" customHeight="1">
      <c r="A20" s="124"/>
      <c r="B20" s="207" t="s">
        <v>63</v>
      </c>
      <c r="C20" s="526">
        <v>13600000</v>
      </c>
      <c r="D20" s="517">
        <v>1200000</v>
      </c>
      <c r="E20" s="518">
        <v>1200000</v>
      </c>
      <c r="F20" s="190">
        <v>1200000</v>
      </c>
      <c r="G20" s="518">
        <v>800000</v>
      </c>
      <c r="H20" s="179">
        <v>1200000</v>
      </c>
      <c r="I20" s="518">
        <v>2300000</v>
      </c>
      <c r="J20" s="518">
        <v>800000</v>
      </c>
      <c r="K20" s="518">
        <v>800000</v>
      </c>
      <c r="L20" s="518">
        <v>800000</v>
      </c>
      <c r="M20" s="518">
        <v>1700000</v>
      </c>
      <c r="N20" s="518">
        <v>800000</v>
      </c>
      <c r="O20" s="520">
        <v>800000</v>
      </c>
      <c r="P20" s="254"/>
    </row>
    <row r="21" spans="1:16" s="31" customFormat="1" ht="18" customHeight="1">
      <c r="A21" s="516"/>
      <c r="B21" s="207" t="s">
        <v>64</v>
      </c>
      <c r="C21" s="526">
        <v>157500000</v>
      </c>
      <c r="D21" s="517">
        <v>15750000</v>
      </c>
      <c r="E21" s="518">
        <v>15750000</v>
      </c>
      <c r="F21" s="190">
        <v>18900000</v>
      </c>
      <c r="G21" s="518">
        <v>12600000</v>
      </c>
      <c r="H21" s="179">
        <v>12600000</v>
      </c>
      <c r="I21" s="518">
        <v>18900000</v>
      </c>
      <c r="J21" s="518">
        <v>15750000</v>
      </c>
      <c r="K21" s="518">
        <v>15750000</v>
      </c>
      <c r="L21" s="518">
        <v>15750000</v>
      </c>
      <c r="M21" s="518">
        <v>15750000</v>
      </c>
      <c r="N21" s="518"/>
      <c r="O21" s="520"/>
      <c r="P21" s="254"/>
    </row>
    <row r="22" spans="1:16" s="31" customFormat="1" ht="18" customHeight="1">
      <c r="A22" s="124"/>
      <c r="B22" s="207" t="s">
        <v>65</v>
      </c>
      <c r="C22" s="526">
        <v>68595000</v>
      </c>
      <c r="D22" s="517">
        <v>68595000</v>
      </c>
      <c r="E22" s="518"/>
      <c r="F22" s="190"/>
      <c r="G22" s="518"/>
      <c r="H22" s="179"/>
      <c r="I22" s="518"/>
      <c r="J22" s="518"/>
      <c r="K22" s="518"/>
      <c r="L22" s="518"/>
      <c r="M22" s="518"/>
      <c r="N22" s="518"/>
      <c r="O22" s="520"/>
      <c r="P22" s="254"/>
    </row>
    <row r="23" spans="1:16" s="31" customFormat="1" ht="18" customHeight="1">
      <c r="A23" s="516"/>
      <c r="B23" s="207" t="s">
        <v>66</v>
      </c>
      <c r="C23" s="526">
        <v>17063750</v>
      </c>
      <c r="D23" s="517"/>
      <c r="E23" s="518"/>
      <c r="F23" s="190"/>
      <c r="G23" s="518"/>
      <c r="H23" s="179"/>
      <c r="I23" s="518">
        <v>17063750</v>
      </c>
      <c r="J23" s="518"/>
      <c r="K23" s="518"/>
      <c r="L23" s="518"/>
      <c r="M23" s="518"/>
      <c r="N23" s="518"/>
      <c r="O23" s="520"/>
      <c r="P23" s="254"/>
    </row>
    <row r="24" spans="1:16" s="31" customFormat="1" ht="18" customHeight="1">
      <c r="A24" s="210">
        <v>3</v>
      </c>
      <c r="B24" s="143" t="s">
        <v>67</v>
      </c>
      <c r="C24" s="211">
        <f>SUM(C25:C30)</f>
        <v>104975000</v>
      </c>
      <c r="D24" s="523"/>
      <c r="E24" s="524"/>
      <c r="F24" s="191"/>
      <c r="G24" s="524"/>
      <c r="H24" s="180"/>
      <c r="I24" s="524"/>
      <c r="J24" s="524"/>
      <c r="K24" s="524"/>
      <c r="L24" s="524"/>
      <c r="M24" s="524"/>
      <c r="N24" s="524"/>
      <c r="O24" s="525"/>
      <c r="P24" s="252"/>
    </row>
    <row r="25" spans="1:16" s="31" customFormat="1" ht="18" customHeight="1">
      <c r="A25" s="212"/>
      <c r="B25" s="120" t="s">
        <v>68</v>
      </c>
      <c r="C25" s="213">
        <v>8500000</v>
      </c>
      <c r="D25" s="517"/>
      <c r="E25" s="518"/>
      <c r="F25" s="190">
        <v>8500000</v>
      </c>
      <c r="G25" s="518"/>
      <c r="H25" s="179"/>
      <c r="I25" s="518"/>
      <c r="J25" s="518"/>
      <c r="K25" s="518"/>
      <c r="L25" s="518"/>
      <c r="M25" s="518"/>
      <c r="N25" s="518"/>
      <c r="O25" s="520"/>
      <c r="P25" s="252"/>
    </row>
    <row r="26" spans="1:16" s="31" customFormat="1" ht="18" customHeight="1">
      <c r="A26" s="214"/>
      <c r="B26" s="120" t="s">
        <v>69</v>
      </c>
      <c r="C26" s="213">
        <v>17000000</v>
      </c>
      <c r="D26" s="517"/>
      <c r="E26" s="518"/>
      <c r="F26" s="190"/>
      <c r="G26" s="518"/>
      <c r="H26" s="179"/>
      <c r="I26" s="518">
        <v>17000000</v>
      </c>
      <c r="J26" s="518"/>
      <c r="K26" s="518"/>
      <c r="L26" s="518"/>
      <c r="M26" s="518"/>
      <c r="N26" s="518"/>
      <c r="O26" s="520"/>
      <c r="P26" s="252"/>
    </row>
    <row r="27" spans="1:16" s="31" customFormat="1" ht="18" customHeight="1">
      <c r="A27" s="214"/>
      <c r="B27" s="120" t="s">
        <v>71</v>
      </c>
      <c r="C27" s="213">
        <v>5100000</v>
      </c>
      <c r="D27" s="517"/>
      <c r="E27" s="518">
        <v>1000000</v>
      </c>
      <c r="F27" s="190">
        <v>1000000</v>
      </c>
      <c r="G27" s="518">
        <v>1000000</v>
      </c>
      <c r="H27" s="179"/>
      <c r="I27" s="518">
        <v>1000000</v>
      </c>
      <c r="J27" s="518">
        <v>1100000</v>
      </c>
      <c r="K27" s="518"/>
      <c r="L27" s="518"/>
      <c r="M27" s="518"/>
      <c r="N27" s="518"/>
      <c r="O27" s="520"/>
      <c r="P27" s="252"/>
    </row>
    <row r="28" spans="1:16" s="31" customFormat="1" ht="18" customHeight="1">
      <c r="A28" s="214"/>
      <c r="B28" s="120" t="s">
        <v>70</v>
      </c>
      <c r="C28" s="213">
        <v>17000000</v>
      </c>
      <c r="D28" s="517"/>
      <c r="E28" s="518"/>
      <c r="F28" s="190"/>
      <c r="G28" s="518"/>
      <c r="H28" s="179"/>
      <c r="I28" s="518"/>
      <c r="J28" s="518">
        <v>1412500</v>
      </c>
      <c r="K28" s="518">
        <v>15587500</v>
      </c>
      <c r="L28" s="518"/>
      <c r="M28" s="518"/>
      <c r="N28" s="518"/>
      <c r="O28" s="520"/>
      <c r="P28" s="252"/>
    </row>
    <row r="29" spans="1:16" s="31" customFormat="1" ht="18" customHeight="1">
      <c r="A29" s="214"/>
      <c r="B29" s="120" t="s">
        <v>72</v>
      </c>
      <c r="C29" s="213">
        <v>17000000</v>
      </c>
      <c r="D29" s="517"/>
      <c r="E29" s="518"/>
      <c r="F29" s="190">
        <v>1200000</v>
      </c>
      <c r="G29" s="518">
        <v>1200000</v>
      </c>
      <c r="H29" s="179"/>
      <c r="I29" s="518">
        <v>600000</v>
      </c>
      <c r="J29" s="518"/>
      <c r="K29" s="518">
        <v>14000000</v>
      </c>
      <c r="L29" s="518"/>
      <c r="M29" s="518"/>
      <c r="N29" s="518"/>
      <c r="O29" s="520"/>
      <c r="P29" s="252"/>
    </row>
    <row r="30" spans="1:16" s="31" customFormat="1" ht="18" customHeight="1">
      <c r="A30" s="214"/>
      <c r="B30" s="120" t="s">
        <v>183</v>
      </c>
      <c r="C30" s="213">
        <v>40375000</v>
      </c>
      <c r="D30" s="517">
        <f>C30</f>
        <v>40375000</v>
      </c>
      <c r="E30" s="518"/>
      <c r="F30" s="190"/>
      <c r="G30" s="518"/>
      <c r="H30" s="179"/>
      <c r="I30" s="518"/>
      <c r="J30" s="518"/>
      <c r="K30" s="518"/>
      <c r="L30" s="518"/>
      <c r="M30" s="518"/>
      <c r="N30" s="518"/>
      <c r="O30" s="520"/>
      <c r="P30" s="252"/>
    </row>
    <row r="31" spans="1:16" s="31" customFormat="1" ht="18" customHeight="1">
      <c r="A31" s="210">
        <v>4</v>
      </c>
      <c r="B31" s="143" t="s">
        <v>73</v>
      </c>
      <c r="C31" s="211">
        <f>SUM(C32:C33)</f>
        <v>127500000</v>
      </c>
      <c r="D31" s="523"/>
      <c r="E31" s="524"/>
      <c r="F31" s="191"/>
      <c r="G31" s="524"/>
      <c r="H31" s="180"/>
      <c r="I31" s="524"/>
      <c r="J31" s="524"/>
      <c r="K31" s="524"/>
      <c r="L31" s="524"/>
      <c r="M31" s="524"/>
      <c r="N31" s="524"/>
      <c r="O31" s="525"/>
      <c r="P31" s="252"/>
    </row>
    <row r="32" spans="1:16" s="31" customFormat="1" ht="18" customHeight="1">
      <c r="A32" s="210"/>
      <c r="B32" s="121" t="s">
        <v>74</v>
      </c>
      <c r="C32" s="213">
        <v>42500000</v>
      </c>
      <c r="D32" s="517">
        <v>42500000</v>
      </c>
      <c r="E32" s="518"/>
      <c r="F32" s="190"/>
      <c r="G32" s="518"/>
      <c r="H32" s="179"/>
      <c r="I32" s="518"/>
      <c r="J32" s="518"/>
      <c r="K32" s="518"/>
      <c r="L32" s="518"/>
      <c r="M32" s="518"/>
      <c r="N32" s="518"/>
      <c r="O32" s="520"/>
      <c r="P32" s="252"/>
    </row>
    <row r="33" spans="1:16" s="31" customFormat="1" ht="18" customHeight="1" thickBot="1">
      <c r="A33" s="210"/>
      <c r="B33" s="120" t="s">
        <v>75</v>
      </c>
      <c r="C33" s="527">
        <v>85000000</v>
      </c>
      <c r="D33" s="517"/>
      <c r="E33" s="518"/>
      <c r="F33" s="190">
        <v>6330000</v>
      </c>
      <c r="G33" s="518"/>
      <c r="H33" s="179"/>
      <c r="I33" s="518">
        <v>70395000</v>
      </c>
      <c r="J33" s="518"/>
      <c r="K33" s="518">
        <v>8275000</v>
      </c>
      <c r="L33" s="518"/>
      <c r="M33" s="518"/>
      <c r="N33" s="518"/>
      <c r="O33" s="520"/>
      <c r="P33" s="252"/>
    </row>
    <row r="34" spans="1:16" s="31" customFormat="1" ht="18" customHeight="1" thickBot="1">
      <c r="A34" s="145"/>
      <c r="B34" s="144"/>
      <c r="C34" s="27">
        <f>C7+C17+C24+C31</f>
        <v>2418614650</v>
      </c>
      <c r="D34" s="170">
        <f>SUM(D7:D33)</f>
        <v>222672900</v>
      </c>
      <c r="E34" s="107">
        <f>SUM(E8:E33)</f>
        <v>178575500</v>
      </c>
      <c r="F34" s="192">
        <f t="shared" ref="F34:O34" si="0">SUM(F8:F33)</f>
        <v>363411500</v>
      </c>
      <c r="G34" s="107">
        <f t="shared" si="0"/>
        <v>148978000</v>
      </c>
      <c r="H34" s="106">
        <f t="shared" si="0"/>
        <v>45958000</v>
      </c>
      <c r="I34" s="107">
        <f t="shared" si="0"/>
        <v>513674250</v>
      </c>
      <c r="J34" s="107">
        <f t="shared" si="0"/>
        <v>80258000</v>
      </c>
      <c r="K34" s="107">
        <f t="shared" si="0"/>
        <v>203528000</v>
      </c>
      <c r="L34" s="107">
        <f t="shared" si="0"/>
        <v>315045500</v>
      </c>
      <c r="M34" s="107">
        <f t="shared" si="0"/>
        <v>166565500</v>
      </c>
      <c r="N34" s="107">
        <f t="shared" si="0"/>
        <v>179147500</v>
      </c>
      <c r="O34" s="528">
        <f t="shared" si="0"/>
        <v>800000</v>
      </c>
      <c r="P34" s="252"/>
    </row>
    <row r="35" spans="1:16" s="31" customFormat="1" ht="18" customHeight="1">
      <c r="A35" s="113">
        <v>5</v>
      </c>
      <c r="B35" s="116" t="s">
        <v>76</v>
      </c>
      <c r="C35" s="54">
        <f>SUM(C36:C54)</f>
        <v>3262788500</v>
      </c>
      <c r="D35" s="171"/>
      <c r="E35" s="89"/>
      <c r="F35" s="193"/>
      <c r="G35" s="89"/>
      <c r="H35" s="88"/>
      <c r="I35" s="89"/>
      <c r="J35" s="89"/>
      <c r="K35" s="89"/>
      <c r="L35" s="89"/>
      <c r="M35" s="89"/>
      <c r="N35" s="89"/>
      <c r="O35" s="264"/>
      <c r="P35" s="73" t="s">
        <v>20</v>
      </c>
    </row>
    <row r="36" spans="1:16" s="31" customFormat="1" ht="18" customHeight="1">
      <c r="A36" s="529"/>
      <c r="B36" s="207" t="s">
        <v>77</v>
      </c>
      <c r="C36" s="530">
        <v>11186000</v>
      </c>
      <c r="D36" s="531"/>
      <c r="E36" s="532"/>
      <c r="F36" s="194"/>
      <c r="G36" s="532"/>
      <c r="H36" s="166"/>
      <c r="I36" s="532"/>
      <c r="J36" s="532">
        <v>11186000</v>
      </c>
      <c r="K36" s="532"/>
      <c r="L36" s="532"/>
      <c r="M36" s="532"/>
      <c r="N36" s="532"/>
      <c r="O36" s="533"/>
      <c r="P36" s="95" t="s">
        <v>50</v>
      </c>
    </row>
    <row r="37" spans="1:16" s="31" customFormat="1" ht="18" customHeight="1">
      <c r="A37" s="114"/>
      <c r="B37" s="207" t="s">
        <v>78</v>
      </c>
      <c r="C37" s="534">
        <v>8500000</v>
      </c>
      <c r="D37" s="531"/>
      <c r="E37" s="532"/>
      <c r="F37" s="194">
        <v>8500000</v>
      </c>
      <c r="G37" s="532"/>
      <c r="H37" s="166"/>
      <c r="I37" s="532"/>
      <c r="J37" s="532"/>
      <c r="K37" s="532"/>
      <c r="L37" s="532"/>
      <c r="M37" s="532"/>
      <c r="N37" s="532"/>
      <c r="O37" s="533"/>
      <c r="P37" s="95" t="s">
        <v>51</v>
      </c>
    </row>
    <row r="38" spans="1:16" s="31" customFormat="1" ht="18" customHeight="1">
      <c r="A38" s="114"/>
      <c r="B38" s="207" t="s">
        <v>79</v>
      </c>
      <c r="C38" s="530">
        <v>8500000</v>
      </c>
      <c r="D38" s="531"/>
      <c r="E38" s="532"/>
      <c r="F38" s="194"/>
      <c r="G38" s="532"/>
      <c r="H38" s="166"/>
      <c r="I38" s="532"/>
      <c r="J38" s="532">
        <v>8500000</v>
      </c>
      <c r="K38" s="532"/>
      <c r="L38" s="532"/>
      <c r="M38" s="532"/>
      <c r="N38" s="532"/>
      <c r="O38" s="533"/>
      <c r="P38" s="95" t="s">
        <v>52</v>
      </c>
    </row>
    <row r="39" spans="1:16" s="31" customFormat="1" ht="18" customHeight="1">
      <c r="A39" s="114"/>
      <c r="B39" s="207" t="s">
        <v>80</v>
      </c>
      <c r="C39" s="530">
        <v>5950000</v>
      </c>
      <c r="D39" s="531"/>
      <c r="E39" s="532">
        <v>5950000</v>
      </c>
      <c r="F39" s="194"/>
      <c r="G39" s="532"/>
      <c r="H39" s="166"/>
      <c r="I39" s="532"/>
      <c r="J39" s="532"/>
      <c r="K39" s="532"/>
      <c r="L39" s="532"/>
      <c r="M39" s="532"/>
      <c r="N39" s="532"/>
      <c r="O39" s="533"/>
      <c r="P39" s="252"/>
    </row>
    <row r="40" spans="1:16" s="31" customFormat="1" ht="18" customHeight="1">
      <c r="A40" s="529"/>
      <c r="B40" s="207" t="s">
        <v>81</v>
      </c>
      <c r="C40" s="530">
        <v>34000000</v>
      </c>
      <c r="D40" s="531"/>
      <c r="E40" s="532"/>
      <c r="F40" s="194"/>
      <c r="G40" s="532"/>
      <c r="H40" s="166"/>
      <c r="I40" s="532"/>
      <c r="J40" s="532">
        <v>34000000</v>
      </c>
      <c r="K40" s="532"/>
      <c r="L40" s="532"/>
      <c r="M40" s="532"/>
      <c r="N40" s="532"/>
      <c r="O40" s="533"/>
      <c r="P40" s="252"/>
    </row>
    <row r="41" spans="1:16" s="31" customFormat="1" ht="18" customHeight="1">
      <c r="A41" s="114"/>
      <c r="B41" s="207" t="s">
        <v>82</v>
      </c>
      <c r="C41" s="530">
        <v>8500000</v>
      </c>
      <c r="D41" s="531" t="s">
        <v>171</v>
      </c>
      <c r="E41" s="532" t="s">
        <v>171</v>
      </c>
      <c r="F41" s="194">
        <v>1450000</v>
      </c>
      <c r="G41" s="532">
        <v>1750000</v>
      </c>
      <c r="H41" s="166"/>
      <c r="I41" s="532"/>
      <c r="J41" s="532">
        <v>1750000</v>
      </c>
      <c r="K41" s="532">
        <v>1750000</v>
      </c>
      <c r="L41" s="532">
        <v>900000</v>
      </c>
      <c r="M41" s="532">
        <v>900000</v>
      </c>
      <c r="N41" s="532"/>
      <c r="O41" s="535"/>
      <c r="P41" s="252"/>
    </row>
    <row r="42" spans="1:16" s="31" customFormat="1" ht="18" customHeight="1">
      <c r="A42" s="529"/>
      <c r="B42" s="207" t="s">
        <v>83</v>
      </c>
      <c r="C42" s="530">
        <v>6375000</v>
      </c>
      <c r="D42" s="531"/>
      <c r="E42" s="532"/>
      <c r="F42" s="194"/>
      <c r="G42" s="532">
        <v>6375000</v>
      </c>
      <c r="H42" s="166"/>
      <c r="I42" s="532"/>
      <c r="J42" s="532"/>
      <c r="K42" s="532"/>
      <c r="L42" s="532"/>
      <c r="M42" s="532"/>
      <c r="N42" s="532"/>
      <c r="O42" s="536"/>
      <c r="P42" s="252"/>
    </row>
    <row r="43" spans="1:16" s="5" customFormat="1" ht="18" customHeight="1">
      <c r="A43" s="529"/>
      <c r="B43" s="207" t="s">
        <v>84</v>
      </c>
      <c r="C43" s="530">
        <v>8075000</v>
      </c>
      <c r="D43" s="531"/>
      <c r="E43" s="532"/>
      <c r="F43" s="194"/>
      <c r="G43" s="532">
        <v>8075000</v>
      </c>
      <c r="H43" s="166"/>
      <c r="I43" s="532"/>
      <c r="J43" s="532"/>
      <c r="K43" s="532"/>
      <c r="L43" s="532"/>
      <c r="M43" s="532"/>
      <c r="N43" s="532"/>
      <c r="O43" s="536"/>
      <c r="P43" s="95"/>
    </row>
    <row r="44" spans="1:16" s="5" customFormat="1" ht="18" customHeight="1">
      <c r="A44" s="529"/>
      <c r="B44" s="207" t="s">
        <v>85</v>
      </c>
      <c r="C44" s="530">
        <v>1937500</v>
      </c>
      <c r="D44" s="531"/>
      <c r="E44" s="532">
        <v>1937500</v>
      </c>
      <c r="F44" s="194"/>
      <c r="G44" s="532"/>
      <c r="H44" s="166"/>
      <c r="I44" s="532"/>
      <c r="J44" s="532"/>
      <c r="K44" s="532"/>
      <c r="L44" s="532"/>
      <c r="M44" s="532"/>
      <c r="N44" s="532"/>
      <c r="O44" s="536"/>
      <c r="P44" s="95"/>
    </row>
    <row r="45" spans="1:16" s="5" customFormat="1" ht="18" customHeight="1">
      <c r="A45" s="529"/>
      <c r="B45" s="207" t="s">
        <v>37</v>
      </c>
      <c r="C45" s="530">
        <f>481450000+298800000</f>
        <v>780250000</v>
      </c>
      <c r="D45" s="531">
        <f>C45/10</f>
        <v>78025000</v>
      </c>
      <c r="E45" s="532">
        <v>78025000</v>
      </c>
      <c r="F45" s="194">
        <v>78025000</v>
      </c>
      <c r="G45" s="532">
        <v>78025000</v>
      </c>
      <c r="H45" s="166">
        <v>78025000</v>
      </c>
      <c r="I45" s="532">
        <v>78025000</v>
      </c>
      <c r="J45" s="532">
        <v>78025000</v>
      </c>
      <c r="K45" s="532">
        <v>78025000</v>
      </c>
      <c r="L45" s="532">
        <v>78025000</v>
      </c>
      <c r="M45" s="532">
        <v>78025000</v>
      </c>
      <c r="N45" s="532"/>
      <c r="O45" s="536"/>
      <c r="P45" s="91"/>
    </row>
    <row r="46" spans="1:16" s="32" customFormat="1" ht="18" customHeight="1">
      <c r="A46" s="529"/>
      <c r="B46" s="207" t="s">
        <v>86</v>
      </c>
      <c r="C46" s="530">
        <v>23800000</v>
      </c>
      <c r="D46" s="531"/>
      <c r="E46" s="532">
        <v>23800000</v>
      </c>
      <c r="F46" s="194"/>
      <c r="G46" s="532"/>
      <c r="H46" s="166"/>
      <c r="I46" s="532"/>
      <c r="J46" s="90"/>
      <c r="K46" s="532"/>
      <c r="L46" s="532"/>
      <c r="M46" s="532"/>
      <c r="N46" s="532"/>
      <c r="O46" s="267"/>
      <c r="P46" s="255"/>
    </row>
    <row r="47" spans="1:16" s="4" customFormat="1" ht="18" customHeight="1">
      <c r="A47" s="529"/>
      <c r="B47" s="207" t="s">
        <v>87</v>
      </c>
      <c r="C47" s="530">
        <v>11900000</v>
      </c>
      <c r="D47" s="531"/>
      <c r="E47" s="532">
        <v>1700000</v>
      </c>
      <c r="F47" s="194">
        <v>1700000</v>
      </c>
      <c r="G47" s="532">
        <v>1700000</v>
      </c>
      <c r="H47" s="166"/>
      <c r="I47" s="532"/>
      <c r="J47" s="532">
        <v>2550000</v>
      </c>
      <c r="K47" s="532">
        <v>1700000</v>
      </c>
      <c r="L47" s="532">
        <v>2550000</v>
      </c>
      <c r="M47" s="532"/>
      <c r="N47" s="532"/>
      <c r="O47" s="535"/>
      <c r="P47" s="74"/>
    </row>
    <row r="48" spans="1:16" s="4" customFormat="1" ht="18" customHeight="1">
      <c r="A48" s="529"/>
      <c r="B48" s="207" t="s">
        <v>88</v>
      </c>
      <c r="C48" s="530">
        <v>26775000</v>
      </c>
      <c r="D48" s="531"/>
      <c r="E48" s="532">
        <v>4650000</v>
      </c>
      <c r="F48" s="194"/>
      <c r="G48" s="532">
        <v>4650000</v>
      </c>
      <c r="H48" s="166"/>
      <c r="I48" s="532">
        <v>4650000</v>
      </c>
      <c r="J48" s="532"/>
      <c r="K48" s="532">
        <v>4650000</v>
      </c>
      <c r="L48" s="532"/>
      <c r="M48" s="532">
        <v>4650000</v>
      </c>
      <c r="N48" s="532">
        <v>3525000</v>
      </c>
      <c r="O48" s="535"/>
      <c r="P48" s="74"/>
    </row>
    <row r="49" spans="1:16" s="4" customFormat="1" ht="18" customHeight="1">
      <c r="A49" s="529"/>
      <c r="B49" s="537" t="s">
        <v>184</v>
      </c>
      <c r="C49" s="512">
        <v>1494000000</v>
      </c>
      <c r="D49" s="531">
        <f>C49/12</f>
        <v>124500000</v>
      </c>
      <c r="E49" s="532">
        <v>124500000</v>
      </c>
      <c r="F49" s="194">
        <v>124500000</v>
      </c>
      <c r="G49" s="532">
        <v>124500000</v>
      </c>
      <c r="H49" s="166">
        <v>124500000</v>
      </c>
      <c r="I49" s="166">
        <v>124500000</v>
      </c>
      <c r="J49" s="166">
        <v>124500000</v>
      </c>
      <c r="K49" s="166">
        <v>124500000</v>
      </c>
      <c r="L49" s="166">
        <v>124500000</v>
      </c>
      <c r="M49" s="166">
        <v>124500000</v>
      </c>
      <c r="N49" s="166">
        <v>124500000</v>
      </c>
      <c r="O49" s="538">
        <v>124500000</v>
      </c>
      <c r="P49" s="74"/>
    </row>
    <row r="50" spans="1:16" s="4" customFormat="1" ht="18" customHeight="1">
      <c r="A50" s="236"/>
      <c r="B50" s="539" t="s">
        <v>185</v>
      </c>
      <c r="C50" s="540">
        <v>63140000</v>
      </c>
      <c r="D50" s="531"/>
      <c r="E50" s="532"/>
      <c r="F50" s="194">
        <f>C50</f>
        <v>63140000</v>
      </c>
      <c r="G50" s="532"/>
      <c r="H50" s="166"/>
      <c r="I50" s="532"/>
      <c r="J50" s="532"/>
      <c r="K50" s="532"/>
      <c r="L50" s="532"/>
      <c r="M50" s="532"/>
      <c r="N50" s="532"/>
      <c r="O50" s="535"/>
      <c r="P50" s="74"/>
    </row>
    <row r="51" spans="1:16" s="4" customFormat="1" ht="18" customHeight="1">
      <c r="A51" s="236"/>
      <c r="B51" s="511" t="s">
        <v>186</v>
      </c>
      <c r="C51" s="513">
        <v>477120000</v>
      </c>
      <c r="D51" s="531">
        <f>C51/12</f>
        <v>39760000</v>
      </c>
      <c r="E51" s="532">
        <v>39760000</v>
      </c>
      <c r="F51" s="194">
        <v>39760000</v>
      </c>
      <c r="G51" s="532">
        <v>39760000</v>
      </c>
      <c r="H51" s="166">
        <v>39760000</v>
      </c>
      <c r="I51" s="532">
        <v>39760000</v>
      </c>
      <c r="J51" s="532">
        <v>39760000</v>
      </c>
      <c r="K51" s="532">
        <v>39760000</v>
      </c>
      <c r="L51" s="532">
        <v>39760000</v>
      </c>
      <c r="M51" s="532">
        <v>39760000</v>
      </c>
      <c r="N51" s="532">
        <v>39760000</v>
      </c>
      <c r="O51" s="541">
        <v>39760000</v>
      </c>
      <c r="P51" s="74"/>
    </row>
    <row r="52" spans="1:16" s="4" customFormat="1" ht="18" customHeight="1">
      <c r="A52" s="236"/>
      <c r="B52" s="514" t="s">
        <v>187</v>
      </c>
      <c r="C52" s="513">
        <v>34300000</v>
      </c>
      <c r="D52" s="531"/>
      <c r="E52" s="532"/>
      <c r="F52" s="194">
        <f>C52</f>
        <v>34300000</v>
      </c>
      <c r="G52" s="532"/>
      <c r="H52" s="166"/>
      <c r="I52" s="532"/>
      <c r="J52" s="532"/>
      <c r="K52" s="532"/>
      <c r="L52" s="532"/>
      <c r="M52" s="532"/>
      <c r="N52" s="532"/>
      <c r="O52" s="535"/>
      <c r="P52" s="74"/>
    </row>
    <row r="53" spans="1:16" s="4" customFormat="1" ht="18" customHeight="1">
      <c r="A53" s="236"/>
      <c r="B53" s="215" t="s">
        <v>188</v>
      </c>
      <c r="C53" s="542">
        <f>4000000*60</f>
        <v>240000000</v>
      </c>
      <c r="D53" s="531">
        <f>C53</f>
        <v>240000000</v>
      </c>
      <c r="E53" s="532"/>
      <c r="F53" s="194"/>
      <c r="G53" s="532"/>
      <c r="H53" s="166"/>
      <c r="I53" s="532"/>
      <c r="J53" s="532"/>
      <c r="K53" s="532"/>
      <c r="L53" s="532"/>
      <c r="M53" s="532"/>
      <c r="N53" s="532"/>
      <c r="O53" s="535"/>
      <c r="P53" s="74"/>
    </row>
    <row r="54" spans="1:16" s="4" customFormat="1" ht="18" customHeight="1">
      <c r="A54" s="236"/>
      <c r="B54" s="216" t="s">
        <v>189</v>
      </c>
      <c r="C54" s="268">
        <v>18480000</v>
      </c>
      <c r="D54" s="531">
        <f>C54/12</f>
        <v>1540000</v>
      </c>
      <c r="E54" s="532">
        <v>1540000</v>
      </c>
      <c r="F54" s="194">
        <v>1540000</v>
      </c>
      <c r="G54" s="532">
        <v>1540000</v>
      </c>
      <c r="H54" s="166">
        <v>1540000</v>
      </c>
      <c r="I54" s="532">
        <v>1540000</v>
      </c>
      <c r="J54" s="532">
        <v>1540000</v>
      </c>
      <c r="K54" s="532">
        <v>1540000</v>
      </c>
      <c r="L54" s="532">
        <v>1540000</v>
      </c>
      <c r="M54" s="532">
        <v>1540000</v>
      </c>
      <c r="N54" s="532">
        <f>1540000+1540000</f>
        <v>3080000</v>
      </c>
      <c r="O54" s="541"/>
      <c r="P54" s="74"/>
    </row>
    <row r="55" spans="1:16" s="4" customFormat="1" ht="18" customHeight="1" thickBot="1">
      <c r="A55" s="227">
        <v>6</v>
      </c>
      <c r="B55" s="348" t="s">
        <v>35</v>
      </c>
      <c r="C55" s="228">
        <f>SUM(C56:C57)</f>
        <v>82175000</v>
      </c>
      <c r="D55" s="349"/>
      <c r="E55" s="350"/>
      <c r="F55" s="351"/>
      <c r="G55" s="350"/>
      <c r="H55" s="352"/>
      <c r="I55" s="350"/>
      <c r="J55" s="350"/>
      <c r="K55" s="350"/>
      <c r="L55" s="350"/>
      <c r="M55" s="350"/>
      <c r="N55" s="350"/>
      <c r="O55" s="353"/>
      <c r="P55" s="233"/>
    </row>
    <row r="56" spans="1:16" s="4" customFormat="1" ht="18" customHeight="1">
      <c r="A56" s="355"/>
      <c r="B56" s="356" t="s">
        <v>89</v>
      </c>
      <c r="C56" s="357">
        <v>11475000</v>
      </c>
      <c r="D56" s="358">
        <v>1000000</v>
      </c>
      <c r="E56" s="359">
        <v>1425000</v>
      </c>
      <c r="F56" s="360">
        <v>2425000</v>
      </c>
      <c r="G56" s="359">
        <v>1400000</v>
      </c>
      <c r="H56" s="361">
        <v>2151500</v>
      </c>
      <c r="I56" s="359">
        <v>1500000</v>
      </c>
      <c r="J56" s="362">
        <v>0</v>
      </c>
      <c r="K56" s="362">
        <v>0</v>
      </c>
      <c r="L56" s="362">
        <v>0</v>
      </c>
      <c r="M56" s="359">
        <v>1573500</v>
      </c>
      <c r="N56" s="363">
        <v>0</v>
      </c>
      <c r="O56" s="364">
        <v>0</v>
      </c>
      <c r="P56" s="73"/>
    </row>
    <row r="57" spans="1:16" s="4" customFormat="1" ht="18" customHeight="1">
      <c r="A57" s="236"/>
      <c r="B57" s="207" t="s">
        <v>190</v>
      </c>
      <c r="C57" s="265">
        <v>70700000</v>
      </c>
      <c r="D57" s="172">
        <f>C57</f>
        <v>70700000</v>
      </c>
      <c r="E57" s="147"/>
      <c r="F57" s="195"/>
      <c r="G57" s="147"/>
      <c r="H57" s="146"/>
      <c r="I57" s="147"/>
      <c r="J57" s="148"/>
      <c r="K57" s="148"/>
      <c r="L57" s="148"/>
      <c r="M57" s="147"/>
      <c r="N57" s="149"/>
      <c r="O57" s="271"/>
      <c r="P57" s="74"/>
    </row>
    <row r="58" spans="1:16" s="4" customFormat="1" ht="18" customHeight="1">
      <c r="A58" s="269">
        <v>7</v>
      </c>
      <c r="B58" s="217" t="s">
        <v>90</v>
      </c>
      <c r="C58" s="270">
        <f>SUM(C59:C63)</f>
        <v>30782750</v>
      </c>
      <c r="D58" s="173"/>
      <c r="E58" s="86"/>
      <c r="F58" s="187"/>
      <c r="G58" s="86"/>
      <c r="H58" s="85"/>
      <c r="I58" s="86"/>
      <c r="J58" s="86"/>
      <c r="K58" s="86"/>
      <c r="L58" s="86"/>
      <c r="M58" s="86"/>
      <c r="N58" s="86"/>
      <c r="O58" s="543"/>
      <c r="P58" s="74"/>
    </row>
    <row r="59" spans="1:16" s="4" customFormat="1" ht="18" customHeight="1">
      <c r="A59" s="236"/>
      <c r="B59" s="207" t="s">
        <v>91</v>
      </c>
      <c r="C59" s="265">
        <v>1275000</v>
      </c>
      <c r="D59" s="544"/>
      <c r="E59" s="545"/>
      <c r="F59" s="196"/>
      <c r="G59" s="545"/>
      <c r="H59" s="181"/>
      <c r="I59" s="545"/>
      <c r="J59" s="545"/>
      <c r="K59" s="545"/>
      <c r="L59" s="545"/>
      <c r="M59" s="545">
        <v>1275000</v>
      </c>
      <c r="N59" s="545"/>
      <c r="O59" s="543"/>
      <c r="P59" s="74"/>
    </row>
    <row r="60" spans="1:16" s="5" customFormat="1" ht="18" customHeight="1">
      <c r="A60" s="236"/>
      <c r="B60" s="207" t="s">
        <v>92</v>
      </c>
      <c r="C60" s="265">
        <v>7412000</v>
      </c>
      <c r="D60" s="544"/>
      <c r="E60" s="545">
        <v>7412000</v>
      </c>
      <c r="F60" s="196"/>
      <c r="G60" s="545"/>
      <c r="H60" s="181"/>
      <c r="I60" s="545"/>
      <c r="J60" s="545"/>
      <c r="K60" s="545"/>
      <c r="L60" s="545"/>
      <c r="M60" s="545"/>
      <c r="N60" s="545"/>
      <c r="O60" s="543"/>
      <c r="P60" s="91"/>
    </row>
    <row r="61" spans="1:16" s="5" customFormat="1" ht="18" customHeight="1">
      <c r="A61" s="272"/>
      <c r="B61" s="207" t="s">
        <v>93</v>
      </c>
      <c r="C61" s="265">
        <v>10620750</v>
      </c>
      <c r="D61" s="544">
        <v>2530200</v>
      </c>
      <c r="E61" s="545"/>
      <c r="F61" s="196">
        <v>2530200</v>
      </c>
      <c r="G61" s="545"/>
      <c r="H61" s="181"/>
      <c r="I61" s="545"/>
      <c r="J61" s="545"/>
      <c r="K61" s="545">
        <v>2530200</v>
      </c>
      <c r="L61" s="545"/>
      <c r="M61" s="545"/>
      <c r="N61" s="545">
        <v>3030150</v>
      </c>
      <c r="O61" s="543"/>
      <c r="P61" s="91"/>
    </row>
    <row r="62" spans="1:16" s="5" customFormat="1" ht="18" customHeight="1">
      <c r="A62" s="272"/>
      <c r="B62" s="207" t="s">
        <v>94</v>
      </c>
      <c r="C62" s="265">
        <v>6375000</v>
      </c>
      <c r="D62" s="544"/>
      <c r="E62" s="545"/>
      <c r="F62" s="196"/>
      <c r="G62" s="545"/>
      <c r="H62" s="181">
        <v>1700000</v>
      </c>
      <c r="I62" s="545">
        <v>1700000</v>
      </c>
      <c r="J62" s="545">
        <v>1175000</v>
      </c>
      <c r="K62" s="545">
        <v>900000</v>
      </c>
      <c r="L62" s="545">
        <v>900000</v>
      </c>
      <c r="M62" s="545"/>
      <c r="N62" s="90"/>
      <c r="O62" s="543"/>
      <c r="P62" s="91"/>
    </row>
    <row r="63" spans="1:16" s="5" customFormat="1" ht="18" customHeight="1" thickBot="1">
      <c r="A63" s="272"/>
      <c r="B63" s="207" t="s">
        <v>95</v>
      </c>
      <c r="C63" s="273">
        <v>5100000</v>
      </c>
      <c r="D63" s="546"/>
      <c r="E63" s="547"/>
      <c r="F63" s="197"/>
      <c r="G63" s="547"/>
      <c r="H63" s="182"/>
      <c r="I63" s="547"/>
      <c r="J63" s="547"/>
      <c r="K63" s="547"/>
      <c r="L63" s="547">
        <v>1500000</v>
      </c>
      <c r="M63" s="547">
        <v>1500000</v>
      </c>
      <c r="N63" s="547">
        <v>2100000</v>
      </c>
      <c r="O63" s="548"/>
      <c r="P63" s="91"/>
    </row>
    <row r="64" spans="1:16" s="5" customFormat="1" ht="18" customHeight="1" thickBot="1">
      <c r="A64" s="151"/>
      <c r="B64" s="150"/>
      <c r="C64" s="100">
        <f>C35+C55+C58</f>
        <v>3375746250</v>
      </c>
      <c r="D64" s="174">
        <f t="shared" ref="D64:O64" si="1">SUM(D35:D63)</f>
        <v>558055200</v>
      </c>
      <c r="E64" s="189">
        <f t="shared" si="1"/>
        <v>290699500</v>
      </c>
      <c r="F64" s="198">
        <f t="shared" si="1"/>
        <v>357870200</v>
      </c>
      <c r="G64" s="189">
        <f t="shared" si="1"/>
        <v>267775000</v>
      </c>
      <c r="H64" s="105">
        <f t="shared" si="1"/>
        <v>247676500</v>
      </c>
      <c r="I64" s="105">
        <f t="shared" si="1"/>
        <v>251675000</v>
      </c>
      <c r="J64" s="105">
        <f t="shared" si="1"/>
        <v>302986000</v>
      </c>
      <c r="K64" s="105">
        <f t="shared" si="1"/>
        <v>255355200</v>
      </c>
      <c r="L64" s="105">
        <f t="shared" si="1"/>
        <v>249675000</v>
      </c>
      <c r="M64" s="105">
        <f t="shared" si="1"/>
        <v>253723500</v>
      </c>
      <c r="N64" s="105">
        <f t="shared" si="1"/>
        <v>175995150</v>
      </c>
      <c r="O64" s="274">
        <f t="shared" si="1"/>
        <v>164260000</v>
      </c>
      <c r="P64" s="91"/>
    </row>
    <row r="65" spans="1:16" s="5" customFormat="1" ht="18" customHeight="1">
      <c r="A65" s="45">
        <v>8</v>
      </c>
      <c r="B65" s="101" t="s">
        <v>96</v>
      </c>
      <c r="C65" s="54">
        <f>SUM(C66:C81)</f>
        <v>186150000</v>
      </c>
      <c r="D65" s="175"/>
      <c r="E65" s="18"/>
      <c r="F65" s="199"/>
      <c r="G65" s="18"/>
      <c r="H65" s="83"/>
      <c r="I65" s="18"/>
      <c r="J65" s="18"/>
      <c r="K65" s="18"/>
      <c r="L65" s="18"/>
      <c r="M65" s="18"/>
      <c r="N65" s="18"/>
      <c r="O65" s="275"/>
      <c r="P65" s="256" t="s">
        <v>46</v>
      </c>
    </row>
    <row r="66" spans="1:16" s="5" customFormat="1" ht="18" customHeight="1">
      <c r="A66" s="549"/>
      <c r="B66" s="549" t="s">
        <v>97</v>
      </c>
      <c r="C66" s="263">
        <v>23800000</v>
      </c>
      <c r="D66" s="550">
        <v>1285000</v>
      </c>
      <c r="E66" s="551">
        <v>6500000</v>
      </c>
      <c r="F66" s="200"/>
      <c r="G66" s="551">
        <v>5615000</v>
      </c>
      <c r="H66" s="183"/>
      <c r="I66" s="551">
        <v>5200000</v>
      </c>
      <c r="J66" s="551">
        <v>5200000</v>
      </c>
      <c r="K66" s="551"/>
      <c r="L66" s="551"/>
      <c r="M66" s="551"/>
      <c r="N66" s="552"/>
      <c r="O66" s="553"/>
      <c r="P66" s="95" t="s">
        <v>47</v>
      </c>
    </row>
    <row r="67" spans="1:16" s="5" customFormat="1" ht="18" customHeight="1">
      <c r="A67" s="549"/>
      <c r="B67" s="549" t="s">
        <v>98</v>
      </c>
      <c r="C67" s="263">
        <v>24650000</v>
      </c>
      <c r="D67" s="550">
        <v>3650000</v>
      </c>
      <c r="E67" s="551">
        <v>3000000</v>
      </c>
      <c r="F67" s="200">
        <v>3000000</v>
      </c>
      <c r="G67" s="551">
        <v>3000000</v>
      </c>
      <c r="H67" s="183">
        <v>3000000</v>
      </c>
      <c r="I67" s="551">
        <v>3000000</v>
      </c>
      <c r="J67" s="551">
        <v>3000000</v>
      </c>
      <c r="K67" s="551">
        <v>3000000</v>
      </c>
      <c r="L67" s="551"/>
      <c r="M67" s="551"/>
      <c r="N67" s="552"/>
      <c r="O67" s="553"/>
      <c r="P67" s="95" t="s">
        <v>48</v>
      </c>
    </row>
    <row r="68" spans="1:16" ht="18" customHeight="1">
      <c r="A68" s="549"/>
      <c r="B68" s="549" t="s">
        <v>99</v>
      </c>
      <c r="C68" s="263">
        <v>8500000</v>
      </c>
      <c r="D68" s="550"/>
      <c r="E68" s="551"/>
      <c r="F68" s="200"/>
      <c r="G68" s="551">
        <v>8500000</v>
      </c>
      <c r="H68" s="183"/>
      <c r="I68" s="554"/>
      <c r="J68" s="554"/>
      <c r="K68" s="551"/>
      <c r="L68" s="551"/>
      <c r="M68" s="551"/>
      <c r="N68" s="552"/>
      <c r="O68" s="553"/>
      <c r="P68" s="241" t="s">
        <v>28</v>
      </c>
    </row>
    <row r="69" spans="1:16" ht="18" customHeight="1">
      <c r="A69" s="555"/>
      <c r="B69" s="549" t="s">
        <v>100</v>
      </c>
      <c r="C69" s="263">
        <v>8500000</v>
      </c>
      <c r="D69" s="550"/>
      <c r="E69" s="551"/>
      <c r="F69" s="200"/>
      <c r="G69" s="551"/>
      <c r="H69" s="183">
        <v>2000000</v>
      </c>
      <c r="I69" s="551"/>
      <c r="J69" s="551">
        <v>4500000</v>
      </c>
      <c r="K69" s="551">
        <v>2000000</v>
      </c>
      <c r="L69" s="551"/>
      <c r="M69" s="551"/>
      <c r="N69" s="552"/>
      <c r="O69" s="553"/>
      <c r="P69" s="241"/>
    </row>
    <row r="70" spans="1:16" ht="18" customHeight="1">
      <c r="A70" s="549"/>
      <c r="B70" s="549" t="s">
        <v>101</v>
      </c>
      <c r="C70" s="263">
        <v>12325000</v>
      </c>
      <c r="D70" s="550">
        <v>317000</v>
      </c>
      <c r="E70" s="551"/>
      <c r="F70" s="200">
        <v>5850000</v>
      </c>
      <c r="G70" s="551">
        <v>958000</v>
      </c>
      <c r="H70" s="183"/>
      <c r="I70" s="551">
        <v>5200000</v>
      </c>
      <c r="J70" s="551"/>
      <c r="K70" s="551"/>
      <c r="L70" s="551"/>
      <c r="M70" s="551"/>
      <c r="N70" s="552"/>
      <c r="O70" s="553"/>
      <c r="P70" s="241"/>
    </row>
    <row r="71" spans="1:16" ht="18" customHeight="1">
      <c r="A71" s="549"/>
      <c r="B71" s="556" t="s">
        <v>102</v>
      </c>
      <c r="C71" s="213">
        <v>17000000</v>
      </c>
      <c r="D71" s="550"/>
      <c r="E71" s="551"/>
      <c r="F71" s="200"/>
      <c r="G71" s="551">
        <v>3000000</v>
      </c>
      <c r="H71" s="183"/>
      <c r="I71" s="551"/>
      <c r="J71" s="551"/>
      <c r="K71" s="551"/>
      <c r="L71" s="551">
        <v>14000000</v>
      </c>
      <c r="M71" s="551"/>
      <c r="N71" s="552"/>
      <c r="O71" s="553"/>
      <c r="P71" s="241"/>
    </row>
    <row r="72" spans="1:16" ht="18" customHeight="1">
      <c r="A72" s="549"/>
      <c r="B72" s="556" t="s">
        <v>103</v>
      </c>
      <c r="C72" s="263">
        <v>6800000</v>
      </c>
      <c r="D72" s="550"/>
      <c r="E72" s="551"/>
      <c r="F72" s="200">
        <v>2800000</v>
      </c>
      <c r="G72" s="551"/>
      <c r="H72" s="183"/>
      <c r="I72" s="551">
        <v>2000000</v>
      </c>
      <c r="J72" s="551"/>
      <c r="K72" s="551">
        <v>2000000</v>
      </c>
      <c r="L72" s="551"/>
      <c r="M72" s="551"/>
      <c r="N72" s="552"/>
      <c r="O72" s="553"/>
      <c r="P72" s="241"/>
    </row>
    <row r="73" spans="1:16" ht="18" customHeight="1">
      <c r="A73" s="549"/>
      <c r="B73" s="556" t="s">
        <v>104</v>
      </c>
      <c r="C73" s="263">
        <v>33575000</v>
      </c>
      <c r="D73" s="550">
        <v>6500000</v>
      </c>
      <c r="E73" s="551"/>
      <c r="F73" s="200"/>
      <c r="G73" s="551">
        <v>6500000</v>
      </c>
      <c r="H73" s="183"/>
      <c r="I73" s="551"/>
      <c r="J73" s="551">
        <v>6915000</v>
      </c>
      <c r="K73" s="551"/>
      <c r="L73" s="551">
        <v>7160000</v>
      </c>
      <c r="M73" s="551">
        <v>6500000</v>
      </c>
      <c r="N73" s="552"/>
      <c r="O73" s="553"/>
      <c r="P73" s="241"/>
    </row>
    <row r="74" spans="1:16" ht="18" customHeight="1">
      <c r="A74" s="44"/>
      <c r="B74" s="556" t="s">
        <v>105</v>
      </c>
      <c r="C74" s="263">
        <v>5950000</v>
      </c>
      <c r="D74" s="550">
        <v>700000</v>
      </c>
      <c r="E74" s="551">
        <v>700000</v>
      </c>
      <c r="F74" s="200">
        <v>700000</v>
      </c>
      <c r="G74" s="551">
        <v>700000</v>
      </c>
      <c r="H74" s="183">
        <v>700000</v>
      </c>
      <c r="I74" s="551">
        <v>700000</v>
      </c>
      <c r="J74" s="551">
        <v>700000</v>
      </c>
      <c r="K74" s="551">
        <v>1050000</v>
      </c>
      <c r="L74" s="551"/>
      <c r="M74" s="551"/>
      <c r="N74" s="552"/>
      <c r="O74" s="553"/>
      <c r="P74" s="241"/>
    </row>
    <row r="75" spans="1:16" ht="18" customHeight="1">
      <c r="A75" s="555"/>
      <c r="B75" s="556" t="s">
        <v>106</v>
      </c>
      <c r="C75" s="263">
        <v>1700000</v>
      </c>
      <c r="D75" s="550"/>
      <c r="E75" s="551">
        <v>1700000</v>
      </c>
      <c r="F75" s="200"/>
      <c r="G75" s="551"/>
      <c r="H75" s="183"/>
      <c r="I75" s="551"/>
      <c r="J75" s="551"/>
      <c r="K75" s="551"/>
      <c r="L75" s="551"/>
      <c r="M75" s="551"/>
      <c r="N75" s="552"/>
      <c r="O75" s="553"/>
      <c r="P75" s="241"/>
    </row>
    <row r="76" spans="1:16" ht="18" customHeight="1">
      <c r="A76" s="549"/>
      <c r="B76" s="549" t="s">
        <v>107</v>
      </c>
      <c r="C76" s="263">
        <v>16575000</v>
      </c>
      <c r="D76" s="550"/>
      <c r="E76" s="551">
        <v>7650000</v>
      </c>
      <c r="F76" s="200"/>
      <c r="G76" s="551">
        <v>8925000</v>
      </c>
      <c r="H76" s="183"/>
      <c r="I76" s="551"/>
      <c r="J76" s="551"/>
      <c r="K76" s="551"/>
      <c r="L76" s="551"/>
      <c r="M76" s="551"/>
      <c r="N76" s="552"/>
      <c r="O76" s="553"/>
      <c r="P76" s="241"/>
    </row>
    <row r="77" spans="1:16" ht="18" customHeight="1">
      <c r="A77" s="549"/>
      <c r="B77" s="556" t="s">
        <v>108</v>
      </c>
      <c r="C77" s="263">
        <v>8075000</v>
      </c>
      <c r="D77" s="550">
        <v>1500000</v>
      </c>
      <c r="E77" s="551"/>
      <c r="F77" s="200">
        <v>3000000</v>
      </c>
      <c r="G77" s="551"/>
      <c r="H77" s="183"/>
      <c r="I77" s="551">
        <v>3575000</v>
      </c>
      <c r="J77" s="551"/>
      <c r="K77" s="551"/>
      <c r="L77" s="551"/>
      <c r="M77" s="551"/>
      <c r="N77" s="552"/>
      <c r="O77" s="553"/>
      <c r="P77" s="241"/>
    </row>
    <row r="78" spans="1:16" ht="18" customHeight="1">
      <c r="A78" s="549"/>
      <c r="B78" s="556" t="s">
        <v>109</v>
      </c>
      <c r="C78" s="263">
        <v>9350000</v>
      </c>
      <c r="D78" s="550">
        <v>5000000</v>
      </c>
      <c r="E78" s="551"/>
      <c r="F78" s="200"/>
      <c r="G78" s="551"/>
      <c r="H78" s="183">
        <v>4350000</v>
      </c>
      <c r="I78" s="551"/>
      <c r="J78" s="551"/>
      <c r="K78" s="551"/>
      <c r="L78" s="551"/>
      <c r="M78" s="551"/>
      <c r="N78" s="552"/>
      <c r="O78" s="553"/>
      <c r="P78" s="241"/>
    </row>
    <row r="79" spans="1:16" ht="18" customHeight="1">
      <c r="A79" s="555"/>
      <c r="B79" s="549" t="s">
        <v>110</v>
      </c>
      <c r="C79" s="263">
        <v>3825000</v>
      </c>
      <c r="D79" s="550"/>
      <c r="E79" s="551"/>
      <c r="F79" s="200">
        <v>3410000</v>
      </c>
      <c r="G79" s="551"/>
      <c r="H79" s="183"/>
      <c r="I79" s="551"/>
      <c r="J79" s="551">
        <v>415000</v>
      </c>
      <c r="K79" s="551"/>
      <c r="L79" s="551"/>
      <c r="M79" s="551"/>
      <c r="N79" s="552"/>
      <c r="O79" s="553"/>
      <c r="P79" s="241"/>
    </row>
    <row r="80" spans="1:16" ht="18" customHeight="1">
      <c r="A80" s="549"/>
      <c r="B80" s="556" t="s">
        <v>111</v>
      </c>
      <c r="C80" s="263">
        <v>2125000</v>
      </c>
      <c r="D80" s="550"/>
      <c r="E80" s="551"/>
      <c r="F80" s="200">
        <v>1500000</v>
      </c>
      <c r="G80" s="551"/>
      <c r="H80" s="183">
        <v>625000</v>
      </c>
      <c r="I80" s="551"/>
      <c r="J80" s="551"/>
      <c r="K80" s="551"/>
      <c r="L80" s="551"/>
      <c r="M80" s="551"/>
      <c r="N80" s="552"/>
      <c r="O80" s="553"/>
      <c r="P80" s="241"/>
    </row>
    <row r="81" spans="1:16" ht="18" customHeight="1">
      <c r="A81" s="549"/>
      <c r="B81" s="556" t="s">
        <v>112</v>
      </c>
      <c r="C81" s="263">
        <v>3400000</v>
      </c>
      <c r="D81" s="550"/>
      <c r="E81" s="551"/>
      <c r="F81" s="200"/>
      <c r="G81" s="551"/>
      <c r="H81" s="183"/>
      <c r="I81" s="551">
        <v>1400000</v>
      </c>
      <c r="J81" s="551"/>
      <c r="K81" s="551">
        <v>1000000</v>
      </c>
      <c r="L81" s="551">
        <v>1000000</v>
      </c>
      <c r="M81" s="551"/>
      <c r="N81" s="552"/>
      <c r="O81" s="553"/>
      <c r="P81" s="241"/>
    </row>
    <row r="82" spans="1:16" ht="18" customHeight="1">
      <c r="A82" s="557">
        <v>9</v>
      </c>
      <c r="B82" s="558" t="s">
        <v>116</v>
      </c>
      <c r="C82" s="276">
        <f>SUM(C83:C85)</f>
        <v>26350000</v>
      </c>
      <c r="D82" s="559"/>
      <c r="E82" s="551"/>
      <c r="F82" s="200"/>
      <c r="G82" s="551"/>
      <c r="H82" s="183"/>
      <c r="I82" s="551"/>
      <c r="J82" s="551"/>
      <c r="K82" s="551"/>
      <c r="L82" s="551"/>
      <c r="M82" s="551"/>
      <c r="N82" s="551"/>
      <c r="O82" s="541"/>
      <c r="P82" s="241"/>
    </row>
    <row r="83" spans="1:16" ht="18" customHeight="1">
      <c r="A83" s="549"/>
      <c r="B83" s="549" t="s">
        <v>113</v>
      </c>
      <c r="C83" s="263">
        <v>16150000</v>
      </c>
      <c r="D83" s="550">
        <v>750000</v>
      </c>
      <c r="E83" s="551">
        <v>15400000</v>
      </c>
      <c r="F83" s="200"/>
      <c r="G83" s="551"/>
      <c r="H83" s="183"/>
      <c r="I83" s="551"/>
      <c r="J83" s="551"/>
      <c r="K83" s="551"/>
      <c r="L83" s="551"/>
      <c r="M83" s="551"/>
      <c r="N83" s="552"/>
      <c r="O83" s="560"/>
      <c r="P83" s="241"/>
    </row>
    <row r="84" spans="1:16" ht="18" customHeight="1">
      <c r="A84" s="555"/>
      <c r="B84" s="549" t="s">
        <v>114</v>
      </c>
      <c r="C84" s="263">
        <v>3825000</v>
      </c>
      <c r="D84" s="550"/>
      <c r="E84" s="551">
        <v>2125000</v>
      </c>
      <c r="F84" s="200">
        <v>850000</v>
      </c>
      <c r="G84" s="551">
        <v>850000</v>
      </c>
      <c r="H84" s="183"/>
      <c r="I84" s="551"/>
      <c r="J84" s="551"/>
      <c r="K84" s="551"/>
      <c r="L84" s="551"/>
      <c r="M84" s="551"/>
      <c r="N84" s="552"/>
      <c r="O84" s="560"/>
      <c r="P84" s="241"/>
    </row>
    <row r="85" spans="1:16" ht="18" customHeight="1" thickBot="1">
      <c r="A85" s="549"/>
      <c r="B85" s="556" t="s">
        <v>115</v>
      </c>
      <c r="C85" s="263">
        <v>6375000</v>
      </c>
      <c r="D85" s="176"/>
      <c r="E85" s="97">
        <v>1125000</v>
      </c>
      <c r="F85" s="201">
        <v>2225000</v>
      </c>
      <c r="G85" s="97">
        <v>825000</v>
      </c>
      <c r="H85" s="184"/>
      <c r="I85" s="97">
        <v>2200000</v>
      </c>
      <c r="J85" s="97"/>
      <c r="K85" s="97"/>
      <c r="L85" s="97"/>
      <c r="M85" s="97"/>
      <c r="N85" s="98"/>
      <c r="O85" s="561"/>
      <c r="P85" s="241"/>
    </row>
    <row r="86" spans="1:16" ht="18" customHeight="1" thickBot="1">
      <c r="A86" s="277"/>
      <c r="B86" s="277"/>
      <c r="C86" s="92">
        <f>C65+C82</f>
        <v>212500000</v>
      </c>
      <c r="D86" s="278">
        <f>SUM(D66:D85)</f>
        <v>19702000</v>
      </c>
      <c r="E86" s="279">
        <f t="shared" ref="E86:O86" si="2">SUM(E66:E85)</f>
        <v>38200000</v>
      </c>
      <c r="F86" s="280">
        <f t="shared" si="2"/>
        <v>23335000</v>
      </c>
      <c r="G86" s="279">
        <f t="shared" si="2"/>
        <v>38873000</v>
      </c>
      <c r="H86" s="281">
        <f t="shared" si="2"/>
        <v>10675000</v>
      </c>
      <c r="I86" s="281">
        <f t="shared" si="2"/>
        <v>23275000</v>
      </c>
      <c r="J86" s="281">
        <f t="shared" si="2"/>
        <v>20730000</v>
      </c>
      <c r="K86" s="281">
        <f t="shared" si="2"/>
        <v>9050000</v>
      </c>
      <c r="L86" s="281">
        <f t="shared" si="2"/>
        <v>22160000</v>
      </c>
      <c r="M86" s="281">
        <f t="shared" si="2"/>
        <v>6500000</v>
      </c>
      <c r="N86" s="281">
        <f t="shared" si="2"/>
        <v>0</v>
      </c>
      <c r="O86" s="282">
        <f t="shared" si="2"/>
        <v>0</v>
      </c>
      <c r="P86" s="75"/>
    </row>
    <row r="87" spans="1:16" ht="35.25" customHeight="1">
      <c r="A87" s="46">
        <v>10</v>
      </c>
      <c r="B87" s="102" t="s">
        <v>117</v>
      </c>
      <c r="C87" s="94">
        <f>SUM(C88:C118)</f>
        <v>1848579350</v>
      </c>
      <c r="D87" s="177"/>
      <c r="E87" s="96"/>
      <c r="F87" s="202"/>
      <c r="G87" s="96"/>
      <c r="H87" s="164"/>
      <c r="I87" s="96"/>
      <c r="J87" s="96"/>
      <c r="K87" s="96"/>
      <c r="L87" s="96"/>
      <c r="M87" s="96"/>
      <c r="N87" s="96"/>
      <c r="O87" s="165"/>
      <c r="P87" s="73" t="s">
        <v>20</v>
      </c>
    </row>
    <row r="88" spans="1:16" s="5" customFormat="1" ht="18" customHeight="1">
      <c r="A88" s="562"/>
      <c r="B88" s="549" t="s">
        <v>118</v>
      </c>
      <c r="C88" s="283">
        <v>19528750</v>
      </c>
      <c r="D88" s="563">
        <v>19528750</v>
      </c>
      <c r="E88" s="551"/>
      <c r="F88" s="200"/>
      <c r="G88" s="551"/>
      <c r="H88" s="183"/>
      <c r="I88" s="551"/>
      <c r="J88" s="551"/>
      <c r="K88" s="551"/>
      <c r="L88" s="551"/>
      <c r="M88" s="551"/>
      <c r="N88" s="551"/>
      <c r="O88" s="560"/>
      <c r="P88" s="95" t="s">
        <v>45</v>
      </c>
    </row>
    <row r="89" spans="1:16" s="5" customFormat="1" ht="18" customHeight="1">
      <c r="A89" s="562"/>
      <c r="B89" s="549" t="s">
        <v>119</v>
      </c>
      <c r="C89" s="283">
        <f>23715000+16750000</f>
        <v>40465000</v>
      </c>
      <c r="D89" s="564">
        <v>24965000</v>
      </c>
      <c r="E89" s="565"/>
      <c r="F89" s="203"/>
      <c r="G89" s="565"/>
      <c r="H89" s="185"/>
      <c r="I89" s="565">
        <v>15500000</v>
      </c>
      <c r="J89" s="566"/>
      <c r="K89" s="566"/>
      <c r="L89" s="566"/>
      <c r="M89" s="566"/>
      <c r="N89" s="567"/>
      <c r="O89" s="568"/>
      <c r="P89" s="95"/>
    </row>
    <row r="90" spans="1:16" s="5" customFormat="1" ht="18" customHeight="1">
      <c r="A90" s="562"/>
      <c r="B90" s="549" t="s">
        <v>120</v>
      </c>
      <c r="C90" s="283">
        <v>17000000</v>
      </c>
      <c r="D90" s="563">
        <v>17000000</v>
      </c>
      <c r="E90" s="569"/>
      <c r="F90" s="200"/>
      <c r="G90" s="551"/>
      <c r="H90" s="183"/>
      <c r="I90" s="551"/>
      <c r="J90" s="551"/>
      <c r="K90" s="551"/>
      <c r="L90" s="551"/>
      <c r="M90" s="551"/>
      <c r="N90" s="551"/>
      <c r="O90" s="560"/>
      <c r="P90" s="95"/>
    </row>
    <row r="91" spans="1:16" s="5" customFormat="1" ht="18" customHeight="1">
      <c r="A91" s="562"/>
      <c r="B91" s="549" t="s">
        <v>121</v>
      </c>
      <c r="C91" s="283">
        <v>25500000</v>
      </c>
      <c r="D91" s="563"/>
      <c r="E91" s="570">
        <v>25500000</v>
      </c>
      <c r="F91" s="200"/>
      <c r="G91" s="551"/>
      <c r="H91" s="183"/>
      <c r="I91" s="551"/>
      <c r="J91" s="551"/>
      <c r="K91" s="551"/>
      <c r="L91" s="551"/>
      <c r="M91" s="551"/>
      <c r="N91" s="551"/>
      <c r="O91" s="560"/>
      <c r="P91" s="95"/>
    </row>
    <row r="92" spans="1:16" s="5" customFormat="1" ht="18" customHeight="1">
      <c r="A92" s="562"/>
      <c r="B92" s="549" t="s">
        <v>122</v>
      </c>
      <c r="C92" s="283">
        <f>38250000+46750000</f>
        <v>85000000</v>
      </c>
      <c r="D92" s="571"/>
      <c r="E92" s="567"/>
      <c r="F92" s="203">
        <v>42250000</v>
      </c>
      <c r="G92" s="565"/>
      <c r="H92" s="185"/>
      <c r="I92" s="565"/>
      <c r="J92" s="572">
        <v>23125000</v>
      </c>
      <c r="K92" s="565"/>
      <c r="L92" s="565"/>
      <c r="M92" s="565">
        <v>19625000</v>
      </c>
      <c r="N92" s="565"/>
      <c r="O92" s="573"/>
      <c r="P92" s="95"/>
    </row>
    <row r="93" spans="1:16" s="5" customFormat="1" ht="18" customHeight="1">
      <c r="A93" s="562"/>
      <c r="B93" s="549" t="s">
        <v>123</v>
      </c>
      <c r="C93" s="283">
        <f>17000000+13000000</f>
        <v>30000000</v>
      </c>
      <c r="D93" s="564">
        <v>9500000</v>
      </c>
      <c r="E93" s="565"/>
      <c r="F93" s="203"/>
      <c r="G93" s="565"/>
      <c r="H93" s="185"/>
      <c r="I93" s="565">
        <f>C93-D93</f>
        <v>20500000</v>
      </c>
      <c r="J93" s="565"/>
      <c r="K93" s="574"/>
      <c r="L93" s="574"/>
      <c r="M93" s="574"/>
      <c r="N93" s="575"/>
      <c r="O93" s="576"/>
      <c r="P93" s="95"/>
    </row>
    <row r="94" spans="1:16" s="5" customFormat="1" ht="18" customHeight="1">
      <c r="A94" s="562"/>
      <c r="B94" s="549" t="s">
        <v>124</v>
      </c>
      <c r="C94" s="283">
        <v>12750000</v>
      </c>
      <c r="D94" s="571"/>
      <c r="E94" s="567"/>
      <c r="F94" s="204"/>
      <c r="G94" s="567"/>
      <c r="H94" s="186"/>
      <c r="I94" s="567"/>
      <c r="J94" s="567"/>
      <c r="K94" s="567"/>
      <c r="L94" s="567"/>
      <c r="M94" s="565">
        <v>12750000</v>
      </c>
      <c r="N94" s="567"/>
      <c r="O94" s="577"/>
      <c r="P94" s="95"/>
    </row>
    <row r="95" spans="1:16" s="5" customFormat="1" ht="18" customHeight="1">
      <c r="A95" s="562"/>
      <c r="B95" s="549" t="s">
        <v>125</v>
      </c>
      <c r="C95" s="283">
        <v>16256250</v>
      </c>
      <c r="D95" s="563">
        <v>16256250</v>
      </c>
      <c r="E95" s="551"/>
      <c r="F95" s="200"/>
      <c r="G95" s="551"/>
      <c r="H95" s="183"/>
      <c r="I95" s="551"/>
      <c r="J95" s="551"/>
      <c r="K95" s="551"/>
      <c r="L95" s="551"/>
      <c r="M95" s="551"/>
      <c r="N95" s="551"/>
      <c r="O95" s="560"/>
      <c r="P95" s="95"/>
    </row>
    <row r="96" spans="1:16" s="5" customFormat="1" ht="18" customHeight="1">
      <c r="A96" s="562"/>
      <c r="B96" s="549" t="s">
        <v>126</v>
      </c>
      <c r="C96" s="283">
        <v>19762500</v>
      </c>
      <c r="D96" s="563">
        <v>19762500</v>
      </c>
      <c r="E96" s="551"/>
      <c r="F96" s="200"/>
      <c r="G96" s="551"/>
      <c r="H96" s="183"/>
      <c r="I96" s="551"/>
      <c r="J96" s="551"/>
      <c r="K96" s="551"/>
      <c r="L96" s="551"/>
      <c r="M96" s="551"/>
      <c r="N96" s="551"/>
      <c r="O96" s="560"/>
      <c r="P96" s="95"/>
    </row>
    <row r="97" spans="1:16" s="5" customFormat="1" ht="18" customHeight="1">
      <c r="A97" s="562"/>
      <c r="B97" s="578" t="s">
        <v>127</v>
      </c>
      <c r="C97" s="284">
        <v>47600000</v>
      </c>
      <c r="D97" s="563"/>
      <c r="E97" s="551">
        <v>1015500</v>
      </c>
      <c r="F97" s="200">
        <f>C97-E97</f>
        <v>46584500</v>
      </c>
      <c r="G97" s="551"/>
      <c r="H97" s="183"/>
      <c r="I97" s="551"/>
      <c r="J97" s="551"/>
      <c r="K97" s="551"/>
      <c r="L97" s="551"/>
      <c r="M97" s="551"/>
      <c r="N97" s="551"/>
      <c r="O97" s="560"/>
      <c r="P97" s="95"/>
    </row>
    <row r="98" spans="1:16" s="5" customFormat="1" ht="18" customHeight="1">
      <c r="A98" s="562"/>
      <c r="B98" s="556" t="s">
        <v>146</v>
      </c>
      <c r="C98" s="283">
        <v>2125000</v>
      </c>
      <c r="D98" s="563"/>
      <c r="E98" s="551">
        <v>600000</v>
      </c>
      <c r="F98" s="200"/>
      <c r="G98" s="551"/>
      <c r="H98" s="183"/>
      <c r="I98" s="551">
        <f>C98-E98</f>
        <v>1525000</v>
      </c>
      <c r="J98" s="551"/>
      <c r="K98" s="551"/>
      <c r="L98" s="551"/>
      <c r="M98" s="551"/>
      <c r="N98" s="551"/>
      <c r="O98" s="560"/>
      <c r="P98" s="95"/>
    </row>
    <row r="99" spans="1:16" s="5" customFormat="1" ht="18" customHeight="1">
      <c r="A99" s="562"/>
      <c r="B99" s="562" t="s">
        <v>128</v>
      </c>
      <c r="C99" s="285">
        <v>12750000</v>
      </c>
      <c r="D99" s="563"/>
      <c r="E99" s="551">
        <v>12750000</v>
      </c>
      <c r="F99" s="200"/>
      <c r="G99" s="551"/>
      <c r="H99" s="183"/>
      <c r="I99" s="551"/>
      <c r="J99" s="551"/>
      <c r="K99" s="551"/>
      <c r="L99" s="551"/>
      <c r="M99" s="551"/>
      <c r="N99" s="551"/>
      <c r="O99" s="560"/>
      <c r="P99" s="95"/>
    </row>
    <row r="100" spans="1:16" s="5" customFormat="1" ht="18" customHeight="1">
      <c r="A100" s="562"/>
      <c r="B100" s="562" t="s">
        <v>147</v>
      </c>
      <c r="C100" s="285">
        <v>23800000</v>
      </c>
      <c r="D100" s="563"/>
      <c r="E100" s="551"/>
      <c r="F100" s="200"/>
      <c r="G100" s="551">
        <v>23800000</v>
      </c>
      <c r="H100" s="183"/>
      <c r="I100" s="551"/>
      <c r="J100" s="551"/>
      <c r="K100" s="551"/>
      <c r="L100" s="551"/>
      <c r="M100" s="551"/>
      <c r="N100" s="551"/>
      <c r="O100" s="560"/>
      <c r="P100" s="95"/>
    </row>
    <row r="101" spans="1:16" s="5" customFormat="1" ht="18" customHeight="1">
      <c r="A101" s="562"/>
      <c r="B101" s="562" t="s">
        <v>129</v>
      </c>
      <c r="C101" s="285">
        <v>17255000</v>
      </c>
      <c r="D101" s="563"/>
      <c r="E101" s="551">
        <v>17255000</v>
      </c>
      <c r="F101" s="200"/>
      <c r="G101" s="551">
        <f>A101</f>
        <v>0</v>
      </c>
      <c r="H101" s="183"/>
      <c r="I101" s="551"/>
      <c r="J101" s="551"/>
      <c r="K101" s="551"/>
      <c r="L101" s="551"/>
      <c r="M101" s="551"/>
      <c r="N101" s="551"/>
      <c r="O101" s="560"/>
      <c r="P101" s="95"/>
    </row>
    <row r="102" spans="1:16" s="5" customFormat="1" ht="18" customHeight="1">
      <c r="A102" s="562"/>
      <c r="B102" s="562" t="s">
        <v>130</v>
      </c>
      <c r="C102" s="285">
        <v>67447500</v>
      </c>
      <c r="D102" s="563"/>
      <c r="E102" s="551">
        <v>67447500</v>
      </c>
      <c r="F102" s="200"/>
      <c r="G102" s="551"/>
      <c r="H102" s="183"/>
      <c r="I102" s="551"/>
      <c r="J102" s="551"/>
      <c r="K102" s="551"/>
      <c r="L102" s="551"/>
      <c r="M102" s="551"/>
      <c r="N102" s="551"/>
      <c r="O102" s="560"/>
      <c r="P102" s="95"/>
    </row>
    <row r="103" spans="1:16" s="5" customFormat="1" ht="18" customHeight="1">
      <c r="A103" s="562"/>
      <c r="B103" s="562" t="s">
        <v>131</v>
      </c>
      <c r="C103" s="285">
        <v>17722500</v>
      </c>
      <c r="D103" s="563"/>
      <c r="E103" s="551"/>
      <c r="F103" s="200"/>
      <c r="G103" s="551"/>
      <c r="H103" s="183"/>
      <c r="I103" s="551"/>
      <c r="J103" s="551">
        <v>17722500</v>
      </c>
      <c r="K103" s="551"/>
      <c r="L103" s="551"/>
      <c r="M103" s="551"/>
      <c r="N103" s="551"/>
      <c r="O103" s="560"/>
      <c r="P103" s="95"/>
    </row>
    <row r="104" spans="1:16" s="5" customFormat="1" ht="18" customHeight="1">
      <c r="A104" s="562"/>
      <c r="B104" s="562" t="s">
        <v>132</v>
      </c>
      <c r="C104" s="285">
        <v>31025000</v>
      </c>
      <c r="D104" s="563"/>
      <c r="E104" s="551"/>
      <c r="F104" s="200"/>
      <c r="G104" s="551"/>
      <c r="H104" s="183"/>
      <c r="I104" s="551"/>
      <c r="J104" s="551">
        <v>31025000</v>
      </c>
      <c r="K104" s="551"/>
      <c r="L104" s="551"/>
      <c r="M104" s="551"/>
      <c r="N104" s="551"/>
      <c r="O104" s="560"/>
      <c r="P104" s="95"/>
    </row>
    <row r="105" spans="1:16" s="5" customFormat="1" ht="18" customHeight="1">
      <c r="A105" s="562"/>
      <c r="B105" s="562" t="s">
        <v>133</v>
      </c>
      <c r="C105" s="285">
        <f>3600000+6000000+18150000</f>
        <v>27750000</v>
      </c>
      <c r="D105" s="564">
        <f>1200000+2000000+5500000+1650000</f>
        <v>10350000</v>
      </c>
      <c r="E105" s="565"/>
      <c r="F105" s="203"/>
      <c r="G105" s="565"/>
      <c r="H105" s="185">
        <f>1200000+2000000+5500000</f>
        <v>8700000</v>
      </c>
      <c r="I105" s="565"/>
      <c r="J105" s="565"/>
      <c r="K105" s="565"/>
      <c r="L105" s="565">
        <f>1200000+2000000+5500000</f>
        <v>8700000</v>
      </c>
      <c r="M105" s="565"/>
      <c r="N105" s="565"/>
      <c r="O105" s="573"/>
      <c r="P105" s="95"/>
    </row>
    <row r="106" spans="1:16" s="5" customFormat="1" ht="18" customHeight="1">
      <c r="A106" s="562"/>
      <c r="B106" s="562" t="s">
        <v>134</v>
      </c>
      <c r="C106" s="285">
        <f>8250000</f>
        <v>8250000</v>
      </c>
      <c r="D106" s="564">
        <v>2750000</v>
      </c>
      <c r="E106" s="565"/>
      <c r="F106" s="203"/>
      <c r="G106" s="565"/>
      <c r="H106" s="185">
        <v>2750000</v>
      </c>
      <c r="I106" s="565"/>
      <c r="J106" s="565"/>
      <c r="K106" s="565"/>
      <c r="L106" s="565">
        <v>2750000</v>
      </c>
      <c r="M106" s="565"/>
      <c r="N106" s="565"/>
      <c r="O106" s="573"/>
      <c r="P106" s="95"/>
    </row>
    <row r="107" spans="1:16" s="5" customFormat="1" ht="18" customHeight="1" thickBot="1">
      <c r="A107" s="277"/>
      <c r="B107" s="277" t="s">
        <v>135</v>
      </c>
      <c r="C107" s="378">
        <f>13200000+33000000</f>
        <v>46200000</v>
      </c>
      <c r="D107" s="379">
        <f>4400000+11000000</f>
        <v>15400000</v>
      </c>
      <c r="E107" s="380"/>
      <c r="F107" s="381"/>
      <c r="G107" s="380"/>
      <c r="H107" s="382">
        <f>4400000+11000000</f>
        <v>15400000</v>
      </c>
      <c r="I107" s="380"/>
      <c r="J107" s="380"/>
      <c r="K107" s="380"/>
      <c r="L107" s="380">
        <f>4400000+11000000</f>
        <v>15400000</v>
      </c>
      <c r="M107" s="380"/>
      <c r="N107" s="380"/>
      <c r="O107" s="383"/>
      <c r="P107" s="384"/>
    </row>
    <row r="108" spans="1:16" s="5" customFormat="1" ht="18" customHeight="1">
      <c r="A108" s="390"/>
      <c r="B108" s="390" t="s">
        <v>136</v>
      </c>
      <c r="C108" s="391">
        <f>9450000+22500000+14850000+60000000</f>
        <v>106800000</v>
      </c>
      <c r="D108" s="392">
        <v>35600000</v>
      </c>
      <c r="E108" s="393"/>
      <c r="F108" s="394"/>
      <c r="G108" s="393"/>
      <c r="H108" s="395">
        <v>35600000</v>
      </c>
      <c r="I108" s="393"/>
      <c r="J108" s="393"/>
      <c r="K108" s="393"/>
      <c r="L108" s="393">
        <v>35600000</v>
      </c>
      <c r="M108" s="393"/>
      <c r="N108" s="393"/>
      <c r="O108" s="396"/>
      <c r="P108" s="256"/>
    </row>
    <row r="109" spans="1:16" s="5" customFormat="1" ht="18" customHeight="1">
      <c r="A109" s="370"/>
      <c r="B109" s="370" t="s">
        <v>137</v>
      </c>
      <c r="C109" s="285">
        <f>7075000</f>
        <v>7075000</v>
      </c>
      <c r="D109" s="372"/>
      <c r="E109" s="373">
        <f>900000+750000+600000</f>
        <v>2250000</v>
      </c>
      <c r="F109" s="374"/>
      <c r="G109" s="373"/>
      <c r="H109" s="375"/>
      <c r="I109" s="373">
        <f>900000+750000+600000</f>
        <v>2250000</v>
      </c>
      <c r="J109" s="373"/>
      <c r="K109" s="373"/>
      <c r="L109" s="373">
        <v>2575000</v>
      </c>
      <c r="M109" s="373"/>
      <c r="N109" s="373"/>
      <c r="O109" s="377"/>
      <c r="P109" s="95"/>
    </row>
    <row r="110" spans="1:16" s="5" customFormat="1" ht="18" customHeight="1">
      <c r="A110" s="370"/>
      <c r="B110" s="370" t="s">
        <v>138</v>
      </c>
      <c r="C110" s="285">
        <f>3600000+2700000+109350000+6275000+72000000+600000000</f>
        <v>793925000</v>
      </c>
      <c r="D110" s="372">
        <f>2000000</f>
        <v>2000000</v>
      </c>
      <c r="E110" s="373">
        <f>1350000+125000+24000000+200000000+500000+36450000</f>
        <v>262425000</v>
      </c>
      <c r="F110" s="374"/>
      <c r="G110" s="373"/>
      <c r="H110" s="375">
        <f>2000000</f>
        <v>2000000</v>
      </c>
      <c r="I110" s="373">
        <f>1350000+125000+24000000+200000000+500000+36450000</f>
        <v>262425000</v>
      </c>
      <c r="J110" s="373"/>
      <c r="K110" s="373"/>
      <c r="L110" s="373">
        <f>2650000</f>
        <v>2650000</v>
      </c>
      <c r="M110" s="373">
        <f>1350000+125000+24000000+200000000+500000+36450000</f>
        <v>262425000</v>
      </c>
      <c r="N110" s="373"/>
      <c r="O110" s="377"/>
      <c r="P110" s="95"/>
    </row>
    <row r="111" spans="1:16" s="5" customFormat="1" ht="18" customHeight="1">
      <c r="A111" s="370"/>
      <c r="B111" s="370" t="s">
        <v>139</v>
      </c>
      <c r="C111" s="285">
        <f>10000000</f>
        <v>10000000</v>
      </c>
      <c r="D111" s="372">
        <f>350000+250000+350000+250000</f>
        <v>1200000</v>
      </c>
      <c r="E111" s="373">
        <f>350000*3</f>
        <v>1050000</v>
      </c>
      <c r="F111" s="374"/>
      <c r="G111" s="373">
        <f>300000+300000+275000+275000+500000</f>
        <v>1650000</v>
      </c>
      <c r="H111" s="375"/>
      <c r="I111" s="373"/>
      <c r="J111" s="373">
        <f>300000+300000+275000+275000+500000</f>
        <v>1650000</v>
      </c>
      <c r="K111" s="373"/>
      <c r="L111" s="373"/>
      <c r="M111" s="373">
        <f>500000+1100000+1200000</f>
        <v>2800000</v>
      </c>
      <c r="N111" s="373">
        <f>300000+300000+275000+275000+500000</f>
        <v>1650000</v>
      </c>
      <c r="O111" s="377"/>
      <c r="P111" s="95"/>
    </row>
    <row r="112" spans="1:16" s="5" customFormat="1" ht="18" customHeight="1">
      <c r="A112" s="370"/>
      <c r="B112" s="370" t="s">
        <v>140</v>
      </c>
      <c r="C112" s="285">
        <f>4250000+35000</f>
        <v>4285000</v>
      </c>
      <c r="D112" s="372">
        <f>439500</f>
        <v>439500</v>
      </c>
      <c r="E112" s="373"/>
      <c r="F112" s="374">
        <f>270500+3575000</f>
        <v>3845500</v>
      </c>
      <c r="G112" s="373"/>
      <c r="H112" s="375"/>
      <c r="I112" s="373"/>
      <c r="J112" s="373"/>
      <c r="K112" s="373"/>
      <c r="L112" s="373"/>
      <c r="M112" s="373"/>
      <c r="N112" s="373"/>
      <c r="O112" s="377"/>
      <c r="P112" s="95"/>
    </row>
    <row r="113" spans="1:17" s="5" customFormat="1" ht="18" customHeight="1">
      <c r="A113" s="370"/>
      <c r="B113" s="370" t="s">
        <v>141</v>
      </c>
      <c r="C113" s="286">
        <v>23715000</v>
      </c>
      <c r="D113" s="372"/>
      <c r="E113" s="373"/>
      <c r="F113" s="374">
        <f>13500000+315000+9900000</f>
        <v>23715000</v>
      </c>
      <c r="G113" s="373"/>
      <c r="H113" s="375"/>
      <c r="I113" s="373"/>
      <c r="J113" s="373"/>
      <c r="K113" s="373"/>
      <c r="L113" s="373"/>
      <c r="M113" s="373"/>
      <c r="N113" s="373"/>
      <c r="O113" s="377"/>
      <c r="P113" s="95"/>
    </row>
    <row r="114" spans="1:17" s="5" customFormat="1" ht="18" customHeight="1">
      <c r="A114" s="370"/>
      <c r="B114" s="370" t="s">
        <v>142</v>
      </c>
      <c r="C114" s="286">
        <v>6000000</v>
      </c>
      <c r="D114" s="372"/>
      <c r="E114" s="373"/>
      <c r="F114" s="374">
        <v>6000000</v>
      </c>
      <c r="G114" s="373"/>
      <c r="H114" s="375"/>
      <c r="I114" s="373"/>
      <c r="J114" s="373"/>
      <c r="K114" s="373"/>
      <c r="L114" s="373"/>
      <c r="M114" s="373"/>
      <c r="N114" s="373"/>
      <c r="O114" s="377"/>
      <c r="P114" s="95"/>
    </row>
    <row r="115" spans="1:17" s="5" customFormat="1" ht="18" customHeight="1">
      <c r="A115" s="370"/>
      <c r="B115" s="370" t="s">
        <v>143</v>
      </c>
      <c r="C115" s="285">
        <f>4400000+1495000+771000</f>
        <v>6666000</v>
      </c>
      <c r="D115" s="372"/>
      <c r="E115" s="373"/>
      <c r="F115" s="374"/>
      <c r="G115" s="376">
        <f>771000+1495000+4400000</f>
        <v>6666000</v>
      </c>
      <c r="H115" s="375"/>
      <c r="I115" s="373"/>
      <c r="J115" s="373"/>
      <c r="K115" s="373"/>
      <c r="L115" s="373"/>
      <c r="M115" s="373"/>
      <c r="N115" s="373"/>
      <c r="O115" s="377"/>
      <c r="P115" s="95"/>
    </row>
    <row r="116" spans="1:17" s="5" customFormat="1" ht="18" customHeight="1">
      <c r="A116" s="370"/>
      <c r="B116" s="370" t="s">
        <v>144</v>
      </c>
      <c r="C116" s="286">
        <v>62425850</v>
      </c>
      <c r="D116" s="372"/>
      <c r="E116" s="373"/>
      <c r="F116" s="374"/>
      <c r="G116" s="373">
        <f>5000000+1000850+250000+1000000+2175000+2500000+1500000+38500000+10500000</f>
        <v>62425850</v>
      </c>
      <c r="H116" s="375"/>
      <c r="I116" s="373"/>
      <c r="J116" s="373"/>
      <c r="K116" s="373"/>
      <c r="L116" s="373"/>
      <c r="M116" s="373"/>
      <c r="N116" s="373"/>
      <c r="O116" s="377"/>
      <c r="P116" s="95"/>
    </row>
    <row r="117" spans="1:17" s="5" customFormat="1" ht="18" customHeight="1">
      <c r="A117" s="370"/>
      <c r="B117" s="370" t="s">
        <v>148</v>
      </c>
      <c r="C117" s="286">
        <f>9500000</f>
        <v>9500000</v>
      </c>
      <c r="D117" s="372"/>
      <c r="E117" s="373"/>
      <c r="F117" s="374"/>
      <c r="G117" s="373">
        <v>9500000</v>
      </c>
      <c r="H117" s="375"/>
      <c r="I117" s="373"/>
      <c r="J117" s="373"/>
      <c r="K117" s="373"/>
      <c r="L117" s="373"/>
      <c r="M117" s="373"/>
      <c r="N117" s="373"/>
      <c r="O117" s="377"/>
      <c r="P117" s="95"/>
    </row>
    <row r="118" spans="1:17" s="5" customFormat="1" ht="18" customHeight="1">
      <c r="A118" s="370"/>
      <c r="B118" s="370" t="s">
        <v>145</v>
      </c>
      <c r="C118" s="286">
        <v>250000000</v>
      </c>
      <c r="D118" s="372">
        <f>11660000+9000000+1636500+443500</f>
        <v>22740000</v>
      </c>
      <c r="E118" s="373">
        <f t="shared" ref="E118:O118" si="3">11660000+9000000</f>
        <v>20660000</v>
      </c>
      <c r="F118" s="374">
        <f t="shared" si="3"/>
        <v>20660000</v>
      </c>
      <c r="G118" s="373">
        <f t="shared" si="3"/>
        <v>20660000</v>
      </c>
      <c r="H118" s="375">
        <f t="shared" si="3"/>
        <v>20660000</v>
      </c>
      <c r="I118" s="373">
        <f t="shared" si="3"/>
        <v>20660000</v>
      </c>
      <c r="J118" s="373">
        <f t="shared" si="3"/>
        <v>20660000</v>
      </c>
      <c r="K118" s="373">
        <f t="shared" si="3"/>
        <v>20660000</v>
      </c>
      <c r="L118" s="373">
        <f t="shared" si="3"/>
        <v>20660000</v>
      </c>
      <c r="M118" s="373">
        <f t="shared" si="3"/>
        <v>20660000</v>
      </c>
      <c r="N118" s="373">
        <f t="shared" si="3"/>
        <v>20660000</v>
      </c>
      <c r="O118" s="377">
        <f t="shared" si="3"/>
        <v>20660000</v>
      </c>
      <c r="P118" s="95"/>
    </row>
    <row r="119" spans="1:17" s="5" customFormat="1" ht="33" customHeight="1">
      <c r="A119" s="397">
        <v>11</v>
      </c>
      <c r="B119" s="368" t="s">
        <v>149</v>
      </c>
      <c r="C119" s="276">
        <f>SUM(C120:C121)</f>
        <v>85000000</v>
      </c>
      <c r="D119" s="371"/>
      <c r="E119" s="365"/>
      <c r="F119" s="366"/>
      <c r="G119" s="365"/>
      <c r="H119" s="367"/>
      <c r="I119" s="365"/>
      <c r="J119" s="365"/>
      <c r="K119" s="365"/>
      <c r="L119" s="365"/>
      <c r="M119" s="365"/>
      <c r="N119" s="365"/>
      <c r="O119" s="369"/>
      <c r="P119" s="95"/>
    </row>
    <row r="120" spans="1:17" s="5" customFormat="1" ht="18" customHeight="1">
      <c r="A120" s="370"/>
      <c r="B120" s="370" t="s">
        <v>150</v>
      </c>
      <c r="C120" s="287">
        <v>68000000</v>
      </c>
      <c r="D120" s="372"/>
      <c r="E120" s="373"/>
      <c r="F120" s="374"/>
      <c r="G120" s="373"/>
      <c r="H120" s="375"/>
      <c r="I120" s="373"/>
      <c r="J120" s="373">
        <f>50000000</f>
        <v>50000000</v>
      </c>
      <c r="K120" s="373"/>
      <c r="L120" s="373"/>
      <c r="M120" s="373">
        <f>18000000</f>
        <v>18000000</v>
      </c>
      <c r="N120" s="373"/>
      <c r="O120" s="377"/>
      <c r="P120" s="95"/>
    </row>
    <row r="121" spans="1:17" s="5" customFormat="1" ht="18" customHeight="1" thickBot="1">
      <c r="A121" s="370"/>
      <c r="B121" s="370" t="s">
        <v>151</v>
      </c>
      <c r="C121" s="398">
        <v>17000000</v>
      </c>
      <c r="D121" s="372"/>
      <c r="E121" s="373"/>
      <c r="F121" s="374"/>
      <c r="G121" s="373"/>
      <c r="H121" s="375"/>
      <c r="I121" s="373"/>
      <c r="J121" s="373"/>
      <c r="K121" s="373"/>
      <c r="L121" s="373"/>
      <c r="M121" s="373"/>
      <c r="N121" s="373">
        <v>17000000</v>
      </c>
      <c r="O121" s="377"/>
      <c r="P121" s="95"/>
    </row>
    <row r="122" spans="1:17" s="5" customFormat="1" ht="18" customHeight="1" thickBot="1">
      <c r="A122" s="399"/>
      <c r="B122" s="399"/>
      <c r="C122" s="17">
        <f>C87+C119</f>
        <v>1933579350</v>
      </c>
      <c r="D122" s="400">
        <f>SUM(D88:D121)</f>
        <v>197492000</v>
      </c>
      <c r="E122" s="401">
        <f t="shared" ref="E122:O122" si="4">SUM(E88:E121)</f>
        <v>410953000</v>
      </c>
      <c r="F122" s="205">
        <f t="shared" si="4"/>
        <v>143055000</v>
      </c>
      <c r="G122" s="401">
        <f t="shared" si="4"/>
        <v>124701850</v>
      </c>
      <c r="H122" s="104">
        <f t="shared" si="4"/>
        <v>85110000</v>
      </c>
      <c r="I122" s="104">
        <f t="shared" si="4"/>
        <v>322860000</v>
      </c>
      <c r="J122" s="104">
        <f t="shared" si="4"/>
        <v>144182500</v>
      </c>
      <c r="K122" s="104">
        <f t="shared" si="4"/>
        <v>20660000</v>
      </c>
      <c r="L122" s="104">
        <f t="shared" si="4"/>
        <v>88335000</v>
      </c>
      <c r="M122" s="104">
        <f t="shared" si="4"/>
        <v>336260000</v>
      </c>
      <c r="N122" s="104">
        <f t="shared" si="4"/>
        <v>39310000</v>
      </c>
      <c r="O122" s="288">
        <f t="shared" si="4"/>
        <v>20660000</v>
      </c>
      <c r="P122" s="95"/>
    </row>
    <row r="123" spans="1:17" ht="18" customHeight="1">
      <c r="A123" s="125">
        <v>12</v>
      </c>
      <c r="B123" s="168" t="s">
        <v>21</v>
      </c>
      <c r="C123" s="155">
        <v>7225000</v>
      </c>
      <c r="D123" s="178">
        <v>600000</v>
      </c>
      <c r="E123" s="96">
        <v>600000</v>
      </c>
      <c r="F123" s="202">
        <v>600000</v>
      </c>
      <c r="G123" s="96">
        <v>600000</v>
      </c>
      <c r="H123" s="202">
        <v>600000</v>
      </c>
      <c r="I123" s="96">
        <v>600000</v>
      </c>
      <c r="J123" s="164">
        <v>600000</v>
      </c>
      <c r="K123" s="96">
        <v>600000</v>
      </c>
      <c r="L123" s="96">
        <v>600000</v>
      </c>
      <c r="M123" s="96">
        <v>600000</v>
      </c>
      <c r="N123" s="96">
        <v>600000</v>
      </c>
      <c r="O123" s="165">
        <v>625000</v>
      </c>
      <c r="P123" s="73" t="s">
        <v>49</v>
      </c>
      <c r="Q123" s="28"/>
    </row>
    <row r="124" spans="1:17" ht="18" customHeight="1">
      <c r="A124" s="230">
        <v>13</v>
      </c>
      <c r="B124" s="402" t="s">
        <v>22</v>
      </c>
      <c r="C124" s="403">
        <f>SUM(C125:C129)</f>
        <v>431600000</v>
      </c>
      <c r="D124" s="343"/>
      <c r="E124" s="344"/>
      <c r="F124" s="324"/>
      <c r="G124" s="344"/>
      <c r="H124" s="324"/>
      <c r="I124" s="344"/>
      <c r="J124" s="345"/>
      <c r="K124" s="344"/>
      <c r="L124" s="344"/>
      <c r="M124" s="344"/>
      <c r="N124" s="344"/>
      <c r="O124" s="347"/>
      <c r="P124" s="241"/>
    </row>
    <row r="125" spans="1:17" ht="18" customHeight="1">
      <c r="A125" s="230"/>
      <c r="B125" s="218" t="s">
        <v>152</v>
      </c>
      <c r="C125" s="156">
        <v>15600000</v>
      </c>
      <c r="D125" s="354">
        <v>1300000</v>
      </c>
      <c r="E125" s="321">
        <v>1300000</v>
      </c>
      <c r="F125" s="187">
        <v>1300000</v>
      </c>
      <c r="G125" s="321">
        <v>1300000</v>
      </c>
      <c r="H125" s="187">
        <v>1300000</v>
      </c>
      <c r="I125" s="321">
        <v>1300000</v>
      </c>
      <c r="J125" s="85">
        <v>1300000</v>
      </c>
      <c r="K125" s="321">
        <v>1300000</v>
      </c>
      <c r="L125" s="321">
        <v>1300000</v>
      </c>
      <c r="M125" s="321">
        <v>1300000</v>
      </c>
      <c r="N125" s="321">
        <v>1300000</v>
      </c>
      <c r="O125" s="322">
        <v>1300000</v>
      </c>
      <c r="P125" s="241"/>
    </row>
    <row r="126" spans="1:17" ht="18" customHeight="1">
      <c r="A126" s="230"/>
      <c r="B126" s="218" t="s">
        <v>153</v>
      </c>
      <c r="C126" s="156">
        <v>35000000</v>
      </c>
      <c r="D126" s="354">
        <v>20000000</v>
      </c>
      <c r="E126" s="321">
        <v>2000000</v>
      </c>
      <c r="F126" s="187">
        <v>2000000</v>
      </c>
      <c r="G126" s="321">
        <v>2000000</v>
      </c>
      <c r="H126" s="187">
        <v>2000000</v>
      </c>
      <c r="I126" s="321">
        <v>2000000</v>
      </c>
      <c r="J126" s="85">
        <v>2000000</v>
      </c>
      <c r="K126" s="321">
        <v>3000000</v>
      </c>
      <c r="L126" s="321"/>
      <c r="M126" s="321"/>
      <c r="N126" s="321"/>
      <c r="O126" s="322"/>
      <c r="P126" s="241"/>
    </row>
    <row r="127" spans="1:17" ht="18" customHeight="1">
      <c r="A127" s="230"/>
      <c r="B127" s="218" t="s">
        <v>154</v>
      </c>
      <c r="C127" s="156">
        <v>285000000</v>
      </c>
      <c r="D127" s="354">
        <f>58800000-D128</f>
        <v>56400000</v>
      </c>
      <c r="E127" s="321">
        <f>30000000-E128</f>
        <v>27600000</v>
      </c>
      <c r="F127" s="187">
        <v>27120000</v>
      </c>
      <c r="G127" s="321">
        <v>27120000</v>
      </c>
      <c r="H127" s="321">
        <v>27120000</v>
      </c>
      <c r="I127" s="321">
        <v>27120000</v>
      </c>
      <c r="J127" s="321">
        <v>27120000</v>
      </c>
      <c r="K127" s="321">
        <v>27120000</v>
      </c>
      <c r="L127" s="321">
        <v>27120000</v>
      </c>
      <c r="M127" s="321">
        <v>11160000</v>
      </c>
      <c r="N127" s="321"/>
      <c r="O127" s="322"/>
      <c r="P127" s="241"/>
    </row>
    <row r="128" spans="1:17" ht="18" customHeight="1">
      <c r="A128" s="230"/>
      <c r="B128" s="404" t="s">
        <v>205</v>
      </c>
      <c r="C128" s="405">
        <v>28800000</v>
      </c>
      <c r="D128" s="406">
        <f>C128/12</f>
        <v>2400000</v>
      </c>
      <c r="E128" s="313">
        <v>2400000</v>
      </c>
      <c r="F128" s="313">
        <v>2400000</v>
      </c>
      <c r="G128" s="313">
        <v>2400000</v>
      </c>
      <c r="H128" s="313">
        <v>2400000</v>
      </c>
      <c r="I128" s="313">
        <v>2400000</v>
      </c>
      <c r="J128" s="313">
        <v>2400000</v>
      </c>
      <c r="K128" s="313">
        <v>2400000</v>
      </c>
      <c r="L128" s="313">
        <v>2400000</v>
      </c>
      <c r="M128" s="313">
        <v>2400000</v>
      </c>
      <c r="N128" s="313">
        <v>2400000</v>
      </c>
      <c r="O128" s="314">
        <v>2400000</v>
      </c>
      <c r="P128" s="241"/>
    </row>
    <row r="129" spans="1:23" ht="18" customHeight="1">
      <c r="A129" s="407"/>
      <c r="B129" s="404" t="s">
        <v>206</v>
      </c>
      <c r="C129" s="405">
        <f>67200000</f>
        <v>67200000</v>
      </c>
      <c r="D129" s="408">
        <f>C129/12</f>
        <v>5600000</v>
      </c>
      <c r="E129" s="409">
        <v>5600000</v>
      </c>
      <c r="F129" s="409">
        <v>5600000</v>
      </c>
      <c r="G129" s="409">
        <v>5600000</v>
      </c>
      <c r="H129" s="409">
        <v>5600000</v>
      </c>
      <c r="I129" s="409">
        <v>5600000</v>
      </c>
      <c r="J129" s="409">
        <v>5600000</v>
      </c>
      <c r="K129" s="409">
        <v>5600000</v>
      </c>
      <c r="L129" s="409">
        <v>5600000</v>
      </c>
      <c r="M129" s="409">
        <v>5600000</v>
      </c>
      <c r="N129" s="409">
        <v>5600000</v>
      </c>
      <c r="O129" s="410">
        <v>5600000</v>
      </c>
      <c r="P129" s="241"/>
    </row>
    <row r="130" spans="1:23" ht="18" customHeight="1">
      <c r="A130" s="407">
        <v>14</v>
      </c>
      <c r="B130" s="219" t="s">
        <v>40</v>
      </c>
      <c r="C130" s="157">
        <v>6375000</v>
      </c>
      <c r="D130" s="406">
        <v>950000</v>
      </c>
      <c r="E130" s="313"/>
      <c r="F130" s="187">
        <v>950000</v>
      </c>
      <c r="G130" s="313">
        <v>950000</v>
      </c>
      <c r="H130" s="187"/>
      <c r="I130" s="313">
        <v>950000</v>
      </c>
      <c r="J130" s="85"/>
      <c r="K130" s="313">
        <v>950000</v>
      </c>
      <c r="L130" s="313"/>
      <c r="M130" s="313">
        <v>950000</v>
      </c>
      <c r="N130" s="313">
        <v>675000</v>
      </c>
      <c r="O130" s="314"/>
      <c r="P130" s="241"/>
      <c r="W130" t="s">
        <v>28</v>
      </c>
    </row>
    <row r="131" spans="1:23" ht="18" customHeight="1">
      <c r="A131" s="407">
        <v>15</v>
      </c>
      <c r="B131" s="219" t="s">
        <v>159</v>
      </c>
      <c r="C131" s="157">
        <v>92700000</v>
      </c>
      <c r="D131" s="406"/>
      <c r="E131" s="313"/>
      <c r="F131" s="187"/>
      <c r="G131" s="313"/>
      <c r="H131" s="187"/>
      <c r="I131" s="313"/>
      <c r="J131" s="85"/>
      <c r="K131" s="313"/>
      <c r="L131" s="313"/>
      <c r="M131" s="313"/>
      <c r="N131" s="313"/>
      <c r="O131" s="314"/>
      <c r="P131" s="241"/>
    </row>
    <row r="132" spans="1:23" ht="18" customHeight="1">
      <c r="A132" s="407"/>
      <c r="B132" s="220" t="s">
        <v>161</v>
      </c>
      <c r="C132" s="158">
        <v>77400000</v>
      </c>
      <c r="D132" s="411">
        <v>6450000</v>
      </c>
      <c r="E132" s="412">
        <v>6450000</v>
      </c>
      <c r="F132" s="413">
        <v>6450000</v>
      </c>
      <c r="G132" s="412">
        <v>6450000</v>
      </c>
      <c r="H132" s="413">
        <v>6450000</v>
      </c>
      <c r="I132" s="412">
        <v>6450000</v>
      </c>
      <c r="J132" s="414">
        <v>6450000</v>
      </c>
      <c r="K132" s="412">
        <v>6450000</v>
      </c>
      <c r="L132" s="412">
        <v>6450000</v>
      </c>
      <c r="M132" s="412">
        <v>6450000</v>
      </c>
      <c r="N132" s="412">
        <v>6450000</v>
      </c>
      <c r="O132" s="415">
        <v>6450000</v>
      </c>
      <c r="P132" s="241"/>
    </row>
    <row r="133" spans="1:23" ht="18" customHeight="1">
      <c r="A133" s="407"/>
      <c r="B133" s="220" t="s">
        <v>162</v>
      </c>
      <c r="C133" s="158">
        <v>15300000</v>
      </c>
      <c r="D133" s="416">
        <v>5500000</v>
      </c>
      <c r="E133" s="417"/>
      <c r="F133" s="418"/>
      <c r="G133" s="417">
        <v>1750000</v>
      </c>
      <c r="H133" s="418"/>
      <c r="I133" s="417"/>
      <c r="J133" s="419">
        <v>4000000</v>
      </c>
      <c r="K133" s="417"/>
      <c r="L133" s="417"/>
      <c r="M133" s="417">
        <v>4050000</v>
      </c>
      <c r="N133" s="417"/>
      <c r="O133" s="420"/>
      <c r="P133" s="241"/>
    </row>
    <row r="134" spans="1:23" s="30" customFormat="1" ht="18" customHeight="1">
      <c r="A134" s="407">
        <v>16</v>
      </c>
      <c r="B134" s="219" t="s">
        <v>23</v>
      </c>
      <c r="C134" s="157">
        <f>17000000+4250000</f>
        <v>21250000</v>
      </c>
      <c r="D134" s="421"/>
      <c r="E134" s="422"/>
      <c r="F134" s="206"/>
      <c r="G134" s="422"/>
      <c r="H134" s="206"/>
      <c r="I134" s="422"/>
      <c r="J134" s="87"/>
      <c r="K134" s="422"/>
      <c r="L134" s="422"/>
      <c r="M134" s="422"/>
      <c r="N134" s="422"/>
      <c r="O134" s="423"/>
      <c r="P134" s="257"/>
    </row>
    <row r="135" spans="1:23" ht="18" customHeight="1">
      <c r="A135" s="407"/>
      <c r="B135" s="424" t="s">
        <v>167</v>
      </c>
      <c r="C135" s="159">
        <v>17000000</v>
      </c>
      <c r="D135" s="406">
        <v>1750000</v>
      </c>
      <c r="E135" s="313">
        <v>1500000</v>
      </c>
      <c r="F135" s="187">
        <v>1500000</v>
      </c>
      <c r="G135" s="313">
        <v>1750000</v>
      </c>
      <c r="H135" s="187">
        <v>1500000</v>
      </c>
      <c r="I135" s="313">
        <v>1500000</v>
      </c>
      <c r="J135" s="85">
        <v>1500000</v>
      </c>
      <c r="K135" s="313">
        <v>1500000</v>
      </c>
      <c r="L135" s="313">
        <v>1500000</v>
      </c>
      <c r="M135" s="313">
        <v>1500000</v>
      </c>
      <c r="N135" s="313">
        <v>1500000</v>
      </c>
      <c r="O135" s="314"/>
      <c r="P135" s="241"/>
    </row>
    <row r="136" spans="1:23" ht="18" customHeight="1">
      <c r="A136" s="407"/>
      <c r="B136" s="424" t="s">
        <v>168</v>
      </c>
      <c r="C136" s="159">
        <v>4250000</v>
      </c>
      <c r="D136" s="425">
        <v>2125000</v>
      </c>
      <c r="E136" s="426"/>
      <c r="F136" s="427">
        <f>D136</f>
        <v>2125000</v>
      </c>
      <c r="G136" s="313"/>
      <c r="H136" s="187"/>
      <c r="I136" s="313"/>
      <c r="J136" s="85"/>
      <c r="K136" s="313"/>
      <c r="L136" s="313"/>
      <c r="M136" s="313"/>
      <c r="N136" s="313"/>
      <c r="O136" s="314"/>
      <c r="P136" s="241"/>
    </row>
    <row r="137" spans="1:23" ht="18" customHeight="1">
      <c r="A137" s="407">
        <v>17</v>
      </c>
      <c r="B137" s="219" t="s">
        <v>38</v>
      </c>
      <c r="C137" s="157">
        <f>10200000+10200000</f>
        <v>20400000</v>
      </c>
      <c r="D137" s="406"/>
      <c r="E137" s="313"/>
      <c r="F137" s="187"/>
      <c r="G137" s="313"/>
      <c r="H137" s="187"/>
      <c r="I137" s="313"/>
      <c r="J137" s="85"/>
      <c r="K137" s="313"/>
      <c r="L137" s="313"/>
      <c r="M137" s="313"/>
      <c r="N137" s="313"/>
      <c r="O137" s="314"/>
      <c r="P137" s="241"/>
    </row>
    <row r="138" spans="1:23" ht="18" customHeight="1">
      <c r="A138" s="407"/>
      <c r="B138" s="220" t="s">
        <v>172</v>
      </c>
      <c r="C138" s="158">
        <v>10200000</v>
      </c>
      <c r="D138" s="406">
        <v>1200000</v>
      </c>
      <c r="E138" s="313">
        <v>1000000</v>
      </c>
      <c r="F138" s="187">
        <v>1000000</v>
      </c>
      <c r="G138" s="313">
        <v>1000000</v>
      </c>
      <c r="H138" s="187">
        <v>1000000</v>
      </c>
      <c r="I138" s="313">
        <v>1000000</v>
      </c>
      <c r="J138" s="85">
        <v>1000000</v>
      </c>
      <c r="K138" s="313">
        <v>1000000</v>
      </c>
      <c r="L138" s="313">
        <v>1000000</v>
      </c>
      <c r="M138" s="313">
        <v>1000000</v>
      </c>
      <c r="N138" s="313"/>
      <c r="O138" s="314"/>
      <c r="P138" s="241"/>
    </row>
    <row r="139" spans="1:23" ht="18" customHeight="1">
      <c r="A139" s="407"/>
      <c r="B139" s="220" t="s">
        <v>173</v>
      </c>
      <c r="C139" s="158">
        <v>10200000</v>
      </c>
      <c r="D139" s="428">
        <v>3400000</v>
      </c>
      <c r="E139" s="409"/>
      <c r="F139" s="429">
        <f>D139</f>
        <v>3400000</v>
      </c>
      <c r="G139" s="409"/>
      <c r="H139" s="429">
        <f>D139</f>
        <v>3400000</v>
      </c>
      <c r="I139" s="313"/>
      <c r="J139" s="85"/>
      <c r="K139" s="313"/>
      <c r="L139" s="313"/>
      <c r="M139" s="313"/>
      <c r="N139" s="313"/>
      <c r="O139" s="314"/>
      <c r="P139" s="241"/>
    </row>
    <row r="140" spans="1:23" ht="18" customHeight="1">
      <c r="A140" s="407">
        <v>18</v>
      </c>
      <c r="B140" s="219" t="s">
        <v>39</v>
      </c>
      <c r="C140" s="157">
        <v>6375000</v>
      </c>
      <c r="D140" s="406">
        <v>650000</v>
      </c>
      <c r="E140" s="313">
        <v>650000</v>
      </c>
      <c r="F140" s="187">
        <v>650000</v>
      </c>
      <c r="G140" s="313">
        <v>650000</v>
      </c>
      <c r="H140" s="187">
        <v>650000</v>
      </c>
      <c r="I140" s="313">
        <v>650000</v>
      </c>
      <c r="J140" s="85">
        <v>650000</v>
      </c>
      <c r="K140" s="313">
        <v>650000</v>
      </c>
      <c r="L140" s="313">
        <v>650000</v>
      </c>
      <c r="M140" s="313">
        <v>525000</v>
      </c>
      <c r="N140" s="313"/>
      <c r="O140" s="314"/>
      <c r="P140" s="241"/>
    </row>
    <row r="141" spans="1:23" ht="18" customHeight="1">
      <c r="A141" s="407">
        <v>19</v>
      </c>
      <c r="B141" s="219" t="s">
        <v>24</v>
      </c>
      <c r="C141" s="157">
        <v>3300000</v>
      </c>
      <c r="D141" s="406">
        <v>300000</v>
      </c>
      <c r="E141" s="313">
        <v>300000</v>
      </c>
      <c r="F141" s="187">
        <v>300000</v>
      </c>
      <c r="G141" s="313">
        <v>300000</v>
      </c>
      <c r="H141" s="187">
        <v>300000</v>
      </c>
      <c r="I141" s="313">
        <v>300000</v>
      </c>
      <c r="J141" s="85">
        <v>300000</v>
      </c>
      <c r="K141" s="313">
        <v>300000</v>
      </c>
      <c r="L141" s="313">
        <v>300000</v>
      </c>
      <c r="M141" s="313">
        <v>300000</v>
      </c>
      <c r="N141" s="313">
        <v>300000</v>
      </c>
      <c r="O141" s="314"/>
      <c r="P141" s="241"/>
    </row>
    <row r="142" spans="1:23" ht="18" customHeight="1">
      <c r="A142" s="407">
        <v>20</v>
      </c>
      <c r="B142" s="219" t="s">
        <v>158</v>
      </c>
      <c r="C142" s="157">
        <v>10625000</v>
      </c>
      <c r="D142" s="406">
        <f>C142/10</f>
        <v>1062500</v>
      </c>
      <c r="E142" s="313">
        <v>1062500</v>
      </c>
      <c r="F142" s="187">
        <v>1062500</v>
      </c>
      <c r="G142" s="313">
        <v>1062500</v>
      </c>
      <c r="H142" s="187">
        <v>1062500</v>
      </c>
      <c r="I142" s="313">
        <v>1062500</v>
      </c>
      <c r="J142" s="85">
        <v>1062500</v>
      </c>
      <c r="K142" s="85">
        <v>1062500</v>
      </c>
      <c r="L142" s="85">
        <v>1062500</v>
      </c>
      <c r="M142" s="85">
        <v>1062500</v>
      </c>
      <c r="N142" s="85"/>
      <c r="O142" s="314"/>
      <c r="P142" s="241"/>
    </row>
    <row r="143" spans="1:23" ht="18" customHeight="1">
      <c r="A143" s="407">
        <v>21</v>
      </c>
      <c r="B143" s="219" t="s">
        <v>25</v>
      </c>
      <c r="C143" s="157">
        <v>42500000</v>
      </c>
      <c r="D143" s="430"/>
      <c r="E143" s="313"/>
      <c r="F143" s="187"/>
      <c r="G143" s="313"/>
      <c r="H143" s="187"/>
      <c r="I143" s="313"/>
      <c r="J143" s="85"/>
      <c r="K143" s="313"/>
      <c r="L143" s="313"/>
      <c r="M143" s="313"/>
      <c r="N143" s="313"/>
      <c r="O143" s="314"/>
      <c r="P143" s="241"/>
    </row>
    <row r="144" spans="1:23" ht="18" customHeight="1">
      <c r="A144" s="407"/>
      <c r="B144" s="221" t="s">
        <v>169</v>
      </c>
      <c r="C144" s="160">
        <v>21250000</v>
      </c>
      <c r="D144" s="406">
        <v>2125000</v>
      </c>
      <c r="E144" s="313">
        <v>2125000</v>
      </c>
      <c r="F144" s="187">
        <v>2125000</v>
      </c>
      <c r="G144" s="313">
        <v>2125000</v>
      </c>
      <c r="H144" s="187">
        <v>2125000</v>
      </c>
      <c r="I144" s="313">
        <v>2125000</v>
      </c>
      <c r="J144" s="85">
        <v>2125000</v>
      </c>
      <c r="K144" s="313">
        <v>2125000</v>
      </c>
      <c r="L144" s="313">
        <v>2125000</v>
      </c>
      <c r="M144" s="313">
        <v>2125000</v>
      </c>
      <c r="N144" s="313"/>
      <c r="O144" s="314"/>
      <c r="P144" s="241"/>
    </row>
    <row r="145" spans="1:16" ht="27.75" customHeight="1">
      <c r="A145" s="407"/>
      <c r="B145" s="222" t="s">
        <v>170</v>
      </c>
      <c r="C145" s="160">
        <v>21250000</v>
      </c>
      <c r="D145" s="431">
        <v>3250000</v>
      </c>
      <c r="E145" s="432">
        <v>2000000</v>
      </c>
      <c r="F145" s="433">
        <v>2000000</v>
      </c>
      <c r="G145" s="432">
        <v>2000000</v>
      </c>
      <c r="H145" s="433">
        <v>2000000</v>
      </c>
      <c r="I145" s="432">
        <v>2000000</v>
      </c>
      <c r="J145" s="434">
        <v>2000000</v>
      </c>
      <c r="K145" s="432">
        <v>2000000</v>
      </c>
      <c r="L145" s="432">
        <v>2000000</v>
      </c>
      <c r="M145" s="432">
        <v>2000000</v>
      </c>
      <c r="N145" s="432"/>
      <c r="O145" s="435"/>
      <c r="P145" s="241"/>
    </row>
    <row r="146" spans="1:16" ht="18" customHeight="1">
      <c r="A146" s="407">
        <v>22</v>
      </c>
      <c r="B146" s="219" t="s">
        <v>26</v>
      </c>
      <c r="C146" s="157">
        <v>227898350</v>
      </c>
      <c r="D146" s="406">
        <v>19000000</v>
      </c>
      <c r="E146" s="313">
        <v>19000000</v>
      </c>
      <c r="F146" s="187">
        <v>20000000</v>
      </c>
      <c r="G146" s="313">
        <v>20000000</v>
      </c>
      <c r="H146" s="187">
        <v>19898350</v>
      </c>
      <c r="I146" s="313">
        <v>19000000</v>
      </c>
      <c r="J146" s="85">
        <v>19000000</v>
      </c>
      <c r="K146" s="313">
        <v>19000000</v>
      </c>
      <c r="L146" s="313">
        <v>19000000</v>
      </c>
      <c r="M146" s="313">
        <v>19000000</v>
      </c>
      <c r="N146" s="313">
        <v>19000000</v>
      </c>
      <c r="O146" s="314">
        <v>16000000</v>
      </c>
      <c r="P146" s="241"/>
    </row>
    <row r="147" spans="1:16" ht="18" customHeight="1">
      <c r="A147" s="407">
        <v>23</v>
      </c>
      <c r="B147" s="219" t="s">
        <v>27</v>
      </c>
      <c r="C147" s="157">
        <v>679369400</v>
      </c>
      <c r="D147" s="406">
        <f>49500000+8536940</f>
        <v>58036940</v>
      </c>
      <c r="E147" s="313">
        <f t="shared" ref="E147:M147" si="5">49500000+8536940</f>
        <v>58036940</v>
      </c>
      <c r="F147" s="187">
        <f t="shared" si="5"/>
        <v>58036940</v>
      </c>
      <c r="G147" s="313">
        <f t="shared" si="5"/>
        <v>58036940</v>
      </c>
      <c r="H147" s="187">
        <f t="shared" si="5"/>
        <v>58036940</v>
      </c>
      <c r="I147" s="313">
        <f t="shared" si="5"/>
        <v>58036940</v>
      </c>
      <c r="J147" s="85">
        <f t="shared" si="5"/>
        <v>58036940</v>
      </c>
      <c r="K147" s="85">
        <f t="shared" si="5"/>
        <v>58036940</v>
      </c>
      <c r="L147" s="85">
        <f t="shared" si="5"/>
        <v>58036940</v>
      </c>
      <c r="M147" s="85">
        <f t="shared" si="5"/>
        <v>58036940</v>
      </c>
      <c r="N147" s="85">
        <v>49500000</v>
      </c>
      <c r="O147" s="223">
        <v>49500000</v>
      </c>
      <c r="P147" s="241"/>
    </row>
    <row r="148" spans="1:16" ht="18" customHeight="1">
      <c r="A148" s="407">
        <v>24</v>
      </c>
      <c r="B148" s="133" t="s">
        <v>197</v>
      </c>
      <c r="C148" s="436">
        <f>SUM(C149:C150)</f>
        <v>533792000</v>
      </c>
      <c r="D148" s="406"/>
      <c r="E148" s="313"/>
      <c r="F148" s="187"/>
      <c r="G148" s="313"/>
      <c r="H148" s="187"/>
      <c r="I148" s="313"/>
      <c r="J148" s="85"/>
      <c r="K148" s="85"/>
      <c r="L148" s="85"/>
      <c r="M148" s="85"/>
      <c r="N148" s="85"/>
      <c r="O148" s="223"/>
      <c r="P148" s="241"/>
    </row>
    <row r="149" spans="1:16" ht="18" customHeight="1">
      <c r="A149" s="407"/>
      <c r="B149" s="134" t="s">
        <v>198</v>
      </c>
      <c r="C149" s="437">
        <v>183792000</v>
      </c>
      <c r="D149" s="438">
        <v>183792000</v>
      </c>
      <c r="E149" s="409"/>
      <c r="F149" s="187"/>
      <c r="G149" s="313"/>
      <c r="H149" s="187"/>
      <c r="I149" s="313"/>
      <c r="J149" s="85"/>
      <c r="K149" s="85"/>
      <c r="L149" s="85"/>
      <c r="M149" s="85"/>
      <c r="N149" s="85"/>
      <c r="O149" s="223"/>
      <c r="P149" s="241"/>
    </row>
    <row r="150" spans="1:16" ht="18" customHeight="1">
      <c r="A150" s="407"/>
      <c r="B150" s="134" t="s">
        <v>199</v>
      </c>
      <c r="C150" s="437">
        <v>350000000</v>
      </c>
      <c r="D150" s="438">
        <v>350000000</v>
      </c>
      <c r="E150" s="344"/>
      <c r="F150" s="187"/>
      <c r="G150" s="313"/>
      <c r="H150" s="187"/>
      <c r="I150" s="313"/>
      <c r="J150" s="85"/>
      <c r="K150" s="85"/>
      <c r="L150" s="85"/>
      <c r="M150" s="85"/>
      <c r="N150" s="85"/>
      <c r="O150" s="223"/>
      <c r="P150" s="241"/>
    </row>
    <row r="151" spans="1:16" ht="18" customHeight="1">
      <c r="A151" s="407">
        <v>25</v>
      </c>
      <c r="B151" s="219" t="s">
        <v>41</v>
      </c>
      <c r="C151" s="157">
        <f>SUM(C152:C156)</f>
        <v>574600000</v>
      </c>
      <c r="D151" s="406"/>
      <c r="E151" s="313"/>
      <c r="F151" s="187"/>
      <c r="G151" s="313"/>
      <c r="H151" s="187"/>
      <c r="I151" s="313"/>
      <c r="J151" s="85"/>
      <c r="K151" s="313"/>
      <c r="L151" s="313"/>
      <c r="M151" s="313"/>
      <c r="N151" s="313"/>
      <c r="O151" s="314"/>
      <c r="P151" s="241"/>
    </row>
    <row r="152" spans="1:16" ht="18" customHeight="1">
      <c r="A152" s="407"/>
      <c r="B152" s="439" t="s">
        <v>200</v>
      </c>
      <c r="C152" s="157">
        <v>37400000</v>
      </c>
      <c r="D152" s="406"/>
      <c r="E152" s="313">
        <v>37400000</v>
      </c>
      <c r="F152" s="187"/>
      <c r="G152" s="313"/>
      <c r="H152" s="187"/>
      <c r="I152" s="313"/>
      <c r="J152" s="85"/>
      <c r="K152" s="85"/>
      <c r="L152" s="85"/>
      <c r="M152" s="85"/>
      <c r="N152" s="313"/>
      <c r="O152" s="314"/>
      <c r="P152" s="241"/>
    </row>
    <row r="153" spans="1:16" ht="18" customHeight="1">
      <c r="A153" s="230"/>
      <c r="B153" s="440" t="s">
        <v>201</v>
      </c>
      <c r="C153" s="441">
        <f>11500000*5</f>
        <v>57500000</v>
      </c>
      <c r="D153" s="442">
        <f>11500000*5</f>
        <v>57500000</v>
      </c>
      <c r="E153" s="313"/>
      <c r="F153" s="443"/>
      <c r="G153" s="301"/>
      <c r="H153" s="187"/>
      <c r="I153" s="301"/>
      <c r="J153" s="85"/>
      <c r="K153" s="85"/>
      <c r="L153" s="85"/>
      <c r="M153" s="85"/>
      <c r="N153" s="301"/>
      <c r="O153" s="306"/>
      <c r="P153" s="241"/>
    </row>
    <row r="154" spans="1:16" ht="18" customHeight="1">
      <c r="A154" s="407"/>
      <c r="B154" s="440" t="s">
        <v>202</v>
      </c>
      <c r="C154" s="441">
        <f>13500000*13</f>
        <v>175500000</v>
      </c>
      <c r="D154" s="442">
        <f>13500000*13</f>
        <v>175500000</v>
      </c>
      <c r="E154" s="301"/>
      <c r="F154" s="444"/>
      <c r="G154" s="293"/>
      <c r="H154" s="187"/>
      <c r="I154" s="293"/>
      <c r="J154" s="85"/>
      <c r="K154" s="85"/>
      <c r="L154" s="85"/>
      <c r="M154" s="85"/>
      <c r="N154" s="293"/>
      <c r="O154" s="294"/>
      <c r="P154" s="241"/>
    </row>
    <row r="155" spans="1:16" ht="18" customHeight="1">
      <c r="A155" s="407"/>
      <c r="B155" s="440" t="s">
        <v>203</v>
      </c>
      <c r="C155" s="441">
        <f>17100000*2</f>
        <v>34200000</v>
      </c>
      <c r="D155" s="442">
        <f>17100000*2</f>
        <v>34200000</v>
      </c>
      <c r="E155" s="293"/>
      <c r="F155" s="291"/>
      <c r="G155" s="289"/>
      <c r="H155" s="187"/>
      <c r="I155" s="289"/>
      <c r="J155" s="85"/>
      <c r="K155" s="85"/>
      <c r="L155" s="85"/>
      <c r="M155" s="85"/>
      <c r="N155" s="289"/>
      <c r="O155" s="290"/>
      <c r="P155" s="241"/>
    </row>
    <row r="156" spans="1:16" ht="18" customHeight="1">
      <c r="A156" s="407"/>
      <c r="B156" s="440" t="s">
        <v>204</v>
      </c>
      <c r="C156" s="441">
        <f>10000000*27</f>
        <v>270000000</v>
      </c>
      <c r="D156" s="442">
        <f>10000000*27</f>
        <v>270000000</v>
      </c>
      <c r="E156" s="292"/>
      <c r="F156" s="442"/>
      <c r="G156" s="289"/>
      <c r="H156" s="187"/>
      <c r="I156" s="289"/>
      <c r="J156" s="85"/>
      <c r="K156" s="85"/>
      <c r="L156" s="85"/>
      <c r="M156" s="85"/>
      <c r="N156" s="289"/>
      <c r="O156" s="290"/>
      <c r="P156" s="241"/>
    </row>
    <row r="157" spans="1:16" ht="18" customHeight="1">
      <c r="A157" s="230">
        <v>26</v>
      </c>
      <c r="B157" s="219" t="s">
        <v>42</v>
      </c>
      <c r="C157" s="157">
        <f>SUM(C158:C160)</f>
        <v>275504000</v>
      </c>
      <c r="D157" s="445"/>
      <c r="E157" s="289"/>
      <c r="F157" s="187"/>
      <c r="G157" s="289"/>
      <c r="H157" s="187"/>
      <c r="I157" s="289"/>
      <c r="J157" s="85"/>
      <c r="K157" s="85"/>
      <c r="L157" s="85"/>
      <c r="M157" s="85"/>
      <c r="N157" s="289"/>
      <c r="O157" s="290"/>
      <c r="P157" s="241"/>
    </row>
    <row r="158" spans="1:16" ht="18" customHeight="1">
      <c r="A158" s="230"/>
      <c r="B158" s="134" t="s">
        <v>207</v>
      </c>
      <c r="C158" s="446">
        <v>25000000</v>
      </c>
      <c r="D158" s="445">
        <v>2500000</v>
      </c>
      <c r="E158" s="289">
        <v>2500000</v>
      </c>
      <c r="F158" s="187">
        <v>2500000</v>
      </c>
      <c r="G158" s="289">
        <v>2500000</v>
      </c>
      <c r="H158" s="187">
        <v>2500000</v>
      </c>
      <c r="I158" s="289">
        <v>2500000</v>
      </c>
      <c r="J158" s="85">
        <v>2500000</v>
      </c>
      <c r="K158" s="85">
        <v>2500000</v>
      </c>
      <c r="L158" s="85">
        <v>2500000</v>
      </c>
      <c r="M158" s="85">
        <v>2500000</v>
      </c>
      <c r="N158" s="289"/>
      <c r="O158" s="290"/>
      <c r="P158" s="241"/>
    </row>
    <row r="159" spans="1:16" ht="18" customHeight="1" thickBot="1">
      <c r="A159" s="234"/>
      <c r="B159" s="447" t="s">
        <v>208</v>
      </c>
      <c r="C159" s="229">
        <v>120904000</v>
      </c>
      <c r="D159" s="349">
        <f>C159/10</f>
        <v>12090400</v>
      </c>
      <c r="E159" s="350">
        <v>12090400</v>
      </c>
      <c r="F159" s="351">
        <v>12090400</v>
      </c>
      <c r="G159" s="350">
        <v>12090400</v>
      </c>
      <c r="H159" s="351">
        <v>12090400</v>
      </c>
      <c r="I159" s="350">
        <v>12090400</v>
      </c>
      <c r="J159" s="351">
        <v>12090400</v>
      </c>
      <c r="K159" s="351">
        <v>12090400</v>
      </c>
      <c r="L159" s="351">
        <v>12090400</v>
      </c>
      <c r="M159" s="351">
        <v>12090400</v>
      </c>
      <c r="N159" s="350"/>
      <c r="O159" s="448"/>
      <c r="P159" s="75"/>
    </row>
    <row r="160" spans="1:16" ht="18" customHeight="1">
      <c r="A160" s="232"/>
      <c r="B160" s="385" t="s">
        <v>209</v>
      </c>
      <c r="C160" s="386">
        <f>129600000</f>
        <v>129600000</v>
      </c>
      <c r="D160" s="387">
        <f>C160/12</f>
        <v>10800000</v>
      </c>
      <c r="E160" s="235">
        <v>10800000</v>
      </c>
      <c r="F160" s="388">
        <v>10800000</v>
      </c>
      <c r="G160" s="235">
        <v>10800000</v>
      </c>
      <c r="H160" s="388">
        <v>10800000</v>
      </c>
      <c r="I160" s="235">
        <v>10800000</v>
      </c>
      <c r="J160" s="388">
        <v>10800000</v>
      </c>
      <c r="K160" s="388">
        <v>10800000</v>
      </c>
      <c r="L160" s="388">
        <v>10800000</v>
      </c>
      <c r="M160" s="388">
        <v>10800000</v>
      </c>
      <c r="N160" s="388">
        <v>10800000</v>
      </c>
      <c r="O160" s="389">
        <v>10800000</v>
      </c>
      <c r="P160" s="241"/>
    </row>
    <row r="161" spans="1:16" ht="18" customHeight="1">
      <c r="A161" s="230">
        <v>27</v>
      </c>
      <c r="B161" s="219" t="s">
        <v>155</v>
      </c>
      <c r="C161" s="157">
        <v>135065000</v>
      </c>
      <c r="D161" s="173">
        <v>12150000</v>
      </c>
      <c r="E161" s="86">
        <v>17650000</v>
      </c>
      <c r="F161" s="187">
        <v>12150000</v>
      </c>
      <c r="G161" s="86">
        <v>12150000</v>
      </c>
      <c r="H161" s="187">
        <v>14150000</v>
      </c>
      <c r="I161" s="86">
        <v>12650000</v>
      </c>
      <c r="J161" s="85">
        <v>11990000</v>
      </c>
      <c r="K161" s="293">
        <v>11650000</v>
      </c>
      <c r="L161" s="293">
        <v>10650000</v>
      </c>
      <c r="M161" s="293">
        <v>10525000</v>
      </c>
      <c r="N161" s="293">
        <f>9050000+300000</f>
        <v>9350000</v>
      </c>
      <c r="O161" s="294"/>
      <c r="P161" s="241"/>
    </row>
    <row r="162" spans="1:16" ht="18" customHeight="1">
      <c r="A162" s="230">
        <v>28</v>
      </c>
      <c r="B162" s="219" t="s">
        <v>43</v>
      </c>
      <c r="C162" s="157">
        <v>12750000</v>
      </c>
      <c r="D162" s="173">
        <v>1750000</v>
      </c>
      <c r="E162" s="86">
        <v>1000000</v>
      </c>
      <c r="F162" s="187">
        <v>1000000</v>
      </c>
      <c r="G162" s="86">
        <v>1000000</v>
      </c>
      <c r="H162" s="187">
        <v>1000000</v>
      </c>
      <c r="I162" s="86">
        <v>1000000</v>
      </c>
      <c r="J162" s="85">
        <v>1000000</v>
      </c>
      <c r="K162" s="293">
        <v>1000000</v>
      </c>
      <c r="L162" s="293">
        <v>1000000</v>
      </c>
      <c r="M162" s="293">
        <v>1000000</v>
      </c>
      <c r="N162" s="293">
        <v>1000000</v>
      </c>
      <c r="O162" s="294">
        <v>1000000</v>
      </c>
      <c r="P162" s="241"/>
    </row>
    <row r="163" spans="1:16" ht="18" customHeight="1">
      <c r="A163" s="230">
        <v>29</v>
      </c>
      <c r="B163" s="219" t="s">
        <v>156</v>
      </c>
      <c r="C163" s="157">
        <v>6375000</v>
      </c>
      <c r="D163" s="173"/>
      <c r="E163" s="86"/>
      <c r="F163" s="187">
        <v>6375000</v>
      </c>
      <c r="G163" s="86"/>
      <c r="H163" s="187"/>
      <c r="I163" s="86"/>
      <c r="J163" s="85"/>
      <c r="K163" s="293"/>
      <c r="L163" s="293"/>
      <c r="M163" s="293"/>
      <c r="N163" s="293"/>
      <c r="O163" s="294"/>
      <c r="P163" s="241"/>
    </row>
    <row r="164" spans="1:16" ht="18" customHeight="1">
      <c r="A164" s="230">
        <v>30</v>
      </c>
      <c r="B164" s="219" t="s">
        <v>157</v>
      </c>
      <c r="C164" s="157">
        <v>24548000</v>
      </c>
      <c r="D164" s="295"/>
      <c r="E164" s="248">
        <f>1861500+1500000</f>
        <v>3361500</v>
      </c>
      <c r="F164" s="296">
        <f>4052000-1500000</f>
        <v>2552000</v>
      </c>
      <c r="G164" s="248">
        <v>1861500</v>
      </c>
      <c r="H164" s="296"/>
      <c r="I164" s="248">
        <v>13411500</v>
      </c>
      <c r="J164" s="297">
        <v>1500000</v>
      </c>
      <c r="K164" s="248">
        <f>3361500-1500000</f>
        <v>1861500</v>
      </c>
      <c r="L164" s="248"/>
      <c r="M164" s="248"/>
      <c r="N164" s="248"/>
      <c r="O164" s="298"/>
      <c r="P164" s="241"/>
    </row>
    <row r="165" spans="1:16" ht="18" customHeight="1">
      <c r="A165" s="230">
        <v>31</v>
      </c>
      <c r="B165" s="299" t="s">
        <v>191</v>
      </c>
      <c r="C165" s="300">
        <v>151200000</v>
      </c>
      <c r="D165" s="173">
        <f>C165/12</f>
        <v>12600000</v>
      </c>
      <c r="E165" s="86">
        <v>12600000</v>
      </c>
      <c r="F165" s="187">
        <v>12600000</v>
      </c>
      <c r="G165" s="86">
        <v>12600000</v>
      </c>
      <c r="H165" s="187">
        <v>12600000</v>
      </c>
      <c r="I165" s="86">
        <v>12600000</v>
      </c>
      <c r="J165" s="85">
        <v>12600000</v>
      </c>
      <c r="K165" s="301">
        <v>12600000</v>
      </c>
      <c r="L165" s="301">
        <v>12600000</v>
      </c>
      <c r="M165" s="301">
        <v>12600000</v>
      </c>
      <c r="N165" s="301">
        <v>12600000</v>
      </c>
      <c r="O165" s="302">
        <v>12600000</v>
      </c>
      <c r="P165" s="241"/>
    </row>
    <row r="166" spans="1:16" ht="18" customHeight="1">
      <c r="A166" s="230">
        <v>32</v>
      </c>
      <c r="B166" s="303" t="s">
        <v>192</v>
      </c>
      <c r="C166" s="304">
        <v>104157500</v>
      </c>
      <c r="D166" s="173"/>
      <c r="E166" s="86">
        <f>C166/5</f>
        <v>20831500</v>
      </c>
      <c r="F166" s="187"/>
      <c r="G166" s="86">
        <f>E166</f>
        <v>20831500</v>
      </c>
      <c r="H166" s="187"/>
      <c r="I166" s="86">
        <f>G166</f>
        <v>20831500</v>
      </c>
      <c r="J166" s="85"/>
      <c r="K166" s="305">
        <f>I166</f>
        <v>20831500</v>
      </c>
      <c r="L166" s="305"/>
      <c r="M166" s="305">
        <f>K166</f>
        <v>20831500</v>
      </c>
      <c r="N166" s="305"/>
      <c r="O166" s="306"/>
      <c r="P166" s="241"/>
    </row>
    <row r="167" spans="1:16" ht="18" customHeight="1">
      <c r="A167" s="230">
        <v>33</v>
      </c>
      <c r="B167" s="307" t="s">
        <v>193</v>
      </c>
      <c r="C167" s="308">
        <v>10800000</v>
      </c>
      <c r="D167" s="173">
        <f>C167/12</f>
        <v>900000</v>
      </c>
      <c r="E167" s="86">
        <v>900000</v>
      </c>
      <c r="F167" s="187">
        <v>900000</v>
      </c>
      <c r="G167" s="86">
        <v>900000</v>
      </c>
      <c r="H167" s="187">
        <v>900000</v>
      </c>
      <c r="I167" s="86">
        <v>900000</v>
      </c>
      <c r="J167" s="85">
        <v>900000</v>
      </c>
      <c r="K167" s="309">
        <v>900000</v>
      </c>
      <c r="L167" s="309">
        <v>900000</v>
      </c>
      <c r="M167" s="309">
        <v>900000</v>
      </c>
      <c r="N167" s="309">
        <v>900000</v>
      </c>
      <c r="O167" s="310">
        <v>900000</v>
      </c>
      <c r="P167" s="241"/>
    </row>
    <row r="168" spans="1:16" ht="18" customHeight="1">
      <c r="A168" s="230">
        <v>34</v>
      </c>
      <c r="B168" s="311" t="s">
        <v>194</v>
      </c>
      <c r="C168" s="312">
        <v>34728500</v>
      </c>
      <c r="D168" s="173">
        <f>C168/10</f>
        <v>3472850</v>
      </c>
      <c r="E168" s="86">
        <v>3472850</v>
      </c>
      <c r="F168" s="187">
        <v>3472850</v>
      </c>
      <c r="G168" s="86">
        <v>3472850</v>
      </c>
      <c r="H168" s="187">
        <v>3472850</v>
      </c>
      <c r="I168" s="86">
        <v>3472850</v>
      </c>
      <c r="J168" s="85">
        <v>3472850</v>
      </c>
      <c r="K168" s="313">
        <v>3472850</v>
      </c>
      <c r="L168" s="313">
        <v>3472850</v>
      </c>
      <c r="M168" s="313">
        <v>3472850</v>
      </c>
      <c r="N168" s="313"/>
      <c r="O168" s="314"/>
      <c r="P168" s="241"/>
    </row>
    <row r="169" spans="1:16" ht="18" customHeight="1">
      <c r="A169" s="230">
        <v>35</v>
      </c>
      <c r="B169" s="315" t="s">
        <v>195</v>
      </c>
      <c r="C169" s="316">
        <v>31500000</v>
      </c>
      <c r="D169" s="173"/>
      <c r="E169" s="86"/>
      <c r="F169" s="187">
        <f>C169</f>
        <v>31500000</v>
      </c>
      <c r="G169" s="86"/>
      <c r="H169" s="187"/>
      <c r="I169" s="86"/>
      <c r="J169" s="85"/>
      <c r="K169" s="317"/>
      <c r="L169" s="317"/>
      <c r="M169" s="317"/>
      <c r="N169" s="317"/>
      <c r="O169" s="318"/>
      <c r="P169" s="241"/>
    </row>
    <row r="170" spans="1:16" ht="18" customHeight="1">
      <c r="A170" s="230">
        <v>36</v>
      </c>
      <c r="B170" s="319" t="s">
        <v>196</v>
      </c>
      <c r="C170" s="320">
        <v>65250000</v>
      </c>
      <c r="D170" s="173"/>
      <c r="E170" s="86"/>
      <c r="F170" s="187">
        <v>32625000</v>
      </c>
      <c r="G170" s="86"/>
      <c r="H170" s="187"/>
      <c r="I170" s="86">
        <f>F170</f>
        <v>32625000</v>
      </c>
      <c r="J170" s="85"/>
      <c r="K170" s="321"/>
      <c r="L170" s="321"/>
      <c r="M170" s="321"/>
      <c r="N170" s="321"/>
      <c r="O170" s="322"/>
      <c r="P170" s="241"/>
    </row>
    <row r="171" spans="1:16" ht="18" customHeight="1">
      <c r="A171" s="230">
        <v>37</v>
      </c>
      <c r="B171" s="219" t="s">
        <v>44</v>
      </c>
      <c r="C171" s="161">
        <v>165750000</v>
      </c>
      <c r="D171" s="173"/>
      <c r="E171" s="86"/>
      <c r="F171" s="187"/>
      <c r="G171" s="86">
        <f>C171</f>
        <v>165750000</v>
      </c>
      <c r="H171" s="187"/>
      <c r="I171" s="86"/>
      <c r="J171" s="85"/>
      <c r="K171" s="321"/>
      <c r="L171" s="321"/>
      <c r="M171" s="321"/>
      <c r="N171" s="321"/>
      <c r="O171" s="322"/>
      <c r="P171" s="258"/>
    </row>
    <row r="172" spans="1:16" ht="18" customHeight="1" thickBot="1">
      <c r="A172" s="230">
        <v>38</v>
      </c>
      <c r="B172" s="225" t="s">
        <v>160</v>
      </c>
      <c r="C172" s="162">
        <v>42500000</v>
      </c>
      <c r="D172" s="323">
        <v>300000</v>
      </c>
      <c r="E172" s="86">
        <v>1100000</v>
      </c>
      <c r="F172" s="324">
        <v>8404600</v>
      </c>
      <c r="G172" s="86">
        <v>1100000</v>
      </c>
      <c r="H172" s="187">
        <v>3100000</v>
      </c>
      <c r="I172" s="86">
        <v>10136400</v>
      </c>
      <c r="J172" s="85">
        <v>2300000</v>
      </c>
      <c r="K172" s="321">
        <v>7459000</v>
      </c>
      <c r="L172" s="321">
        <v>2900000</v>
      </c>
      <c r="M172" s="321">
        <v>4500000</v>
      </c>
      <c r="N172" s="321">
        <v>300000</v>
      </c>
      <c r="O172" s="322">
        <v>900000</v>
      </c>
      <c r="P172" s="241"/>
    </row>
    <row r="173" spans="1:16" ht="18" customHeight="1" thickBot="1">
      <c r="A173" s="325"/>
      <c r="B173" s="326"/>
      <c r="C173" s="167">
        <f>C123+C124+C130+C131+C134+C137+C140+C141+C142+C143+C146+C147+C148+C151+C157+C161+C162+C163+C164+C165+C166+C167+C168+C169+C170+C171+C172</f>
        <v>3718137750</v>
      </c>
      <c r="D173" s="327">
        <f>SUM(D123:D172)</f>
        <v>1319654690</v>
      </c>
      <c r="E173" s="328">
        <f t="shared" ref="E173:O173" si="6">SUM(E123:E172)</f>
        <v>255330690</v>
      </c>
      <c r="F173" s="329">
        <f t="shared" si="6"/>
        <v>275589290</v>
      </c>
      <c r="G173" s="328">
        <f t="shared" si="6"/>
        <v>380150690</v>
      </c>
      <c r="H173" s="329">
        <f t="shared" si="6"/>
        <v>196056040</v>
      </c>
      <c r="I173" s="328">
        <f t="shared" si="6"/>
        <v>265112090</v>
      </c>
      <c r="J173" s="330">
        <f t="shared" si="6"/>
        <v>194297690</v>
      </c>
      <c r="K173" s="330">
        <f t="shared" si="6"/>
        <v>218259690</v>
      </c>
      <c r="L173" s="330">
        <f t="shared" si="6"/>
        <v>186057690</v>
      </c>
      <c r="M173" s="330">
        <f t="shared" si="6"/>
        <v>197279190</v>
      </c>
      <c r="N173" s="330">
        <f t="shared" si="6"/>
        <v>122275000</v>
      </c>
      <c r="O173" s="331">
        <f t="shared" si="6"/>
        <v>108075000</v>
      </c>
      <c r="P173" s="259"/>
    </row>
    <row r="174" spans="1:16" ht="18" customHeight="1">
      <c r="A174" s="163">
        <v>39</v>
      </c>
      <c r="B174" s="78" t="s">
        <v>166</v>
      </c>
      <c r="C174" s="103">
        <v>400000000</v>
      </c>
      <c r="D174" s="243">
        <v>60000000</v>
      </c>
      <c r="E174" s="96">
        <v>60000000</v>
      </c>
      <c r="F174" s="202">
        <v>50000000</v>
      </c>
      <c r="G174" s="96">
        <v>50000000</v>
      </c>
      <c r="H174" s="164">
        <v>40000000</v>
      </c>
      <c r="I174" s="164">
        <v>40000000</v>
      </c>
      <c r="J174" s="164">
        <v>30000000</v>
      </c>
      <c r="K174" s="164">
        <v>30000000</v>
      </c>
      <c r="L174" s="164">
        <v>20000000</v>
      </c>
      <c r="M174" s="164">
        <v>20000000</v>
      </c>
      <c r="N174" s="96"/>
      <c r="O174" s="165"/>
      <c r="P174" s="73" t="s">
        <v>56</v>
      </c>
    </row>
    <row r="175" spans="1:16" ht="18" customHeight="1">
      <c r="A175" s="332"/>
      <c r="B175" s="333"/>
      <c r="C175" s="334"/>
      <c r="D175" s="335"/>
      <c r="E175" s="336"/>
      <c r="F175" s="337"/>
      <c r="G175" s="336"/>
      <c r="H175" s="338"/>
      <c r="I175" s="336"/>
      <c r="J175" s="336"/>
      <c r="K175" s="336"/>
      <c r="L175" s="336"/>
      <c r="M175" s="336"/>
      <c r="N175" s="336"/>
      <c r="O175" s="339"/>
      <c r="P175" s="241"/>
    </row>
    <row r="176" spans="1:16" ht="18" customHeight="1" thickBot="1">
      <c r="A176" s="340"/>
      <c r="B176" s="99"/>
      <c r="C176" s="84">
        <f t="shared" ref="C176:O176" si="7">C34+C64+C86+C122+C173+C174</f>
        <v>12058578000</v>
      </c>
      <c r="D176" s="244">
        <f t="shared" si="7"/>
        <v>2377576790</v>
      </c>
      <c r="E176" s="245">
        <f t="shared" si="7"/>
        <v>1233758690</v>
      </c>
      <c r="F176" s="246">
        <f t="shared" si="7"/>
        <v>1213260990</v>
      </c>
      <c r="G176" s="247">
        <f t="shared" si="7"/>
        <v>1010478540</v>
      </c>
      <c r="H176" s="245">
        <f t="shared" si="7"/>
        <v>625475540</v>
      </c>
      <c r="I176" s="245">
        <f t="shared" si="7"/>
        <v>1416596340</v>
      </c>
      <c r="J176" s="245">
        <f t="shared" si="7"/>
        <v>772454190</v>
      </c>
      <c r="K176" s="245">
        <f t="shared" si="7"/>
        <v>736852890</v>
      </c>
      <c r="L176" s="245">
        <f t="shared" si="7"/>
        <v>881273190</v>
      </c>
      <c r="M176" s="245">
        <f t="shared" si="7"/>
        <v>980328190</v>
      </c>
      <c r="N176" s="245">
        <f t="shared" si="7"/>
        <v>516727650</v>
      </c>
      <c r="O176" s="341">
        <f t="shared" si="7"/>
        <v>293795000</v>
      </c>
      <c r="P176" s="260"/>
    </row>
    <row r="177" spans="1:23" ht="18" customHeight="1" thickBot="1">
      <c r="A177" s="226"/>
      <c r="B177" s="758" t="s">
        <v>57</v>
      </c>
      <c r="C177" s="759"/>
      <c r="D177" s="760">
        <f>D176+E176+F176</f>
        <v>4824596470</v>
      </c>
      <c r="E177" s="761"/>
      <c r="F177" s="762"/>
      <c r="G177" s="760">
        <f>G176+H176+I176</f>
        <v>3052550420</v>
      </c>
      <c r="H177" s="763"/>
      <c r="I177" s="764"/>
      <c r="J177" s="760">
        <f>J176+K176+L176</f>
        <v>2390580270</v>
      </c>
      <c r="K177" s="763"/>
      <c r="L177" s="764"/>
      <c r="M177" s="760">
        <f>M176+N176+O176</f>
        <v>1790850840</v>
      </c>
      <c r="N177" s="763"/>
      <c r="O177" s="764"/>
      <c r="P177" s="260"/>
    </row>
    <row r="178" spans="1:23" ht="18" customHeight="1">
      <c r="A178" s="22"/>
      <c r="B178" s="33"/>
      <c r="C178" s="33"/>
      <c r="D178" s="34"/>
      <c r="E178" s="34"/>
      <c r="F178" s="34"/>
      <c r="G178" s="34"/>
      <c r="H178" s="35"/>
      <c r="I178" s="35"/>
      <c r="J178" s="34"/>
      <c r="K178" s="35"/>
      <c r="L178" s="35"/>
      <c r="M178" s="34"/>
      <c r="N178" s="35"/>
      <c r="O178" s="35"/>
      <c r="P178" s="23"/>
    </row>
    <row r="179" spans="1:23" ht="15.75">
      <c r="M179" s="70"/>
      <c r="N179" s="71" t="s">
        <v>174</v>
      </c>
      <c r="O179" s="70"/>
    </row>
    <row r="180" spans="1:23" ht="15.75">
      <c r="M180" s="70"/>
      <c r="N180" s="71" t="s">
        <v>29</v>
      </c>
      <c r="O180" s="70"/>
    </row>
    <row r="181" spans="1:23" ht="15.75">
      <c r="M181" s="70"/>
      <c r="N181" s="71"/>
      <c r="O181" s="70"/>
    </row>
    <row r="182" spans="1:23" ht="15.75">
      <c r="M182" s="70"/>
      <c r="N182" s="71"/>
      <c r="O182" s="70"/>
    </row>
    <row r="183" spans="1:23" ht="15.75">
      <c r="B183" s="28"/>
      <c r="C183" s="29"/>
      <c r="M183" s="70"/>
      <c r="N183" s="71"/>
      <c r="O183" s="70"/>
    </row>
    <row r="184" spans="1:23" ht="15.75">
      <c r="B184" s="21"/>
      <c r="C184" s="29"/>
      <c r="M184" s="70"/>
      <c r="N184" s="71"/>
      <c r="O184" s="70"/>
    </row>
    <row r="185" spans="1:23" s="8" customFormat="1" ht="15.75">
      <c r="A185"/>
      <c r="B185"/>
      <c r="C185" s="29"/>
      <c r="D185" s="19"/>
      <c r="E185" s="19"/>
      <c r="F185" s="19" t="s">
        <v>28</v>
      </c>
      <c r="G185" s="19"/>
      <c r="H185" s="19"/>
      <c r="I185" s="19"/>
      <c r="J185" s="19"/>
      <c r="K185" s="19"/>
      <c r="L185" s="19"/>
      <c r="M185" s="70"/>
      <c r="N185" s="72" t="s">
        <v>164</v>
      </c>
      <c r="O185" s="70"/>
      <c r="P185"/>
      <c r="Q185"/>
      <c r="R185"/>
      <c r="S185"/>
      <c r="T185"/>
      <c r="U185"/>
      <c r="V185"/>
      <c r="W185"/>
    </row>
    <row r="186" spans="1:23" s="8" customFormat="1" ht="15.75">
      <c r="A186"/>
      <c r="B186" s="24"/>
      <c r="C186" s="26"/>
      <c r="D186" s="19"/>
      <c r="E186" s="19"/>
      <c r="F186" s="19"/>
      <c r="G186" s="19"/>
      <c r="H186" s="19"/>
      <c r="I186" s="19"/>
      <c r="J186" s="19"/>
      <c r="K186" s="19"/>
      <c r="L186" s="19"/>
      <c r="M186" s="70"/>
      <c r="N186" s="71" t="s">
        <v>30</v>
      </c>
      <c r="O186" s="70"/>
      <c r="P186"/>
      <c r="Q186"/>
      <c r="R186"/>
      <c r="S186"/>
      <c r="T186"/>
      <c r="U186"/>
      <c r="V186"/>
      <c r="W186"/>
    </row>
    <row r="187" spans="1:23" s="8" customFormat="1" ht="15.75">
      <c r="A187"/>
      <c r="B187"/>
      <c r="C187" s="26"/>
      <c r="D187" s="19"/>
      <c r="E187" s="19"/>
      <c r="F187" s="19"/>
      <c r="G187" s="19"/>
      <c r="H187" s="19"/>
      <c r="I187" s="19"/>
      <c r="J187" s="19"/>
      <c r="K187" s="19"/>
      <c r="L187" s="19"/>
      <c r="M187" s="70"/>
      <c r="N187" s="71" t="s">
        <v>175</v>
      </c>
      <c r="O187" s="70"/>
      <c r="P187"/>
      <c r="Q187"/>
      <c r="R187"/>
      <c r="S187"/>
      <c r="T187"/>
      <c r="U187"/>
      <c r="V187"/>
      <c r="W187"/>
    </row>
  </sheetData>
  <mergeCells count="9">
    <mergeCell ref="A5:A6"/>
    <mergeCell ref="B5:B6"/>
    <mergeCell ref="D5:O5"/>
    <mergeCell ref="P5:P6"/>
    <mergeCell ref="B177:C177"/>
    <mergeCell ref="D177:F177"/>
    <mergeCell ref="G177:I177"/>
    <mergeCell ref="J177:L177"/>
    <mergeCell ref="M177:O177"/>
  </mergeCells>
  <pageMargins left="1.4960629921259843" right="0.19685039370078741" top="0.74803149606299213" bottom="0.74803149606299213" header="0.31496062992125984" footer="0.31496062992125984"/>
  <pageSetup paperSize="5" scale="52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tabSelected="1" view="pageBreakPreview" zoomScale="83" zoomScaleNormal="82" zoomScaleSheetLayoutView="83" workbookViewId="0">
      <selection activeCell="P189" sqref="P189"/>
    </sheetView>
  </sheetViews>
  <sheetFormatPr defaultRowHeight="15"/>
  <cols>
    <col min="1" max="1" width="4.7109375" customWidth="1"/>
    <col min="2" max="2" width="56.5703125" customWidth="1"/>
    <col min="3" max="3" width="16.7109375" customWidth="1"/>
    <col min="4" max="4" width="4.42578125" style="8" customWidth="1"/>
    <col min="5" max="5" width="4.5703125" style="8" customWidth="1"/>
    <col min="6" max="6" width="5" style="8" customWidth="1"/>
    <col min="7" max="7" width="4.85546875" style="8" customWidth="1"/>
    <col min="8" max="8" width="5.140625" style="8" customWidth="1"/>
    <col min="9" max="10" width="5" style="8" customWidth="1"/>
    <col min="11" max="11" width="4.7109375" style="8" customWidth="1"/>
    <col min="12" max="12" width="5" style="8" customWidth="1"/>
    <col min="13" max="13" width="4.5703125" style="8" customWidth="1"/>
    <col min="14" max="14" width="4.28515625" style="8" customWidth="1"/>
    <col min="15" max="15" width="4.42578125" style="8" customWidth="1"/>
    <col min="16" max="16" width="26.42578125" customWidth="1"/>
    <col min="17" max="17" width="10.28515625" bestFit="1" customWidth="1"/>
    <col min="18" max="18" width="14.5703125" bestFit="1" customWidth="1"/>
    <col min="19" max="19" width="15.28515625" bestFit="1" customWidth="1"/>
  </cols>
  <sheetData>
    <row r="1" spans="1:19" ht="18.75">
      <c r="A1" s="2" t="s">
        <v>0</v>
      </c>
      <c r="B1" s="1"/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</row>
    <row r="2" spans="1:19" ht="23.25">
      <c r="A2" s="3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9" ht="15.75">
      <c r="A3" s="1" t="s">
        <v>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</row>
    <row r="4" spans="1:19" ht="15.75" thickBot="1">
      <c r="B4" s="8"/>
      <c r="C4" s="8"/>
    </row>
    <row r="5" spans="1:19" ht="18" customHeight="1" thickBot="1">
      <c r="A5" s="748" t="s">
        <v>1</v>
      </c>
      <c r="B5" s="750" t="s">
        <v>2</v>
      </c>
      <c r="C5" s="152" t="s">
        <v>3</v>
      </c>
      <c r="D5" s="752" t="s">
        <v>4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4"/>
      <c r="P5" s="748" t="s">
        <v>5</v>
      </c>
    </row>
    <row r="6" spans="1:19" ht="18" customHeight="1" thickBot="1">
      <c r="A6" s="749"/>
      <c r="B6" s="751"/>
      <c r="C6" s="153" t="s">
        <v>6</v>
      </c>
      <c r="D6" s="43" t="s">
        <v>7</v>
      </c>
      <c r="E6" s="9" t="s">
        <v>8</v>
      </c>
      <c r="F6" s="9" t="s">
        <v>9</v>
      </c>
      <c r="G6" s="9" t="s">
        <v>17</v>
      </c>
      <c r="H6" s="9" t="s">
        <v>18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56" t="s">
        <v>16</v>
      </c>
      <c r="P6" s="749"/>
    </row>
    <row r="7" spans="1:19" s="4" customFormat="1" ht="18" customHeight="1">
      <c r="A7" s="122">
        <v>1</v>
      </c>
      <c r="B7" s="118" t="s">
        <v>36</v>
      </c>
      <c r="C7" s="52">
        <f>SUM(C8:C16)</f>
        <v>1554336000</v>
      </c>
      <c r="D7" s="47"/>
      <c r="E7" s="10"/>
      <c r="F7" s="10"/>
      <c r="G7" s="10"/>
      <c r="H7" s="10"/>
      <c r="I7" s="10"/>
      <c r="J7" s="10"/>
      <c r="K7" s="10"/>
      <c r="L7" s="10"/>
      <c r="M7" s="10"/>
      <c r="N7" s="10"/>
      <c r="O7" s="57"/>
      <c r="P7" s="250" t="s">
        <v>19</v>
      </c>
    </row>
    <row r="8" spans="1:19" s="5" customFormat="1" ht="18" customHeight="1">
      <c r="A8" s="581"/>
      <c r="B8" s="481" t="s">
        <v>34</v>
      </c>
      <c r="C8" s="53">
        <v>17000000</v>
      </c>
      <c r="D8" s="582"/>
      <c r="E8" s="583"/>
      <c r="F8" s="583"/>
      <c r="G8" s="583"/>
      <c r="H8" s="583"/>
      <c r="I8" s="584"/>
      <c r="J8" s="584"/>
      <c r="K8" s="584"/>
      <c r="L8" s="584"/>
      <c r="M8" s="584"/>
      <c r="N8" s="584"/>
      <c r="O8" s="450"/>
      <c r="P8" s="249" t="s">
        <v>210</v>
      </c>
    </row>
    <row r="9" spans="1:19" s="5" customFormat="1" ht="18" customHeight="1">
      <c r="A9" s="114"/>
      <c r="B9" s="481" t="s">
        <v>61</v>
      </c>
      <c r="C9" s="53">
        <v>17000000</v>
      </c>
      <c r="D9" s="582"/>
      <c r="E9" s="584"/>
      <c r="F9" s="583"/>
      <c r="G9" s="584"/>
      <c r="H9" s="584"/>
      <c r="I9" s="584"/>
      <c r="J9" s="584"/>
      <c r="K9" s="584"/>
      <c r="L9" s="584"/>
      <c r="M9" s="584"/>
      <c r="N9" s="584"/>
      <c r="O9" s="450"/>
      <c r="P9" s="64" t="s">
        <v>211</v>
      </c>
    </row>
    <row r="10" spans="1:19" s="5" customFormat="1" ht="18" customHeight="1">
      <c r="A10" s="114"/>
      <c r="B10" s="585" t="s">
        <v>176</v>
      </c>
      <c r="C10" s="53">
        <v>213580000</v>
      </c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7"/>
      <c r="O10" s="587"/>
      <c r="P10" s="64" t="s">
        <v>212</v>
      </c>
    </row>
    <row r="11" spans="1:19" s="5" customFormat="1" ht="18" customHeight="1">
      <c r="A11" s="114"/>
      <c r="B11" s="585" t="s">
        <v>177</v>
      </c>
      <c r="C11" s="588">
        <v>325920000</v>
      </c>
      <c r="D11" s="589"/>
      <c r="E11" s="590"/>
      <c r="F11" s="591"/>
      <c r="G11" s="590"/>
      <c r="H11" s="592"/>
      <c r="I11" s="590"/>
      <c r="J11" s="518"/>
      <c r="K11" s="590"/>
      <c r="L11" s="518"/>
      <c r="M11" s="590"/>
      <c r="N11" s="590"/>
      <c r="O11" s="518"/>
      <c r="P11" s="64"/>
    </row>
    <row r="12" spans="1:19" s="5" customFormat="1" ht="18" customHeight="1">
      <c r="A12" s="114"/>
      <c r="B12" s="585" t="s">
        <v>178</v>
      </c>
      <c r="C12" s="588">
        <v>190036000</v>
      </c>
      <c r="D12" s="589"/>
      <c r="E12" s="518"/>
      <c r="F12" s="593"/>
      <c r="G12" s="518"/>
      <c r="H12" s="592"/>
      <c r="I12" s="590"/>
      <c r="J12" s="518"/>
      <c r="K12" s="518"/>
      <c r="L12" s="590"/>
      <c r="M12" s="518"/>
      <c r="N12" s="518"/>
      <c r="O12" s="587"/>
      <c r="P12" s="64"/>
      <c r="S12" s="110"/>
    </row>
    <row r="13" spans="1:19" s="5" customFormat="1" ht="18" customHeight="1">
      <c r="A13" s="114"/>
      <c r="B13" s="585" t="s">
        <v>179</v>
      </c>
      <c r="C13" s="588">
        <v>184800000</v>
      </c>
      <c r="D13" s="589"/>
      <c r="E13" s="518"/>
      <c r="F13" s="593"/>
      <c r="G13" s="518"/>
      <c r="H13" s="592"/>
      <c r="I13" s="590"/>
      <c r="J13" s="518"/>
      <c r="K13" s="518"/>
      <c r="L13" s="590"/>
      <c r="M13" s="518"/>
      <c r="N13" s="518"/>
      <c r="O13" s="518"/>
      <c r="P13" s="64"/>
      <c r="S13" s="111"/>
    </row>
    <row r="14" spans="1:19" s="5" customFormat="1" ht="18" customHeight="1">
      <c r="A14" s="114"/>
      <c r="B14" s="585" t="s">
        <v>180</v>
      </c>
      <c r="C14" s="588">
        <v>224560000</v>
      </c>
      <c r="D14" s="589"/>
      <c r="E14" s="518"/>
      <c r="F14" s="593"/>
      <c r="G14" s="518"/>
      <c r="H14" s="592"/>
      <c r="I14" s="590"/>
      <c r="J14" s="518"/>
      <c r="K14" s="518"/>
      <c r="L14" s="590"/>
      <c r="M14" s="518"/>
      <c r="N14" s="590"/>
      <c r="O14" s="451"/>
      <c r="P14" s="64"/>
    </row>
    <row r="15" spans="1:19" s="5" customFormat="1" ht="18" customHeight="1">
      <c r="A15" s="123"/>
      <c r="B15" s="594" t="s">
        <v>181</v>
      </c>
      <c r="C15" s="595">
        <v>173880000</v>
      </c>
      <c r="D15" s="589"/>
      <c r="E15" s="518"/>
      <c r="F15" s="593"/>
      <c r="G15" s="518"/>
      <c r="H15" s="592"/>
      <c r="I15" s="590"/>
      <c r="J15" s="518"/>
      <c r="K15" s="518"/>
      <c r="L15" s="590"/>
      <c r="M15" s="239"/>
      <c r="N15" s="239"/>
      <c r="O15" s="587"/>
      <c r="P15" s="64"/>
    </row>
    <row r="16" spans="1:19" s="5" customFormat="1" ht="18" customHeight="1">
      <c r="A16" s="596"/>
      <c r="B16" s="597" t="s">
        <v>182</v>
      </c>
      <c r="C16" s="598">
        <v>207560000</v>
      </c>
      <c r="D16" s="589"/>
      <c r="E16" s="590"/>
      <c r="F16" s="591"/>
      <c r="G16" s="590"/>
      <c r="H16" s="592"/>
      <c r="I16" s="590"/>
      <c r="J16" s="518"/>
      <c r="K16" s="590"/>
      <c r="L16" s="518"/>
      <c r="M16" s="590"/>
      <c r="N16" s="590"/>
      <c r="O16" s="451"/>
      <c r="P16" s="64"/>
    </row>
    <row r="17" spans="1:16" s="5" customFormat="1" ht="18" customHeight="1">
      <c r="A17" s="599">
        <v>2</v>
      </c>
      <c r="B17" s="478" t="s">
        <v>62</v>
      </c>
      <c r="C17" s="600">
        <f>SUM(C18:C23)</f>
        <v>631803650</v>
      </c>
      <c r="D17" s="479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455"/>
      <c r="P17" s="64"/>
    </row>
    <row r="18" spans="1:16" s="5" customFormat="1" ht="18" customHeight="1">
      <c r="A18" s="124"/>
      <c r="B18" s="481" t="s">
        <v>32</v>
      </c>
      <c r="C18" s="602">
        <v>358044900</v>
      </c>
      <c r="D18" s="586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450"/>
      <c r="P18" s="154"/>
    </row>
    <row r="19" spans="1:16" s="4" customFormat="1" ht="18" customHeight="1">
      <c r="A19" s="603"/>
      <c r="B19" s="481" t="s">
        <v>33</v>
      </c>
      <c r="C19" s="602">
        <v>17000000</v>
      </c>
      <c r="D19" s="586"/>
      <c r="E19" s="583"/>
      <c r="F19" s="583"/>
      <c r="G19" s="583"/>
      <c r="H19" s="583"/>
      <c r="I19" s="583"/>
      <c r="J19" s="583"/>
      <c r="K19" s="583"/>
      <c r="L19" s="583"/>
      <c r="M19" s="583"/>
      <c r="N19" s="584"/>
      <c r="O19" s="450"/>
      <c r="P19" s="65"/>
    </row>
    <row r="20" spans="1:16" s="4" customFormat="1" ht="18" customHeight="1">
      <c r="A20" s="122"/>
      <c r="B20" s="481" t="s">
        <v>63</v>
      </c>
      <c r="C20" s="602">
        <v>13600000</v>
      </c>
      <c r="D20" s="586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456"/>
      <c r="P20" s="65"/>
    </row>
    <row r="21" spans="1:16" s="4" customFormat="1" ht="18" customHeight="1">
      <c r="A21" s="603"/>
      <c r="B21" s="481" t="s">
        <v>64</v>
      </c>
      <c r="C21" s="602">
        <v>157500000</v>
      </c>
      <c r="D21" s="586"/>
      <c r="E21" s="583"/>
      <c r="F21" s="583"/>
      <c r="G21" s="583"/>
      <c r="H21" s="583"/>
      <c r="I21" s="583"/>
      <c r="J21" s="583"/>
      <c r="K21" s="583"/>
      <c r="L21" s="583"/>
      <c r="M21" s="583"/>
      <c r="N21" s="584"/>
      <c r="O21" s="450"/>
      <c r="P21" s="65"/>
    </row>
    <row r="22" spans="1:16" s="4" customFormat="1" ht="18" customHeight="1">
      <c r="A22" s="122"/>
      <c r="B22" s="481" t="s">
        <v>65</v>
      </c>
      <c r="C22" s="602">
        <v>68595000</v>
      </c>
      <c r="D22" s="586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450"/>
      <c r="P22" s="65"/>
    </row>
    <row r="23" spans="1:16" s="4" customFormat="1" ht="18" customHeight="1">
      <c r="A23" s="603"/>
      <c r="B23" s="481" t="s">
        <v>66</v>
      </c>
      <c r="C23" s="602">
        <v>17063750</v>
      </c>
      <c r="D23" s="582"/>
      <c r="E23" s="584"/>
      <c r="F23" s="584"/>
      <c r="G23" s="584"/>
      <c r="H23" s="584"/>
      <c r="I23" s="583"/>
      <c r="J23" s="584"/>
      <c r="K23" s="584"/>
      <c r="L23" s="584"/>
      <c r="M23" s="584"/>
      <c r="N23" s="584"/>
      <c r="O23" s="450"/>
      <c r="P23" s="65"/>
    </row>
    <row r="24" spans="1:16" s="4" customFormat="1" ht="18" customHeight="1">
      <c r="A24" s="231">
        <v>3</v>
      </c>
      <c r="B24" s="119" t="s">
        <v>67</v>
      </c>
      <c r="C24" s="604">
        <f>SUM(C25:C30)</f>
        <v>104975000</v>
      </c>
      <c r="D24" s="11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58"/>
      <c r="P24" s="65"/>
    </row>
    <row r="25" spans="1:16" s="4" customFormat="1" ht="18" customHeight="1">
      <c r="A25" s="606"/>
      <c r="B25" s="120" t="s">
        <v>68</v>
      </c>
      <c r="C25" s="607">
        <v>8500000</v>
      </c>
      <c r="D25" s="582"/>
      <c r="E25" s="584"/>
      <c r="F25" s="583"/>
      <c r="G25" s="584"/>
      <c r="H25" s="584"/>
      <c r="I25" s="584"/>
      <c r="J25" s="584"/>
      <c r="K25" s="584"/>
      <c r="L25" s="584"/>
      <c r="M25" s="584"/>
      <c r="N25" s="584"/>
      <c r="O25" s="450"/>
      <c r="P25" s="65"/>
    </row>
    <row r="26" spans="1:16" s="5" customFormat="1" ht="18" customHeight="1">
      <c r="A26" s="608"/>
      <c r="B26" s="120" t="s">
        <v>69</v>
      </c>
      <c r="C26" s="607">
        <v>17000000</v>
      </c>
      <c r="D26" s="582"/>
      <c r="E26" s="584"/>
      <c r="F26" s="584"/>
      <c r="G26" s="584"/>
      <c r="H26" s="584"/>
      <c r="I26" s="583"/>
      <c r="J26" s="584"/>
      <c r="K26" s="584"/>
      <c r="L26" s="584"/>
      <c r="M26" s="584"/>
      <c r="N26" s="584"/>
      <c r="O26" s="450"/>
      <c r="P26" s="154"/>
    </row>
    <row r="27" spans="1:16" s="5" customFormat="1" ht="18" customHeight="1">
      <c r="A27" s="608"/>
      <c r="B27" s="120" t="s">
        <v>71</v>
      </c>
      <c r="C27" s="607">
        <v>5100000</v>
      </c>
      <c r="D27" s="582"/>
      <c r="E27" s="583"/>
      <c r="F27" s="583"/>
      <c r="G27" s="583"/>
      <c r="H27" s="584"/>
      <c r="I27" s="583"/>
      <c r="J27" s="583"/>
      <c r="K27" s="584"/>
      <c r="L27" s="584"/>
      <c r="M27" s="584"/>
      <c r="N27" s="584"/>
      <c r="O27" s="450"/>
      <c r="P27" s="154"/>
    </row>
    <row r="28" spans="1:16" s="5" customFormat="1" ht="18" customHeight="1">
      <c r="A28" s="608"/>
      <c r="B28" s="120" t="s">
        <v>70</v>
      </c>
      <c r="C28" s="607">
        <v>17000000</v>
      </c>
      <c r="D28" s="582"/>
      <c r="E28" s="584"/>
      <c r="F28" s="584"/>
      <c r="G28" s="584"/>
      <c r="H28" s="584"/>
      <c r="I28" s="584"/>
      <c r="J28" s="583"/>
      <c r="K28" s="583"/>
      <c r="L28" s="584"/>
      <c r="M28" s="584"/>
      <c r="N28" s="584"/>
      <c r="O28" s="450"/>
      <c r="P28" s="154"/>
    </row>
    <row r="29" spans="1:16" s="5" customFormat="1" ht="18" customHeight="1">
      <c r="A29" s="608"/>
      <c r="B29" s="120" t="s">
        <v>72</v>
      </c>
      <c r="C29" s="607">
        <v>17000000</v>
      </c>
      <c r="D29" s="582"/>
      <c r="E29" s="584"/>
      <c r="F29" s="583"/>
      <c r="G29" s="583"/>
      <c r="H29" s="584"/>
      <c r="I29" s="583"/>
      <c r="J29" s="584"/>
      <c r="K29" s="583"/>
      <c r="L29" s="584"/>
      <c r="M29" s="584"/>
      <c r="N29" s="584"/>
      <c r="O29" s="450"/>
      <c r="P29" s="154"/>
    </row>
    <row r="30" spans="1:16" s="5" customFormat="1" ht="18" customHeight="1">
      <c r="A30" s="608"/>
      <c r="B30" s="120" t="s">
        <v>183</v>
      </c>
      <c r="C30" s="607">
        <v>40375000</v>
      </c>
      <c r="D30" s="108"/>
      <c r="E30" s="609"/>
      <c r="F30" s="610"/>
      <c r="G30" s="610"/>
      <c r="H30" s="610"/>
      <c r="I30" s="610"/>
      <c r="J30" s="610"/>
      <c r="K30" s="610"/>
      <c r="L30" s="610"/>
      <c r="M30" s="609"/>
      <c r="N30" s="609"/>
      <c r="O30" s="109"/>
      <c r="P30" s="154"/>
    </row>
    <row r="31" spans="1:16" s="5" customFormat="1" ht="18" customHeight="1">
      <c r="A31" s="231">
        <v>4</v>
      </c>
      <c r="B31" s="119" t="s">
        <v>73</v>
      </c>
      <c r="C31" s="604">
        <f>SUM(C32:C33)</f>
        <v>127500000</v>
      </c>
      <c r="D31" s="12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13"/>
      <c r="P31" s="154"/>
    </row>
    <row r="32" spans="1:16" s="5" customFormat="1" ht="31.5" customHeight="1">
      <c r="A32" s="608"/>
      <c r="B32" s="121" t="s">
        <v>74</v>
      </c>
      <c r="C32" s="607">
        <v>42500000</v>
      </c>
      <c r="D32" s="586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450"/>
      <c r="P32" s="154"/>
    </row>
    <row r="33" spans="1:18" s="5" customFormat="1" ht="18" customHeight="1" thickBot="1">
      <c r="A33" s="115"/>
      <c r="B33" s="612" t="s">
        <v>75</v>
      </c>
      <c r="C33" s="463">
        <v>85000000</v>
      </c>
      <c r="D33" s="613"/>
      <c r="E33" s="614"/>
      <c r="F33" s="615"/>
      <c r="G33" s="614"/>
      <c r="H33" s="614"/>
      <c r="I33" s="615"/>
      <c r="J33" s="614"/>
      <c r="K33" s="615"/>
      <c r="L33" s="614"/>
      <c r="M33" s="614"/>
      <c r="N33" s="614"/>
      <c r="O33" s="616"/>
      <c r="P33" s="502"/>
    </row>
    <row r="34" spans="1:18" s="6" customFormat="1" ht="18" customHeight="1" thickBot="1">
      <c r="A34" s="617"/>
      <c r="B34" s="618"/>
      <c r="C34" s="619">
        <f>SUM(C7+C17+C24+C31)</f>
        <v>2418614650</v>
      </c>
      <c r="D34" s="620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2"/>
      <c r="P34" s="623"/>
    </row>
    <row r="35" spans="1:18" ht="18" customHeight="1">
      <c r="A35" s="113">
        <v>5</v>
      </c>
      <c r="B35" s="116" t="s">
        <v>76</v>
      </c>
      <c r="C35" s="54">
        <f>SUM(C36:C54)</f>
        <v>3262788500</v>
      </c>
      <c r="D35" s="4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59"/>
      <c r="P35" s="63" t="s">
        <v>20</v>
      </c>
    </row>
    <row r="36" spans="1:18" s="5" customFormat="1" ht="18" customHeight="1">
      <c r="A36" s="236"/>
      <c r="B36" s="449" t="s">
        <v>77</v>
      </c>
      <c r="C36" s="265">
        <v>11186000</v>
      </c>
      <c r="D36" s="453"/>
      <c r="E36" s="454"/>
      <c r="F36" s="454"/>
      <c r="G36" s="454"/>
      <c r="H36" s="454"/>
      <c r="I36" s="454"/>
      <c r="J36" s="464"/>
      <c r="K36" s="454"/>
      <c r="L36" s="454"/>
      <c r="M36" s="454"/>
      <c r="N36" s="454"/>
      <c r="O36" s="455"/>
      <c r="P36" s="64" t="s">
        <v>214</v>
      </c>
    </row>
    <row r="37" spans="1:18" s="5" customFormat="1" ht="18" customHeight="1">
      <c r="A37" s="114"/>
      <c r="B37" s="449" t="s">
        <v>78</v>
      </c>
      <c r="C37" s="266">
        <v>8500000</v>
      </c>
      <c r="D37" s="465"/>
      <c r="E37" s="466"/>
      <c r="F37" s="467"/>
      <c r="G37" s="466"/>
      <c r="H37" s="466"/>
      <c r="I37" s="466"/>
      <c r="J37" s="466"/>
      <c r="K37" s="466"/>
      <c r="L37" s="466"/>
      <c r="M37" s="466"/>
      <c r="N37" s="466"/>
      <c r="O37" s="468"/>
      <c r="P37" s="64" t="s">
        <v>213</v>
      </c>
    </row>
    <row r="38" spans="1:18" s="5" customFormat="1" ht="18" customHeight="1">
      <c r="A38" s="114"/>
      <c r="B38" s="449" t="s">
        <v>79</v>
      </c>
      <c r="C38" s="265">
        <v>8500000</v>
      </c>
      <c r="D38" s="465"/>
      <c r="E38" s="466"/>
      <c r="F38" s="466"/>
      <c r="G38" s="466"/>
      <c r="H38" s="466"/>
      <c r="I38" s="466"/>
      <c r="J38" s="467"/>
      <c r="K38" s="466"/>
      <c r="L38" s="466"/>
      <c r="M38" s="466"/>
      <c r="N38" s="466"/>
      <c r="O38" s="468"/>
      <c r="P38" s="64" t="s">
        <v>52</v>
      </c>
    </row>
    <row r="39" spans="1:18" ht="18" customHeight="1">
      <c r="A39" s="114"/>
      <c r="B39" s="449" t="s">
        <v>80</v>
      </c>
      <c r="C39" s="265">
        <v>5950000</v>
      </c>
      <c r="D39" s="465"/>
      <c r="E39" s="467"/>
      <c r="F39" s="466"/>
      <c r="G39" s="466"/>
      <c r="H39" s="466"/>
      <c r="I39" s="466"/>
      <c r="J39" s="466"/>
      <c r="K39" s="466"/>
      <c r="L39" s="466"/>
      <c r="M39" s="466"/>
      <c r="N39" s="466"/>
      <c r="O39" s="468"/>
      <c r="P39" s="66"/>
      <c r="R39" s="112">
        <v>3262788500</v>
      </c>
    </row>
    <row r="40" spans="1:18" s="5" customFormat="1" ht="18" customHeight="1">
      <c r="A40" s="236"/>
      <c r="B40" s="449" t="s">
        <v>81</v>
      </c>
      <c r="C40" s="265">
        <v>34000000</v>
      </c>
      <c r="D40" s="465"/>
      <c r="E40" s="466"/>
      <c r="F40" s="466"/>
      <c r="G40" s="466"/>
      <c r="H40" s="466"/>
      <c r="I40" s="466"/>
      <c r="J40" s="467"/>
      <c r="K40" s="466"/>
      <c r="L40" s="466"/>
      <c r="M40" s="466"/>
      <c r="N40" s="466"/>
      <c r="O40" s="468"/>
      <c r="P40" s="67"/>
      <c r="R40" s="111">
        <f>R39-C35</f>
        <v>0</v>
      </c>
    </row>
    <row r="41" spans="1:18" s="5" customFormat="1" ht="18" customHeight="1">
      <c r="A41" s="114"/>
      <c r="B41" s="449" t="s">
        <v>82</v>
      </c>
      <c r="C41" s="265">
        <v>8500000</v>
      </c>
      <c r="D41" s="465"/>
      <c r="E41" s="466"/>
      <c r="F41" s="467"/>
      <c r="G41" s="467"/>
      <c r="H41" s="466"/>
      <c r="I41" s="466"/>
      <c r="J41" s="467"/>
      <c r="K41" s="467"/>
      <c r="L41" s="467"/>
      <c r="M41" s="467"/>
      <c r="N41" s="466"/>
      <c r="O41" s="468"/>
      <c r="P41" s="67"/>
    </row>
    <row r="42" spans="1:18" s="5" customFormat="1" ht="18" customHeight="1">
      <c r="A42" s="236"/>
      <c r="B42" s="449" t="s">
        <v>83</v>
      </c>
      <c r="C42" s="265">
        <v>6375000</v>
      </c>
      <c r="D42" s="11"/>
      <c r="E42" s="457"/>
      <c r="F42" s="457"/>
      <c r="G42" s="469"/>
      <c r="H42" s="457"/>
      <c r="I42" s="457"/>
      <c r="J42" s="457"/>
      <c r="K42" s="457"/>
      <c r="L42" s="457"/>
      <c r="M42" s="457"/>
      <c r="N42" s="457"/>
      <c r="O42" s="58"/>
      <c r="P42" s="67"/>
    </row>
    <row r="43" spans="1:18" s="5" customFormat="1" ht="18" customHeight="1">
      <c r="A43" s="236"/>
      <c r="B43" s="449" t="s">
        <v>84</v>
      </c>
      <c r="C43" s="265">
        <v>8075000</v>
      </c>
      <c r="D43" s="11"/>
      <c r="E43" s="457"/>
      <c r="F43" s="457"/>
      <c r="G43" s="469"/>
      <c r="H43" s="457"/>
      <c r="I43" s="457"/>
      <c r="J43" s="457"/>
      <c r="K43" s="457"/>
      <c r="L43" s="457"/>
      <c r="M43" s="457"/>
      <c r="N43" s="457"/>
      <c r="O43" s="58"/>
      <c r="P43" s="67"/>
    </row>
    <row r="44" spans="1:18" ht="18" customHeight="1">
      <c r="A44" s="236"/>
      <c r="B44" s="449" t="s">
        <v>85</v>
      </c>
      <c r="C44" s="265">
        <v>1937500</v>
      </c>
      <c r="D44" s="12"/>
      <c r="E44" s="470"/>
      <c r="F44" s="461"/>
      <c r="G44" s="461"/>
      <c r="H44" s="461"/>
      <c r="I44" s="461"/>
      <c r="J44" s="461"/>
      <c r="K44" s="461"/>
      <c r="L44" s="461"/>
      <c r="M44" s="461"/>
      <c r="N44" s="461"/>
      <c r="O44" s="13"/>
      <c r="P44" s="66"/>
    </row>
    <row r="45" spans="1:18" s="5" customFormat="1" ht="18" customHeight="1">
      <c r="A45" s="236"/>
      <c r="B45" s="449" t="s">
        <v>37</v>
      </c>
      <c r="C45" s="265">
        <f>481450000+298800000</f>
        <v>780250000</v>
      </c>
      <c r="D45" s="49"/>
      <c r="E45" s="464"/>
      <c r="F45" s="464"/>
      <c r="G45" s="464"/>
      <c r="H45" s="464"/>
      <c r="I45" s="464"/>
      <c r="J45" s="464"/>
      <c r="K45" s="464"/>
      <c r="L45" s="464"/>
      <c r="M45" s="464"/>
      <c r="N45" s="454"/>
      <c r="O45" s="13"/>
      <c r="P45" s="67"/>
    </row>
    <row r="46" spans="1:18" s="5" customFormat="1" ht="18" customHeight="1">
      <c r="A46" s="236"/>
      <c r="B46" s="449" t="s">
        <v>86</v>
      </c>
      <c r="C46" s="265">
        <v>23800000</v>
      </c>
      <c r="D46" s="12"/>
      <c r="E46" s="464"/>
      <c r="F46" s="454"/>
      <c r="G46" s="454"/>
      <c r="H46" s="454"/>
      <c r="I46" s="454"/>
      <c r="J46" s="454"/>
      <c r="K46" s="454"/>
      <c r="L46" s="454"/>
      <c r="M46" s="454"/>
      <c r="N46" s="454"/>
      <c r="O46" s="13"/>
      <c r="P46" s="67"/>
    </row>
    <row r="47" spans="1:18" s="5" customFormat="1" ht="18" customHeight="1">
      <c r="A47" s="236"/>
      <c r="B47" s="449" t="s">
        <v>87</v>
      </c>
      <c r="C47" s="265">
        <v>11900000</v>
      </c>
      <c r="D47" s="11"/>
      <c r="E47" s="467"/>
      <c r="F47" s="467"/>
      <c r="G47" s="467"/>
      <c r="H47" s="466"/>
      <c r="I47" s="466"/>
      <c r="J47" s="467"/>
      <c r="K47" s="467"/>
      <c r="L47" s="467"/>
      <c r="M47" s="466"/>
      <c r="N47" s="466"/>
      <c r="O47" s="58"/>
      <c r="P47" s="67"/>
    </row>
    <row r="48" spans="1:18" s="5" customFormat="1" ht="18" customHeight="1">
      <c r="A48" s="236"/>
      <c r="B48" s="449" t="s">
        <v>88</v>
      </c>
      <c r="C48" s="265">
        <v>26775000</v>
      </c>
      <c r="D48" s="12"/>
      <c r="E48" s="464"/>
      <c r="F48" s="454"/>
      <c r="G48" s="464"/>
      <c r="H48" s="454"/>
      <c r="I48" s="464"/>
      <c r="J48" s="454"/>
      <c r="K48" s="464"/>
      <c r="L48" s="454"/>
      <c r="M48" s="464"/>
      <c r="N48" s="464"/>
      <c r="O48" s="13"/>
      <c r="P48" s="67"/>
    </row>
    <row r="49" spans="1:16" s="5" customFormat="1" ht="18" customHeight="1">
      <c r="A49" s="236"/>
      <c r="B49" s="471" t="s">
        <v>184</v>
      </c>
      <c r="C49" s="346">
        <v>1494000000</v>
      </c>
      <c r="D49" s="49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67"/>
    </row>
    <row r="50" spans="1:16" s="5" customFormat="1" ht="18" customHeight="1">
      <c r="A50" s="236"/>
      <c r="B50" s="472" t="s">
        <v>185</v>
      </c>
      <c r="C50" s="473">
        <v>63140000</v>
      </c>
      <c r="D50" s="49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67"/>
    </row>
    <row r="51" spans="1:16" s="5" customFormat="1" ht="18" customHeight="1">
      <c r="A51" s="236"/>
      <c r="B51" s="404" t="s">
        <v>186</v>
      </c>
      <c r="C51" s="342">
        <v>477120000</v>
      </c>
      <c r="D51" s="49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67"/>
    </row>
    <row r="52" spans="1:16" s="5" customFormat="1" ht="18" customHeight="1">
      <c r="A52" s="458"/>
      <c r="B52" s="452" t="s">
        <v>187</v>
      </c>
      <c r="C52" s="342">
        <v>34300000</v>
      </c>
      <c r="D52" s="49"/>
      <c r="E52" s="464"/>
      <c r="F52" s="464"/>
      <c r="G52" s="464"/>
      <c r="H52" s="464"/>
      <c r="I52" s="464"/>
      <c r="J52" s="464"/>
      <c r="K52" s="464"/>
      <c r="L52" s="464"/>
      <c r="M52" s="464"/>
      <c r="N52" s="454"/>
      <c r="O52" s="454"/>
      <c r="P52" s="67"/>
    </row>
    <row r="53" spans="1:16" s="5" customFormat="1" ht="18" customHeight="1">
      <c r="A53" s="458"/>
      <c r="B53" s="215" t="s">
        <v>188</v>
      </c>
      <c r="C53" s="474">
        <f>4000000*60</f>
        <v>240000000</v>
      </c>
      <c r="D53" s="49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67"/>
    </row>
    <row r="54" spans="1:16" s="5" customFormat="1" ht="18" customHeight="1">
      <c r="A54" s="236"/>
      <c r="B54" s="475" t="s">
        <v>189</v>
      </c>
      <c r="C54" s="268">
        <v>18480000</v>
      </c>
      <c r="D54" s="49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7"/>
      <c r="P54" s="67"/>
    </row>
    <row r="55" spans="1:16" s="5" customFormat="1" ht="18" customHeight="1">
      <c r="A55" s="269">
        <v>6</v>
      </c>
      <c r="B55" s="478" t="s">
        <v>35</v>
      </c>
      <c r="C55" s="270">
        <f>SUM(C56:C57)</f>
        <v>82175000</v>
      </c>
      <c r="D55" s="479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77"/>
      <c r="P55" s="67"/>
    </row>
    <row r="56" spans="1:16" s="5" customFormat="1" ht="18" customHeight="1">
      <c r="A56" s="236"/>
      <c r="B56" s="481" t="s">
        <v>89</v>
      </c>
      <c r="C56" s="265">
        <v>11475000</v>
      </c>
      <c r="D56" s="482"/>
      <c r="E56" s="476"/>
      <c r="F56" s="476"/>
      <c r="G56" s="476"/>
      <c r="H56" s="476"/>
      <c r="I56" s="476"/>
      <c r="J56" s="480"/>
      <c r="K56" s="480"/>
      <c r="L56" s="480"/>
      <c r="M56" s="476"/>
      <c r="N56" s="480"/>
      <c r="O56" s="477"/>
      <c r="P56" s="67"/>
    </row>
    <row r="57" spans="1:16" s="5" customFormat="1" ht="18" customHeight="1">
      <c r="A57" s="236"/>
      <c r="B57" s="481" t="s">
        <v>190</v>
      </c>
      <c r="C57" s="265">
        <v>70700000</v>
      </c>
      <c r="D57" s="482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77"/>
      <c r="P57" s="67"/>
    </row>
    <row r="58" spans="1:16" s="5" customFormat="1" ht="18" customHeight="1">
      <c r="A58" s="269">
        <v>7</v>
      </c>
      <c r="B58" s="478" t="s">
        <v>90</v>
      </c>
      <c r="C58" s="270">
        <f>SUM(C59:C63)</f>
        <v>30782750</v>
      </c>
      <c r="D58" s="479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77"/>
      <c r="P58" s="67"/>
    </row>
    <row r="59" spans="1:16" s="5" customFormat="1" ht="18" customHeight="1">
      <c r="A59" s="236"/>
      <c r="B59" s="481" t="s">
        <v>91</v>
      </c>
      <c r="C59" s="265">
        <v>1275000</v>
      </c>
      <c r="D59" s="479"/>
      <c r="E59" s="480"/>
      <c r="F59" s="480"/>
      <c r="G59" s="480"/>
      <c r="H59" s="480"/>
      <c r="I59" s="480"/>
      <c r="J59" s="480"/>
      <c r="K59" s="480"/>
      <c r="L59" s="480"/>
      <c r="M59" s="476"/>
      <c r="N59" s="480"/>
      <c r="O59" s="477"/>
      <c r="P59" s="67"/>
    </row>
    <row r="60" spans="1:16" s="5" customFormat="1" ht="18" customHeight="1">
      <c r="A60" s="236"/>
      <c r="B60" s="481" t="s">
        <v>92</v>
      </c>
      <c r="C60" s="265">
        <v>7412000</v>
      </c>
      <c r="D60" s="479"/>
      <c r="E60" s="476"/>
      <c r="F60" s="480"/>
      <c r="G60" s="480"/>
      <c r="H60" s="480"/>
      <c r="I60" s="480"/>
      <c r="J60" s="480"/>
      <c r="K60" s="480"/>
      <c r="L60" s="480"/>
      <c r="M60" s="480"/>
      <c r="N60" s="480"/>
      <c r="O60" s="477"/>
      <c r="P60" s="67"/>
    </row>
    <row r="61" spans="1:16" s="5" customFormat="1" ht="18" customHeight="1">
      <c r="A61" s="272"/>
      <c r="B61" s="481" t="s">
        <v>93</v>
      </c>
      <c r="C61" s="265">
        <v>10620750</v>
      </c>
      <c r="D61" s="482"/>
      <c r="E61" s="480"/>
      <c r="F61" s="476"/>
      <c r="G61" s="480"/>
      <c r="H61" s="480"/>
      <c r="I61" s="480"/>
      <c r="J61" s="480"/>
      <c r="K61" s="476"/>
      <c r="L61" s="480"/>
      <c r="M61" s="480"/>
      <c r="N61" s="476"/>
      <c r="O61" s="477"/>
      <c r="P61" s="67"/>
    </row>
    <row r="62" spans="1:16" s="5" customFormat="1" ht="18" customHeight="1">
      <c r="A62" s="272"/>
      <c r="B62" s="481" t="s">
        <v>94</v>
      </c>
      <c r="C62" s="265">
        <v>6375000</v>
      </c>
      <c r="D62" s="483"/>
      <c r="E62" s="484"/>
      <c r="F62" s="484"/>
      <c r="G62" s="484"/>
      <c r="H62" s="485"/>
      <c r="I62" s="485"/>
      <c r="J62" s="485"/>
      <c r="K62" s="485"/>
      <c r="L62" s="485"/>
      <c r="M62" s="484"/>
      <c r="N62" s="484"/>
      <c r="O62" s="486"/>
      <c r="P62" s="67"/>
    </row>
    <row r="63" spans="1:16" s="5" customFormat="1" ht="18" customHeight="1">
      <c r="A63" s="272"/>
      <c r="B63" s="481" t="s">
        <v>95</v>
      </c>
      <c r="C63" s="273">
        <v>5100000</v>
      </c>
      <c r="D63" s="479"/>
      <c r="E63" s="480"/>
      <c r="F63" s="480"/>
      <c r="G63" s="480"/>
      <c r="H63" s="480"/>
      <c r="I63" s="480"/>
      <c r="J63" s="480"/>
      <c r="K63" s="480"/>
      <c r="L63" s="476"/>
      <c r="M63" s="476"/>
      <c r="N63" s="476"/>
      <c r="O63" s="477"/>
      <c r="P63" s="67"/>
    </row>
    <row r="64" spans="1:16" s="5" customFormat="1" ht="18" customHeight="1" thickBot="1">
      <c r="A64" s="115"/>
      <c r="B64" s="462"/>
      <c r="C64" s="117">
        <f>C35+C55+C58</f>
        <v>3375746250</v>
      </c>
      <c r="D64" s="487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9"/>
      <c r="P64" s="490"/>
    </row>
    <row r="65" spans="1:16" ht="18" customHeight="1">
      <c r="A65" s="113">
        <v>8</v>
      </c>
      <c r="B65" s="116" t="s">
        <v>96</v>
      </c>
      <c r="C65" s="54">
        <f>SUM(C66:C81)</f>
        <v>186150000</v>
      </c>
      <c r="D65" s="48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59"/>
      <c r="P65" s="63" t="s">
        <v>20</v>
      </c>
    </row>
    <row r="66" spans="1:16" s="5" customFormat="1" ht="18" customHeight="1">
      <c r="A66" s="272"/>
      <c r="B66" s="481" t="s">
        <v>97</v>
      </c>
      <c r="C66" s="263">
        <v>23800000</v>
      </c>
      <c r="D66" s="491"/>
      <c r="E66" s="492"/>
      <c r="F66" s="480"/>
      <c r="G66" s="492"/>
      <c r="H66" s="493"/>
      <c r="I66" s="492"/>
      <c r="J66" s="492"/>
      <c r="K66" s="493"/>
      <c r="L66" s="493"/>
      <c r="M66" s="493"/>
      <c r="N66" s="493"/>
      <c r="O66" s="477"/>
      <c r="P66" s="64" t="s">
        <v>46</v>
      </c>
    </row>
    <row r="67" spans="1:16" s="5" customFormat="1" ht="18" customHeight="1">
      <c r="A67" s="272"/>
      <c r="B67" s="481" t="s">
        <v>98</v>
      </c>
      <c r="C67" s="263">
        <v>24650000</v>
      </c>
      <c r="D67" s="491"/>
      <c r="E67" s="492"/>
      <c r="F67" s="492"/>
      <c r="G67" s="492"/>
      <c r="H67" s="492"/>
      <c r="I67" s="492"/>
      <c r="J67" s="492"/>
      <c r="K67" s="492"/>
      <c r="L67" s="493"/>
      <c r="M67" s="493"/>
      <c r="N67" s="493"/>
      <c r="O67" s="477"/>
      <c r="P67" s="68" t="s">
        <v>47</v>
      </c>
    </row>
    <row r="68" spans="1:16" s="5" customFormat="1" ht="18" customHeight="1">
      <c r="A68" s="272"/>
      <c r="B68" s="481" t="s">
        <v>99</v>
      </c>
      <c r="C68" s="263">
        <v>8500000</v>
      </c>
      <c r="D68" s="494"/>
      <c r="E68" s="493"/>
      <c r="F68" s="493"/>
      <c r="G68" s="492"/>
      <c r="H68" s="493"/>
      <c r="I68" s="493"/>
      <c r="J68" s="480"/>
      <c r="K68" s="480"/>
      <c r="L68" s="493"/>
      <c r="M68" s="493"/>
      <c r="N68" s="493"/>
      <c r="O68" s="477"/>
      <c r="P68" s="68" t="s">
        <v>48</v>
      </c>
    </row>
    <row r="69" spans="1:16" ht="18" customHeight="1">
      <c r="A69" s="495"/>
      <c r="B69" s="481" t="s">
        <v>100</v>
      </c>
      <c r="C69" s="263">
        <v>8500000</v>
      </c>
      <c r="D69" s="494"/>
      <c r="E69" s="493"/>
      <c r="F69" s="493"/>
      <c r="G69" s="480"/>
      <c r="H69" s="492"/>
      <c r="I69" s="493"/>
      <c r="J69" s="492"/>
      <c r="K69" s="492"/>
      <c r="L69" s="493"/>
      <c r="M69" s="493"/>
      <c r="N69" s="493"/>
      <c r="O69" s="477"/>
      <c r="P69" s="66" t="s">
        <v>28</v>
      </c>
    </row>
    <row r="70" spans="1:16" s="5" customFormat="1" ht="18" customHeight="1">
      <c r="A70" s="272"/>
      <c r="B70" s="481" t="s">
        <v>101</v>
      </c>
      <c r="C70" s="263">
        <v>12325000</v>
      </c>
      <c r="D70" s="491"/>
      <c r="E70" s="493"/>
      <c r="F70" s="492"/>
      <c r="G70" s="492"/>
      <c r="H70" s="493"/>
      <c r="I70" s="492"/>
      <c r="J70" s="493"/>
      <c r="K70" s="493"/>
      <c r="L70" s="493"/>
      <c r="M70" s="493"/>
      <c r="N70" s="493"/>
      <c r="O70" s="477"/>
      <c r="P70" s="67"/>
    </row>
    <row r="71" spans="1:16" s="5" customFormat="1" ht="18" customHeight="1">
      <c r="A71" s="272"/>
      <c r="B71" s="496" t="s">
        <v>102</v>
      </c>
      <c r="C71" s="459">
        <v>17000000</v>
      </c>
      <c r="D71" s="494"/>
      <c r="E71" s="493"/>
      <c r="F71" s="493"/>
      <c r="G71" s="492"/>
      <c r="H71" s="493"/>
      <c r="I71" s="493"/>
      <c r="J71" s="493"/>
      <c r="K71" s="493"/>
      <c r="L71" s="492"/>
      <c r="M71" s="493"/>
      <c r="N71" s="493"/>
      <c r="O71" s="477"/>
      <c r="P71" s="67"/>
    </row>
    <row r="72" spans="1:16" s="5" customFormat="1" ht="18" customHeight="1">
      <c r="A72" s="272"/>
      <c r="B72" s="496" t="s">
        <v>103</v>
      </c>
      <c r="C72" s="263">
        <v>6800000</v>
      </c>
      <c r="D72" s="494"/>
      <c r="E72" s="493"/>
      <c r="F72" s="492"/>
      <c r="G72" s="493"/>
      <c r="H72" s="493"/>
      <c r="I72" s="492"/>
      <c r="J72" s="493"/>
      <c r="K72" s="492"/>
      <c r="L72" s="493"/>
      <c r="M72" s="493"/>
      <c r="N72" s="493"/>
      <c r="O72" s="477"/>
      <c r="P72" s="67"/>
    </row>
    <row r="73" spans="1:16" s="5" customFormat="1" ht="18" customHeight="1">
      <c r="A73" s="272"/>
      <c r="B73" s="496" t="s">
        <v>104</v>
      </c>
      <c r="C73" s="263">
        <v>33575000</v>
      </c>
      <c r="D73" s="491"/>
      <c r="E73" s="493"/>
      <c r="F73" s="493"/>
      <c r="G73" s="492"/>
      <c r="H73" s="493"/>
      <c r="I73" s="493"/>
      <c r="J73" s="492"/>
      <c r="K73" s="493"/>
      <c r="L73" s="492"/>
      <c r="M73" s="492"/>
      <c r="N73" s="493"/>
      <c r="O73" s="477"/>
      <c r="P73" s="67"/>
    </row>
    <row r="74" spans="1:16" s="5" customFormat="1" ht="18" customHeight="1">
      <c r="A74" s="460"/>
      <c r="B74" s="496" t="s">
        <v>105</v>
      </c>
      <c r="C74" s="263">
        <v>5950000</v>
      </c>
      <c r="D74" s="491"/>
      <c r="E74" s="492"/>
      <c r="F74" s="492"/>
      <c r="G74" s="492"/>
      <c r="H74" s="492"/>
      <c r="I74" s="492"/>
      <c r="J74" s="492"/>
      <c r="K74" s="492"/>
      <c r="L74" s="480"/>
      <c r="M74" s="493"/>
      <c r="N74" s="493"/>
      <c r="O74" s="477"/>
      <c r="P74" s="67"/>
    </row>
    <row r="75" spans="1:16" ht="18" customHeight="1">
      <c r="A75" s="495"/>
      <c r="B75" s="496" t="s">
        <v>106</v>
      </c>
      <c r="C75" s="263">
        <v>1700000</v>
      </c>
      <c r="D75" s="494"/>
      <c r="E75" s="492"/>
      <c r="F75" s="493"/>
      <c r="G75" s="493"/>
      <c r="H75" s="493"/>
      <c r="I75" s="493"/>
      <c r="J75" s="493"/>
      <c r="K75" s="493"/>
      <c r="L75" s="493"/>
      <c r="M75" s="493"/>
      <c r="N75" s="493"/>
      <c r="O75" s="477"/>
      <c r="P75" s="66" t="s">
        <v>28</v>
      </c>
    </row>
    <row r="76" spans="1:16" s="5" customFormat="1" ht="18" customHeight="1">
      <c r="A76" s="272"/>
      <c r="B76" s="481" t="s">
        <v>107</v>
      </c>
      <c r="C76" s="263">
        <v>16575000</v>
      </c>
      <c r="D76" s="494"/>
      <c r="E76" s="492"/>
      <c r="F76" s="493"/>
      <c r="G76" s="492"/>
      <c r="H76" s="493"/>
      <c r="I76" s="493"/>
      <c r="J76" s="493"/>
      <c r="K76" s="493"/>
      <c r="L76" s="493"/>
      <c r="M76" s="493"/>
      <c r="N76" s="493"/>
      <c r="O76" s="477"/>
      <c r="P76" s="67"/>
    </row>
    <row r="77" spans="1:16" s="5" customFormat="1" ht="18" customHeight="1">
      <c r="A77" s="272"/>
      <c r="B77" s="496" t="s">
        <v>108</v>
      </c>
      <c r="C77" s="263">
        <v>8075000</v>
      </c>
      <c r="D77" s="491"/>
      <c r="E77" s="493"/>
      <c r="F77" s="492"/>
      <c r="G77" s="493"/>
      <c r="H77" s="493"/>
      <c r="I77" s="492"/>
      <c r="J77" s="493"/>
      <c r="K77" s="480"/>
      <c r="L77" s="493"/>
      <c r="M77" s="493"/>
      <c r="N77" s="493"/>
      <c r="O77" s="477"/>
      <c r="P77" s="67"/>
    </row>
    <row r="78" spans="1:16" s="5" customFormat="1" ht="18" customHeight="1">
      <c r="A78" s="272"/>
      <c r="B78" s="496" t="s">
        <v>109</v>
      </c>
      <c r="C78" s="263">
        <v>9350000</v>
      </c>
      <c r="D78" s="491"/>
      <c r="E78" s="493"/>
      <c r="F78" s="493"/>
      <c r="G78" s="493"/>
      <c r="H78" s="492"/>
      <c r="I78" s="493"/>
      <c r="J78" s="493"/>
      <c r="K78" s="493"/>
      <c r="L78" s="493"/>
      <c r="M78" s="493"/>
      <c r="N78" s="493"/>
      <c r="O78" s="477"/>
      <c r="P78" s="67"/>
    </row>
    <row r="79" spans="1:16" ht="18" customHeight="1">
      <c r="A79" s="495"/>
      <c r="B79" s="481" t="s">
        <v>110</v>
      </c>
      <c r="C79" s="263">
        <v>3825000</v>
      </c>
      <c r="D79" s="494"/>
      <c r="E79" s="493"/>
      <c r="F79" s="492"/>
      <c r="G79" s="493"/>
      <c r="H79" s="493"/>
      <c r="I79" s="493"/>
      <c r="J79" s="492"/>
      <c r="K79" s="493"/>
      <c r="L79" s="493"/>
      <c r="M79" s="493"/>
      <c r="N79" s="493"/>
      <c r="O79" s="477"/>
      <c r="P79" s="66" t="s">
        <v>28</v>
      </c>
    </row>
    <row r="80" spans="1:16" s="5" customFormat="1" ht="18" customHeight="1">
      <c r="A80" s="272"/>
      <c r="B80" s="496" t="s">
        <v>111</v>
      </c>
      <c r="C80" s="263">
        <v>2125000</v>
      </c>
      <c r="D80" s="494"/>
      <c r="E80" s="493"/>
      <c r="F80" s="492"/>
      <c r="G80" s="493"/>
      <c r="H80" s="492"/>
      <c r="I80" s="493"/>
      <c r="J80" s="480"/>
      <c r="K80" s="493"/>
      <c r="L80" s="493"/>
      <c r="M80" s="493"/>
      <c r="N80" s="493"/>
      <c r="O80" s="477"/>
      <c r="P80" s="67"/>
    </row>
    <row r="81" spans="1:20" s="5" customFormat="1" ht="18" customHeight="1">
      <c r="A81" s="272"/>
      <c r="B81" s="496" t="s">
        <v>112</v>
      </c>
      <c r="C81" s="263">
        <v>3400000</v>
      </c>
      <c r="D81" s="494"/>
      <c r="E81" s="493"/>
      <c r="F81" s="493"/>
      <c r="G81" s="493"/>
      <c r="H81" s="493"/>
      <c r="I81" s="492"/>
      <c r="J81" s="493"/>
      <c r="K81" s="492"/>
      <c r="L81" s="492"/>
      <c r="M81" s="480"/>
      <c r="N81" s="493"/>
      <c r="O81" s="477"/>
      <c r="P81" s="67"/>
    </row>
    <row r="82" spans="1:20" s="5" customFormat="1" ht="18" customHeight="1">
      <c r="A82" s="269">
        <v>9</v>
      </c>
      <c r="B82" s="497" t="s">
        <v>116</v>
      </c>
      <c r="C82" s="276">
        <f>SUM(C83:C85)</f>
        <v>26350000</v>
      </c>
      <c r="D82" s="494"/>
      <c r="E82" s="493"/>
      <c r="F82" s="493"/>
      <c r="G82" s="493"/>
      <c r="H82" s="493"/>
      <c r="I82" s="492"/>
      <c r="J82" s="493"/>
      <c r="K82" s="492"/>
      <c r="L82" s="492"/>
      <c r="M82" s="480"/>
      <c r="N82" s="493"/>
      <c r="O82" s="477"/>
      <c r="P82" s="67"/>
    </row>
    <row r="83" spans="1:20" s="5" customFormat="1" ht="18" customHeight="1">
      <c r="A83" s="272"/>
      <c r="B83" s="481" t="s">
        <v>113</v>
      </c>
      <c r="C83" s="263">
        <v>16150000</v>
      </c>
      <c r="D83" s="491"/>
      <c r="E83" s="492"/>
      <c r="F83" s="493"/>
      <c r="G83" s="493"/>
      <c r="H83" s="493"/>
      <c r="I83" s="493"/>
      <c r="J83" s="493"/>
      <c r="K83" s="493"/>
      <c r="L83" s="493"/>
      <c r="M83" s="493"/>
      <c r="N83" s="493"/>
      <c r="O83" s="477"/>
      <c r="P83" s="67"/>
    </row>
    <row r="84" spans="1:20" ht="18" customHeight="1">
      <c r="A84" s="495"/>
      <c r="B84" s="481" t="s">
        <v>114</v>
      </c>
      <c r="C84" s="263">
        <v>3825000</v>
      </c>
      <c r="D84" s="494"/>
      <c r="E84" s="492"/>
      <c r="F84" s="492"/>
      <c r="G84" s="493"/>
      <c r="H84" s="493"/>
      <c r="I84" s="493"/>
      <c r="J84" s="493"/>
      <c r="K84" s="493"/>
      <c r="L84" s="493"/>
      <c r="M84" s="493"/>
      <c r="N84" s="493"/>
      <c r="O84" s="477"/>
      <c r="P84" s="66" t="s">
        <v>28</v>
      </c>
    </row>
    <row r="85" spans="1:20" s="5" customFormat="1" ht="28.5" customHeight="1" thickBot="1">
      <c r="A85" s="272"/>
      <c r="B85" s="496" t="s">
        <v>115</v>
      </c>
      <c r="C85" s="263">
        <v>6375000</v>
      </c>
      <c r="D85" s="494"/>
      <c r="E85" s="492"/>
      <c r="F85" s="492"/>
      <c r="G85" s="492"/>
      <c r="H85" s="493"/>
      <c r="I85" s="492"/>
      <c r="J85" s="493"/>
      <c r="K85" s="493"/>
      <c r="L85" s="493"/>
      <c r="M85" s="493"/>
      <c r="N85" s="493"/>
      <c r="O85" s="477"/>
      <c r="P85" s="67"/>
    </row>
    <row r="86" spans="1:20" s="5" customFormat="1" ht="18" customHeight="1" thickBot="1">
      <c r="A86" s="498"/>
      <c r="B86" s="134"/>
      <c r="C86" s="17">
        <f>C65+C82</f>
        <v>212500000</v>
      </c>
      <c r="D86" s="12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13"/>
      <c r="P86" s="67"/>
      <c r="T86" s="36"/>
    </row>
    <row r="87" spans="1:20" ht="27.75" customHeight="1">
      <c r="A87" s="127">
        <v>10</v>
      </c>
      <c r="B87" s="131" t="s">
        <v>117</v>
      </c>
      <c r="C87" s="629">
        <f>SUM(C88:C118)</f>
        <v>1848579350</v>
      </c>
      <c r="D87" s="633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634"/>
      <c r="P87" s="73" t="s">
        <v>20</v>
      </c>
      <c r="T87" s="36"/>
    </row>
    <row r="88" spans="1:20" s="5" customFormat="1" ht="18" customHeight="1">
      <c r="A88" s="703"/>
      <c r="B88" s="704" t="s">
        <v>118</v>
      </c>
      <c r="C88" s="705">
        <v>19528750</v>
      </c>
      <c r="D88" s="706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8"/>
      <c r="P88" s="95" t="s">
        <v>45</v>
      </c>
      <c r="T88" s="36"/>
    </row>
    <row r="89" spans="1:20" s="5" customFormat="1" ht="18" customHeight="1">
      <c r="A89" s="703"/>
      <c r="B89" s="709" t="s">
        <v>119</v>
      </c>
      <c r="C89" s="705">
        <f>23715000+16750000</f>
        <v>40465000</v>
      </c>
      <c r="D89" s="706"/>
      <c r="E89" s="710"/>
      <c r="F89" s="710"/>
      <c r="G89" s="710"/>
      <c r="H89" s="710"/>
      <c r="I89" s="711"/>
      <c r="J89" s="710"/>
      <c r="K89" s="710"/>
      <c r="L89" s="710"/>
      <c r="M89" s="710"/>
      <c r="N89" s="712"/>
      <c r="O89" s="713"/>
      <c r="P89" s="95"/>
      <c r="T89" s="36"/>
    </row>
    <row r="90" spans="1:20" s="5" customFormat="1" ht="18" customHeight="1">
      <c r="A90" s="703"/>
      <c r="B90" s="709" t="s">
        <v>120</v>
      </c>
      <c r="C90" s="705">
        <v>17000000</v>
      </c>
      <c r="D90" s="706"/>
      <c r="E90" s="714"/>
      <c r="F90" s="707"/>
      <c r="G90" s="707"/>
      <c r="H90" s="707"/>
      <c r="I90" s="707"/>
      <c r="J90" s="707"/>
      <c r="K90" s="707"/>
      <c r="L90" s="707"/>
      <c r="M90" s="707"/>
      <c r="N90" s="707"/>
      <c r="O90" s="708"/>
      <c r="P90" s="95"/>
      <c r="T90" s="36"/>
    </row>
    <row r="91" spans="1:20" s="5" customFormat="1" ht="18" customHeight="1">
      <c r="A91" s="703"/>
      <c r="B91" s="709" t="s">
        <v>121</v>
      </c>
      <c r="C91" s="705">
        <v>25500000</v>
      </c>
      <c r="D91" s="715"/>
      <c r="E91" s="716"/>
      <c r="F91" s="707"/>
      <c r="G91" s="707"/>
      <c r="H91" s="707"/>
      <c r="I91" s="707"/>
      <c r="J91" s="707"/>
      <c r="K91" s="707"/>
      <c r="L91" s="707"/>
      <c r="M91" s="707"/>
      <c r="N91" s="707"/>
      <c r="O91" s="708"/>
      <c r="P91" s="95"/>
      <c r="T91" s="36"/>
    </row>
    <row r="92" spans="1:20" s="5" customFormat="1" ht="18" customHeight="1">
      <c r="A92" s="703"/>
      <c r="B92" s="709" t="s">
        <v>122</v>
      </c>
      <c r="C92" s="705">
        <f>38250000+46750000</f>
        <v>85000000</v>
      </c>
      <c r="D92" s="715"/>
      <c r="E92" s="707"/>
      <c r="F92" s="711"/>
      <c r="G92" s="707"/>
      <c r="H92" s="707"/>
      <c r="I92" s="707"/>
      <c r="J92" s="716"/>
      <c r="K92" s="707"/>
      <c r="L92" s="707"/>
      <c r="M92" s="711"/>
      <c r="N92" s="707"/>
      <c r="O92" s="708"/>
      <c r="P92" s="95"/>
      <c r="T92" s="36"/>
    </row>
    <row r="93" spans="1:20" s="5" customFormat="1" ht="18" customHeight="1">
      <c r="A93" s="703"/>
      <c r="B93" s="709" t="s">
        <v>123</v>
      </c>
      <c r="C93" s="705">
        <f>17000000+13000000</f>
        <v>30000000</v>
      </c>
      <c r="D93" s="717"/>
      <c r="E93" s="707"/>
      <c r="F93" s="707"/>
      <c r="G93" s="707"/>
      <c r="H93" s="707"/>
      <c r="I93" s="711"/>
      <c r="J93" s="707"/>
      <c r="K93" s="707"/>
      <c r="L93" s="707"/>
      <c r="M93" s="707"/>
      <c r="N93" s="707"/>
      <c r="O93" s="708"/>
      <c r="P93" s="95"/>
      <c r="T93" s="36"/>
    </row>
    <row r="94" spans="1:20" s="5" customFormat="1" ht="18" customHeight="1">
      <c r="A94" s="718"/>
      <c r="B94" s="120" t="s">
        <v>124</v>
      </c>
      <c r="C94" s="719">
        <v>12750000</v>
      </c>
      <c r="D94" s="720"/>
      <c r="E94" s="721"/>
      <c r="F94" s="722"/>
      <c r="G94" s="722"/>
      <c r="H94" s="722"/>
      <c r="I94" s="722"/>
      <c r="J94" s="722"/>
      <c r="K94" s="722"/>
      <c r="L94" s="722"/>
      <c r="M94" s="723"/>
      <c r="N94" s="722"/>
      <c r="O94" s="724"/>
      <c r="P94" s="95"/>
      <c r="T94" s="36"/>
    </row>
    <row r="95" spans="1:20" s="5" customFormat="1" ht="18" customHeight="1">
      <c r="A95" s="725"/>
      <c r="B95" s="726" t="s">
        <v>125</v>
      </c>
      <c r="C95" s="727">
        <v>16256250</v>
      </c>
      <c r="D95" s="717"/>
      <c r="E95" s="707"/>
      <c r="F95" s="707"/>
      <c r="G95" s="707"/>
      <c r="H95" s="707"/>
      <c r="I95" s="707"/>
      <c r="J95" s="707"/>
      <c r="K95" s="707"/>
      <c r="L95" s="707"/>
      <c r="M95" s="707"/>
      <c r="N95" s="707"/>
      <c r="O95" s="708"/>
      <c r="P95" s="95"/>
      <c r="T95" s="36"/>
    </row>
    <row r="96" spans="1:20" s="5" customFormat="1" ht="18" customHeight="1">
      <c r="A96" s="624"/>
      <c r="B96" s="625" t="s">
        <v>126</v>
      </c>
      <c r="C96" s="630">
        <v>19762500</v>
      </c>
      <c r="D96" s="635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36"/>
      <c r="P96" s="95"/>
      <c r="T96" s="36"/>
    </row>
    <row r="97" spans="1:20" s="5" customFormat="1" ht="18" customHeight="1" thickBot="1">
      <c r="A97" s="703"/>
      <c r="B97" s="728" t="s">
        <v>127</v>
      </c>
      <c r="C97" s="729">
        <v>47600000</v>
      </c>
      <c r="D97" s="730"/>
      <c r="E97" s="731"/>
      <c r="F97" s="731"/>
      <c r="G97" s="732"/>
      <c r="H97" s="732"/>
      <c r="I97" s="732"/>
      <c r="J97" s="732"/>
      <c r="K97" s="732"/>
      <c r="L97" s="732"/>
      <c r="M97" s="732"/>
      <c r="N97" s="732"/>
      <c r="O97" s="733"/>
      <c r="P97" s="95"/>
      <c r="T97" s="36"/>
    </row>
    <row r="98" spans="1:20" s="5" customFormat="1" ht="32.25" customHeight="1">
      <c r="A98" s="703"/>
      <c r="B98" s="734" t="s">
        <v>146</v>
      </c>
      <c r="C98" s="735">
        <v>2125000</v>
      </c>
      <c r="D98" s="631"/>
      <c r="E98" s="632"/>
      <c r="F98" s="626"/>
      <c r="G98" s="626"/>
      <c r="H98" s="626"/>
      <c r="I98" s="632"/>
      <c r="J98" s="626"/>
      <c r="K98" s="626"/>
      <c r="L98" s="626"/>
      <c r="M98" s="626"/>
      <c r="N98" s="626"/>
      <c r="O98" s="636"/>
      <c r="P98" s="64"/>
      <c r="T98" s="36"/>
    </row>
    <row r="99" spans="1:20" s="5" customFormat="1" ht="18" customHeight="1">
      <c r="A99" s="703"/>
      <c r="B99" s="736" t="s">
        <v>128</v>
      </c>
      <c r="C99" s="737">
        <v>12750000</v>
      </c>
      <c r="D99" s="738"/>
      <c r="E99" s="711"/>
      <c r="F99" s="707"/>
      <c r="G99" s="707"/>
      <c r="H99" s="707"/>
      <c r="I99" s="707"/>
      <c r="J99" s="707"/>
      <c r="K99" s="707"/>
      <c r="L99" s="707"/>
      <c r="M99" s="707"/>
      <c r="N99" s="707"/>
      <c r="O99" s="708"/>
      <c r="P99" s="64"/>
      <c r="T99" s="36"/>
    </row>
    <row r="100" spans="1:20" s="5" customFormat="1" ht="18" customHeight="1">
      <c r="A100" s="703"/>
      <c r="B100" s="736" t="s">
        <v>147</v>
      </c>
      <c r="C100" s="737">
        <v>23800000</v>
      </c>
      <c r="D100" s="738"/>
      <c r="E100" s="707"/>
      <c r="F100" s="707"/>
      <c r="G100" s="711"/>
      <c r="H100" s="707"/>
      <c r="I100" s="707"/>
      <c r="J100" s="707"/>
      <c r="K100" s="707"/>
      <c r="L100" s="707"/>
      <c r="M100" s="707"/>
      <c r="N100" s="707"/>
      <c r="O100" s="708"/>
      <c r="P100" s="64"/>
      <c r="T100" s="36"/>
    </row>
    <row r="101" spans="1:20" s="5" customFormat="1" ht="18" customHeight="1">
      <c r="A101" s="703"/>
      <c r="B101" s="736" t="s">
        <v>129</v>
      </c>
      <c r="C101" s="737">
        <v>17255000</v>
      </c>
      <c r="D101" s="738"/>
      <c r="E101" s="711"/>
      <c r="F101" s="707"/>
      <c r="G101" s="707"/>
      <c r="H101" s="707"/>
      <c r="I101" s="707"/>
      <c r="J101" s="707"/>
      <c r="K101" s="707"/>
      <c r="L101" s="707"/>
      <c r="M101" s="707"/>
      <c r="N101" s="707"/>
      <c r="O101" s="708"/>
      <c r="P101" s="64"/>
      <c r="T101" s="36"/>
    </row>
    <row r="102" spans="1:20" s="5" customFormat="1" ht="18" customHeight="1">
      <c r="A102" s="703"/>
      <c r="B102" s="736" t="s">
        <v>130</v>
      </c>
      <c r="C102" s="737">
        <v>67447500</v>
      </c>
      <c r="D102" s="738"/>
      <c r="E102" s="711"/>
      <c r="F102" s="707"/>
      <c r="G102" s="707"/>
      <c r="H102" s="707"/>
      <c r="I102" s="707"/>
      <c r="J102" s="707"/>
      <c r="K102" s="707"/>
      <c r="L102" s="707"/>
      <c r="M102" s="707"/>
      <c r="N102" s="707"/>
      <c r="O102" s="708"/>
      <c r="P102" s="64"/>
      <c r="T102" s="36"/>
    </row>
    <row r="103" spans="1:20" s="5" customFormat="1" ht="18" customHeight="1">
      <c r="A103" s="703"/>
      <c r="B103" s="736" t="s">
        <v>131</v>
      </c>
      <c r="C103" s="737">
        <v>17722500</v>
      </c>
      <c r="D103" s="738"/>
      <c r="E103" s="707"/>
      <c r="F103" s="707"/>
      <c r="G103" s="707"/>
      <c r="H103" s="707"/>
      <c r="I103" s="707"/>
      <c r="J103" s="711"/>
      <c r="K103" s="707"/>
      <c r="L103" s="707"/>
      <c r="M103" s="707"/>
      <c r="N103" s="707"/>
      <c r="O103" s="708"/>
      <c r="P103" s="69"/>
      <c r="T103" s="36"/>
    </row>
    <row r="104" spans="1:20" s="5" customFormat="1" ht="18" customHeight="1">
      <c r="A104" s="703"/>
      <c r="B104" s="736" t="s">
        <v>132</v>
      </c>
      <c r="C104" s="737">
        <v>31025000</v>
      </c>
      <c r="D104" s="738"/>
      <c r="E104" s="707"/>
      <c r="F104" s="707"/>
      <c r="G104" s="707"/>
      <c r="H104" s="707"/>
      <c r="I104" s="707"/>
      <c r="J104" s="711"/>
      <c r="K104" s="707"/>
      <c r="L104" s="707"/>
      <c r="M104" s="707"/>
      <c r="N104" s="707"/>
      <c r="O104" s="708"/>
      <c r="P104" s="765" t="s">
        <v>59</v>
      </c>
      <c r="T104" s="36"/>
    </row>
    <row r="105" spans="1:20" s="5" customFormat="1" ht="18" customHeight="1">
      <c r="A105" s="703"/>
      <c r="B105" s="736" t="s">
        <v>133</v>
      </c>
      <c r="C105" s="737">
        <f>3600000+6000000+18150000</f>
        <v>27750000</v>
      </c>
      <c r="D105" s="739"/>
      <c r="E105" s="707"/>
      <c r="F105" s="707"/>
      <c r="G105" s="707"/>
      <c r="H105" s="711"/>
      <c r="I105" s="707"/>
      <c r="J105" s="707"/>
      <c r="K105" s="707"/>
      <c r="L105" s="711"/>
      <c r="M105" s="707"/>
      <c r="N105" s="707"/>
      <c r="O105" s="708"/>
      <c r="P105" s="765"/>
      <c r="T105" s="36"/>
    </row>
    <row r="106" spans="1:20" s="5" customFormat="1" ht="18" customHeight="1">
      <c r="A106" s="703"/>
      <c r="B106" s="736" t="s">
        <v>134</v>
      </c>
      <c r="C106" s="737">
        <f>8250000</f>
        <v>8250000</v>
      </c>
      <c r="D106" s="739"/>
      <c r="E106" s="707"/>
      <c r="F106" s="707"/>
      <c r="G106" s="707"/>
      <c r="H106" s="711"/>
      <c r="I106" s="707"/>
      <c r="J106" s="707"/>
      <c r="K106" s="707"/>
      <c r="L106" s="711"/>
      <c r="M106" s="707"/>
      <c r="N106" s="707"/>
      <c r="O106" s="708"/>
      <c r="P106" s="765"/>
      <c r="T106" s="36"/>
    </row>
    <row r="107" spans="1:20" s="5" customFormat="1" ht="18" customHeight="1">
      <c r="A107" s="703"/>
      <c r="B107" s="736" t="s">
        <v>135</v>
      </c>
      <c r="C107" s="737">
        <f>13200000+33000000</f>
        <v>46200000</v>
      </c>
      <c r="D107" s="739"/>
      <c r="E107" s="707"/>
      <c r="F107" s="707"/>
      <c r="G107" s="707"/>
      <c r="H107" s="711"/>
      <c r="I107" s="707"/>
      <c r="J107" s="707"/>
      <c r="K107" s="707"/>
      <c r="L107" s="711"/>
      <c r="M107" s="707"/>
      <c r="N107" s="707"/>
      <c r="O107" s="708"/>
      <c r="P107" s="765"/>
      <c r="T107" s="36"/>
    </row>
    <row r="108" spans="1:20" ht="18" customHeight="1">
      <c r="A108" s="703"/>
      <c r="B108" s="736" t="s">
        <v>136</v>
      </c>
      <c r="C108" s="737">
        <f>9450000+22500000+14850000+60000000</f>
        <v>106800000</v>
      </c>
      <c r="D108" s="739"/>
      <c r="E108" s="707"/>
      <c r="F108" s="707"/>
      <c r="G108" s="707"/>
      <c r="H108" s="711"/>
      <c r="I108" s="707"/>
      <c r="J108" s="707"/>
      <c r="K108" s="707"/>
      <c r="L108" s="711"/>
      <c r="M108" s="707"/>
      <c r="N108" s="707"/>
      <c r="O108" s="708"/>
      <c r="P108" s="765"/>
      <c r="T108" s="36"/>
    </row>
    <row r="109" spans="1:20" s="5" customFormat="1" ht="18" customHeight="1">
      <c r="A109" s="703"/>
      <c r="B109" s="736" t="s">
        <v>137</v>
      </c>
      <c r="C109" s="737">
        <f>7075000</f>
        <v>7075000</v>
      </c>
      <c r="D109" s="738"/>
      <c r="E109" s="711"/>
      <c r="F109" s="707"/>
      <c r="G109" s="707"/>
      <c r="H109" s="707"/>
      <c r="I109" s="711"/>
      <c r="J109" s="707"/>
      <c r="K109" s="707"/>
      <c r="L109" s="711"/>
      <c r="M109" s="707"/>
      <c r="N109" s="707"/>
      <c r="O109" s="708"/>
      <c r="P109" s="765"/>
      <c r="T109" s="37"/>
    </row>
    <row r="110" spans="1:20" s="5" customFormat="1" ht="18" customHeight="1">
      <c r="A110" s="703"/>
      <c r="B110" s="736" t="s">
        <v>138</v>
      </c>
      <c r="C110" s="737">
        <f>3600000+2700000+109350000+6275000+72000000+600000000</f>
        <v>793925000</v>
      </c>
      <c r="D110" s="739"/>
      <c r="E110" s="711"/>
      <c r="F110" s="707"/>
      <c r="G110" s="707"/>
      <c r="H110" s="711"/>
      <c r="I110" s="711"/>
      <c r="J110" s="707"/>
      <c r="K110" s="707"/>
      <c r="L110" s="711"/>
      <c r="M110" s="711"/>
      <c r="N110" s="707"/>
      <c r="O110" s="708"/>
      <c r="P110" s="765"/>
      <c r="T110" s="36"/>
    </row>
    <row r="111" spans="1:20" s="5" customFormat="1" ht="18" customHeight="1">
      <c r="A111" s="703"/>
      <c r="B111" s="736" t="s">
        <v>139</v>
      </c>
      <c r="C111" s="737">
        <f>10000000</f>
        <v>10000000</v>
      </c>
      <c r="D111" s="739"/>
      <c r="E111" s="711"/>
      <c r="F111" s="707"/>
      <c r="G111" s="711"/>
      <c r="H111" s="707"/>
      <c r="I111" s="707"/>
      <c r="J111" s="711"/>
      <c r="K111" s="707"/>
      <c r="L111" s="707"/>
      <c r="M111" s="711"/>
      <c r="N111" s="711"/>
      <c r="O111" s="708"/>
      <c r="P111" s="765"/>
      <c r="T111" s="36"/>
    </row>
    <row r="112" spans="1:20" s="5" customFormat="1" ht="18" customHeight="1">
      <c r="A112" s="703"/>
      <c r="B112" s="736" t="s">
        <v>140</v>
      </c>
      <c r="C112" s="737">
        <f>4250000+35000</f>
        <v>4285000</v>
      </c>
      <c r="D112" s="739"/>
      <c r="E112" s="707"/>
      <c r="F112" s="711"/>
      <c r="G112" s="707"/>
      <c r="H112" s="707"/>
      <c r="I112" s="707"/>
      <c r="J112" s="707"/>
      <c r="K112" s="707"/>
      <c r="L112" s="707"/>
      <c r="M112" s="707"/>
      <c r="N112" s="707"/>
      <c r="O112" s="708"/>
      <c r="P112" s="765"/>
      <c r="T112" s="36"/>
    </row>
    <row r="113" spans="1:20" ht="18" customHeight="1">
      <c r="A113" s="703"/>
      <c r="B113" s="736" t="s">
        <v>141</v>
      </c>
      <c r="C113" s="740">
        <v>23715000</v>
      </c>
      <c r="D113" s="738"/>
      <c r="E113" s="707"/>
      <c r="F113" s="711"/>
      <c r="G113" s="707"/>
      <c r="H113" s="707"/>
      <c r="I113" s="707"/>
      <c r="J113" s="707"/>
      <c r="K113" s="707"/>
      <c r="L113" s="707"/>
      <c r="M113" s="707"/>
      <c r="N113" s="707"/>
      <c r="O113" s="708"/>
      <c r="P113" s="765"/>
      <c r="T113" s="36"/>
    </row>
    <row r="114" spans="1:20" s="5" customFormat="1" ht="18" customHeight="1">
      <c r="A114" s="703"/>
      <c r="B114" s="736" t="s">
        <v>142</v>
      </c>
      <c r="C114" s="740">
        <v>6000000</v>
      </c>
      <c r="D114" s="738"/>
      <c r="E114" s="707"/>
      <c r="F114" s="711"/>
      <c r="G114" s="707"/>
      <c r="H114" s="707"/>
      <c r="I114" s="707"/>
      <c r="J114" s="707"/>
      <c r="K114" s="707"/>
      <c r="L114" s="707"/>
      <c r="M114" s="707"/>
      <c r="N114" s="707"/>
      <c r="O114" s="708"/>
      <c r="P114" s="765"/>
      <c r="T114" s="36"/>
    </row>
    <row r="115" spans="1:20" s="5" customFormat="1" ht="18" customHeight="1">
      <c r="A115" s="703"/>
      <c r="B115" s="736" t="s">
        <v>143</v>
      </c>
      <c r="C115" s="737">
        <f>4400000+1495000+771000</f>
        <v>6666000</v>
      </c>
      <c r="D115" s="738"/>
      <c r="E115" s="707"/>
      <c r="F115" s="707"/>
      <c r="G115" s="741"/>
      <c r="H115" s="707"/>
      <c r="I115" s="707"/>
      <c r="J115" s="707"/>
      <c r="K115" s="707"/>
      <c r="L115" s="707"/>
      <c r="M115" s="707"/>
      <c r="N115" s="707"/>
      <c r="O115" s="708"/>
      <c r="P115" s="765"/>
      <c r="T115" s="36" t="s">
        <v>130</v>
      </c>
    </row>
    <row r="116" spans="1:20" ht="18" customHeight="1">
      <c r="A116" s="703"/>
      <c r="B116" s="736" t="s">
        <v>144</v>
      </c>
      <c r="C116" s="740">
        <v>62425850</v>
      </c>
      <c r="D116" s="738"/>
      <c r="E116" s="707"/>
      <c r="F116" s="707"/>
      <c r="G116" s="742"/>
      <c r="H116" s="707"/>
      <c r="I116" s="707"/>
      <c r="J116" s="707"/>
      <c r="K116" s="707"/>
      <c r="L116" s="707"/>
      <c r="M116" s="707"/>
      <c r="N116" s="707"/>
      <c r="O116" s="708"/>
      <c r="P116" s="765"/>
      <c r="T116" s="36" t="s">
        <v>131</v>
      </c>
    </row>
    <row r="117" spans="1:20" s="5" customFormat="1" ht="18" customHeight="1">
      <c r="A117" s="703"/>
      <c r="B117" s="736" t="s">
        <v>148</v>
      </c>
      <c r="C117" s="740">
        <f>9500000</f>
        <v>9500000</v>
      </c>
      <c r="D117" s="738"/>
      <c r="E117" s="707"/>
      <c r="F117" s="707"/>
      <c r="G117" s="742"/>
      <c r="H117" s="707"/>
      <c r="I117" s="707"/>
      <c r="J117" s="707"/>
      <c r="K117" s="707"/>
      <c r="L117" s="707"/>
      <c r="M117" s="707"/>
      <c r="N117" s="707"/>
      <c r="O117" s="708"/>
      <c r="P117" s="765"/>
      <c r="T117" s="36" t="s">
        <v>132</v>
      </c>
    </row>
    <row r="118" spans="1:20" s="5" customFormat="1" ht="18" customHeight="1" thickBot="1">
      <c r="A118" s="743"/>
      <c r="B118" s="744" t="s">
        <v>145</v>
      </c>
      <c r="C118" s="745">
        <v>250000000</v>
      </c>
      <c r="D118" s="746"/>
      <c r="E118" s="731"/>
      <c r="F118" s="731"/>
      <c r="G118" s="731"/>
      <c r="H118" s="731"/>
      <c r="I118" s="731"/>
      <c r="J118" s="731"/>
      <c r="K118" s="731"/>
      <c r="L118" s="731"/>
      <c r="M118" s="731"/>
      <c r="N118" s="731"/>
      <c r="O118" s="747"/>
      <c r="P118" s="765"/>
      <c r="T118" s="36" t="s">
        <v>133</v>
      </c>
    </row>
    <row r="119" spans="1:20" s="5" customFormat="1" ht="29.25" customHeight="1">
      <c r="A119" s="232">
        <v>11</v>
      </c>
      <c r="B119" s="698" t="s">
        <v>149</v>
      </c>
      <c r="C119" s="699">
        <f>SUM(C120:C121)</f>
        <v>85000000</v>
      </c>
      <c r="D119" s="700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2"/>
      <c r="P119" s="765"/>
      <c r="T119" s="36" t="s">
        <v>134</v>
      </c>
    </row>
    <row r="120" spans="1:20" s="5" customFormat="1" ht="18" customHeight="1">
      <c r="A120" s="637"/>
      <c r="B120" s="501" t="s">
        <v>150</v>
      </c>
      <c r="C120" s="638">
        <v>68000000</v>
      </c>
      <c r="D120" s="499"/>
      <c r="E120" s="575"/>
      <c r="F120" s="575"/>
      <c r="G120" s="575"/>
      <c r="H120" s="575"/>
      <c r="I120" s="575"/>
      <c r="J120" s="627"/>
      <c r="K120" s="575"/>
      <c r="L120" s="575"/>
      <c r="M120" s="627"/>
      <c r="N120" s="575"/>
      <c r="O120" s="628"/>
      <c r="P120" s="765"/>
      <c r="T120" s="36" t="s">
        <v>135</v>
      </c>
    </row>
    <row r="121" spans="1:20" ht="18" customHeight="1" thickBot="1">
      <c r="A121" s="637"/>
      <c r="B121" s="501" t="s">
        <v>151</v>
      </c>
      <c r="C121" s="639">
        <v>17000000</v>
      </c>
      <c r="D121" s="499"/>
      <c r="E121" s="575"/>
      <c r="F121" s="575"/>
      <c r="G121" s="575"/>
      <c r="H121" s="575"/>
      <c r="I121" s="575"/>
      <c r="J121" s="575"/>
      <c r="K121" s="575"/>
      <c r="L121" s="575"/>
      <c r="M121" s="575"/>
      <c r="N121" s="627"/>
      <c r="O121" s="628"/>
      <c r="P121" s="765"/>
      <c r="T121" s="36" t="s">
        <v>136</v>
      </c>
    </row>
    <row r="122" spans="1:20" s="5" customFormat="1" ht="18" customHeight="1" thickBot="1">
      <c r="A122" s="500"/>
      <c r="B122" s="640"/>
      <c r="C122" s="92">
        <f>C87+C119</f>
        <v>1933579350</v>
      </c>
      <c r="D122" s="641"/>
      <c r="E122" s="642"/>
      <c r="F122" s="642"/>
      <c r="G122" s="642"/>
      <c r="H122" s="642"/>
      <c r="I122" s="642"/>
      <c r="J122" s="642"/>
      <c r="K122" s="642"/>
      <c r="L122" s="642"/>
      <c r="M122" s="642"/>
      <c r="N122" s="642"/>
      <c r="O122" s="643"/>
      <c r="P122" s="766"/>
      <c r="T122" s="36" t="s">
        <v>137</v>
      </c>
    </row>
    <row r="123" spans="1:20" ht="18" customHeight="1">
      <c r="A123" s="125">
        <v>12</v>
      </c>
      <c r="B123" s="132" t="s">
        <v>21</v>
      </c>
      <c r="C123" s="55">
        <v>7225000</v>
      </c>
      <c r="D123" s="5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60"/>
      <c r="P123" s="63" t="s">
        <v>49</v>
      </c>
      <c r="T123" s="36" t="s">
        <v>145</v>
      </c>
    </row>
    <row r="124" spans="1:20" ht="18" customHeight="1">
      <c r="A124" s="407">
        <v>13</v>
      </c>
      <c r="B124" s="509" t="s">
        <v>22</v>
      </c>
      <c r="C124" s="644">
        <f>SUM(C125:C129)</f>
        <v>431600000</v>
      </c>
      <c r="D124" s="483"/>
      <c r="E124" s="645"/>
      <c r="F124" s="645"/>
      <c r="G124" s="645"/>
      <c r="H124" s="645"/>
      <c r="I124" s="645"/>
      <c r="J124" s="645"/>
      <c r="K124" s="645"/>
      <c r="L124" s="645"/>
      <c r="M124" s="645"/>
      <c r="N124" s="645"/>
      <c r="O124" s="646"/>
      <c r="P124" s="66"/>
    </row>
    <row r="125" spans="1:20" ht="18" customHeight="1">
      <c r="A125" s="407"/>
      <c r="B125" s="510" t="s">
        <v>152</v>
      </c>
      <c r="C125" s="647">
        <v>15600000</v>
      </c>
      <c r="D125" s="51"/>
      <c r="E125" s="648"/>
      <c r="F125" s="648"/>
      <c r="G125" s="648"/>
      <c r="H125" s="648"/>
      <c r="I125" s="648"/>
      <c r="J125" s="648"/>
      <c r="K125" s="648"/>
      <c r="L125" s="648"/>
      <c r="M125" s="648"/>
      <c r="N125" s="648"/>
      <c r="O125" s="61"/>
      <c r="P125" s="66"/>
    </row>
    <row r="126" spans="1:20" ht="18" customHeight="1">
      <c r="A126" s="407"/>
      <c r="B126" s="510" t="s">
        <v>153</v>
      </c>
      <c r="C126" s="647">
        <v>35000000</v>
      </c>
      <c r="D126" s="51"/>
      <c r="E126" s="648"/>
      <c r="F126" s="648"/>
      <c r="G126" s="648"/>
      <c r="H126" s="648"/>
      <c r="I126" s="648"/>
      <c r="J126" s="648"/>
      <c r="K126" s="648"/>
      <c r="L126" s="649"/>
      <c r="M126" s="649"/>
      <c r="N126" s="649"/>
      <c r="O126" s="62"/>
      <c r="P126" s="66"/>
    </row>
    <row r="127" spans="1:20" ht="18" customHeight="1">
      <c r="A127" s="407"/>
      <c r="B127" s="510" t="s">
        <v>154</v>
      </c>
      <c r="C127" s="647">
        <v>285000000</v>
      </c>
      <c r="D127" s="51"/>
      <c r="E127" s="648"/>
      <c r="F127" s="648"/>
      <c r="G127" s="648"/>
      <c r="H127" s="648"/>
      <c r="I127" s="648"/>
      <c r="J127" s="648"/>
      <c r="K127" s="648"/>
      <c r="L127" s="648"/>
      <c r="M127" s="648"/>
      <c r="N127" s="649"/>
      <c r="O127" s="62"/>
      <c r="P127" s="66"/>
    </row>
    <row r="128" spans="1:20" ht="18" customHeight="1">
      <c r="A128" s="407"/>
      <c r="B128" s="650" t="s">
        <v>205</v>
      </c>
      <c r="C128" s="651">
        <v>28800000</v>
      </c>
      <c r="D128" s="51"/>
      <c r="E128" s="652"/>
      <c r="F128" s="652"/>
      <c r="G128" s="652"/>
      <c r="H128" s="652"/>
      <c r="I128" s="652"/>
      <c r="J128" s="652"/>
      <c r="K128" s="652"/>
      <c r="L128" s="652"/>
      <c r="M128" s="652"/>
      <c r="N128" s="652"/>
      <c r="O128" s="652"/>
      <c r="P128" s="66"/>
    </row>
    <row r="129" spans="1:16" ht="18" customHeight="1">
      <c r="A129" s="653"/>
      <c r="B129" s="650" t="s">
        <v>206</v>
      </c>
      <c r="C129" s="651">
        <f>67200000</f>
        <v>67200000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240"/>
    </row>
    <row r="130" spans="1:16" ht="18" customHeight="1">
      <c r="A130" s="653">
        <v>14</v>
      </c>
      <c r="B130" s="133" t="s">
        <v>40</v>
      </c>
      <c r="C130" s="654">
        <v>6375000</v>
      </c>
      <c r="D130" s="655"/>
      <c r="E130" s="224"/>
      <c r="F130" s="238"/>
      <c r="G130" s="242"/>
      <c r="H130" s="187"/>
      <c r="I130" s="242"/>
      <c r="J130" s="85"/>
      <c r="K130" s="242"/>
      <c r="L130" s="224"/>
      <c r="M130" s="242"/>
      <c r="N130" s="242"/>
      <c r="O130" s="237"/>
      <c r="P130" s="66"/>
    </row>
    <row r="131" spans="1:16" ht="18" customHeight="1">
      <c r="A131" s="653">
        <v>15</v>
      </c>
      <c r="B131" s="133" t="s">
        <v>159</v>
      </c>
      <c r="C131" s="654">
        <v>92700000</v>
      </c>
      <c r="D131" s="38"/>
      <c r="E131" s="649"/>
      <c r="F131" s="649"/>
      <c r="G131" s="649"/>
      <c r="H131" s="649"/>
      <c r="I131" s="649"/>
      <c r="J131" s="649"/>
      <c r="K131" s="649"/>
      <c r="L131" s="649"/>
      <c r="M131" s="649"/>
      <c r="N131" s="649"/>
      <c r="O131" s="62"/>
      <c r="P131" s="66"/>
    </row>
    <row r="132" spans="1:16" ht="18" customHeight="1">
      <c r="A132" s="653"/>
      <c r="B132" s="134" t="s">
        <v>161</v>
      </c>
      <c r="C132" s="656">
        <v>77400000</v>
      </c>
      <c r="D132" s="51"/>
      <c r="E132" s="648"/>
      <c r="F132" s="648"/>
      <c r="G132" s="648"/>
      <c r="H132" s="648"/>
      <c r="I132" s="648"/>
      <c r="J132" s="648"/>
      <c r="K132" s="648"/>
      <c r="L132" s="648"/>
      <c r="M132" s="648"/>
      <c r="N132" s="648"/>
      <c r="O132" s="61"/>
      <c r="P132" s="66"/>
    </row>
    <row r="133" spans="1:16" ht="18" customHeight="1">
      <c r="A133" s="653"/>
      <c r="B133" s="134" t="s">
        <v>162</v>
      </c>
      <c r="C133" s="656">
        <v>15300000</v>
      </c>
      <c r="D133" s="51"/>
      <c r="E133" s="649"/>
      <c r="F133" s="649"/>
      <c r="G133" s="648"/>
      <c r="H133" s="649"/>
      <c r="I133" s="649"/>
      <c r="J133" s="648"/>
      <c r="K133" s="649"/>
      <c r="L133" s="649"/>
      <c r="M133" s="648"/>
      <c r="N133" s="649"/>
      <c r="O133" s="62"/>
      <c r="P133" s="66"/>
    </row>
    <row r="134" spans="1:16" ht="18" customHeight="1">
      <c r="A134" s="653">
        <v>16</v>
      </c>
      <c r="B134" s="133" t="s">
        <v>23</v>
      </c>
      <c r="C134" s="654">
        <f>17000000+4250000</f>
        <v>21250000</v>
      </c>
      <c r="D134" s="38"/>
      <c r="E134" s="649"/>
      <c r="F134" s="649"/>
      <c r="G134" s="649"/>
      <c r="H134" s="649"/>
      <c r="I134" s="649"/>
      <c r="J134" s="649"/>
      <c r="K134" s="649"/>
      <c r="L134" s="649"/>
      <c r="M134" s="649"/>
      <c r="N134" s="649"/>
      <c r="O134" s="62"/>
      <c r="P134" s="66"/>
    </row>
    <row r="135" spans="1:16" ht="18" customHeight="1">
      <c r="A135" s="653"/>
      <c r="B135" s="650" t="s">
        <v>167</v>
      </c>
      <c r="C135" s="657">
        <v>17000000</v>
      </c>
      <c r="D135" s="51"/>
      <c r="E135" s="648"/>
      <c r="F135" s="648"/>
      <c r="G135" s="648"/>
      <c r="H135" s="648"/>
      <c r="I135" s="648"/>
      <c r="J135" s="648"/>
      <c r="K135" s="648"/>
      <c r="L135" s="648"/>
      <c r="M135" s="648"/>
      <c r="N135" s="648"/>
      <c r="O135" s="61"/>
      <c r="P135" s="66"/>
    </row>
    <row r="136" spans="1:16" ht="18" customHeight="1">
      <c r="A136" s="653"/>
      <c r="B136" s="658" t="s">
        <v>168</v>
      </c>
      <c r="C136" s="659">
        <v>4250000</v>
      </c>
      <c r="D136" s="51"/>
      <c r="E136" s="660"/>
      <c r="F136" s="661"/>
      <c r="G136" s="660"/>
      <c r="H136" s="660"/>
      <c r="I136" s="660"/>
      <c r="J136" s="660"/>
      <c r="K136" s="660"/>
      <c r="L136" s="660"/>
      <c r="M136" s="660"/>
      <c r="N136" s="660"/>
      <c r="O136" s="62"/>
      <c r="P136" s="66"/>
    </row>
    <row r="137" spans="1:16" ht="18" customHeight="1">
      <c r="A137" s="653">
        <v>17</v>
      </c>
      <c r="B137" s="133" t="s">
        <v>38</v>
      </c>
      <c r="C137" s="662">
        <f>10200000+10200000</f>
        <v>20400000</v>
      </c>
      <c r="D137" s="38"/>
      <c r="E137" s="660"/>
      <c r="F137" s="660"/>
      <c r="G137" s="660"/>
      <c r="H137" s="660"/>
      <c r="I137" s="660"/>
      <c r="J137" s="660"/>
      <c r="K137" s="660"/>
      <c r="L137" s="660"/>
      <c r="M137" s="660"/>
      <c r="N137" s="660"/>
      <c r="O137" s="62"/>
      <c r="P137" s="66"/>
    </row>
    <row r="138" spans="1:16" ht="18" customHeight="1">
      <c r="A138" s="653"/>
      <c r="B138" s="663" t="s">
        <v>172</v>
      </c>
      <c r="C138" s="664">
        <v>10200000</v>
      </c>
      <c r="D138" s="51"/>
      <c r="E138" s="661"/>
      <c r="F138" s="661"/>
      <c r="G138" s="661"/>
      <c r="H138" s="661"/>
      <c r="I138" s="661"/>
      <c r="J138" s="661"/>
      <c r="K138" s="661"/>
      <c r="L138" s="661"/>
      <c r="M138" s="661"/>
      <c r="N138" s="660"/>
      <c r="O138" s="62"/>
      <c r="P138" s="66"/>
    </row>
    <row r="139" spans="1:16" ht="18" customHeight="1">
      <c r="A139" s="653"/>
      <c r="B139" s="663" t="s">
        <v>173</v>
      </c>
      <c r="C139" s="664">
        <v>10200000</v>
      </c>
      <c r="D139" s="51"/>
      <c r="E139" s="660"/>
      <c r="F139" s="661"/>
      <c r="G139" s="660"/>
      <c r="H139" s="661"/>
      <c r="I139" s="660"/>
      <c r="J139" s="660"/>
      <c r="K139" s="660"/>
      <c r="L139" s="660"/>
      <c r="M139" s="660"/>
      <c r="N139" s="660"/>
      <c r="O139" s="62"/>
      <c r="P139" s="66"/>
    </row>
    <row r="140" spans="1:16" ht="18" customHeight="1">
      <c r="A140" s="653">
        <v>18</v>
      </c>
      <c r="B140" s="133" t="s">
        <v>39</v>
      </c>
      <c r="C140" s="662">
        <v>6375000</v>
      </c>
      <c r="D140" s="51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1"/>
      <c r="P140" s="66"/>
    </row>
    <row r="141" spans="1:16" ht="18" customHeight="1">
      <c r="A141" s="653">
        <v>19</v>
      </c>
      <c r="B141" s="133" t="s">
        <v>24</v>
      </c>
      <c r="C141" s="662">
        <v>3300000</v>
      </c>
      <c r="D141" s="51"/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1"/>
      <c r="P141" s="66"/>
    </row>
    <row r="142" spans="1:16" ht="18" customHeight="1">
      <c r="A142" s="653">
        <v>20</v>
      </c>
      <c r="B142" s="133" t="s">
        <v>158</v>
      </c>
      <c r="C142" s="662">
        <v>10625000</v>
      </c>
      <c r="D142" s="51"/>
      <c r="E142" s="661"/>
      <c r="F142" s="661"/>
      <c r="G142" s="661"/>
      <c r="H142" s="661"/>
      <c r="I142" s="661"/>
      <c r="J142" s="661"/>
      <c r="K142" s="661"/>
      <c r="L142" s="661"/>
      <c r="M142" s="661"/>
      <c r="N142" s="660"/>
      <c r="O142" s="62"/>
      <c r="P142" s="66"/>
    </row>
    <row r="143" spans="1:16" ht="18" customHeight="1">
      <c r="A143" s="653">
        <v>21</v>
      </c>
      <c r="B143" s="133" t="s">
        <v>25</v>
      </c>
      <c r="C143" s="662">
        <v>42500000</v>
      </c>
      <c r="D143" s="38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2"/>
      <c r="P143" s="66"/>
    </row>
    <row r="144" spans="1:16" ht="18" customHeight="1">
      <c r="A144" s="653"/>
      <c r="B144" s="135" t="s">
        <v>169</v>
      </c>
      <c r="C144" s="665">
        <v>21250000</v>
      </c>
      <c r="D144" s="51"/>
      <c r="E144" s="661"/>
      <c r="F144" s="661"/>
      <c r="G144" s="661"/>
      <c r="H144" s="661"/>
      <c r="I144" s="661"/>
      <c r="J144" s="661"/>
      <c r="K144" s="661"/>
      <c r="L144" s="661"/>
      <c r="M144" s="661"/>
      <c r="N144" s="661"/>
      <c r="O144" s="61"/>
      <c r="P144" s="66"/>
    </row>
    <row r="145" spans="1:16" ht="18" customHeight="1">
      <c r="A145" s="653"/>
      <c r="B145" s="136" t="s">
        <v>170</v>
      </c>
      <c r="C145" s="665">
        <v>21250000</v>
      </c>
      <c r="D145" s="51"/>
      <c r="E145" s="661"/>
      <c r="F145" s="661"/>
      <c r="G145" s="661"/>
      <c r="H145" s="661"/>
      <c r="I145" s="661"/>
      <c r="J145" s="661"/>
      <c r="K145" s="661"/>
      <c r="L145" s="661"/>
      <c r="M145" s="661"/>
      <c r="N145" s="660"/>
      <c r="O145" s="62"/>
      <c r="P145" s="66"/>
    </row>
    <row r="146" spans="1:16" ht="18" customHeight="1">
      <c r="A146" s="653">
        <v>22</v>
      </c>
      <c r="B146" s="133" t="s">
        <v>26</v>
      </c>
      <c r="C146" s="662">
        <v>227898350</v>
      </c>
      <c r="D146" s="51"/>
      <c r="E146" s="661"/>
      <c r="F146" s="661"/>
      <c r="G146" s="661"/>
      <c r="H146" s="661"/>
      <c r="I146" s="661"/>
      <c r="J146" s="661"/>
      <c r="K146" s="661"/>
      <c r="L146" s="661"/>
      <c r="M146" s="661"/>
      <c r="N146" s="661"/>
      <c r="O146" s="61"/>
      <c r="P146" s="66"/>
    </row>
    <row r="147" spans="1:16" ht="18" customHeight="1">
      <c r="A147" s="653">
        <v>23</v>
      </c>
      <c r="B147" s="133" t="s">
        <v>27</v>
      </c>
      <c r="C147" s="662">
        <v>679369400</v>
      </c>
      <c r="D147" s="51"/>
      <c r="E147" s="661"/>
      <c r="F147" s="661"/>
      <c r="G147" s="661"/>
      <c r="H147" s="661"/>
      <c r="I147" s="661"/>
      <c r="J147" s="661"/>
      <c r="K147" s="661"/>
      <c r="L147" s="661"/>
      <c r="M147" s="661"/>
      <c r="N147" s="661"/>
      <c r="O147" s="61"/>
      <c r="P147" s="66"/>
    </row>
    <row r="148" spans="1:16" ht="18" customHeight="1">
      <c r="A148" s="653">
        <v>24</v>
      </c>
      <c r="B148" s="133" t="s">
        <v>197</v>
      </c>
      <c r="C148" s="662">
        <f>SUM(C149:C150)</f>
        <v>533792000</v>
      </c>
      <c r="D148" s="51"/>
      <c r="E148" s="661"/>
      <c r="F148" s="661"/>
      <c r="G148" s="661"/>
      <c r="H148" s="661"/>
      <c r="I148" s="661"/>
      <c r="J148" s="661"/>
      <c r="K148" s="661"/>
      <c r="L148" s="661"/>
      <c r="M148" s="661"/>
      <c r="N148" s="661"/>
      <c r="O148" s="61"/>
      <c r="P148" s="66"/>
    </row>
    <row r="149" spans="1:16" ht="18" customHeight="1">
      <c r="A149" s="653"/>
      <c r="B149" s="134" t="s">
        <v>198</v>
      </c>
      <c r="C149" s="666">
        <v>183792000</v>
      </c>
      <c r="D149" s="661"/>
      <c r="E149" s="660"/>
      <c r="F149" s="660"/>
      <c r="G149" s="660"/>
      <c r="H149" s="660"/>
      <c r="I149" s="660"/>
      <c r="J149" s="660"/>
      <c r="K149" s="660"/>
      <c r="L149" s="660"/>
      <c r="M149" s="660"/>
      <c r="N149" s="660"/>
      <c r="O149" s="62"/>
      <c r="P149" s="66"/>
    </row>
    <row r="150" spans="1:16" ht="18" customHeight="1">
      <c r="A150" s="653"/>
      <c r="B150" s="134" t="s">
        <v>199</v>
      </c>
      <c r="C150" s="666">
        <v>350000000</v>
      </c>
      <c r="D150" s="661"/>
      <c r="E150" s="660"/>
      <c r="F150" s="660"/>
      <c r="G150" s="660"/>
      <c r="H150" s="660"/>
      <c r="I150" s="660"/>
      <c r="J150" s="660"/>
      <c r="K150" s="660"/>
      <c r="L150" s="660"/>
      <c r="M150" s="660"/>
      <c r="N150" s="660"/>
      <c r="O150" s="62"/>
      <c r="P150" s="66"/>
    </row>
    <row r="151" spans="1:16" ht="18" customHeight="1">
      <c r="A151" s="653">
        <v>25</v>
      </c>
      <c r="B151" s="133" t="s">
        <v>41</v>
      </c>
      <c r="C151" s="662">
        <f>SUM(C152:C156)</f>
        <v>574600000</v>
      </c>
      <c r="D151" s="38"/>
      <c r="E151" s="660"/>
      <c r="F151" s="660"/>
      <c r="G151" s="660"/>
      <c r="H151" s="660"/>
      <c r="I151" s="660"/>
      <c r="J151" s="660"/>
      <c r="K151" s="660"/>
      <c r="L151" s="660"/>
      <c r="M151" s="660"/>
      <c r="N151" s="660"/>
      <c r="O151" s="62"/>
      <c r="P151" s="66"/>
    </row>
    <row r="152" spans="1:16" ht="18" customHeight="1">
      <c r="A152" s="653"/>
      <c r="B152" s="667" t="s">
        <v>200</v>
      </c>
      <c r="C152" s="662">
        <v>37400000</v>
      </c>
      <c r="D152" s="38"/>
      <c r="E152" s="661"/>
      <c r="F152" s="660"/>
      <c r="G152" s="660"/>
      <c r="H152" s="660"/>
      <c r="I152" s="660"/>
      <c r="J152" s="660"/>
      <c r="K152" s="660"/>
      <c r="L152" s="660"/>
      <c r="M152" s="660"/>
      <c r="N152" s="660"/>
      <c r="O152" s="62"/>
      <c r="P152" s="66"/>
    </row>
    <row r="153" spans="1:16" ht="18" customHeight="1">
      <c r="A153" s="653"/>
      <c r="B153" s="668" t="s">
        <v>201</v>
      </c>
      <c r="C153" s="669">
        <f>11500000*5</f>
        <v>57500000</v>
      </c>
      <c r="D153" s="661"/>
      <c r="E153" s="660"/>
      <c r="F153" s="670"/>
      <c r="G153" s="660"/>
      <c r="H153" s="660"/>
      <c r="I153" s="660"/>
      <c r="J153" s="660"/>
      <c r="K153" s="660"/>
      <c r="L153" s="660"/>
      <c r="M153" s="660"/>
      <c r="N153" s="660"/>
      <c r="O153" s="62"/>
      <c r="P153" s="66"/>
    </row>
    <row r="154" spans="1:16" ht="18" customHeight="1" thickBot="1">
      <c r="A154" s="234"/>
      <c r="B154" s="671" t="s">
        <v>202</v>
      </c>
      <c r="C154" s="672">
        <f>13500000*13</f>
        <v>175500000</v>
      </c>
      <c r="D154" s="673"/>
      <c r="E154" s="674"/>
      <c r="F154" s="675"/>
      <c r="G154" s="674"/>
      <c r="H154" s="674"/>
      <c r="I154" s="674"/>
      <c r="J154" s="674"/>
      <c r="K154" s="674"/>
      <c r="L154" s="674"/>
      <c r="M154" s="674"/>
      <c r="N154" s="674"/>
      <c r="O154" s="676"/>
      <c r="P154" s="93"/>
    </row>
    <row r="155" spans="1:16" ht="18" customHeight="1">
      <c r="A155" s="232"/>
      <c r="B155" s="503" t="s">
        <v>203</v>
      </c>
      <c r="C155" s="504">
        <f>17100000*2</f>
        <v>34200000</v>
      </c>
      <c r="D155" s="505"/>
      <c r="E155" s="506"/>
      <c r="F155" s="507"/>
      <c r="G155" s="506"/>
      <c r="H155" s="506"/>
      <c r="I155" s="506"/>
      <c r="J155" s="506"/>
      <c r="K155" s="506"/>
      <c r="L155" s="506"/>
      <c r="M155" s="506"/>
      <c r="N155" s="506"/>
      <c r="O155" s="508"/>
      <c r="P155" s="66"/>
    </row>
    <row r="156" spans="1:16" ht="18" customHeight="1">
      <c r="A156" s="677"/>
      <c r="B156" s="678" t="s">
        <v>204</v>
      </c>
      <c r="C156" s="679">
        <f>10000000*27</f>
        <v>270000000</v>
      </c>
      <c r="D156" s="661"/>
      <c r="E156" s="660"/>
      <c r="F156" s="670"/>
      <c r="G156" s="660"/>
      <c r="H156" s="660"/>
      <c r="I156" s="660"/>
      <c r="J156" s="660"/>
      <c r="K156" s="660"/>
      <c r="L156" s="660"/>
      <c r="M156" s="660"/>
      <c r="N156" s="660"/>
      <c r="O156" s="62"/>
      <c r="P156" s="66"/>
    </row>
    <row r="157" spans="1:16" ht="18" customHeight="1">
      <c r="A157" s="677">
        <v>26</v>
      </c>
      <c r="B157" s="133" t="s">
        <v>42</v>
      </c>
      <c r="C157" s="662">
        <f>SUM(C158:C160)</f>
        <v>275504000</v>
      </c>
      <c r="D157" s="38"/>
      <c r="E157" s="660"/>
      <c r="F157" s="670"/>
      <c r="G157" s="660"/>
      <c r="H157" s="660"/>
      <c r="I157" s="660"/>
      <c r="J157" s="660"/>
      <c r="K157" s="660"/>
      <c r="L157" s="660"/>
      <c r="M157" s="660"/>
      <c r="N157" s="660"/>
      <c r="O157" s="62"/>
      <c r="P157" s="66"/>
    </row>
    <row r="158" spans="1:16" ht="18" customHeight="1">
      <c r="A158" s="677"/>
      <c r="B158" s="134" t="s">
        <v>207</v>
      </c>
      <c r="C158" s="664">
        <v>25000000</v>
      </c>
      <c r="D158" s="51"/>
      <c r="E158" s="661"/>
      <c r="F158" s="661"/>
      <c r="G158" s="661"/>
      <c r="H158" s="661"/>
      <c r="I158" s="661"/>
      <c r="J158" s="661"/>
      <c r="K158" s="661"/>
      <c r="L158" s="661"/>
      <c r="M158" s="661"/>
      <c r="N158" s="660"/>
      <c r="O158" s="62"/>
      <c r="P158" s="66"/>
    </row>
    <row r="159" spans="1:16" ht="18" customHeight="1">
      <c r="A159" s="677"/>
      <c r="B159" s="680" t="s">
        <v>208</v>
      </c>
      <c r="C159" s="681">
        <v>120904000</v>
      </c>
      <c r="D159" s="51"/>
      <c r="E159" s="661"/>
      <c r="F159" s="661"/>
      <c r="G159" s="661"/>
      <c r="H159" s="661"/>
      <c r="I159" s="661"/>
      <c r="J159" s="661"/>
      <c r="K159" s="661"/>
      <c r="L159" s="661"/>
      <c r="M159" s="661"/>
      <c r="N159" s="660"/>
      <c r="O159" s="62"/>
      <c r="P159" s="66"/>
    </row>
    <row r="160" spans="1:16" ht="18" customHeight="1">
      <c r="A160" s="677"/>
      <c r="B160" s="680" t="s">
        <v>209</v>
      </c>
      <c r="C160" s="681">
        <f>129600000</f>
        <v>129600000</v>
      </c>
      <c r="D160" s="51"/>
      <c r="E160" s="661"/>
      <c r="F160" s="661"/>
      <c r="G160" s="661"/>
      <c r="H160" s="661"/>
      <c r="I160" s="661"/>
      <c r="J160" s="661"/>
      <c r="K160" s="661"/>
      <c r="L160" s="661"/>
      <c r="M160" s="661"/>
      <c r="N160" s="660"/>
      <c r="O160" s="62"/>
      <c r="P160" s="66"/>
    </row>
    <row r="161" spans="1:16" ht="18" customHeight="1">
      <c r="A161" s="677">
        <v>27</v>
      </c>
      <c r="B161" s="133" t="s">
        <v>155</v>
      </c>
      <c r="C161" s="662">
        <v>135065000</v>
      </c>
      <c r="D161" s="51"/>
      <c r="E161" s="661"/>
      <c r="F161" s="661"/>
      <c r="G161" s="661"/>
      <c r="H161" s="661"/>
      <c r="I161" s="661"/>
      <c r="J161" s="661"/>
      <c r="K161" s="661"/>
      <c r="L161" s="661"/>
      <c r="M161" s="661"/>
      <c r="N161" s="661"/>
      <c r="O161" s="61"/>
      <c r="P161" s="66"/>
    </row>
    <row r="162" spans="1:16" ht="18" customHeight="1">
      <c r="A162" s="677">
        <v>28</v>
      </c>
      <c r="B162" s="133" t="s">
        <v>43</v>
      </c>
      <c r="C162" s="662">
        <v>12750000</v>
      </c>
      <c r="D162" s="51"/>
      <c r="E162" s="661"/>
      <c r="F162" s="661"/>
      <c r="G162" s="661"/>
      <c r="H162" s="661"/>
      <c r="I162" s="661"/>
      <c r="J162" s="661"/>
      <c r="K162" s="661"/>
      <c r="L162" s="661"/>
      <c r="M162" s="661"/>
      <c r="N162" s="661"/>
      <c r="O162" s="61"/>
      <c r="P162" s="66"/>
    </row>
    <row r="163" spans="1:16" ht="18" customHeight="1">
      <c r="A163" s="677">
        <v>29</v>
      </c>
      <c r="B163" s="133" t="s">
        <v>156</v>
      </c>
      <c r="C163" s="662">
        <v>6375000</v>
      </c>
      <c r="D163" s="51"/>
      <c r="E163" s="661"/>
      <c r="F163" s="661"/>
      <c r="G163" s="661"/>
      <c r="H163" s="661"/>
      <c r="I163" s="661"/>
      <c r="J163" s="661"/>
      <c r="K163" s="661"/>
      <c r="L163" s="661"/>
      <c r="M163" s="661"/>
      <c r="N163" s="661"/>
      <c r="O163" s="61"/>
      <c r="P163" s="66"/>
    </row>
    <row r="164" spans="1:16" ht="18" customHeight="1">
      <c r="A164" s="677">
        <v>30</v>
      </c>
      <c r="B164" s="133" t="s">
        <v>157</v>
      </c>
      <c r="C164" s="662">
        <v>24548000</v>
      </c>
      <c r="D164" s="38"/>
      <c r="E164" s="661"/>
      <c r="F164" s="661"/>
      <c r="G164" s="661"/>
      <c r="H164" s="661"/>
      <c r="I164" s="661"/>
      <c r="J164" s="660"/>
      <c r="K164" s="661"/>
      <c r="L164" s="660"/>
      <c r="M164" s="660"/>
      <c r="N164" s="660"/>
      <c r="O164" s="62"/>
      <c r="P164" s="66"/>
    </row>
    <row r="165" spans="1:16" ht="18" customHeight="1">
      <c r="A165" s="677">
        <v>31</v>
      </c>
      <c r="B165" s="682" t="s">
        <v>191</v>
      </c>
      <c r="C165" s="683">
        <v>151200000</v>
      </c>
      <c r="D165" s="51"/>
      <c r="E165" s="661"/>
      <c r="F165" s="661"/>
      <c r="G165" s="661"/>
      <c r="H165" s="661"/>
      <c r="I165" s="661"/>
      <c r="J165" s="661"/>
      <c r="K165" s="661"/>
      <c r="L165" s="661"/>
      <c r="M165" s="661"/>
      <c r="N165" s="661"/>
      <c r="O165" s="661"/>
      <c r="P165" s="66"/>
    </row>
    <row r="166" spans="1:16" ht="18" customHeight="1">
      <c r="A166" s="677">
        <v>32</v>
      </c>
      <c r="B166" s="682" t="s">
        <v>192</v>
      </c>
      <c r="C166" s="683">
        <v>104157500</v>
      </c>
      <c r="D166" s="684"/>
      <c r="E166" s="685"/>
      <c r="F166" s="187"/>
      <c r="G166" s="685"/>
      <c r="H166" s="187"/>
      <c r="I166" s="685"/>
      <c r="J166" s="85"/>
      <c r="K166" s="685"/>
      <c r="L166" s="686"/>
      <c r="M166" s="685"/>
      <c r="N166" s="686"/>
      <c r="O166" s="687"/>
      <c r="P166" s="66"/>
    </row>
    <row r="167" spans="1:16" ht="18" customHeight="1">
      <c r="A167" s="677">
        <v>33</v>
      </c>
      <c r="B167" s="682" t="s">
        <v>193</v>
      </c>
      <c r="C167" s="683">
        <v>10800000</v>
      </c>
      <c r="D167" s="51"/>
      <c r="E167" s="661"/>
      <c r="F167" s="661"/>
      <c r="G167" s="661"/>
      <c r="H167" s="661"/>
      <c r="I167" s="661"/>
      <c r="J167" s="661"/>
      <c r="K167" s="661"/>
      <c r="L167" s="661"/>
      <c r="M167" s="661"/>
      <c r="N167" s="661"/>
      <c r="O167" s="661"/>
      <c r="P167" s="66"/>
    </row>
    <row r="168" spans="1:16" ht="18" customHeight="1">
      <c r="A168" s="677">
        <v>34</v>
      </c>
      <c r="B168" s="682" t="s">
        <v>194</v>
      </c>
      <c r="C168" s="683">
        <v>34728500</v>
      </c>
      <c r="D168" s="51"/>
      <c r="E168" s="661"/>
      <c r="F168" s="661"/>
      <c r="G168" s="661"/>
      <c r="H168" s="661"/>
      <c r="I168" s="661"/>
      <c r="J168" s="661"/>
      <c r="K168" s="661"/>
      <c r="L168" s="661"/>
      <c r="M168" s="661"/>
      <c r="N168" s="660"/>
      <c r="O168" s="660"/>
      <c r="P168" s="66"/>
    </row>
    <row r="169" spans="1:16" ht="18" customHeight="1">
      <c r="A169" s="677">
        <v>35</v>
      </c>
      <c r="B169" s="682" t="s">
        <v>195</v>
      </c>
      <c r="C169" s="683">
        <v>31500000</v>
      </c>
      <c r="D169" s="38"/>
      <c r="E169" s="660"/>
      <c r="F169" s="661"/>
      <c r="G169" s="660"/>
      <c r="H169" s="660"/>
      <c r="I169" s="660"/>
      <c r="J169" s="660"/>
      <c r="K169" s="660"/>
      <c r="L169" s="660"/>
      <c r="M169" s="660"/>
      <c r="N169" s="660"/>
      <c r="O169" s="660"/>
      <c r="P169" s="66"/>
    </row>
    <row r="170" spans="1:16" ht="18" customHeight="1">
      <c r="A170" s="677">
        <v>36</v>
      </c>
      <c r="B170" s="682" t="s">
        <v>196</v>
      </c>
      <c r="C170" s="683">
        <v>65250000</v>
      </c>
      <c r="D170" s="38"/>
      <c r="E170" s="660"/>
      <c r="F170" s="661"/>
      <c r="G170" s="660"/>
      <c r="H170" s="660"/>
      <c r="I170" s="661"/>
      <c r="J170" s="660"/>
      <c r="K170" s="660"/>
      <c r="L170" s="660"/>
      <c r="M170" s="660"/>
      <c r="N170" s="660"/>
      <c r="O170" s="62"/>
      <c r="P170" s="66"/>
    </row>
    <row r="171" spans="1:16" ht="18" customHeight="1">
      <c r="A171" s="677">
        <v>37</v>
      </c>
      <c r="B171" s="133" t="s">
        <v>44</v>
      </c>
      <c r="C171" s="688">
        <v>165750000</v>
      </c>
      <c r="D171" s="38"/>
      <c r="E171" s="660"/>
      <c r="F171" s="660"/>
      <c r="G171" s="661"/>
      <c r="H171" s="660"/>
      <c r="I171" s="660"/>
      <c r="J171" s="660"/>
      <c r="K171" s="660"/>
      <c r="L171" s="660"/>
      <c r="M171" s="660"/>
      <c r="N171" s="660"/>
      <c r="O171" s="62"/>
      <c r="P171" s="66"/>
    </row>
    <row r="172" spans="1:16" ht="18" customHeight="1" thickBot="1">
      <c r="A172" s="677">
        <v>38</v>
      </c>
      <c r="B172" s="137" t="s">
        <v>160</v>
      </c>
      <c r="C172" s="689">
        <v>42500000</v>
      </c>
      <c r="D172" s="51"/>
      <c r="E172" s="661"/>
      <c r="F172" s="661"/>
      <c r="G172" s="661"/>
      <c r="H172" s="661"/>
      <c r="I172" s="661"/>
      <c r="J172" s="661"/>
      <c r="K172" s="661"/>
      <c r="L172" s="661"/>
      <c r="M172" s="661"/>
      <c r="N172" s="661"/>
      <c r="O172" s="61"/>
      <c r="P172" s="66"/>
    </row>
    <row r="173" spans="1:16" ht="18" customHeight="1" thickBot="1">
      <c r="A173" s="690"/>
      <c r="B173" s="138"/>
      <c r="C173" s="40">
        <f>C123+C124+C130+C131+C134+C137+C140+C141+C142+C143+C146+C147+C148+C151+C157+C161+C162+C163+C164+C165+C166+C167+C168+C169+C170+C171+C172</f>
        <v>3718137750</v>
      </c>
      <c r="D173" s="38"/>
      <c r="E173" s="660"/>
      <c r="F173" s="660"/>
      <c r="G173" s="660"/>
      <c r="H173" s="660"/>
      <c r="I173" s="660"/>
      <c r="J173" s="660"/>
      <c r="K173" s="660"/>
      <c r="L173" s="660"/>
      <c r="M173" s="660"/>
      <c r="N173" s="660"/>
      <c r="O173" s="62"/>
      <c r="P173" s="66"/>
    </row>
    <row r="174" spans="1:16" ht="18" customHeight="1">
      <c r="A174" s="128">
        <v>39</v>
      </c>
      <c r="B174" s="139" t="s">
        <v>166</v>
      </c>
      <c r="C174" s="103">
        <v>400000000</v>
      </c>
      <c r="D174" s="140"/>
      <c r="E174" s="77"/>
      <c r="F174" s="77"/>
      <c r="G174" s="77"/>
      <c r="H174" s="77"/>
      <c r="I174" s="77"/>
      <c r="J174" s="77"/>
      <c r="K174" s="77"/>
      <c r="L174" s="77"/>
      <c r="M174" s="77"/>
      <c r="N174" s="15"/>
      <c r="O174" s="15"/>
      <c r="P174" s="73" t="s">
        <v>56</v>
      </c>
    </row>
    <row r="175" spans="1:16" ht="18" customHeight="1">
      <c r="A175" s="129"/>
      <c r="B175" s="126"/>
      <c r="C175" s="691"/>
      <c r="D175" s="79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4"/>
    </row>
    <row r="176" spans="1:16" ht="18" customHeight="1" thickBot="1">
      <c r="A176" s="692"/>
      <c r="B176" s="693"/>
      <c r="C176" s="141"/>
      <c r="D176" s="694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74"/>
    </row>
    <row r="177" spans="1:23" ht="18" customHeight="1" thickBot="1">
      <c r="A177" s="130"/>
      <c r="B177" s="696"/>
      <c r="C177" s="14">
        <f>C34+C64+C86+C122+C173+C174</f>
        <v>12058578000</v>
      </c>
      <c r="D177" s="697"/>
      <c r="E177" s="674"/>
      <c r="F177" s="674"/>
      <c r="G177" s="674"/>
      <c r="H177" s="674"/>
      <c r="I177" s="674"/>
      <c r="J177" s="674"/>
      <c r="K177" s="674"/>
      <c r="L177" s="674"/>
      <c r="M177" s="674"/>
      <c r="N177" s="674"/>
      <c r="O177" s="674"/>
      <c r="P177" s="75"/>
    </row>
    <row r="178" spans="1:23" ht="18" customHeight="1">
      <c r="A178" s="22"/>
      <c r="B178" s="22"/>
      <c r="C178" s="4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42"/>
    </row>
    <row r="179" spans="1:23" ht="15.75">
      <c r="L179" s="70"/>
      <c r="M179" s="70"/>
      <c r="N179" s="71" t="s">
        <v>163</v>
      </c>
      <c r="O179" s="70"/>
      <c r="P179" s="4"/>
    </row>
    <row r="180" spans="1:23" ht="15.75">
      <c r="L180" s="70"/>
      <c r="M180" s="70"/>
      <c r="N180" s="71" t="s">
        <v>29</v>
      </c>
      <c r="O180" s="70"/>
      <c r="P180" s="4"/>
    </row>
    <row r="181" spans="1:23" ht="15.75">
      <c r="L181" s="70"/>
      <c r="M181" s="70"/>
      <c r="N181" s="71"/>
      <c r="O181" s="70"/>
      <c r="P181" s="4"/>
    </row>
    <row r="182" spans="1:23" ht="15.75">
      <c r="L182" s="70"/>
      <c r="M182" s="70"/>
      <c r="N182" s="71"/>
      <c r="O182" s="70"/>
      <c r="P182" s="4"/>
    </row>
    <row r="183" spans="1:23" ht="15.75">
      <c r="L183" s="70"/>
      <c r="M183" s="70"/>
      <c r="N183" s="71"/>
      <c r="O183" s="70"/>
      <c r="P183" s="4"/>
    </row>
    <row r="184" spans="1:23" s="8" customFormat="1" ht="15.75">
      <c r="A184"/>
      <c r="B184"/>
      <c r="C184"/>
      <c r="L184" s="70"/>
      <c r="M184" s="70"/>
      <c r="N184" s="72" t="s">
        <v>164</v>
      </c>
      <c r="O184" s="70"/>
      <c r="P184" s="4"/>
      <c r="Q184"/>
      <c r="R184"/>
      <c r="S184"/>
      <c r="T184"/>
      <c r="U184"/>
      <c r="V184"/>
      <c r="W184"/>
    </row>
    <row r="185" spans="1:23" s="8" customFormat="1" ht="15.75">
      <c r="A185"/>
      <c r="B185"/>
      <c r="C185"/>
      <c r="L185" s="70"/>
      <c r="M185" s="70"/>
      <c r="N185" s="71" t="s">
        <v>30</v>
      </c>
      <c r="O185" s="70"/>
      <c r="P185" s="4"/>
      <c r="Q185"/>
      <c r="R185"/>
      <c r="S185"/>
      <c r="T185"/>
      <c r="U185"/>
      <c r="V185"/>
      <c r="W185"/>
    </row>
    <row r="186" spans="1:23" s="8" customFormat="1" ht="15.75">
      <c r="A186"/>
      <c r="B186"/>
      <c r="C186"/>
      <c r="L186" s="70"/>
      <c r="M186" s="70"/>
      <c r="N186" s="71" t="s">
        <v>165</v>
      </c>
      <c r="O186" s="70"/>
      <c r="P186" s="4"/>
      <c r="Q186"/>
      <c r="R186"/>
      <c r="S186"/>
      <c r="T186"/>
      <c r="U186"/>
      <c r="V186"/>
      <c r="W186"/>
    </row>
  </sheetData>
  <mergeCells count="5">
    <mergeCell ref="P104:P122"/>
    <mergeCell ref="A5:A6"/>
    <mergeCell ref="B5:B6"/>
    <mergeCell ref="D5:O5"/>
    <mergeCell ref="P5:P6"/>
  </mergeCells>
  <pageMargins left="1.4960629921259843" right="0.27559055118110237" top="0.51181102362204722" bottom="1.0236220472440944" header="0.31496062992125984" footer="0.31496062992125984"/>
  <pageSetup paperSize="5" scale="8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rincian AJK Per triwulan (2)</vt:lpstr>
      <vt:lpstr>AJK</vt:lpstr>
      <vt:lpstr>Sheet3</vt:lpstr>
      <vt:lpstr>AJK!Print_Area</vt:lpstr>
      <vt:lpstr>'rincian AJK Per triwulan (2)'!Print_Area</vt:lpstr>
      <vt:lpstr>AJK!Print_Titles</vt:lpstr>
      <vt:lpstr>'rincian AJK Per triwulan (2)'!Print_Titles</vt:lpstr>
    </vt:vector>
  </TitlesOfParts>
  <Company>master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seven</cp:lastModifiedBy>
  <cp:lastPrinted>2020-01-07T04:04:29Z</cp:lastPrinted>
  <dcterms:created xsi:type="dcterms:W3CDTF">2014-02-18T11:30:38Z</dcterms:created>
  <dcterms:modified xsi:type="dcterms:W3CDTF">2020-01-07T06:54:11Z</dcterms:modified>
</cp:coreProperties>
</file>