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 tabRatio="860" activeTab="1"/>
  </bookViews>
  <sheets>
    <sheet name="TOTAL SUSPEK" sheetId="29" r:id="rId1"/>
    <sheet name="perdesa" sheetId="19" r:id="rId2"/>
    <sheet name="per kecamatan" sheetId="20" r:id="rId3"/>
    <sheet name="Sheet4" sheetId="24" state="hidden" r:id="rId4"/>
    <sheet name="Sheet2" sheetId="26" state="hidden" r:id="rId5"/>
    <sheet name="TOTAL DIRAWAT" sheetId="30" r:id="rId6"/>
    <sheet name="SUSPEK MASUK" sheetId="31" r:id="rId7"/>
    <sheet name="SUSPEK KELUAR" sheetId="32" r:id="rId8"/>
    <sheet name="TOTAL" sheetId="37" r:id="rId9"/>
  </sheets>
  <definedNames>
    <definedName name="_xlnm._FilterDatabase" localSheetId="1" hidden="1">perdesa!$A$4:$H$260</definedName>
    <definedName name="_xlnm._FilterDatabase" localSheetId="5" hidden="1">'TOTAL DIRAWAT'!#REF!</definedName>
    <definedName name="_xlnm._FilterDatabase" localSheetId="0" hidden="1">'TOTAL SUSPEK'!$A$1:$AB$1</definedName>
    <definedName name="CZ">#REF!</definedName>
    <definedName name="_xlnm.Print_Area" localSheetId="1">perdesa!$A$1:$Q$258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1" i="37" l="1"/>
  <c r="H380" i="37" l="1"/>
  <c r="H379" i="37" l="1"/>
  <c r="H377" i="37" l="1"/>
  <c r="H378" i="37"/>
  <c r="H376" i="37" l="1"/>
  <c r="H375" i="37" l="1"/>
  <c r="H374" i="37" l="1"/>
  <c r="H373" i="37" l="1"/>
  <c r="H372" i="37" l="1"/>
  <c r="H371" i="37" l="1"/>
  <c r="H370" i="37" l="1"/>
  <c r="H368" i="37" l="1"/>
  <c r="H369" i="37"/>
  <c r="H367" i="37" l="1"/>
  <c r="H366" i="37" l="1"/>
  <c r="H365" i="37" l="1"/>
  <c r="H364" i="37" l="1"/>
  <c r="H363" i="37" l="1"/>
  <c r="H362" i="37" l="1"/>
  <c r="H359" i="37" l="1"/>
  <c r="H360" i="37"/>
  <c r="H361" i="37"/>
  <c r="H358" i="37" l="1"/>
  <c r="H357" i="37" l="1"/>
  <c r="H356" i="37" l="1"/>
  <c r="H355" i="37" l="1"/>
  <c r="H354" i="37" l="1"/>
  <c r="H353" i="37" l="1"/>
  <c r="H351" i="37"/>
  <c r="H352" i="37"/>
  <c r="H350" i="37" l="1"/>
  <c r="H349" i="37" l="1"/>
  <c r="H348" i="37" l="1"/>
  <c r="H346" i="37" l="1"/>
  <c r="H347" i="37"/>
  <c r="H344" i="37" l="1"/>
  <c r="H345" i="37" l="1"/>
  <c r="H343" i="37" l="1"/>
  <c r="H342" i="37" l="1"/>
  <c r="H341" i="37" l="1"/>
  <c r="H337" i="37" l="1"/>
  <c r="H338" i="37"/>
  <c r="H339" i="37"/>
  <c r="H340" i="37"/>
  <c r="C340" i="37"/>
  <c r="C341" i="37" s="1"/>
  <c r="F341" i="37" l="1"/>
  <c r="C342" i="37"/>
  <c r="H333" i="37"/>
  <c r="H334" i="37"/>
  <c r="H335" i="37"/>
  <c r="H336" i="37"/>
  <c r="F342" i="37" l="1"/>
  <c r="C343" i="37"/>
  <c r="C344" i="37" s="1"/>
  <c r="F344" i="37" s="1"/>
  <c r="H332" i="37"/>
  <c r="F343" i="37" l="1"/>
  <c r="H331" i="37"/>
  <c r="C345" i="37" l="1"/>
  <c r="H330" i="37"/>
  <c r="F345" i="37" l="1"/>
  <c r="C346" i="37"/>
  <c r="H329" i="37"/>
  <c r="F346" i="37" l="1"/>
  <c r="C347" i="37"/>
  <c r="H328" i="37"/>
  <c r="F347" i="37" l="1"/>
  <c r="C348" i="37"/>
  <c r="H327" i="37"/>
  <c r="F348" i="37" l="1"/>
  <c r="C349" i="37"/>
  <c r="C350" i="37" s="1"/>
  <c r="C351" i="37" s="1"/>
  <c r="C352" i="37" s="1"/>
  <c r="C353" i="37" s="1"/>
  <c r="C354" i="37" s="1"/>
  <c r="C355" i="37" s="1"/>
  <c r="C356" i="37" s="1"/>
  <c r="C357" i="37" s="1"/>
  <c r="C358" i="37" s="1"/>
  <c r="H326" i="37"/>
  <c r="H325" i="37"/>
  <c r="C359" i="37" l="1"/>
  <c r="F358" i="37"/>
  <c r="F349" i="37"/>
  <c r="H324" i="37"/>
  <c r="C360" i="37" l="1"/>
  <c r="F359" i="37"/>
  <c r="F350" i="37"/>
  <c r="H323" i="37"/>
  <c r="C361" i="37" l="1"/>
  <c r="F360" i="37"/>
  <c r="F351" i="37"/>
  <c r="H322" i="37"/>
  <c r="C362" i="37" l="1"/>
  <c r="F361" i="37"/>
  <c r="F352" i="37"/>
  <c r="H321" i="37"/>
  <c r="C363" i="37" l="1"/>
  <c r="F362" i="37"/>
  <c r="F353" i="37"/>
  <c r="H320" i="37"/>
  <c r="C364" i="37" l="1"/>
  <c r="F363" i="37"/>
  <c r="F354" i="37"/>
  <c r="H319" i="37"/>
  <c r="C365" i="37" l="1"/>
  <c r="F364" i="37"/>
  <c r="F355" i="37"/>
  <c r="F357" i="37"/>
  <c r="H318" i="37"/>
  <c r="C366" i="37" l="1"/>
  <c r="F365" i="37"/>
  <c r="F356" i="37"/>
  <c r="H217" i="37"/>
  <c r="H218" i="37"/>
  <c r="H219" i="37"/>
  <c r="H220" i="37"/>
  <c r="H221" i="37"/>
  <c r="H222" i="37"/>
  <c r="H223" i="37"/>
  <c r="H224" i="37"/>
  <c r="H225" i="37"/>
  <c r="H226" i="37"/>
  <c r="H227" i="37"/>
  <c r="H228" i="37"/>
  <c r="H229" i="37"/>
  <c r="H230" i="37"/>
  <c r="H231" i="37"/>
  <c r="H232" i="37"/>
  <c r="H233" i="37"/>
  <c r="H234" i="37"/>
  <c r="H235" i="37"/>
  <c r="H236" i="37"/>
  <c r="H237" i="37"/>
  <c r="H317" i="37"/>
  <c r="C367" i="37" l="1"/>
  <c r="F366" i="37"/>
  <c r="H316" i="37"/>
  <c r="C368" i="37" l="1"/>
  <c r="F367" i="37"/>
  <c r="H315" i="37"/>
  <c r="C369" i="37" l="1"/>
  <c r="F368" i="37"/>
  <c r="H314" i="37"/>
  <c r="C370" i="37" l="1"/>
  <c r="F369" i="37"/>
  <c r="H313" i="37"/>
  <c r="F370" i="37" l="1"/>
  <c r="C371" i="37"/>
  <c r="H312" i="37"/>
  <c r="F371" i="37" l="1"/>
  <c r="C372" i="37"/>
  <c r="H311" i="37"/>
  <c r="H310" i="37"/>
  <c r="F372" i="37" l="1"/>
  <c r="C373" i="37"/>
  <c r="C374" i="37" s="1"/>
  <c r="F374" i="37" s="1"/>
  <c r="H309" i="37"/>
  <c r="C375" i="37" l="1"/>
  <c r="F375" i="37" s="1"/>
  <c r="F373" i="37"/>
  <c r="H308" i="37"/>
  <c r="C376" i="37" l="1"/>
  <c r="F376" i="37" s="1"/>
  <c r="H307" i="37"/>
  <c r="C377" i="37" l="1"/>
  <c r="H306" i="37"/>
  <c r="C378" i="37" l="1"/>
  <c r="F377" i="37"/>
  <c r="H304" i="37"/>
  <c r="H305" i="37"/>
  <c r="C379" i="37" l="1"/>
  <c r="F378" i="37"/>
  <c r="H303" i="37"/>
  <c r="C380" i="37" l="1"/>
  <c r="F379" i="37"/>
  <c r="H302" i="37"/>
  <c r="F380" i="37" l="1"/>
  <c r="C381" i="37"/>
  <c r="H301" i="37"/>
  <c r="F381" i="37" l="1"/>
  <c r="C382" i="37"/>
  <c r="H300" i="37"/>
  <c r="F382" i="37" l="1"/>
  <c r="C383" i="37"/>
  <c r="H299" i="37"/>
  <c r="F383" i="37" l="1"/>
  <c r="C384" i="37"/>
  <c r="H298" i="37"/>
  <c r="F384" i="37" l="1"/>
  <c r="C385" i="37"/>
  <c r="H297" i="37"/>
  <c r="F385" i="37" l="1"/>
  <c r="C386" i="37"/>
  <c r="H296" i="37"/>
  <c r="F386" i="37" l="1"/>
  <c r="C387" i="37"/>
  <c r="H295" i="37"/>
  <c r="F387" i="37" l="1"/>
  <c r="C388" i="37"/>
  <c r="C389" i="37" s="1"/>
  <c r="H294" i="37"/>
  <c r="F389" i="37" l="1"/>
  <c r="C390" i="37"/>
  <c r="F388" i="37"/>
  <c r="H293" i="37"/>
  <c r="F390" i="37" l="1"/>
  <c r="C391" i="37"/>
  <c r="H291" i="37"/>
  <c r="H292" i="37"/>
  <c r="F391" i="37" l="1"/>
  <c r="C392" i="37"/>
  <c r="H289" i="37"/>
  <c r="H290" i="37"/>
  <c r="F392" i="37" l="1"/>
  <c r="C393" i="37"/>
  <c r="H288" i="37"/>
  <c r="F393" i="37" l="1"/>
  <c r="C394" i="37"/>
  <c r="H287" i="37"/>
  <c r="F394" i="37" l="1"/>
  <c r="C395" i="37"/>
  <c r="H286" i="37"/>
  <c r="F395" i="37" l="1"/>
  <c r="C396" i="37"/>
  <c r="H285" i="37"/>
  <c r="F396" i="37" l="1"/>
  <c r="C397" i="37"/>
  <c r="H284" i="37"/>
  <c r="F397" i="37" l="1"/>
  <c r="C398" i="37"/>
  <c r="H283" i="37"/>
  <c r="F398" i="37" l="1"/>
  <c r="C399" i="37"/>
  <c r="H281" i="37"/>
  <c r="H282" i="37"/>
  <c r="F399" i="37" l="1"/>
  <c r="C400" i="37"/>
  <c r="H280" i="37"/>
  <c r="C401" i="37" l="1"/>
  <c r="F400" i="37"/>
  <c r="H279" i="37"/>
  <c r="F401" i="37" l="1"/>
  <c r="C402" i="37"/>
  <c r="H278" i="37"/>
  <c r="F402" i="37" l="1"/>
  <c r="C403" i="37"/>
  <c r="H277" i="37"/>
  <c r="F403" i="37" l="1"/>
  <c r="C404" i="37"/>
  <c r="H276" i="37"/>
  <c r="F404" i="37" l="1"/>
  <c r="C405" i="37"/>
  <c r="H275" i="37"/>
  <c r="F405" i="37" l="1"/>
  <c r="C406" i="37"/>
  <c r="H274" i="37"/>
  <c r="F406" i="37" l="1"/>
  <c r="C407" i="37"/>
  <c r="H272" i="37"/>
  <c r="H273" i="37"/>
  <c r="F407" i="37" l="1"/>
  <c r="C408" i="37"/>
  <c r="H271" i="37"/>
  <c r="F408" i="37" l="1"/>
  <c r="C409" i="37"/>
  <c r="H270" i="37"/>
  <c r="F409" i="37" l="1"/>
  <c r="C410" i="37"/>
  <c r="H269" i="37"/>
  <c r="F410" i="37" l="1"/>
  <c r="C411" i="37"/>
  <c r="H268" i="37"/>
  <c r="F411" i="37" l="1"/>
  <c r="C412" i="37"/>
  <c r="H267" i="37"/>
  <c r="F412" i="37" l="1"/>
  <c r="C413" i="37"/>
  <c r="H266" i="37"/>
  <c r="F413" i="37" l="1"/>
  <c r="C414" i="37"/>
  <c r="H265" i="37"/>
  <c r="F414" i="37" l="1"/>
  <c r="C415" i="37"/>
  <c r="H264" i="37"/>
  <c r="F415" i="37" l="1"/>
  <c r="C416" i="37"/>
  <c r="H263" i="37"/>
  <c r="F416" i="37" l="1"/>
  <c r="C417" i="37"/>
  <c r="H262" i="37"/>
  <c r="F417" i="37" l="1"/>
  <c r="C418" i="37"/>
  <c r="C419" i="37" s="1"/>
  <c r="H261" i="37"/>
  <c r="F419" i="37" l="1"/>
  <c r="C420" i="37"/>
  <c r="F418" i="37"/>
  <c r="H260" i="37"/>
  <c r="F420" i="37" l="1"/>
  <c r="C421" i="37"/>
  <c r="H259" i="37"/>
  <c r="F421" i="37" l="1"/>
  <c r="C422" i="37"/>
  <c r="H258" i="37"/>
  <c r="F422" i="37" l="1"/>
  <c r="C423" i="37"/>
  <c r="H257" i="37"/>
  <c r="F423" i="37" l="1"/>
  <c r="C424" i="37"/>
  <c r="H256" i="37"/>
  <c r="F424" i="37" l="1"/>
  <c r="C425" i="37"/>
  <c r="H255" i="37"/>
  <c r="F425" i="37" l="1"/>
  <c r="C426" i="37"/>
  <c r="H254" i="37"/>
  <c r="F426" i="37" l="1"/>
  <c r="C427" i="37"/>
  <c r="H253" i="37"/>
  <c r="F427" i="37" l="1"/>
  <c r="C428" i="37"/>
  <c r="H252" i="37"/>
  <c r="C249" i="37"/>
  <c r="C250" i="37" s="1"/>
  <c r="C251" i="37" s="1"/>
  <c r="C252" i="37" s="1"/>
  <c r="F428" i="37" l="1"/>
  <c r="C429" i="37"/>
  <c r="F252" i="37"/>
  <c r="C253" i="37"/>
  <c r="F251" i="37"/>
  <c r="H251" i="37"/>
  <c r="F429" i="37" l="1"/>
  <c r="C430" i="37"/>
  <c r="F253" i="37"/>
  <c r="C254" i="37"/>
  <c r="H250" i="37"/>
  <c r="F250" i="37"/>
  <c r="F430" i="37" l="1"/>
  <c r="C431" i="37"/>
  <c r="F254" i="37"/>
  <c r="C255" i="37"/>
  <c r="H249" i="37"/>
  <c r="F249" i="37"/>
  <c r="F431" i="37" l="1"/>
  <c r="C432" i="37"/>
  <c r="F255" i="37"/>
  <c r="C256" i="37"/>
  <c r="H248" i="37"/>
  <c r="F248" i="37"/>
  <c r="F432" i="37" l="1"/>
  <c r="C433" i="37"/>
  <c r="F256" i="37"/>
  <c r="C257" i="37"/>
  <c r="H247" i="37"/>
  <c r="F247" i="37"/>
  <c r="F433" i="37" l="1"/>
  <c r="C434" i="37"/>
  <c r="F257" i="37"/>
  <c r="C258" i="37"/>
  <c r="H246" i="37"/>
  <c r="F434" i="37" l="1"/>
  <c r="C435" i="37"/>
  <c r="F258" i="37"/>
  <c r="C259" i="37"/>
  <c r="F246" i="37"/>
  <c r="F435" i="37" l="1"/>
  <c r="C436" i="37"/>
  <c r="F259" i="37"/>
  <c r="C260" i="37"/>
  <c r="H245" i="37"/>
  <c r="F245" i="37"/>
  <c r="F436" i="37" l="1"/>
  <c r="C437" i="37"/>
  <c r="F260" i="37"/>
  <c r="C261" i="37"/>
  <c r="H244" i="37"/>
  <c r="F244" i="37"/>
  <c r="F437" i="37" l="1"/>
  <c r="C438" i="37"/>
  <c r="F261" i="37"/>
  <c r="C262" i="37"/>
  <c r="H243" i="37"/>
  <c r="F243" i="37"/>
  <c r="F438" i="37" l="1"/>
  <c r="C439" i="37"/>
  <c r="F262" i="37"/>
  <c r="C263" i="37"/>
  <c r="H242" i="37"/>
  <c r="F242" i="37"/>
  <c r="F439" i="37" l="1"/>
  <c r="C440" i="37"/>
  <c r="F263" i="37"/>
  <c r="C264" i="37"/>
  <c r="H241" i="37"/>
  <c r="F241" i="37"/>
  <c r="F440" i="37" l="1"/>
  <c r="C441" i="37"/>
  <c r="F264" i="37"/>
  <c r="C265" i="37"/>
  <c r="H240" i="37"/>
  <c r="F240" i="37"/>
  <c r="F441" i="37" l="1"/>
  <c r="C442" i="37"/>
  <c r="F265" i="37"/>
  <c r="C266" i="37"/>
  <c r="H239" i="37"/>
  <c r="F239" i="37"/>
  <c r="F442" i="37" l="1"/>
  <c r="C443" i="37"/>
  <c r="F266" i="37"/>
  <c r="C267" i="37"/>
  <c r="H238" i="37"/>
  <c r="H216" i="37"/>
  <c r="F238" i="37"/>
  <c r="F443" i="37" l="1"/>
  <c r="C444" i="37"/>
  <c r="F267" i="37"/>
  <c r="C268" i="37"/>
  <c r="F237" i="37"/>
  <c r="F444" i="37" l="1"/>
  <c r="C445" i="37"/>
  <c r="F268" i="37"/>
  <c r="C269" i="37"/>
  <c r="F236" i="37"/>
  <c r="F445" i="37" l="1"/>
  <c r="C446" i="37"/>
  <c r="F269" i="37"/>
  <c r="C270" i="37"/>
  <c r="F235" i="37"/>
  <c r="F446" i="37" l="1"/>
  <c r="C447" i="37"/>
  <c r="F270" i="37"/>
  <c r="C271" i="37"/>
  <c r="F234" i="37"/>
  <c r="F447" i="37" l="1"/>
  <c r="C448" i="37"/>
  <c r="F271" i="37"/>
  <c r="C272" i="37"/>
  <c r="F233" i="37"/>
  <c r="F448" i="37" l="1"/>
  <c r="C449" i="37"/>
  <c r="F272" i="37"/>
  <c r="C273" i="37"/>
  <c r="F232" i="37"/>
  <c r="F449" i="37" l="1"/>
  <c r="C450" i="37"/>
  <c r="F273" i="37"/>
  <c r="C274" i="37"/>
  <c r="F231" i="37"/>
  <c r="F450" i="37" l="1"/>
  <c r="C451" i="37"/>
  <c r="F274" i="37"/>
  <c r="C275" i="37"/>
  <c r="F230" i="37"/>
  <c r="F451" i="37" l="1"/>
  <c r="C452" i="37"/>
  <c r="F275" i="37"/>
  <c r="C276" i="37"/>
  <c r="F229" i="37"/>
  <c r="F452" i="37" l="1"/>
  <c r="C453" i="37"/>
  <c r="F276" i="37"/>
  <c r="C277" i="37"/>
  <c r="F228" i="37"/>
  <c r="F453" i="37" l="1"/>
  <c r="C454" i="37"/>
  <c r="F277" i="37"/>
  <c r="C278" i="37"/>
  <c r="F9" i="37"/>
  <c r="G9" i="37" s="1"/>
  <c r="C19" i="37"/>
  <c r="C20" i="37" s="1"/>
  <c r="C21" i="37" s="1"/>
  <c r="C22" i="37" s="1"/>
  <c r="C23" i="37" s="1"/>
  <c r="C24" i="37" s="1"/>
  <c r="C25" i="37" s="1"/>
  <c r="C26" i="37" s="1"/>
  <c r="C27" i="37" s="1"/>
  <c r="C28" i="37" s="1"/>
  <c r="C29" i="37" s="1"/>
  <c r="C30" i="37" s="1"/>
  <c r="C31" i="37" s="1"/>
  <c r="C32" i="37" s="1"/>
  <c r="C33" i="37" s="1"/>
  <c r="C34" i="37" s="1"/>
  <c r="C35" i="37" s="1"/>
  <c r="C36" i="37" s="1"/>
  <c r="C37" i="37" s="1"/>
  <c r="C38" i="37" s="1"/>
  <c r="C39" i="37" s="1"/>
  <c r="C40" i="37" s="1"/>
  <c r="C41" i="37" s="1"/>
  <c r="C42" i="37" s="1"/>
  <c r="C43" i="37" s="1"/>
  <c r="C44" i="37" s="1"/>
  <c r="C45" i="37" s="1"/>
  <c r="C46" i="37" s="1"/>
  <c r="C47" i="37" s="1"/>
  <c r="C48" i="37" s="1"/>
  <c r="C49" i="37" s="1"/>
  <c r="C50" i="37" s="1"/>
  <c r="C51" i="37" s="1"/>
  <c r="C52" i="37" s="1"/>
  <c r="C53" i="37" s="1"/>
  <c r="C54" i="37" s="1"/>
  <c r="C55" i="37" s="1"/>
  <c r="C56" i="37" s="1"/>
  <c r="C57" i="37" s="1"/>
  <c r="C58" i="37" s="1"/>
  <c r="C59" i="37" s="1"/>
  <c r="C60" i="37" s="1"/>
  <c r="C61" i="37" s="1"/>
  <c r="C62" i="37" s="1"/>
  <c r="C63" i="37" s="1"/>
  <c r="C64" i="37" s="1"/>
  <c r="C65" i="37" s="1"/>
  <c r="C66" i="37" s="1"/>
  <c r="C67" i="37" s="1"/>
  <c r="C68" i="37" s="1"/>
  <c r="C69" i="37" s="1"/>
  <c r="C70" i="37" s="1"/>
  <c r="C71" i="37" s="1"/>
  <c r="C72" i="37" s="1"/>
  <c r="C73" i="37" s="1"/>
  <c r="C74" i="37" s="1"/>
  <c r="C75" i="37" s="1"/>
  <c r="C76" i="37" s="1"/>
  <c r="C77" i="37" s="1"/>
  <c r="C78" i="37" s="1"/>
  <c r="C79" i="37" s="1"/>
  <c r="C80" i="37" s="1"/>
  <c r="C81" i="37" s="1"/>
  <c r="C82" i="37" s="1"/>
  <c r="C83" i="37" s="1"/>
  <c r="C84" i="37" s="1"/>
  <c r="C85" i="37" s="1"/>
  <c r="C86" i="37" s="1"/>
  <c r="C87" i="37" s="1"/>
  <c r="C88" i="37" s="1"/>
  <c r="C89" i="37" s="1"/>
  <c r="C90" i="37" s="1"/>
  <c r="C91" i="37" s="1"/>
  <c r="C92" i="37" s="1"/>
  <c r="C93" i="37" s="1"/>
  <c r="C94" i="37" s="1"/>
  <c r="C95" i="37" s="1"/>
  <c r="C96" i="37" s="1"/>
  <c r="C97" i="37" s="1"/>
  <c r="C98" i="37" s="1"/>
  <c r="C99" i="37" s="1"/>
  <c r="C100" i="37" s="1"/>
  <c r="C101" i="37" s="1"/>
  <c r="C102" i="37" s="1"/>
  <c r="C103" i="37" s="1"/>
  <c r="C104" i="37" s="1"/>
  <c r="C105" i="37" s="1"/>
  <c r="C106" i="37" s="1"/>
  <c r="C107" i="37" s="1"/>
  <c r="C108" i="37" s="1"/>
  <c r="C109" i="37" s="1"/>
  <c r="C110" i="37" s="1"/>
  <c r="C111" i="37" s="1"/>
  <c r="C112" i="37" s="1"/>
  <c r="C113" i="37" s="1"/>
  <c r="C114" i="37" s="1"/>
  <c r="C115" i="37" s="1"/>
  <c r="C116" i="37" s="1"/>
  <c r="C117" i="37" s="1"/>
  <c r="C118" i="37" s="1"/>
  <c r="C119" i="37" s="1"/>
  <c r="C120" i="37" s="1"/>
  <c r="C121" i="37" s="1"/>
  <c r="C122" i="37" s="1"/>
  <c r="C123" i="37" s="1"/>
  <c r="C124" i="37" s="1"/>
  <c r="C125" i="37" s="1"/>
  <c r="C126" i="37" s="1"/>
  <c r="C127" i="37" s="1"/>
  <c r="C128" i="37" s="1"/>
  <c r="C129" i="37" s="1"/>
  <c r="C130" i="37" s="1"/>
  <c r="C131" i="37" s="1"/>
  <c r="C132" i="37" s="1"/>
  <c r="C133" i="37" s="1"/>
  <c r="C134" i="37" s="1"/>
  <c r="C135" i="37" s="1"/>
  <c r="C136" i="37" s="1"/>
  <c r="C137" i="37" s="1"/>
  <c r="C138" i="37" s="1"/>
  <c r="C139" i="37" s="1"/>
  <c r="C140" i="37" s="1"/>
  <c r="C141" i="37" s="1"/>
  <c r="C142" i="37" s="1"/>
  <c r="C143" i="37" s="1"/>
  <c r="C144" i="37" s="1"/>
  <c r="C145" i="37" s="1"/>
  <c r="C146" i="37" s="1"/>
  <c r="C147" i="37" s="1"/>
  <c r="C148" i="37" s="1"/>
  <c r="C149" i="37" s="1"/>
  <c r="C150" i="37" s="1"/>
  <c r="C151" i="37" s="1"/>
  <c r="C152" i="37" s="1"/>
  <c r="C153" i="37" s="1"/>
  <c r="C154" i="37" s="1"/>
  <c r="C155" i="37" s="1"/>
  <c r="C156" i="37" s="1"/>
  <c r="C157" i="37" s="1"/>
  <c r="C158" i="37" s="1"/>
  <c r="C159" i="37" s="1"/>
  <c r="C160" i="37" s="1"/>
  <c r="C161" i="37" s="1"/>
  <c r="C162" i="37" s="1"/>
  <c r="C163" i="37" s="1"/>
  <c r="C164" i="37" s="1"/>
  <c r="C165" i="37" s="1"/>
  <c r="C166" i="37" s="1"/>
  <c r="C167" i="37" s="1"/>
  <c r="C168" i="37" s="1"/>
  <c r="C169" i="37" s="1"/>
  <c r="C170" i="37" s="1"/>
  <c r="C171" i="37" s="1"/>
  <c r="C172" i="37" s="1"/>
  <c r="C173" i="37" s="1"/>
  <c r="C174" i="37" s="1"/>
  <c r="C175" i="37" s="1"/>
  <c r="C176" i="37" s="1"/>
  <c r="C177" i="37" s="1"/>
  <c r="C178" i="37" s="1"/>
  <c r="C179" i="37" s="1"/>
  <c r="C180" i="37" s="1"/>
  <c r="C181" i="37" s="1"/>
  <c r="C182" i="37" s="1"/>
  <c r="C183" i="37" s="1"/>
  <c r="C184" i="37" s="1"/>
  <c r="C185" i="37" s="1"/>
  <c r="C186" i="37" s="1"/>
  <c r="C187" i="37" s="1"/>
  <c r="C188" i="37" s="1"/>
  <c r="C189" i="37" s="1"/>
  <c r="C190" i="37" s="1"/>
  <c r="C191" i="37" s="1"/>
  <c r="C192" i="37" s="1"/>
  <c r="C193" i="37" s="1"/>
  <c r="C194" i="37" s="1"/>
  <c r="C195" i="37" s="1"/>
  <c r="C196" i="37" s="1"/>
  <c r="C197" i="37" s="1"/>
  <c r="C198" i="37" s="1"/>
  <c r="C199" i="37" s="1"/>
  <c r="C200" i="37" s="1"/>
  <c r="C201" i="37" s="1"/>
  <c r="C202" i="37" s="1"/>
  <c r="C203" i="37" s="1"/>
  <c r="C204" i="37" s="1"/>
  <c r="C205" i="37" s="1"/>
  <c r="C206" i="37" s="1"/>
  <c r="C207" i="37" s="1"/>
  <c r="C208" i="37" s="1"/>
  <c r="C209" i="37" s="1"/>
  <c r="C210" i="37" s="1"/>
  <c r="C211" i="37" s="1"/>
  <c r="C212" i="37" s="1"/>
  <c r="C213" i="37" s="1"/>
  <c r="C214" i="37" s="1"/>
  <c r="E10" i="37"/>
  <c r="F454" i="37" l="1"/>
  <c r="C455" i="37"/>
  <c r="F278" i="37"/>
  <c r="C279" i="37"/>
  <c r="C215" i="37"/>
  <c r="E11" i="37"/>
  <c r="F10" i="37"/>
  <c r="G10" i="37" s="1"/>
  <c r="F455" i="37" l="1"/>
  <c r="C456" i="37"/>
  <c r="F279" i="37"/>
  <c r="C280" i="37"/>
  <c r="C216" i="37"/>
  <c r="C217" i="37" s="1"/>
  <c r="C218" i="37" s="1"/>
  <c r="C219" i="37" s="1"/>
  <c r="C220" i="37" s="1"/>
  <c r="C221" i="37" s="1"/>
  <c r="E12" i="37"/>
  <c r="F11" i="37"/>
  <c r="G11" i="37" s="1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78" i="19"/>
  <c r="D179" i="19"/>
  <c r="D180" i="19"/>
  <c r="D181" i="19"/>
  <c r="D182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96" i="19"/>
  <c r="D197" i="19"/>
  <c r="D198" i="19"/>
  <c r="D199" i="19"/>
  <c r="D200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214" i="19"/>
  <c r="D215" i="19"/>
  <c r="D216" i="19"/>
  <c r="D217" i="19"/>
  <c r="D218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32" i="19"/>
  <c r="D233" i="19"/>
  <c r="D234" i="19"/>
  <c r="D235" i="19"/>
  <c r="D236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50" i="19"/>
  <c r="D251" i="19"/>
  <c r="D252" i="19"/>
  <c r="D253" i="19"/>
  <c r="D254" i="19"/>
  <c r="D255" i="19"/>
  <c r="D256" i="19"/>
  <c r="F456" i="37" l="1"/>
  <c r="C457" i="37"/>
  <c r="F280" i="37"/>
  <c r="C281" i="37"/>
  <c r="F222" i="37"/>
  <c r="F216" i="37"/>
  <c r="E13" i="37"/>
  <c r="F12" i="37"/>
  <c r="G12" i="37" s="1"/>
  <c r="D258" i="19"/>
  <c r="P149" i="19"/>
  <c r="P50" i="19"/>
  <c r="A3" i="20"/>
  <c r="P257" i="19"/>
  <c r="O258" i="19"/>
  <c r="Q257" i="19"/>
  <c r="C20" i="20" s="1"/>
  <c r="P225" i="19"/>
  <c r="P223" i="19"/>
  <c r="P222" i="19"/>
  <c r="P209" i="19"/>
  <c r="P196" i="19"/>
  <c r="P190" i="19"/>
  <c r="P183" i="19"/>
  <c r="P182" i="19"/>
  <c r="P180" i="19"/>
  <c r="P174" i="19"/>
  <c r="P160" i="19"/>
  <c r="P140" i="19"/>
  <c r="P136" i="19"/>
  <c r="P122" i="19"/>
  <c r="P111" i="19"/>
  <c r="P100" i="19"/>
  <c r="P99" i="19"/>
  <c r="P89" i="19"/>
  <c r="P73" i="19"/>
  <c r="P66" i="19"/>
  <c r="P65" i="19"/>
  <c r="P62" i="19"/>
  <c r="P59" i="19"/>
  <c r="P51" i="19"/>
  <c r="P31" i="19"/>
  <c r="P14" i="19"/>
  <c r="P13" i="19"/>
  <c r="P256" i="19"/>
  <c r="P255" i="19"/>
  <c r="P254" i="19"/>
  <c r="P253" i="19"/>
  <c r="P252" i="19"/>
  <c r="P251" i="19"/>
  <c r="P250" i="19"/>
  <c r="P249" i="19"/>
  <c r="P248" i="19"/>
  <c r="P247" i="19"/>
  <c r="P246" i="19"/>
  <c r="P245" i="19"/>
  <c r="P244" i="19"/>
  <c r="P243" i="19"/>
  <c r="P242" i="19"/>
  <c r="P241" i="19"/>
  <c r="P240" i="19"/>
  <c r="P239" i="19"/>
  <c r="P238" i="19"/>
  <c r="P237" i="19"/>
  <c r="P236" i="19"/>
  <c r="P235" i="19"/>
  <c r="P234" i="19"/>
  <c r="P233" i="19"/>
  <c r="P232" i="19"/>
  <c r="P231" i="19"/>
  <c r="P230" i="19"/>
  <c r="P229" i="19"/>
  <c r="P228" i="19"/>
  <c r="P227" i="19"/>
  <c r="P226" i="19"/>
  <c r="P224" i="19"/>
  <c r="P221" i="19"/>
  <c r="P220" i="19"/>
  <c r="P219" i="19"/>
  <c r="P218" i="19"/>
  <c r="P217" i="19"/>
  <c r="P216" i="19"/>
  <c r="P215" i="19"/>
  <c r="P214" i="19"/>
  <c r="P213" i="19"/>
  <c r="P212" i="19"/>
  <c r="P211" i="19"/>
  <c r="P210" i="19"/>
  <c r="P208" i="19"/>
  <c r="P207" i="19"/>
  <c r="P206" i="19"/>
  <c r="P205" i="19"/>
  <c r="P204" i="19"/>
  <c r="P203" i="19"/>
  <c r="P202" i="19"/>
  <c r="P201" i="19"/>
  <c r="P200" i="19"/>
  <c r="P199" i="19"/>
  <c r="P198" i="19"/>
  <c r="P197" i="19"/>
  <c r="P195" i="19"/>
  <c r="P194" i="19"/>
  <c r="P193" i="19"/>
  <c r="P192" i="19"/>
  <c r="P191" i="19"/>
  <c r="P189" i="19"/>
  <c r="P188" i="19"/>
  <c r="P187" i="19"/>
  <c r="P186" i="19"/>
  <c r="P185" i="19"/>
  <c r="P184" i="19"/>
  <c r="P181" i="19"/>
  <c r="P179" i="19"/>
  <c r="P178" i="19"/>
  <c r="P177" i="19"/>
  <c r="P176" i="19"/>
  <c r="P175" i="19"/>
  <c r="P173" i="19"/>
  <c r="P172" i="19"/>
  <c r="P171" i="19"/>
  <c r="P170" i="19"/>
  <c r="P169" i="19"/>
  <c r="P168" i="19"/>
  <c r="P167" i="19"/>
  <c r="P166" i="19"/>
  <c r="P165" i="19"/>
  <c r="P164" i="19"/>
  <c r="P163" i="19"/>
  <c r="P162" i="19"/>
  <c r="P161" i="19"/>
  <c r="P159" i="19"/>
  <c r="P158" i="19"/>
  <c r="P157" i="19"/>
  <c r="P156" i="19"/>
  <c r="P155" i="19"/>
  <c r="P154" i="19"/>
  <c r="P153" i="19"/>
  <c r="P152" i="19"/>
  <c r="P151" i="19"/>
  <c r="P150" i="19"/>
  <c r="P148" i="19"/>
  <c r="P147" i="19"/>
  <c r="P146" i="19"/>
  <c r="P145" i="19"/>
  <c r="P144" i="19"/>
  <c r="P143" i="19"/>
  <c r="P142" i="19"/>
  <c r="P141" i="19"/>
  <c r="P139" i="19"/>
  <c r="P138" i="19"/>
  <c r="P137" i="19"/>
  <c r="P135" i="19"/>
  <c r="P134" i="19"/>
  <c r="P133" i="19"/>
  <c r="P132" i="19"/>
  <c r="P131" i="19"/>
  <c r="P130" i="19"/>
  <c r="P129" i="19"/>
  <c r="P128" i="19"/>
  <c r="P127" i="19"/>
  <c r="P126" i="19"/>
  <c r="P125" i="19"/>
  <c r="P124" i="19"/>
  <c r="P123" i="19"/>
  <c r="P121" i="19"/>
  <c r="P120" i="19"/>
  <c r="P119" i="19"/>
  <c r="P118" i="19"/>
  <c r="P117" i="19"/>
  <c r="P116" i="19"/>
  <c r="P115" i="19"/>
  <c r="P114" i="19"/>
  <c r="P113" i="19"/>
  <c r="P112" i="19"/>
  <c r="P110" i="19"/>
  <c r="P109" i="19"/>
  <c r="P108" i="19"/>
  <c r="P107" i="19"/>
  <c r="P106" i="19"/>
  <c r="P105" i="19"/>
  <c r="P104" i="19"/>
  <c r="P103" i="19"/>
  <c r="P102" i="19"/>
  <c r="P101" i="19"/>
  <c r="P98" i="19"/>
  <c r="P97" i="19"/>
  <c r="P96" i="19"/>
  <c r="P95" i="19"/>
  <c r="P94" i="19"/>
  <c r="P93" i="19"/>
  <c r="P92" i="19"/>
  <c r="P91" i="19"/>
  <c r="P90" i="19"/>
  <c r="P88" i="19"/>
  <c r="P87" i="19"/>
  <c r="P86" i="19"/>
  <c r="P85" i="19"/>
  <c r="P84" i="19"/>
  <c r="P83" i="19"/>
  <c r="P82" i="19"/>
  <c r="P81" i="19"/>
  <c r="P80" i="19"/>
  <c r="P79" i="19"/>
  <c r="P78" i="19"/>
  <c r="P77" i="19"/>
  <c r="P76" i="19"/>
  <c r="P75" i="19"/>
  <c r="P74" i="19"/>
  <c r="P72" i="19"/>
  <c r="P71" i="19"/>
  <c r="P70" i="19"/>
  <c r="P69" i="19"/>
  <c r="P68" i="19"/>
  <c r="P67" i="19"/>
  <c r="P64" i="19"/>
  <c r="P63" i="19"/>
  <c r="P61" i="19"/>
  <c r="P60" i="19"/>
  <c r="P58" i="19"/>
  <c r="P57" i="19"/>
  <c r="P56" i="19"/>
  <c r="P55" i="19"/>
  <c r="P54" i="19"/>
  <c r="P53" i="19"/>
  <c r="P52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2" i="19"/>
  <c r="P11" i="19"/>
  <c r="P10" i="19"/>
  <c r="P9" i="19"/>
  <c r="M27" i="19"/>
  <c r="K237" i="19"/>
  <c r="H27" i="19"/>
  <c r="G237" i="19"/>
  <c r="F237" i="19"/>
  <c r="E27" i="19"/>
  <c r="M257" i="19"/>
  <c r="L257" i="19"/>
  <c r="K257" i="19"/>
  <c r="J257" i="19"/>
  <c r="I257" i="19"/>
  <c r="H257" i="19"/>
  <c r="G257" i="19"/>
  <c r="F257" i="19"/>
  <c r="E257" i="19"/>
  <c r="M155" i="19"/>
  <c r="K155" i="19"/>
  <c r="H155" i="19"/>
  <c r="G155" i="19"/>
  <c r="F155" i="19"/>
  <c r="E155" i="19"/>
  <c r="M134" i="19"/>
  <c r="K134" i="19"/>
  <c r="H134" i="19"/>
  <c r="G134" i="19"/>
  <c r="F134" i="19"/>
  <c r="E134" i="19"/>
  <c r="M100" i="19"/>
  <c r="K100" i="19"/>
  <c r="H100" i="19"/>
  <c r="G100" i="19"/>
  <c r="F100" i="19"/>
  <c r="E100" i="19"/>
  <c r="M203" i="19"/>
  <c r="K203" i="19"/>
  <c r="H203" i="19"/>
  <c r="G203" i="19"/>
  <c r="F203" i="19"/>
  <c r="E203" i="19"/>
  <c r="M8" i="19"/>
  <c r="M258" i="19" s="1"/>
  <c r="F8" i="19"/>
  <c r="F258" i="19" s="1"/>
  <c r="E8" i="19"/>
  <c r="E258" i="19" s="1"/>
  <c r="M65" i="19"/>
  <c r="K65" i="19"/>
  <c r="H65" i="19"/>
  <c r="G65" i="19"/>
  <c r="F65" i="19"/>
  <c r="E65" i="19"/>
  <c r="M187" i="19"/>
  <c r="K187" i="19"/>
  <c r="H187" i="19"/>
  <c r="G187" i="19"/>
  <c r="F187" i="19"/>
  <c r="E187" i="19"/>
  <c r="M83" i="19"/>
  <c r="K83" i="19"/>
  <c r="H83" i="19"/>
  <c r="G83" i="19"/>
  <c r="F83" i="19"/>
  <c r="E83" i="19"/>
  <c r="M175" i="19"/>
  <c r="K175" i="19"/>
  <c r="H175" i="19"/>
  <c r="G175" i="19"/>
  <c r="F175" i="19"/>
  <c r="E175" i="19"/>
  <c r="M44" i="19"/>
  <c r="K44" i="19"/>
  <c r="H44" i="19"/>
  <c r="G44" i="19"/>
  <c r="F44" i="19"/>
  <c r="E44" i="19"/>
  <c r="M115" i="19"/>
  <c r="K115" i="19"/>
  <c r="H115" i="19"/>
  <c r="G115" i="19"/>
  <c r="F115" i="19"/>
  <c r="E115" i="19"/>
  <c r="M217" i="19"/>
  <c r="K217" i="19"/>
  <c r="H217" i="19"/>
  <c r="G217" i="19"/>
  <c r="F217" i="19"/>
  <c r="E217" i="19"/>
  <c r="M237" i="19"/>
  <c r="F27" i="19"/>
  <c r="E237" i="19"/>
  <c r="H237" i="19"/>
  <c r="G27" i="19"/>
  <c r="K27" i="19"/>
  <c r="J44" i="19"/>
  <c r="I27" i="19"/>
  <c r="I44" i="19"/>
  <c r="I203" i="19"/>
  <c r="H8" i="19"/>
  <c r="H258" i="19" s="1"/>
  <c r="J100" i="19"/>
  <c r="J134" i="19"/>
  <c r="J83" i="19"/>
  <c r="J155" i="19"/>
  <c r="J187" i="19"/>
  <c r="J217" i="19"/>
  <c r="I100" i="19"/>
  <c r="I115" i="19"/>
  <c r="I175" i="19"/>
  <c r="J65" i="19"/>
  <c r="I187" i="19"/>
  <c r="J115" i="19"/>
  <c r="J175" i="19"/>
  <c r="I217" i="19"/>
  <c r="I83" i="19"/>
  <c r="J237" i="19"/>
  <c r="J203" i="19"/>
  <c r="K8" i="19"/>
  <c r="K258" i="19" s="1"/>
  <c r="I155" i="19"/>
  <c r="I134" i="19"/>
  <c r="I8" i="19"/>
  <c r="I258" i="19" s="1"/>
  <c r="G8" i="19"/>
  <c r="G258" i="19" s="1"/>
  <c r="I237" i="19"/>
  <c r="J27" i="19"/>
  <c r="I65" i="19"/>
  <c r="J8" i="19"/>
  <c r="J258" i="19" s="1"/>
  <c r="F457" i="37" l="1"/>
  <c r="C458" i="37"/>
  <c r="F281" i="37"/>
  <c r="C282" i="37"/>
  <c r="F223" i="37"/>
  <c r="E14" i="37"/>
  <c r="F13" i="37"/>
  <c r="G13" i="37" s="1"/>
  <c r="L217" i="19"/>
  <c r="L8" i="19"/>
  <c r="L187" i="19"/>
  <c r="L203" i="19"/>
  <c r="Q203" i="19"/>
  <c r="C16" i="20" s="1"/>
  <c r="Q217" i="19"/>
  <c r="C12" i="20" s="1"/>
  <c r="L83" i="19"/>
  <c r="Q115" i="19"/>
  <c r="C11" i="20" s="1"/>
  <c r="Q155" i="19"/>
  <c r="C6" i="20" s="1"/>
  <c r="Q175" i="19"/>
  <c r="C7" i="20" s="1"/>
  <c r="Q187" i="19"/>
  <c r="C17" i="20" s="1"/>
  <c r="Q237" i="19"/>
  <c r="C8" i="20" s="1"/>
  <c r="P8" i="19"/>
  <c r="Q8" i="19" s="1"/>
  <c r="Q27" i="19"/>
  <c r="C10" i="20" s="1"/>
  <c r="Q44" i="19"/>
  <c r="C13" i="20" s="1"/>
  <c r="Q65" i="19"/>
  <c r="C18" i="20" s="1"/>
  <c r="Q83" i="19"/>
  <c r="C9" i="20" s="1"/>
  <c r="Q100" i="19"/>
  <c r="C19" i="20" s="1"/>
  <c r="Q134" i="19"/>
  <c r="C14" i="20" s="1"/>
  <c r="L175" i="19"/>
  <c r="L155" i="19"/>
  <c r="L27" i="19"/>
  <c r="L237" i="19"/>
  <c r="L44" i="19"/>
  <c r="L65" i="19"/>
  <c r="L134" i="19"/>
  <c r="L115" i="19"/>
  <c r="L100" i="19"/>
  <c r="F458" i="37" l="1"/>
  <c r="C459" i="37"/>
  <c r="F282" i="37"/>
  <c r="C283" i="37"/>
  <c r="F224" i="37"/>
  <c r="F221" i="37"/>
  <c r="F220" i="37"/>
  <c r="E15" i="37"/>
  <c r="F14" i="37"/>
  <c r="G14" i="37" s="1"/>
  <c r="P258" i="19"/>
  <c r="L258" i="19"/>
  <c r="Q258" i="19"/>
  <c r="C15" i="20"/>
  <c r="C21" i="20" s="1"/>
  <c r="F459" i="37" l="1"/>
  <c r="C460" i="37"/>
  <c r="F283" i="37"/>
  <c r="C284" i="37"/>
  <c r="F225" i="37"/>
  <c r="E16" i="37"/>
  <c r="F15" i="37"/>
  <c r="G15" i="37" s="1"/>
  <c r="F460" i="37" l="1"/>
  <c r="C461" i="37"/>
  <c r="F284" i="37"/>
  <c r="C285" i="37"/>
  <c r="F227" i="37"/>
  <c r="F226" i="37"/>
  <c r="E17" i="37"/>
  <c r="F16" i="37"/>
  <c r="G16" i="37" s="1"/>
  <c r="F461" i="37" l="1"/>
  <c r="C462" i="37"/>
  <c r="F285" i="37"/>
  <c r="C286" i="37"/>
  <c r="E18" i="37"/>
  <c r="F17" i="37"/>
  <c r="G17" i="37" s="1"/>
  <c r="C463" i="37" l="1"/>
  <c r="F462" i="37"/>
  <c r="F286" i="37"/>
  <c r="C287" i="37"/>
  <c r="E19" i="37"/>
  <c r="F18" i="37"/>
  <c r="G18" i="37" s="1"/>
  <c r="F463" i="37" l="1"/>
  <c r="C464" i="37"/>
  <c r="F287" i="37"/>
  <c r="C288" i="37"/>
  <c r="E20" i="37"/>
  <c r="F19" i="37"/>
  <c r="G19" i="37" s="1"/>
  <c r="F464" i="37" l="1"/>
  <c r="C465" i="37"/>
  <c r="F288" i="37"/>
  <c r="C289" i="37"/>
  <c r="C290" i="37" s="1"/>
  <c r="E21" i="37"/>
  <c r="F20" i="37"/>
  <c r="G20" i="37" s="1"/>
  <c r="F465" i="37" l="1"/>
  <c r="C466" i="37"/>
  <c r="F290" i="37"/>
  <c r="C291" i="37"/>
  <c r="F289" i="37"/>
  <c r="E22" i="37"/>
  <c r="F21" i="37"/>
  <c r="G21" i="37" s="1"/>
  <c r="F466" i="37" l="1"/>
  <c r="C467" i="37"/>
  <c r="C292" i="37"/>
  <c r="F291" i="37"/>
  <c r="E23" i="37"/>
  <c r="F22" i="37"/>
  <c r="G22" i="37" s="1"/>
  <c r="F467" i="37" l="1"/>
  <c r="C468" i="37"/>
  <c r="F292" i="37"/>
  <c r="C293" i="37"/>
  <c r="E24" i="37"/>
  <c r="F23" i="37"/>
  <c r="G23" i="37" s="1"/>
  <c r="F468" i="37" l="1"/>
  <c r="C469" i="37"/>
  <c r="F293" i="37"/>
  <c r="C294" i="37"/>
  <c r="E25" i="37"/>
  <c r="F24" i="37"/>
  <c r="G24" i="37" s="1"/>
  <c r="F469" i="37" l="1"/>
  <c r="C470" i="37"/>
  <c r="F294" i="37"/>
  <c r="C295" i="37"/>
  <c r="E26" i="37"/>
  <c r="F25" i="37"/>
  <c r="G25" i="37" s="1"/>
  <c r="F470" i="37" l="1"/>
  <c r="C471" i="37"/>
  <c r="F295" i="37"/>
  <c r="C296" i="37"/>
  <c r="E27" i="37"/>
  <c r="F26" i="37"/>
  <c r="G26" i="37" s="1"/>
  <c r="F471" i="37" l="1"/>
  <c r="C472" i="37"/>
  <c r="F296" i="37"/>
  <c r="C297" i="37"/>
  <c r="E28" i="37"/>
  <c r="F27" i="37"/>
  <c r="G27" i="37" s="1"/>
  <c r="F472" i="37" l="1"/>
  <c r="C473" i="37"/>
  <c r="F297" i="37"/>
  <c r="C298" i="37"/>
  <c r="E29" i="37"/>
  <c r="F28" i="37"/>
  <c r="G28" i="37" s="1"/>
  <c r="F473" i="37" l="1"/>
  <c r="C474" i="37"/>
  <c r="F298" i="37"/>
  <c r="C299" i="37"/>
  <c r="E30" i="37"/>
  <c r="F29" i="37"/>
  <c r="G29" i="37" s="1"/>
  <c r="F474" i="37" l="1"/>
  <c r="C475" i="37"/>
  <c r="F299" i="37"/>
  <c r="C300" i="37"/>
  <c r="E31" i="37"/>
  <c r="F30" i="37"/>
  <c r="G30" i="37" s="1"/>
  <c r="F475" i="37" l="1"/>
  <c r="C476" i="37"/>
  <c r="F300" i="37"/>
  <c r="C301" i="37"/>
  <c r="E32" i="37"/>
  <c r="F31" i="37"/>
  <c r="G31" i="37" s="1"/>
  <c r="F476" i="37" l="1"/>
  <c r="C477" i="37"/>
  <c r="F301" i="37"/>
  <c r="C302" i="37"/>
  <c r="E33" i="37"/>
  <c r="F32" i="37"/>
  <c r="G32" i="37" s="1"/>
  <c r="F477" i="37" l="1"/>
  <c r="C478" i="37"/>
  <c r="F302" i="37"/>
  <c r="C303" i="37"/>
  <c r="E34" i="37"/>
  <c r="F33" i="37"/>
  <c r="G33" i="37" s="1"/>
  <c r="F478" i="37" l="1"/>
  <c r="C479" i="37"/>
  <c r="F303" i="37"/>
  <c r="C304" i="37"/>
  <c r="E35" i="37"/>
  <c r="F34" i="37"/>
  <c r="G34" i="37" s="1"/>
  <c r="F479" i="37" l="1"/>
  <c r="C480" i="37"/>
  <c r="F304" i="37"/>
  <c r="C305" i="37"/>
  <c r="E36" i="37"/>
  <c r="F35" i="37"/>
  <c r="G35" i="37" s="1"/>
  <c r="F480" i="37" l="1"/>
  <c r="C481" i="37"/>
  <c r="F305" i="37"/>
  <c r="C306" i="37"/>
  <c r="E37" i="37"/>
  <c r="F36" i="37"/>
  <c r="G36" i="37" s="1"/>
  <c r="F481" i="37" l="1"/>
  <c r="C482" i="37"/>
  <c r="F306" i="37"/>
  <c r="C307" i="37"/>
  <c r="E38" i="37"/>
  <c r="F37" i="37"/>
  <c r="G37" i="37" s="1"/>
  <c r="F482" i="37" l="1"/>
  <c r="C483" i="37"/>
  <c r="F307" i="37"/>
  <c r="C308" i="37"/>
  <c r="E39" i="37"/>
  <c r="F38" i="37"/>
  <c r="G38" i="37" s="1"/>
  <c r="F483" i="37" l="1"/>
  <c r="C484" i="37"/>
  <c r="F308" i="37"/>
  <c r="C309" i="37"/>
  <c r="E40" i="37"/>
  <c r="F39" i="37"/>
  <c r="G39" i="37" s="1"/>
  <c r="F484" i="37" l="1"/>
  <c r="C485" i="37"/>
  <c r="F309" i="37"/>
  <c r="C310" i="37"/>
  <c r="E41" i="37"/>
  <c r="F40" i="37"/>
  <c r="G40" i="37" s="1"/>
  <c r="F485" i="37" l="1"/>
  <c r="C486" i="37"/>
  <c r="F310" i="37"/>
  <c r="C311" i="37"/>
  <c r="E42" i="37"/>
  <c r="F41" i="37"/>
  <c r="G41" i="37" s="1"/>
  <c r="F486" i="37" l="1"/>
  <c r="C487" i="37"/>
  <c r="F311" i="37"/>
  <c r="C312" i="37"/>
  <c r="E43" i="37"/>
  <c r="F42" i="37"/>
  <c r="F487" i="37" l="1"/>
  <c r="C488" i="37"/>
  <c r="F312" i="37"/>
  <c r="C313" i="37"/>
  <c r="E44" i="37"/>
  <c r="F43" i="37"/>
  <c r="F488" i="37" l="1"/>
  <c r="C489" i="37"/>
  <c r="F313" i="37"/>
  <c r="C314" i="37"/>
  <c r="E45" i="37"/>
  <c r="F44" i="37"/>
  <c r="F489" i="37" l="1"/>
  <c r="C490" i="37"/>
  <c r="F314" i="37"/>
  <c r="C315" i="37"/>
  <c r="E46" i="37"/>
  <c r="F45" i="37"/>
  <c r="F490" i="37" l="1"/>
  <c r="C491" i="37"/>
  <c r="F315" i="37"/>
  <c r="C316" i="37"/>
  <c r="E47" i="37"/>
  <c r="F46" i="37"/>
  <c r="F491" i="37" l="1"/>
  <c r="C492" i="37"/>
  <c r="F316" i="37"/>
  <c r="C317" i="37"/>
  <c r="E48" i="37"/>
  <c r="F47" i="37"/>
  <c r="F492" i="37" l="1"/>
  <c r="C493" i="37"/>
  <c r="F317" i="37"/>
  <c r="C318" i="37"/>
  <c r="E49" i="37"/>
  <c r="F48" i="37"/>
  <c r="F493" i="37" l="1"/>
  <c r="C494" i="37"/>
  <c r="F318" i="37"/>
  <c r="C319" i="37"/>
  <c r="E50" i="37"/>
  <c r="F49" i="37"/>
  <c r="F494" i="37" l="1"/>
  <c r="C495" i="37"/>
  <c r="F319" i="37"/>
  <c r="C320" i="37"/>
  <c r="E51" i="37"/>
  <c r="F50" i="37"/>
  <c r="F495" i="37" l="1"/>
  <c r="C496" i="37"/>
  <c r="F320" i="37"/>
  <c r="C321" i="37"/>
  <c r="F321" i="37" s="1"/>
  <c r="E52" i="37"/>
  <c r="F51" i="37"/>
  <c r="F496" i="37" l="1"/>
  <c r="C497" i="37"/>
  <c r="C322" i="37"/>
  <c r="F322" i="37" s="1"/>
  <c r="E53" i="37"/>
  <c r="F52" i="37"/>
  <c r="F497" i="37" l="1"/>
  <c r="C498" i="37"/>
  <c r="C323" i="37"/>
  <c r="F323" i="37" s="1"/>
  <c r="E54" i="37"/>
  <c r="F53" i="37"/>
  <c r="F498" i="37" l="1"/>
  <c r="C499" i="37"/>
  <c r="C324" i="37"/>
  <c r="F324" i="37" s="1"/>
  <c r="E55" i="37"/>
  <c r="F54" i="37"/>
  <c r="F499" i="37" l="1"/>
  <c r="C500" i="37"/>
  <c r="C325" i="37"/>
  <c r="C326" i="37" s="1"/>
  <c r="C327" i="37" s="1"/>
  <c r="E56" i="37"/>
  <c r="F55" i="37"/>
  <c r="F500" i="37" l="1"/>
  <c r="C501" i="37"/>
  <c r="F501" i="37" s="1"/>
  <c r="F325" i="37"/>
  <c r="E57" i="37"/>
  <c r="F56" i="37"/>
  <c r="C502" i="37" l="1"/>
  <c r="F502" i="37" s="1"/>
  <c r="F328" i="37"/>
  <c r="F327" i="37"/>
  <c r="F326" i="37"/>
  <c r="E58" i="37"/>
  <c r="F57" i="37"/>
  <c r="C503" i="37" l="1"/>
  <c r="F329" i="37"/>
  <c r="E59" i="37"/>
  <c r="F58" i="37"/>
  <c r="F503" i="37" l="1"/>
  <c r="C504" i="37"/>
  <c r="F330" i="37"/>
  <c r="E60" i="37"/>
  <c r="F59" i="37"/>
  <c r="F504" i="37" l="1"/>
  <c r="C505" i="37"/>
  <c r="F331" i="37"/>
  <c r="E61" i="37"/>
  <c r="F60" i="37"/>
  <c r="F505" i="37" l="1"/>
  <c r="C506" i="37"/>
  <c r="F332" i="37"/>
  <c r="E62" i="37"/>
  <c r="F61" i="37"/>
  <c r="F506" i="37" l="1"/>
  <c r="C507" i="37"/>
  <c r="F333" i="37"/>
  <c r="E63" i="37"/>
  <c r="F62" i="37"/>
  <c r="F507" i="37" l="1"/>
  <c r="C508" i="37"/>
  <c r="F334" i="37"/>
  <c r="E64" i="37"/>
  <c r="F63" i="37"/>
  <c r="F508" i="37" l="1"/>
  <c r="C509" i="37"/>
  <c r="F335" i="37"/>
  <c r="E65" i="37"/>
  <c r="F64" i="37"/>
  <c r="F509" i="37" l="1"/>
  <c r="C510" i="37"/>
  <c r="F336" i="37"/>
  <c r="E66" i="37"/>
  <c r="F65" i="37"/>
  <c r="F510" i="37" l="1"/>
  <c r="C511" i="37"/>
  <c r="F337" i="37"/>
  <c r="E67" i="37"/>
  <c r="F66" i="37"/>
  <c r="F511" i="37" l="1"/>
  <c r="C512" i="37"/>
  <c r="F338" i="37"/>
  <c r="E68" i="37"/>
  <c r="F67" i="37"/>
  <c r="F512" i="37" l="1"/>
  <c r="C513" i="37"/>
  <c r="F340" i="37"/>
  <c r="F339" i="37"/>
  <c r="E69" i="37"/>
  <c r="F68" i="37"/>
  <c r="F513" i="37" l="1"/>
  <c r="C514" i="37"/>
  <c r="E70" i="37"/>
  <c r="F69" i="37"/>
  <c r="F514" i="37" l="1"/>
  <c r="C515" i="37"/>
  <c r="E71" i="37"/>
  <c r="F70" i="37"/>
  <c r="F515" i="37" l="1"/>
  <c r="C516" i="37"/>
  <c r="E72" i="37"/>
  <c r="F71" i="37"/>
  <c r="F516" i="37" l="1"/>
  <c r="C517" i="37"/>
  <c r="E73" i="37"/>
  <c r="F72" i="37"/>
  <c r="F517" i="37" l="1"/>
  <c r="C518" i="37"/>
  <c r="E74" i="37"/>
  <c r="F73" i="37"/>
  <c r="F518" i="37" l="1"/>
  <c r="C519" i="37"/>
  <c r="E75" i="37"/>
  <c r="F74" i="37"/>
  <c r="F519" i="37" l="1"/>
  <c r="C520" i="37"/>
  <c r="E76" i="37"/>
  <c r="F75" i="37"/>
  <c r="F520" i="37" l="1"/>
  <c r="C521" i="37"/>
  <c r="E77" i="37"/>
  <c r="F76" i="37"/>
  <c r="F521" i="37" l="1"/>
  <c r="C522" i="37"/>
  <c r="E78" i="37"/>
  <c r="F77" i="37"/>
  <c r="F522" i="37" l="1"/>
  <c r="C523" i="37"/>
  <c r="E79" i="37"/>
  <c r="F78" i="37"/>
  <c r="F523" i="37" l="1"/>
  <c r="C524" i="37"/>
  <c r="E80" i="37"/>
  <c r="F79" i="37"/>
  <c r="F524" i="37" l="1"/>
  <c r="C525" i="37"/>
  <c r="E81" i="37"/>
  <c r="F80" i="37"/>
  <c r="F525" i="37" l="1"/>
  <c r="C526" i="37"/>
  <c r="E82" i="37"/>
  <c r="F81" i="37"/>
  <c r="F526" i="37" l="1"/>
  <c r="C527" i="37"/>
  <c r="E83" i="37"/>
  <c r="F82" i="37"/>
  <c r="F527" i="37" l="1"/>
  <c r="C528" i="37"/>
  <c r="E84" i="37"/>
  <c r="F83" i="37"/>
  <c r="F528" i="37" l="1"/>
  <c r="C529" i="37"/>
  <c r="E85" i="37"/>
  <c r="F84" i="37"/>
  <c r="F529" i="37" l="1"/>
  <c r="C530" i="37"/>
  <c r="E86" i="37"/>
  <c r="F85" i="37"/>
  <c r="F530" i="37" l="1"/>
  <c r="C531" i="37"/>
  <c r="E87" i="37"/>
  <c r="F86" i="37"/>
  <c r="F531" i="37" l="1"/>
  <c r="C532" i="37"/>
  <c r="E88" i="37"/>
  <c r="F87" i="37"/>
  <c r="F532" i="37" l="1"/>
  <c r="C533" i="37"/>
  <c r="E89" i="37"/>
  <c r="F88" i="37"/>
  <c r="F533" i="37" l="1"/>
  <c r="C534" i="37"/>
  <c r="E90" i="37"/>
  <c r="F89" i="37"/>
  <c r="F534" i="37" l="1"/>
  <c r="C535" i="37"/>
  <c r="E91" i="37"/>
  <c r="F90" i="37"/>
  <c r="F535" i="37" l="1"/>
  <c r="C536" i="37"/>
  <c r="E92" i="37"/>
  <c r="F91" i="37"/>
  <c r="F536" i="37" l="1"/>
  <c r="C537" i="37"/>
  <c r="E93" i="37"/>
  <c r="F92" i="37"/>
  <c r="F537" i="37" l="1"/>
  <c r="C538" i="37"/>
  <c r="E94" i="37"/>
  <c r="F93" i="37"/>
  <c r="F538" i="37" l="1"/>
  <c r="C539" i="37"/>
  <c r="E95" i="37"/>
  <c r="F94" i="37"/>
  <c r="F539" i="37" l="1"/>
  <c r="C540" i="37"/>
  <c r="E96" i="37"/>
  <c r="F95" i="37"/>
  <c r="F540" i="37" l="1"/>
  <c r="C541" i="37"/>
  <c r="E97" i="37"/>
  <c r="F96" i="37"/>
  <c r="F541" i="37" l="1"/>
  <c r="C542" i="37"/>
  <c r="E98" i="37"/>
  <c r="F97" i="37"/>
  <c r="F542" i="37" l="1"/>
  <c r="C543" i="37"/>
  <c r="E99" i="37"/>
  <c r="F98" i="37"/>
  <c r="F543" i="37" l="1"/>
  <c r="C544" i="37"/>
  <c r="E100" i="37"/>
  <c r="F99" i="37"/>
  <c r="F544" i="37" l="1"/>
  <c r="C545" i="37"/>
  <c r="E101" i="37"/>
  <c r="F100" i="37"/>
  <c r="F545" i="37" l="1"/>
  <c r="C546" i="37"/>
  <c r="E102" i="37"/>
  <c r="F101" i="37"/>
  <c r="F546" i="37" l="1"/>
  <c r="C547" i="37"/>
  <c r="E103" i="37"/>
  <c r="F102" i="37"/>
  <c r="F547" i="37" l="1"/>
  <c r="C548" i="37"/>
  <c r="E104" i="37"/>
  <c r="F103" i="37"/>
  <c r="F548" i="37" l="1"/>
  <c r="C549" i="37"/>
  <c r="E105" i="37"/>
  <c r="F104" i="37"/>
  <c r="F549" i="37" l="1"/>
  <c r="C550" i="37"/>
  <c r="E106" i="37"/>
  <c r="F105" i="37"/>
  <c r="F550" i="37" l="1"/>
  <c r="C551" i="37"/>
  <c r="E107" i="37"/>
  <c r="F106" i="37"/>
  <c r="F551" i="37" l="1"/>
  <c r="C552" i="37"/>
  <c r="E108" i="37"/>
  <c r="F107" i="37"/>
  <c r="F552" i="37" l="1"/>
  <c r="C553" i="37"/>
  <c r="E109" i="37"/>
  <c r="F108" i="37"/>
  <c r="F553" i="37" l="1"/>
  <c r="C554" i="37"/>
  <c r="E110" i="37"/>
  <c r="F109" i="37"/>
  <c r="F554" i="37" l="1"/>
  <c r="C555" i="37"/>
  <c r="E111" i="37"/>
  <c r="F110" i="37"/>
  <c r="F555" i="37" l="1"/>
  <c r="C556" i="37"/>
  <c r="E112" i="37"/>
  <c r="F111" i="37"/>
  <c r="F556" i="37" l="1"/>
  <c r="C557" i="37"/>
  <c r="E113" i="37"/>
  <c r="F112" i="37"/>
  <c r="F557" i="37" l="1"/>
  <c r="C558" i="37"/>
  <c r="E114" i="37"/>
  <c r="F113" i="37"/>
  <c r="F558" i="37" l="1"/>
  <c r="C559" i="37"/>
  <c r="E115" i="37"/>
  <c r="F114" i="37"/>
  <c r="F559" i="37" l="1"/>
  <c r="C560" i="37"/>
  <c r="E116" i="37"/>
  <c r="F115" i="37"/>
  <c r="F560" i="37" l="1"/>
  <c r="C561" i="37"/>
  <c r="E117" i="37"/>
  <c r="F116" i="37"/>
  <c r="F561" i="37" l="1"/>
  <c r="C562" i="37"/>
  <c r="E118" i="37"/>
  <c r="F117" i="37"/>
  <c r="F562" i="37" l="1"/>
  <c r="C563" i="37"/>
  <c r="E119" i="37"/>
  <c r="F118" i="37"/>
  <c r="F563" i="37" l="1"/>
  <c r="C564" i="37"/>
  <c r="E120" i="37"/>
  <c r="F119" i="37"/>
  <c r="F564" i="37" l="1"/>
  <c r="C565" i="37"/>
  <c r="E121" i="37"/>
  <c r="F120" i="37"/>
  <c r="F565" i="37" l="1"/>
  <c r="C566" i="37"/>
  <c r="E122" i="37"/>
  <c r="F121" i="37"/>
  <c r="F566" i="37" l="1"/>
  <c r="C567" i="37"/>
  <c r="E123" i="37"/>
  <c r="F122" i="37"/>
  <c r="F567" i="37" l="1"/>
  <c r="C568" i="37"/>
  <c r="E124" i="37"/>
  <c r="F123" i="37"/>
  <c r="F568" i="37" l="1"/>
  <c r="C569" i="37"/>
  <c r="E125" i="37"/>
  <c r="F124" i="37"/>
  <c r="F569" i="37" l="1"/>
  <c r="C570" i="37"/>
  <c r="E126" i="37"/>
  <c r="F125" i="37"/>
  <c r="F570" i="37" l="1"/>
  <c r="C571" i="37"/>
  <c r="E127" i="37"/>
  <c r="F126" i="37"/>
  <c r="F571" i="37" l="1"/>
  <c r="C572" i="37"/>
  <c r="E128" i="37"/>
  <c r="F127" i="37"/>
  <c r="F572" i="37" l="1"/>
  <c r="C573" i="37"/>
  <c r="E129" i="37"/>
  <c r="F128" i="37"/>
  <c r="F573" i="37" l="1"/>
  <c r="C574" i="37"/>
  <c r="E130" i="37"/>
  <c r="F129" i="37"/>
  <c r="F574" i="37" l="1"/>
  <c r="C575" i="37"/>
  <c r="E131" i="37"/>
  <c r="F130" i="37"/>
  <c r="F575" i="37" l="1"/>
  <c r="C576" i="37"/>
  <c r="E132" i="37"/>
  <c r="F131" i="37"/>
  <c r="F576" i="37" l="1"/>
  <c r="C577" i="37"/>
  <c r="E133" i="37"/>
  <c r="F132" i="37"/>
  <c r="F577" i="37" l="1"/>
  <c r="C578" i="37"/>
  <c r="E134" i="37"/>
  <c r="F133" i="37"/>
  <c r="F578" i="37" l="1"/>
  <c r="C579" i="37"/>
  <c r="E135" i="37"/>
  <c r="F134" i="37"/>
  <c r="F579" i="37" l="1"/>
  <c r="C580" i="37"/>
  <c r="E136" i="37"/>
  <c r="F135" i="37"/>
  <c r="F580" i="37" l="1"/>
  <c r="C581" i="37"/>
  <c r="E137" i="37"/>
  <c r="F136" i="37"/>
  <c r="F581" i="37" l="1"/>
  <c r="C582" i="37"/>
  <c r="E138" i="37"/>
  <c r="F137" i="37"/>
  <c r="F582" i="37" l="1"/>
  <c r="C583" i="37"/>
  <c r="E139" i="37"/>
  <c r="F138" i="37"/>
  <c r="F583" i="37" l="1"/>
  <c r="C584" i="37"/>
  <c r="E140" i="37"/>
  <c r="F139" i="37"/>
  <c r="F584" i="37" l="1"/>
  <c r="C585" i="37"/>
  <c r="E141" i="37"/>
  <c r="F140" i="37"/>
  <c r="F585" i="37" l="1"/>
  <c r="C586" i="37"/>
  <c r="E142" i="37"/>
  <c r="F141" i="37"/>
  <c r="F586" i="37" l="1"/>
  <c r="C587" i="37"/>
  <c r="E143" i="37"/>
  <c r="F142" i="37"/>
  <c r="F587" i="37" l="1"/>
  <c r="C588" i="37"/>
  <c r="E144" i="37"/>
  <c r="F143" i="37"/>
  <c r="F588" i="37" l="1"/>
  <c r="C589" i="37"/>
  <c r="E145" i="37"/>
  <c r="F144" i="37"/>
  <c r="F589" i="37" l="1"/>
  <c r="C590" i="37"/>
  <c r="E146" i="37"/>
  <c r="F145" i="37"/>
  <c r="F590" i="37" l="1"/>
  <c r="C591" i="37"/>
  <c r="E147" i="37"/>
  <c r="F146" i="37"/>
  <c r="F591" i="37" l="1"/>
  <c r="C592" i="37"/>
  <c r="E148" i="37"/>
  <c r="F147" i="37"/>
  <c r="F592" i="37" l="1"/>
  <c r="C593" i="37"/>
  <c r="E149" i="37"/>
  <c r="F148" i="37"/>
  <c r="F593" i="37" l="1"/>
  <c r="C594" i="37"/>
  <c r="E150" i="37"/>
  <c r="F149" i="37"/>
  <c r="F594" i="37" l="1"/>
  <c r="C595" i="37"/>
  <c r="E151" i="37"/>
  <c r="F150" i="37"/>
  <c r="F595" i="37" l="1"/>
  <c r="C596" i="37"/>
  <c r="E152" i="37"/>
  <c r="F151" i="37"/>
  <c r="F596" i="37" l="1"/>
  <c r="C597" i="37"/>
  <c r="E153" i="37"/>
  <c r="F152" i="37"/>
  <c r="F597" i="37" l="1"/>
  <c r="C598" i="37"/>
  <c r="E154" i="37"/>
  <c r="F153" i="37"/>
  <c r="F598" i="37" l="1"/>
  <c r="C599" i="37"/>
  <c r="E155" i="37"/>
  <c r="F154" i="37"/>
  <c r="F599" i="37" l="1"/>
  <c r="C600" i="37"/>
  <c r="E156" i="37"/>
  <c r="F155" i="37"/>
  <c r="F600" i="37" l="1"/>
  <c r="C601" i="37"/>
  <c r="E157" i="37"/>
  <c r="F156" i="37"/>
  <c r="F601" i="37" l="1"/>
  <c r="C602" i="37"/>
  <c r="E158" i="37"/>
  <c r="F157" i="37"/>
  <c r="F602" i="37" l="1"/>
  <c r="C603" i="37"/>
  <c r="E159" i="37"/>
  <c r="F158" i="37"/>
  <c r="F603" i="37" l="1"/>
  <c r="C604" i="37"/>
  <c r="E160" i="37"/>
  <c r="F159" i="37"/>
  <c r="F604" i="37" l="1"/>
  <c r="C605" i="37"/>
  <c r="E161" i="37"/>
  <c r="F160" i="37"/>
  <c r="F605" i="37" l="1"/>
  <c r="C606" i="37"/>
  <c r="E162" i="37"/>
  <c r="F161" i="37"/>
  <c r="F606" i="37" l="1"/>
  <c r="C607" i="37"/>
  <c r="E163" i="37"/>
  <c r="F162" i="37"/>
  <c r="F607" i="37" l="1"/>
  <c r="C608" i="37"/>
  <c r="E164" i="37"/>
  <c r="F163" i="37"/>
  <c r="F608" i="37" l="1"/>
  <c r="C609" i="37"/>
  <c r="E165" i="37"/>
  <c r="F164" i="37"/>
  <c r="F609" i="37" l="1"/>
  <c r="C610" i="37"/>
  <c r="E166" i="37"/>
  <c r="F165" i="37"/>
  <c r="F610" i="37" l="1"/>
  <c r="C611" i="37"/>
  <c r="E167" i="37"/>
  <c r="F166" i="37"/>
  <c r="F611" i="37" l="1"/>
  <c r="C612" i="37"/>
  <c r="E168" i="37"/>
  <c r="F167" i="37"/>
  <c r="F612" i="37" l="1"/>
  <c r="C613" i="37"/>
  <c r="E169" i="37"/>
  <c r="F168" i="37"/>
  <c r="F613" i="37" l="1"/>
  <c r="C614" i="37"/>
  <c r="E170" i="37"/>
  <c r="F169" i="37"/>
  <c r="F614" i="37" l="1"/>
  <c r="C615" i="37"/>
  <c r="E171" i="37"/>
  <c r="F170" i="37"/>
  <c r="F615" i="37" l="1"/>
  <c r="C616" i="37"/>
  <c r="E172" i="37"/>
  <c r="F171" i="37"/>
  <c r="F616" i="37" l="1"/>
  <c r="C617" i="37"/>
  <c r="E173" i="37"/>
  <c r="F172" i="37"/>
  <c r="F617" i="37" l="1"/>
  <c r="C618" i="37"/>
  <c r="E174" i="37"/>
  <c r="F173" i="37"/>
  <c r="F618" i="37" l="1"/>
  <c r="C619" i="37"/>
  <c r="E175" i="37"/>
  <c r="F174" i="37"/>
  <c r="F619" i="37" l="1"/>
  <c r="C620" i="37"/>
  <c r="E176" i="37"/>
  <c r="F175" i="37"/>
  <c r="F620" i="37" l="1"/>
  <c r="C621" i="37"/>
  <c r="E177" i="37"/>
  <c r="F176" i="37"/>
  <c r="F621" i="37" l="1"/>
  <c r="C622" i="37"/>
  <c r="E178" i="37"/>
  <c r="F177" i="37"/>
  <c r="F622" i="37" l="1"/>
  <c r="C623" i="37"/>
  <c r="E179" i="37"/>
  <c r="F178" i="37"/>
  <c r="F623" i="37" l="1"/>
  <c r="C624" i="37"/>
  <c r="E180" i="37"/>
  <c r="F179" i="37"/>
  <c r="F624" i="37" l="1"/>
  <c r="C625" i="37"/>
  <c r="E181" i="37"/>
  <c r="F180" i="37"/>
  <c r="F625" i="37" l="1"/>
  <c r="C626" i="37"/>
  <c r="E182" i="37"/>
  <c r="F181" i="37"/>
  <c r="F626" i="37" l="1"/>
  <c r="C627" i="37"/>
  <c r="E183" i="37"/>
  <c r="F182" i="37"/>
  <c r="F627" i="37" l="1"/>
  <c r="C628" i="37"/>
  <c r="E184" i="37"/>
  <c r="F183" i="37"/>
  <c r="F628" i="37" l="1"/>
  <c r="C629" i="37"/>
  <c r="E185" i="37"/>
  <c r="F184" i="37"/>
  <c r="F629" i="37" l="1"/>
  <c r="C630" i="37"/>
  <c r="E186" i="37"/>
  <c r="F185" i="37"/>
  <c r="F630" i="37" l="1"/>
  <c r="C631" i="37"/>
  <c r="E187" i="37"/>
  <c r="F186" i="37"/>
  <c r="F631" i="37" l="1"/>
  <c r="C632" i="37"/>
  <c r="E188" i="37"/>
  <c r="F187" i="37"/>
  <c r="F632" i="37" l="1"/>
  <c r="C633" i="37"/>
  <c r="E189" i="37"/>
  <c r="F188" i="37"/>
  <c r="F633" i="37" l="1"/>
  <c r="C634" i="37"/>
  <c r="E190" i="37"/>
  <c r="F189" i="37"/>
  <c r="F634" i="37" l="1"/>
  <c r="C635" i="37"/>
  <c r="E191" i="37"/>
  <c r="F190" i="37"/>
  <c r="F635" i="37" l="1"/>
  <c r="C636" i="37"/>
  <c r="E192" i="37"/>
  <c r="F191" i="37"/>
  <c r="F636" i="37" l="1"/>
  <c r="C637" i="37"/>
  <c r="E193" i="37"/>
  <c r="F192" i="37"/>
  <c r="F637" i="37" l="1"/>
  <c r="C638" i="37"/>
  <c r="E194" i="37"/>
  <c r="F193" i="37"/>
  <c r="F638" i="37" l="1"/>
  <c r="C639" i="37"/>
  <c r="E195" i="37"/>
  <c r="F194" i="37"/>
  <c r="F639" i="37" l="1"/>
  <c r="C640" i="37"/>
  <c r="E196" i="37"/>
  <c r="F195" i="37"/>
  <c r="F640" i="37" l="1"/>
  <c r="C641" i="37"/>
  <c r="E197" i="37"/>
  <c r="F196" i="37"/>
  <c r="F641" i="37" l="1"/>
  <c r="C642" i="37"/>
  <c r="E198" i="37"/>
  <c r="F197" i="37"/>
  <c r="F642" i="37" l="1"/>
  <c r="C643" i="37"/>
  <c r="E199" i="37"/>
  <c r="F198" i="37"/>
  <c r="F643" i="37" l="1"/>
  <c r="C644" i="37"/>
  <c r="E200" i="37"/>
  <c r="F199" i="37"/>
  <c r="F644" i="37" l="1"/>
  <c r="C645" i="37"/>
  <c r="E201" i="37"/>
  <c r="F200" i="37"/>
  <c r="F645" i="37" l="1"/>
  <c r="C646" i="37"/>
  <c r="E202" i="37"/>
  <c r="F201" i="37"/>
  <c r="F646" i="37" l="1"/>
  <c r="C647" i="37"/>
  <c r="E203" i="37"/>
  <c r="F202" i="37"/>
  <c r="F647" i="37" l="1"/>
  <c r="C648" i="37"/>
  <c r="E204" i="37"/>
  <c r="F203" i="37"/>
  <c r="F648" i="37" l="1"/>
  <c r="C649" i="37"/>
  <c r="E205" i="37"/>
  <c r="F204" i="37"/>
  <c r="F649" i="37" l="1"/>
  <c r="C650" i="37"/>
  <c r="E206" i="37"/>
  <c r="F205" i="37"/>
  <c r="F650" i="37" l="1"/>
  <c r="C651" i="37"/>
  <c r="E207" i="37"/>
  <c r="F206" i="37"/>
  <c r="F651" i="37" l="1"/>
  <c r="C652" i="37"/>
  <c r="E208" i="37"/>
  <c r="F207" i="37"/>
  <c r="F652" i="37" l="1"/>
  <c r="C653" i="37"/>
  <c r="E209" i="37"/>
  <c r="F208" i="37"/>
  <c r="F653" i="37" l="1"/>
  <c r="C654" i="37"/>
  <c r="E210" i="37"/>
  <c r="F209" i="37"/>
  <c r="F654" i="37" l="1"/>
  <c r="C655" i="37"/>
  <c r="E211" i="37"/>
  <c r="F210" i="37"/>
  <c r="F655" i="37" l="1"/>
  <c r="C656" i="37"/>
  <c r="E212" i="37"/>
  <c r="F211" i="37"/>
  <c r="F656" i="37" l="1"/>
  <c r="C657" i="37"/>
  <c r="E213" i="37"/>
  <c r="F212" i="37"/>
  <c r="F657" i="37" l="1"/>
  <c r="C658" i="37"/>
  <c r="F213" i="37"/>
  <c r="F658" i="37" l="1"/>
  <c r="C659" i="37"/>
  <c r="F217" i="37"/>
  <c r="F659" i="37" l="1"/>
  <c r="C660" i="37"/>
  <c r="F218" i="37"/>
  <c r="F660" i="37" l="1"/>
  <c r="C661" i="37"/>
  <c r="F219" i="37"/>
  <c r="F215" i="37"/>
  <c r="F214" i="37"/>
  <c r="F661" i="37" l="1"/>
  <c r="C662" i="37"/>
  <c r="F662" i="37" l="1"/>
  <c r="C663" i="37"/>
  <c r="F663" i="37" l="1"/>
  <c r="C664" i="37"/>
  <c r="F664" i="37" l="1"/>
  <c r="C665" i="37"/>
  <c r="F665" i="37" l="1"/>
  <c r="C666" i="37"/>
  <c r="F666" i="37" l="1"/>
  <c r="C667" i="37"/>
  <c r="F667" i="37" l="1"/>
  <c r="C668" i="37"/>
  <c r="F668" i="37" l="1"/>
  <c r="C669" i="37"/>
  <c r="F669" i="37" l="1"/>
  <c r="C670" i="37"/>
  <c r="F670" i="37" l="1"/>
  <c r="C671" i="37"/>
  <c r="F671" i="37" l="1"/>
  <c r="C672" i="37"/>
  <c r="F672" i="37" l="1"/>
  <c r="C673" i="37"/>
  <c r="F673" i="37" l="1"/>
  <c r="C674" i="37"/>
  <c r="F674" i="37" l="1"/>
  <c r="C675" i="37"/>
  <c r="F675" i="37" l="1"/>
  <c r="C676" i="37"/>
  <c r="F676" i="37" l="1"/>
  <c r="C677" i="37"/>
  <c r="F677" i="37" s="1"/>
</calcChain>
</file>

<file path=xl/sharedStrings.xml><?xml version="1.0" encoding="utf-8"?>
<sst xmlns="http://schemas.openxmlformats.org/spreadsheetml/2006/main" count="1141" uniqueCount="519">
  <si>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</si>
  <si>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</si>
  <si>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</si>
  <si>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</si>
  <si>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</si>
  <si>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</si>
  <si>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</si>
  <si>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</si>
  <si>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</si>
  <si>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</si>
  <si>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</si>
  <si>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</si>
  <si>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</si>
  <si>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</si>
  <si>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</si>
  <si>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</si>
  <si>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</si>
  <si>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</si>
  <si>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</si>
  <si>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</si>
  <si>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</si>
  <si>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</si>
  <si>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</si>
  <si>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</si>
  <si>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</si>
  <si>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</si>
  <si>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</si>
  <si>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</si>
  <si>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</si>
  <si>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</si>
  <si>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</si>
  <si>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</si>
  <si>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</si>
  <si>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</si>
  <si>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</si>
  <si>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</si>
  <si>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</si>
  <si>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</si>
  <si>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</si>
  <si>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</si>
  <si>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</si>
  <si>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</si>
  <si>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</si>
  <si>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</si>
  <si>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</si>
  <si>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</si>
  <si>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</si>
  <si>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</si>
  <si>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</si>
  <si>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</si>
  <si>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</si>
  <si>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</si>
  <si>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</si>
  <si>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</si>
  <si>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</si>
  <si>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</si>
  <si>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</si>
  <si>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</si>
  <si>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</si>
  <si>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</si>
  <si>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</si>
  <si>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</si>
  <si>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</si>
  <si>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</si>
  <si>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</si>
  <si>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</si>
  <si>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</si>
  <si>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</si>
  <si>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</si>
  <si>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</si>
  <si>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</si>
  <si>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</si>
  <si>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</si>
  <si>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</si>
  <si>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</si>
  <si>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</si>
  <si>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</si>
  <si>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</si>
  <si>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</si>
  <si>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</si>
  <si>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</si>
  <si>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</si>
  <si>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</si>
  <si>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</si>
  <si>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</si>
  <si>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</si>
  <si>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</si>
  <si>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</si>
  <si>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</si>
  <si>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</si>
  <si>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</si>
  <si>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</si>
  <si>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</si>
  <si>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</si>
  <si>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</si>
  <si>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</si>
  <si>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</si>
  <si>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</si>
  <si>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</si>
  <si>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</si>
  <si>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</si>
  <si>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</si>
  <si>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</si>
  <si>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</si>
  <si>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</si>
  <si>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</si>
  <si>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</si>
  <si>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</si>
  <si>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</si>
  <si>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</si>
  <si>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</si>
  <si>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</si>
  <si>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</si>
  <si>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</si>
  <si>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</si>
  <si>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</si>
  <si>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</si>
  <si>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</si>
  <si>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</si>
  <si>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</si>
  <si>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</si>
  <si>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</si>
  <si>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</si>
  <si>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</si>
  <si>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</si>
  <si>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</si>
  <si>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</si>
  <si>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</si>
  <si>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</si>
  <si>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</si>
  <si>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</si>
  <si>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</si>
  <si>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</si>
  <si>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</si>
  <si>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</si>
  <si>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</si>
  <si>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</si>
  <si>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</si>
  <si>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</si>
  <si>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</si>
  <si>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</si>
  <si>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</si>
  <si>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</si>
  <si>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</si>
  <si>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</si>
  <si>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</si>
  <si>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</si>
  <si>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</si>
  <si>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</si>
  <si>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</si>
  <si>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</si>
  <si>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</si>
  <si>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</si>
  <si>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</si>
  <si>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</si>
  <si>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</si>
  <si>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</si>
  <si>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</si>
  <si>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</si>
  <si>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</si>
  <si>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</si>
  <si>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</si>
  <si>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</si>
  <si>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</si>
  <si>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</si>
  <si>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</si>
  <si>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</si>
  <si>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</si>
  <si>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</si>
  <si>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</si>
  <si>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</si>
  <si>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</si>
  <si>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</si>
  <si>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</si>
  <si>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</si>
  <si>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</si>
  <si>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</si>
  <si>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</si>
  <si>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</si>
  <si>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</si>
  <si>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</si>
  <si>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</si>
  <si>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</si>
  <si>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</si>
  <si>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</si>
  <si>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</si>
  <si>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</si>
  <si>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</si>
  <si>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</si>
  <si>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</si>
  <si>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</si>
  <si>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</si>
  <si>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</si>
  <si>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</si>
  <si>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</si>
  <si>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</si>
  <si>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</si>
  <si>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</si>
  <si>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</si>
  <si>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</si>
  <si>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</si>
  <si>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</si>
  <si>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</si>
  <si>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</si>
  <si>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</si>
  <si>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</si>
  <si>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</si>
  <si>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</si>
  <si>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</si>
  <si>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</si>
  <si>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</si>
  <si>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</si>
  <si>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</si>
  <si>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</si>
  <si>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</si>
  <si>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</si>
  <si>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</si>
  <si>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</si>
  <si>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</si>
  <si>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</si>
  <si>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</si>
  <si>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</si>
  <si>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</si>
  <si>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</si>
  <si>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</si>
  <si>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</si>
  <si>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</si>
  <si>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</si>
  <si>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</si>
  <si>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</si>
  <si>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</si>
  <si>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</si>
  <si>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</si>
  <si>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</si>
  <si>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</si>
  <si>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</si>
  <si>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</si>
  <si>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</si>
  <si>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</si>
  <si>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</si>
  <si>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</si>
  <si>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</si>
  <si>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</si>
  <si>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</si>
  <si>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</si>
  <si>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</si>
  <si>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</si>
  <si>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</si>
  <si>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</si>
  <si>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</si>
  <si>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</si>
  <si>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</si>
  <si>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</si>
  <si>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</si>
  <si>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</si>
  <si>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</si>
  <si>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</si>
  <si>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</si>
  <si>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</si>
  <si>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</si>
  <si>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</si>
  <si>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</si>
  <si>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</si>
  <si>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</si>
  <si>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</si>
  <si>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</si>
  <si>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</si>
  <si>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</si>
  <si>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</si>
  <si>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</si>
  <si>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</si>
  <si>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</si>
  <si>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</si>
  <si>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</si>
  <si>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</si>
  <si>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</si>
  <si>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</si>
  <si>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</si>
  <si>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</si>
  <si>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</si>
  <si>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</si>
  <si>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</si>
  <si>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</si>
  <si>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</si>
  <si>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</si>
  <si>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</si>
  <si>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</si>
  <si>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</si>
  <si>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</si>
  <si>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</si>
  <si>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</si>
  <si>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</si>
  <si>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</si>
  <si>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</si>
  <si>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</si>
  <si>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</si>
  <si>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</si>
  <si>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</si>
  <si>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</si>
  <si>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</si>
  <si>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</si>
  <si>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</si>
  <si>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</si>
  <si>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</si>
  <si>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</si>
  <si>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</si>
  <si>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</si>
  <si>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</si>
  <si>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</si>
  <si>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</si>
  <si>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</si>
  <si>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</si>
  <si>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</si>
  <si>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</si>
  <si>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</si>
  <si>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</si>
  <si>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</si>
  <si>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</si>
  <si>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</si>
  <si>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</si>
  <si>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</si>
  <si>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</si>
  <si>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</si>
  <si>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</si>
  <si>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</si>
  <si>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</si>
  <si>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</si>
  <si>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</si>
  <si>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</si>
  <si>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</si>
  <si>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</si>
  <si>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</si>
  <si>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</si>
  <si>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</si>
  <si>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</si>
  <si>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</si>
  <si>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</si>
  <si>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</si>
  <si>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</si>
  <si>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</si>
  <si>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</si>
  <si>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</si>
  <si>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</si>
  <si>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</si>
  <si>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</si>
  <si>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</si>
  <si>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</si>
  <si>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</si>
  <si>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</si>
  <si>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</si>
  <si>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</si>
  <si>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</si>
  <si>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</si>
  <si>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</si>
  <si>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</si>
  <si>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</si>
  <si>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</si>
  <si>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</si>
  <si>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</si>
  <si>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</si>
  <si>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</si>
  <si>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</si>
  <si>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</si>
  <si>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</si>
  <si>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</si>
  <si>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</si>
  <si>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</si>
  <si>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</si>
  <si>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</si>
  <si>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</si>
  <si>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</si>
  <si>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</si>
  <si>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</si>
  <si>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</si>
  <si>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</si>
  <si>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</si>
  <si>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</si>
  <si>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</si>
  <si>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</si>
  <si>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</si>
  <si>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</si>
  <si>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</si>
  <si>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</si>
  <si>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</si>
  <si>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</si>
  <si>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</si>
  <si>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</si>
  <si>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</si>
  <si>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</si>
  <si>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</si>
  <si>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</si>
  <si>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</si>
  <si>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</si>
  <si>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</si>
  <si>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</si>
  <si>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</si>
  <si>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</si>
  <si>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</si>
  <si>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</si>
  <si>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</si>
  <si>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</si>
  <si>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</si>
  <si>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</si>
  <si>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</si>
  <si>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</si>
  <si>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</si>
  <si>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</si>
  <si>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</si>
  <si>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</si>
  <si>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</si>
  <si>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</si>
  <si>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</si>
  <si>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</si>
  <si>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</si>
  <si>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</si>
  <si>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</si>
  <si>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</si>
  <si>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</si>
  <si>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</si>
  <si>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</si>
  <si>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</si>
  <si>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</si>
  <si>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</si>
  <si>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</si>
  <si>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</si>
  <si>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</si>
  <si>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</si>
  <si>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</si>
  <si>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</si>
  <si>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</si>
  <si>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</si>
  <si>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</si>
  <si>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</si>
  <si>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</si>
  <si>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</si>
  <si>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</si>
  <si>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</si>
  <si>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</si>
  <si>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</si>
  <si>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</si>
  <si>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RUMAH SAKIT</t>
  </si>
  <si>
    <t xml:space="preserve">REKAPITULASI DATA SUSPECT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</si>
  <si>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</si>
  <si>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</si>
  <si>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</si>
  <si>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</si>
  <si>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</si>
  <si>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</si>
  <si>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</si>
  <si>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</si>
  <si>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</si>
  <si>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TGL MASUK RS</t>
  </si>
  <si>
    <t>TGL KELUAR RS</t>
  </si>
  <si>
    <t>JUMLAH KONTAK</t>
  </si>
  <si>
    <t>TGL UPDATE</t>
  </si>
  <si>
    <t>TGL LAPOR SISTEM</t>
  </si>
  <si>
    <t>SUSPEK</t>
  </si>
  <si>
    <t>REKAPITULASI DATA SUSPEK</t>
  </si>
  <si>
    <t xml:space="preserve">  </t>
  </si>
  <si>
    <t>SUSPEK TOTAL</t>
  </si>
  <si>
    <t>SUSPEK SEHAT</t>
  </si>
  <si>
    <t>SUSPEK DIRAWAT</t>
  </si>
  <si>
    <t>TGL</t>
  </si>
  <si>
    <t>SUSPEK BARU</t>
  </si>
  <si>
    <t>SUSPEK PULANG</t>
  </si>
  <si>
    <t>PROVINSI</t>
  </si>
  <si>
    <t>RT</t>
  </si>
  <si>
    <t>RW</t>
  </si>
  <si>
    <t>PERSON ID</t>
  </si>
  <si>
    <t>KODE SAMPEL</t>
  </si>
  <si>
    <t>HASIL PEMERIKSAAN</t>
  </si>
  <si>
    <t>TANGGAL PEMERIKSAAN</t>
  </si>
  <si>
    <t>no</t>
  </si>
  <si>
    <t>SUSPEK ISOLASI</t>
  </si>
  <si>
    <t>REKAP PASIEN SUSPEK YANG MASIH DALAM PERAWATAN</t>
  </si>
  <si>
    <t>DINAS KESEHATAN KAB. DEMAK TH 2022</t>
  </si>
  <si>
    <t>JAWA TENGAH</t>
  </si>
  <si>
    <t>Suspek Dirawat</t>
  </si>
  <si>
    <t>'3321026911080002</t>
  </si>
  <si>
    <t>INAYAH QURROTU AINI</t>
  </si>
  <si>
    <t>SINGOPADU</t>
  </si>
  <si>
    <t>0838-2223-3704</t>
  </si>
  <si>
    <t>PUSING,MUAL, DEMAM</t>
  </si>
  <si>
    <t>Puskesmas Karangawen 1</t>
  </si>
  <si>
    <t>AG.1031939.1004281</t>
  </si>
  <si>
    <t>NEGATIF</t>
  </si>
  <si>
    <t>TIDAK TAHU</t>
  </si>
  <si>
    <t>'3321062712070002</t>
  </si>
  <si>
    <t>RAHMA DWI PRABOWO</t>
  </si>
  <si>
    <t>KUNCIR</t>
  </si>
  <si>
    <t>0896-2375-3379</t>
  </si>
  <si>
    <t>Pelajar / Mahasiswa</t>
  </si>
  <si>
    <t>SESAK NAFAS, DEMAM, BADAN LEMES</t>
  </si>
  <si>
    <t>RS Umum Daerah Sunan Kalijaga</t>
  </si>
  <si>
    <t>POSITIF</t>
  </si>
  <si>
    <t>'3321074805620001</t>
  </si>
  <si>
    <t>ZAENAB</t>
  </si>
  <si>
    <t>BALEREJO</t>
  </si>
  <si>
    <t>DUARI 04/05 BALEREJO DEMPET DEMAK</t>
  </si>
  <si>
    <t>0853-7298-9509</t>
  </si>
  <si>
    <t>ANGGOTA GERAK LEMAH, PENURUNAN KESADARAN</t>
  </si>
  <si>
    <t>AG.3321011.1000880</t>
  </si>
  <si>
    <t>'9999332117100033</t>
  </si>
  <si>
    <t>BY NY INDAH DARYANI</t>
  </si>
  <si>
    <t>BETOKAN</t>
  </si>
  <si>
    <t>BEJI 04/04 BETOKAN</t>
  </si>
  <si>
    <t>0895-0458-4407</t>
  </si>
  <si>
    <t>Tidak Tahu</t>
  </si>
  <si>
    <t>DEMAM,  LEMES</t>
  </si>
  <si>
    <t>DEMAM, BATUK, TIDAK NAFSU MAKAN</t>
  </si>
  <si>
    <t>'3321074807030002</t>
  </si>
  <si>
    <t>INDAH KAMELIA SHIFA</t>
  </si>
  <si>
    <t>KEBONSARI</t>
  </si>
  <si>
    <t>KEBONSARI 2/2</t>
  </si>
  <si>
    <t>0852-2739-9001</t>
  </si>
  <si>
    <t>Belum / Tidak Bekerja</t>
  </si>
  <si>
    <t>BELUM  BEKERJA</t>
  </si>
  <si>
    <t>06 DESEMBER 2022</t>
  </si>
  <si>
    <t>TANGGAL : 6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</si>
</sst>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6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18" fillId="0" borderId="0"/>
    <xf numFmtId="0" fontId="19" fillId="0" borderId="0"/>
  </cellStyleXfs>
  <cellXfs count="119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/>
    </xf>
    <xf numFmtId="0" fontId="0" fillId="0" borderId="1" xfId="0" applyBorder="1"/>
    <xf numFmtId="0" fontId="0" fillId="5" borderId="6" xfId="0" applyFill="1" applyBorder="1" applyAlignment="1">
      <alignment horizontal="center"/>
    </xf>
    <xf numFmtId="0" fontId="0" fillId="5" borderId="6" xfId="0" applyFill="1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4" fillId="0" borderId="0" xfId="7"/>
    <xf numFmtId="0" fontId="11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4" fontId="0" fillId="0" borderId="0" xfId="0" applyNumberFormat="1"/>
    <xf numFmtId="1" fontId="14" fillId="0" borderId="0" xfId="7" applyNumberFormat="1"/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165" fontId="0" fillId="0" borderId="5" xfId="0" applyNumberFormat="1" applyBorder="1"/>
    <xf numFmtId="14" fontId="0" fillId="0" borderId="5" xfId="0" applyNumberFormat="1" applyBorder="1"/>
    <xf numFmtId="166" fontId="0" fillId="0" borderId="5" xfId="0" applyNumberFormat="1" applyBorder="1"/>
    <xf numFmtId="0" fontId="0" fillId="0" borderId="0" xfId="0" pivotButton="1"/>
    <xf numFmtId="0" fontId="0" fillId="0" borderId="17" xfId="0" applyBorder="1"/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/>
    <xf numFmtId="0" fontId="10" fillId="0" borderId="0" xfId="7" applyFont="1"/>
    <xf numFmtId="0" fontId="0" fillId="0" borderId="26" xfId="0" applyBorder="1" applyAlignment="1">
      <alignment horizontal="left"/>
    </xf>
    <xf numFmtId="0" fontId="0" fillId="0" borderId="27" xfId="0" applyBorder="1"/>
    <xf numFmtId="0" fontId="18" fillId="0" borderId="22" xfId="14" applyBorder="1"/>
    <xf numFmtId="0" fontId="18" fillId="0" borderId="23" xfId="14" applyBorder="1"/>
    <xf numFmtId="0" fontId="0" fillId="0" borderId="19" xfId="0" pivotButton="1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164" fontId="0" fillId="5" borderId="8" xfId="0" applyNumberForma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41" fontId="0" fillId="0" borderId="5" xfId="0" applyNumberFormat="1" applyBorder="1"/>
  </cellXfs>
  <cellStyles count="16">
    <cellStyle name="Comma [0] 2" xfId="6"/>
    <cellStyle name="Normal" xfId="0" builtinId="0"/>
    <cellStyle name="Normal 10" xfId="8"/>
    <cellStyle name="Normal 11" xfId="15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zoomScale="80" zoomScaleNormal="80" workbookViewId="0">
      <selection activeCell="B6" sqref="B6"/>
    </sheetView>
  </sheetViews>
  <sheetFormatPr defaultColWidth="9.140625" defaultRowHeight="12.75" x14ac:dyDescent="0.2"/>
  <cols>
    <col min="1" max="1" width="7.28515625" style="71" customWidth="1"/>
    <col min="2" max="2" width="26" style="62" customWidth="1"/>
    <col min="3" max="4" width="14.42578125" style="62" customWidth="1"/>
    <col min="5" max="5" width="19.140625" style="62" customWidth="1"/>
    <col min="6" max="6" width="31.7109375" style="62" customWidth="1"/>
    <col min="7" max="7" width="29.42578125" style="62" customWidth="1"/>
    <col min="8" max="8" width="7.7109375" style="62" customWidth="1"/>
    <col min="9" max="9" width="20.42578125" style="62" customWidth="1"/>
    <col min="10" max="10" width="21.140625" style="62" customWidth="1"/>
    <col min="11" max="11" width="20" style="62" customWidth="1"/>
    <col min="12" max="12" width="13.140625" style="62" customWidth="1"/>
    <col min="13" max="13" width="12" style="62" customWidth="1"/>
    <col min="14" max="14" width="17.42578125" style="62" customWidth="1"/>
    <col min="15" max="15" width="38.85546875" style="62" customWidth="1"/>
    <col min="16" max="16" width="23.42578125" style="62" customWidth="1"/>
    <col min="17" max="17" width="22.85546875" style="62" customWidth="1"/>
    <col min="18" max="18" width="15.42578125" style="62" customWidth="1"/>
    <col min="19" max="19" width="36.85546875" style="62" customWidth="1"/>
    <col min="20" max="20" width="14.140625" style="62" customWidth="1"/>
    <col min="21" max="21" width="35.42578125" style="62" customWidth="1"/>
    <col min="22" max="22" width="18.7109375" style="62" customWidth="1"/>
    <col min="23" max="23" width="9.140625" style="62"/>
    <col min="24" max="24" width="18.7109375" style="62" customWidth="1"/>
    <col min="25" max="25" width="22.28515625" style="62" customWidth="1"/>
    <col min="26" max="26" width="29.140625" style="62" customWidth="1"/>
    <col min="27" max="27" width="27.28515625" style="62" customWidth="1"/>
    <col min="28" max="28" width="14.7109375" style="62" customWidth="1"/>
    <col min="29" max="29" width="19.42578125" style="62" customWidth="1"/>
    <col min="30" max="30" width="24.28515625" style="62" customWidth="1"/>
    <col min="31" max="31" width="16.42578125" style="62" customWidth="1"/>
    <col min="32" max="16384" width="9.140625" style="62"/>
  </cols>
  <sheetData>
    <row r="1" spans="1:31" customFormat="1" ht="15" x14ac:dyDescent="0.25">
      <c r="A1" s="72" t="s">
        <v>472</v>
      </c>
      <c r="B1" t="s">
        <v>431</v>
      </c>
      <c r="C1" t="s">
        <v>465</v>
      </c>
      <c r="D1" t="s">
        <v>432</v>
      </c>
      <c r="E1" t="s">
        <v>2</v>
      </c>
      <c r="F1" t="s">
        <v>433</v>
      </c>
      <c r="G1" t="s">
        <v>466</v>
      </c>
      <c r="H1" t="s">
        <v>467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70" t="s">
        <v>450</v>
      </c>
      <c r="U1" t="s">
        <v>440</v>
      </c>
      <c r="V1" s="70" t="s">
        <v>451</v>
      </c>
      <c r="W1" s="70" t="s">
        <v>452</v>
      </c>
      <c r="X1" t="s">
        <v>438</v>
      </c>
      <c r="Y1" t="s">
        <v>469</v>
      </c>
      <c r="Z1" t="s">
        <v>470</v>
      </c>
      <c r="AA1" s="70" t="s">
        <v>471</v>
      </c>
      <c r="AB1" t="s">
        <v>453</v>
      </c>
      <c r="AC1" s="69" t="s">
        <v>454</v>
      </c>
      <c r="AD1" s="69" t="s">
        <v>455</v>
      </c>
      <c r="AE1" s="93" t="s">
        <v>442</v>
      </c>
    </row>
    <row r="2" spans="1:31" ht="15" x14ac:dyDescent="0.25">
      <c r="A2" s="71">
        <v>1</v>
      </c>
      <c r="B2" t="s">
        <v>488</v>
      </c>
      <c r="C2" t="s">
        <v>476</v>
      </c>
      <c r="D2" t="s">
        <v>283</v>
      </c>
      <c r="E2" t="s">
        <v>286</v>
      </c>
      <c r="F2" t="s">
        <v>489</v>
      </c>
      <c r="G2">
        <v>3</v>
      </c>
      <c r="H2">
        <v>2</v>
      </c>
      <c r="I2" t="s">
        <v>489</v>
      </c>
      <c r="J2">
        <v>14</v>
      </c>
      <c r="K2" t="s">
        <v>305</v>
      </c>
      <c r="L2" t="s">
        <v>490</v>
      </c>
      <c r="M2" t="s">
        <v>491</v>
      </c>
      <c r="N2" t="s">
        <v>486</v>
      </c>
      <c r="O2" t="s">
        <v>492</v>
      </c>
      <c r="P2"/>
      <c r="Q2"/>
      <c r="R2"/>
      <c r="S2"/>
      <c r="T2" s="70"/>
      <c r="U2" t="s">
        <v>493</v>
      </c>
      <c r="V2" s="70">
        <v>44568</v>
      </c>
      <c r="W2" s="70"/>
      <c r="X2" t="s">
        <v>477</v>
      </c>
      <c r="Y2"/>
      <c r="Z2"/>
      <c r="AA2" s="70"/>
      <c r="AB2">
        <v>0</v>
      </c>
      <c r="AC2" s="69">
        <v>44894.357071758997</v>
      </c>
      <c r="AD2" s="69">
        <v>44568.531597221998</v>
      </c>
      <c r="AE2" s="68" t="s">
        <v>487</v>
      </c>
    </row>
    <row r="3" spans="1:31" ht="15" x14ac:dyDescent="0.25">
      <c r="A3" s="71">
        <v>2</v>
      </c>
      <c r="B3" t="s">
        <v>496</v>
      </c>
      <c r="C3" t="s">
        <v>476</v>
      </c>
      <c r="D3" t="s">
        <v>283</v>
      </c>
      <c r="E3" t="s">
        <v>288</v>
      </c>
      <c r="F3" t="s">
        <v>497</v>
      </c>
      <c r="G3">
        <v>4</v>
      </c>
      <c r="H3">
        <v>5</v>
      </c>
      <c r="I3" t="s">
        <v>498</v>
      </c>
      <c r="J3">
        <v>60</v>
      </c>
      <c r="K3" t="s">
        <v>307</v>
      </c>
      <c r="L3" t="s">
        <v>499</v>
      </c>
      <c r="M3"/>
      <c r="N3"/>
      <c r="O3" t="s">
        <v>500</v>
      </c>
      <c r="P3"/>
      <c r="Q3"/>
      <c r="R3"/>
      <c r="S3"/>
      <c r="T3" s="70"/>
      <c r="U3" t="s">
        <v>493</v>
      </c>
      <c r="V3" s="70">
        <v>44893</v>
      </c>
      <c r="W3" s="70"/>
      <c r="X3" t="s">
        <v>477</v>
      </c>
      <c r="Y3" t="s">
        <v>501</v>
      </c>
      <c r="Z3" t="s">
        <v>494</v>
      </c>
      <c r="AA3" s="70">
        <v>44893</v>
      </c>
      <c r="AB3">
        <v>0</v>
      </c>
      <c r="AC3" s="69">
        <v>44894.359328703998</v>
      </c>
      <c r="AD3" s="69">
        <v>44894.359328703998</v>
      </c>
      <c r="AE3" s="68" t="s">
        <v>495</v>
      </c>
    </row>
    <row r="4" spans="1:31" ht="15" x14ac:dyDescent="0.25">
      <c r="A4" s="71">
        <v>3</v>
      </c>
      <c r="B4" t="s">
        <v>503</v>
      </c>
      <c r="C4" t="s">
        <v>476</v>
      </c>
      <c r="D4" t="s">
        <v>283</v>
      </c>
      <c r="E4" t="s">
        <v>283</v>
      </c>
      <c r="F4" t="s">
        <v>504</v>
      </c>
      <c r="G4">
        <v>4</v>
      </c>
      <c r="H4">
        <v>4</v>
      </c>
      <c r="I4" t="s">
        <v>505</v>
      </c>
      <c r="J4">
        <v>0</v>
      </c>
      <c r="K4" t="s">
        <v>307</v>
      </c>
      <c r="L4" t="s">
        <v>506</v>
      </c>
      <c r="M4" t="s">
        <v>507</v>
      </c>
      <c r="N4" t="s">
        <v>486</v>
      </c>
      <c r="O4" t="s">
        <v>508</v>
      </c>
      <c r="P4"/>
      <c r="Q4"/>
      <c r="R4"/>
      <c r="S4"/>
      <c r="T4" s="70"/>
      <c r="U4" t="s">
        <v>493</v>
      </c>
      <c r="V4" s="70">
        <v>44896</v>
      </c>
      <c r="W4" s="70"/>
      <c r="X4" t="s">
        <v>477</v>
      </c>
      <c r="Y4"/>
      <c r="Z4"/>
      <c r="AA4" s="70"/>
      <c r="AB4">
        <v>0</v>
      </c>
      <c r="AC4" s="69">
        <v>44898.357256944</v>
      </c>
      <c r="AD4" s="69">
        <v>44897.418611111003</v>
      </c>
      <c r="AE4" s="68" t="s">
        <v>502</v>
      </c>
    </row>
    <row r="5" spans="1:31" ht="15" x14ac:dyDescent="0.25">
      <c r="A5" s="71">
        <v>4</v>
      </c>
      <c r="B5" t="s">
        <v>511</v>
      </c>
      <c r="C5" t="s">
        <v>476</v>
      </c>
      <c r="D5" t="s">
        <v>283</v>
      </c>
      <c r="E5" t="s">
        <v>288</v>
      </c>
      <c r="F5" t="s">
        <v>512</v>
      </c>
      <c r="G5"/>
      <c r="H5"/>
      <c r="I5" t="s">
        <v>513</v>
      </c>
      <c r="J5">
        <v>18</v>
      </c>
      <c r="K5" t="s">
        <v>307</v>
      </c>
      <c r="L5" t="s">
        <v>514</v>
      </c>
      <c r="M5" t="s">
        <v>515</v>
      </c>
      <c r="N5" t="s">
        <v>516</v>
      </c>
      <c r="O5" t="s">
        <v>509</v>
      </c>
      <c r="P5"/>
      <c r="Q5"/>
      <c r="R5"/>
      <c r="S5"/>
      <c r="T5" s="70"/>
      <c r="U5" t="s">
        <v>493</v>
      </c>
      <c r="V5" s="70">
        <v>44209</v>
      </c>
      <c r="W5" s="70"/>
      <c r="X5" t="s">
        <v>477</v>
      </c>
      <c r="Y5"/>
      <c r="Z5"/>
      <c r="AA5" s="70"/>
      <c r="AB5">
        <v>1</v>
      </c>
      <c r="AC5" s="69">
        <v>44900.366458333003</v>
      </c>
      <c r="AD5" s="69">
        <v>44210.308599536998</v>
      </c>
      <c r="AE5" s="68" t="s">
        <v>510</v>
      </c>
    </row>
  </sheetData>
  <autoFilter ref="A1:AB1"/>
  <conditionalFormatting sqref="B6:B1048576 B1">
    <cfRule type="duplicateValues" dxfId="55" priority="1856"/>
  </conditionalFormatting>
  <conditionalFormatting sqref="B6:B1048576">
    <cfRule type="duplicateValues" dxfId="54" priority="1858"/>
  </conditionalFormatting>
  <conditionalFormatting sqref="B2:B3">
    <cfRule type="duplicateValues" dxfId="53" priority="1972"/>
    <cfRule type="duplicateValues" dxfId="52" priority="1973"/>
    <cfRule type="duplicateValues" dxfId="51" priority="1974"/>
    <cfRule type="duplicateValues" dxfId="50" priority="1975"/>
    <cfRule type="duplicateValues" dxfId="49" priority="1976"/>
  </conditionalFormatting>
  <conditionalFormatting sqref="B2:B3">
    <cfRule type="duplicateValues" dxfId="48" priority="1982"/>
  </conditionalFormatting>
  <conditionalFormatting sqref="AE2:AE3">
    <cfRule type="duplicateValues" dxfId="47" priority="1984"/>
    <cfRule type="duplicateValues" dxfId="46" priority="1985"/>
    <cfRule type="duplicateValues" dxfId="45" priority="1986"/>
    <cfRule type="duplicateValues" dxfId="44" priority="1987"/>
    <cfRule type="duplicateValues" dxfId="43" priority="1988"/>
  </conditionalFormatting>
  <conditionalFormatting sqref="AE2:AE3">
    <cfRule type="duplicateValues" dxfId="42" priority="1994"/>
    <cfRule type="duplicateValues" dxfId="41" priority="1995"/>
    <cfRule type="duplicateValues" dxfId="40" priority="1996"/>
  </conditionalFormatting>
  <conditionalFormatting sqref="B4">
    <cfRule type="duplicateValues" dxfId="39" priority="1998"/>
    <cfRule type="duplicateValues" dxfId="38" priority="1999"/>
    <cfRule type="duplicateValues" dxfId="37" priority="2000"/>
    <cfRule type="duplicateValues" dxfId="36" priority="2001"/>
    <cfRule type="duplicateValues" dxfId="35" priority="2002"/>
  </conditionalFormatting>
  <conditionalFormatting sqref="B4">
    <cfRule type="duplicateValues" dxfId="34" priority="2003"/>
  </conditionalFormatting>
  <conditionalFormatting sqref="AE4">
    <cfRule type="duplicateValues" dxfId="33" priority="2004"/>
    <cfRule type="duplicateValues" dxfId="32" priority="2005"/>
    <cfRule type="duplicateValues" dxfId="31" priority="2006"/>
    <cfRule type="duplicateValues" dxfId="30" priority="2007"/>
    <cfRule type="duplicateValues" dxfId="29" priority="2008"/>
  </conditionalFormatting>
  <conditionalFormatting sqref="AE4">
    <cfRule type="duplicateValues" dxfId="28" priority="2009"/>
    <cfRule type="duplicateValues" dxfId="27" priority="2010"/>
    <cfRule type="duplicateValues" dxfId="26" priority="2011"/>
  </conditionalFormatting>
  <conditionalFormatting sqref="B5">
    <cfRule type="duplicateValues" dxfId="25" priority="9"/>
    <cfRule type="duplicateValues" dxfId="24" priority="10"/>
    <cfRule type="duplicateValues" dxfId="23" priority="11"/>
    <cfRule type="duplicateValues" dxfId="22" priority="12"/>
    <cfRule type="duplicateValues" dxfId="21" priority="13"/>
  </conditionalFormatting>
  <conditionalFormatting sqref="B5">
    <cfRule type="duplicateValues" dxfId="20" priority="14"/>
  </conditionalFormatting>
  <conditionalFormatting sqref="AE5">
    <cfRule type="duplicateValues" dxfId="19" priority="1"/>
    <cfRule type="duplicateValues" dxfId="18" priority="2"/>
    <cfRule type="duplicateValues" dxfId="17" priority="3"/>
    <cfRule type="duplicateValues" dxfId="16" priority="4"/>
    <cfRule type="duplicateValues" dxfId="15" priority="5"/>
  </conditionalFormatting>
  <conditionalFormatting sqref="AE5">
    <cfRule type="duplicateValues" dxfId="14" priority="6"/>
    <cfRule type="duplicateValues" dxfId="13" priority="7"/>
    <cfRule type="duplicateValues" dxfId="12" priority="8"/>
  </conditionalFormatting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zoomScale="80" zoomScaleNormal="80" workbookViewId="0">
      <pane xSplit="3" ySplit="7" topLeftCell="D238" activePane="bottomRight" state="frozen"/>
      <selection pane="topRight" activeCell="E1" sqref="E1"/>
      <selection pane="bottomLeft" activeCell="A8" sqref="A8"/>
      <selection pane="bottomRight" activeCell="U7" sqref="A1:XFD1048576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2" hidden="1" customWidth="1"/>
    <col min="16" max="16" width="6.7109375" hidden="1" customWidth="1"/>
    <col min="17" max="17" width="17.42578125" customWidth="1"/>
  </cols>
  <sheetData>
    <row r="1" spans="1:17" x14ac:dyDescent="0.25">
      <c r="A1" s="12" t="s">
        <v>457</v>
      </c>
      <c r="B1" s="12"/>
      <c r="C1" s="12"/>
      <c r="D1" s="12"/>
    </row>
    <row r="2" spans="1:17" x14ac:dyDescent="0.25">
      <c r="A2" s="1"/>
      <c r="B2" s="1"/>
      <c r="C2" s="1"/>
      <c r="D2" s="1"/>
    </row>
    <row r="3" spans="1:17" x14ac:dyDescent="0.25">
      <c r="A3" s="1"/>
      <c r="B3" s="1"/>
      <c r="C3" s="1"/>
      <c r="D3" s="1"/>
    </row>
    <row r="4" spans="1:17" x14ac:dyDescent="0.25">
      <c r="A4" s="16" t="s">
        <v>298</v>
      </c>
      <c r="B4" s="50" t="s">
        <v>517</v>
      </c>
      <c r="C4" s="11"/>
      <c r="D4" s="11"/>
    </row>
    <row r="5" spans="1:17" ht="60" customHeight="1" x14ac:dyDescent="0.25">
      <c r="A5" s="110" t="s">
        <v>1</v>
      </c>
      <c r="B5" s="110" t="s">
        <v>2</v>
      </c>
      <c r="C5" s="110" t="s">
        <v>3</v>
      </c>
      <c r="D5" s="112" t="s">
        <v>456</v>
      </c>
      <c r="E5" s="105" t="s">
        <v>272</v>
      </c>
      <c r="F5" s="105" t="s">
        <v>273</v>
      </c>
      <c r="G5" s="106" t="s">
        <v>300</v>
      </c>
      <c r="H5" s="109" t="s">
        <v>299</v>
      </c>
      <c r="I5" s="109" t="s">
        <v>297</v>
      </c>
      <c r="J5" s="105" t="s">
        <v>296</v>
      </c>
      <c r="K5" s="106" t="s">
        <v>303</v>
      </c>
      <c r="L5" s="106" t="s">
        <v>304</v>
      </c>
      <c r="M5" s="105" t="s">
        <v>302</v>
      </c>
      <c r="Q5" s="99" t="s">
        <v>439</v>
      </c>
    </row>
    <row r="6" spans="1:17" ht="15" customHeight="1" x14ac:dyDescent="0.25">
      <c r="A6" s="111"/>
      <c r="B6" s="111"/>
      <c r="C6" s="111"/>
      <c r="D6" s="113"/>
      <c r="E6" s="105"/>
      <c r="F6" s="105"/>
      <c r="G6" s="107"/>
      <c r="H6" s="109"/>
      <c r="I6" s="109"/>
      <c r="J6" s="105"/>
      <c r="K6" s="107"/>
      <c r="L6" s="107"/>
      <c r="M6" s="105"/>
      <c r="Q6" s="100"/>
    </row>
    <row r="7" spans="1:17" ht="15.75" customHeight="1" x14ac:dyDescent="0.25">
      <c r="A7" s="111"/>
      <c r="B7" s="111"/>
      <c r="C7" s="111"/>
      <c r="D7" s="113"/>
      <c r="E7" s="105"/>
      <c r="F7" s="105"/>
      <c r="G7" s="108"/>
      <c r="H7" s="109"/>
      <c r="I7" s="109"/>
      <c r="J7" s="105"/>
      <c r="K7" s="108"/>
      <c r="L7" s="108"/>
      <c r="M7" s="105"/>
      <c r="Q7" s="101"/>
    </row>
    <row r="8" spans="1:17" x14ac:dyDescent="0.25">
      <c r="A8" s="52">
        <v>1</v>
      </c>
      <c r="B8" s="53" t="s">
        <v>4</v>
      </c>
      <c r="C8" s="8" t="s">
        <v>394</v>
      </c>
      <c r="D8" s="63">
        <f>COUNTIFS('TOTAL SUSPEK'!$F:$F,"kembangarum")</f>
        <v>0</v>
      </c>
      <c r="E8" s="17" t="e">
        <f>SUM(#REF!)</f>
        <v>#REF!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>
        <f>SUM(D8:D26)</f>
        <v>0</v>
      </c>
      <c r="M8" s="17" t="e">
        <f>SUM(#REF!)</f>
        <v>#REF!</v>
      </c>
      <c r="P8" s="35">
        <f t="shared" ref="P8:P71" si="0">SUM(D8:D8)</f>
        <v>0</v>
      </c>
      <c r="Q8" s="118">
        <f>SUM(P8:P26)</f>
        <v>0</v>
      </c>
    </row>
    <row r="9" spans="1:17" x14ac:dyDescent="0.25">
      <c r="A9" s="52"/>
      <c r="B9" s="53" t="s">
        <v>4</v>
      </c>
      <c r="C9" s="8" t="s">
        <v>4</v>
      </c>
      <c r="D9" s="63">
        <f>COUNTIFS('TOTAL SUSPEK'!$F:$F,"mranggen")</f>
        <v>0</v>
      </c>
      <c r="E9" s="18"/>
      <c r="F9" s="19"/>
      <c r="G9" s="19"/>
      <c r="H9" s="19"/>
      <c r="I9" s="19"/>
      <c r="J9" s="19"/>
      <c r="K9" s="20"/>
      <c r="L9" s="20"/>
      <c r="M9" s="20"/>
      <c r="P9" s="35">
        <f t="shared" si="0"/>
        <v>0</v>
      </c>
      <c r="Q9" s="8"/>
    </row>
    <row r="10" spans="1:17" x14ac:dyDescent="0.25">
      <c r="A10" s="52"/>
      <c r="B10" s="53" t="s">
        <v>4</v>
      </c>
      <c r="C10" s="8" t="s">
        <v>5</v>
      </c>
      <c r="D10" s="63">
        <f>COUNTIFS('TOTAL SUSPEK'!$F:$F,"kangkung")</f>
        <v>0</v>
      </c>
      <c r="E10" s="18"/>
      <c r="F10" s="19"/>
      <c r="G10" s="19"/>
      <c r="H10" s="19"/>
      <c r="I10" s="19"/>
      <c r="J10" s="19"/>
      <c r="K10" s="20"/>
      <c r="L10" s="20"/>
      <c r="M10" s="20"/>
      <c r="P10" s="35">
        <f t="shared" si="0"/>
        <v>0</v>
      </c>
      <c r="Q10" s="8"/>
    </row>
    <row r="11" spans="1:17" x14ac:dyDescent="0.25">
      <c r="A11" s="52"/>
      <c r="B11" s="53" t="s">
        <v>4</v>
      </c>
      <c r="C11" s="8" t="s">
        <v>6</v>
      </c>
      <c r="D11" s="63">
        <f>COUNTIFS('TOTAL SUSPEK'!$F:$F,"Kalitengah")</f>
        <v>0</v>
      </c>
      <c r="E11" s="18"/>
      <c r="F11" s="19"/>
      <c r="G11" s="19"/>
      <c r="H11" s="19"/>
      <c r="I11" s="19"/>
      <c r="J11" s="19"/>
      <c r="K11" s="20"/>
      <c r="L11" s="20"/>
      <c r="M11" s="20"/>
      <c r="P11" s="35">
        <f t="shared" si="0"/>
        <v>0</v>
      </c>
      <c r="Q11" s="8"/>
    </row>
    <row r="12" spans="1:17" x14ac:dyDescent="0.25">
      <c r="A12" s="52"/>
      <c r="B12" s="53" t="s">
        <v>4</v>
      </c>
      <c r="C12" s="8" t="s">
        <v>7</v>
      </c>
      <c r="D12" s="63">
        <f>COUNTIFS('TOTAL SUSPEK'!$F:$F,"brumbung")</f>
        <v>0</v>
      </c>
      <c r="E12" s="18"/>
      <c r="F12" s="19"/>
      <c r="G12" s="19"/>
      <c r="H12" s="19"/>
      <c r="I12" s="19"/>
      <c r="J12" s="19"/>
      <c r="K12" s="20"/>
      <c r="L12" s="20"/>
      <c r="M12" s="20"/>
      <c r="P12" s="35">
        <f t="shared" si="0"/>
        <v>0</v>
      </c>
      <c r="Q12" s="8"/>
    </row>
    <row r="13" spans="1:17" x14ac:dyDescent="0.25">
      <c r="A13" s="52"/>
      <c r="B13" s="53" t="s">
        <v>4</v>
      </c>
      <c r="C13" s="8" t="s">
        <v>8</v>
      </c>
      <c r="D13" s="63">
        <f>COUNTIFS('TOTAL SUSPEK'!$F:$F,"Sumberejo",'TOTAL SUSPEK'!$E:$E,"mranggen")</f>
        <v>0</v>
      </c>
      <c r="E13" s="18"/>
      <c r="F13" s="19"/>
      <c r="G13" s="19"/>
      <c r="H13" s="19"/>
      <c r="I13" s="19"/>
      <c r="J13" s="19"/>
      <c r="K13" s="20"/>
      <c r="L13" s="20"/>
      <c r="M13" s="20"/>
      <c r="P13" s="35">
        <f t="shared" si="0"/>
        <v>0</v>
      </c>
      <c r="Q13" s="8"/>
    </row>
    <row r="14" spans="1:17" x14ac:dyDescent="0.25">
      <c r="A14" s="52"/>
      <c r="B14" s="53" t="s">
        <v>4</v>
      </c>
      <c r="C14" s="8" t="s">
        <v>9</v>
      </c>
      <c r="D14" s="63">
        <f>COUNTIFS('TOTAL SUSPEK'!$F:$F,"Bandungrejo",'TOTAL SUSPEK'!$E:$E,"mranggen")</f>
        <v>0</v>
      </c>
      <c r="E14" s="18"/>
      <c r="F14" s="19"/>
      <c r="G14" s="19"/>
      <c r="H14" s="19"/>
      <c r="I14" s="19"/>
      <c r="J14" s="19"/>
      <c r="K14" s="20"/>
      <c r="L14" s="20"/>
      <c r="M14" s="20"/>
      <c r="P14" s="35">
        <f t="shared" si="0"/>
        <v>0</v>
      </c>
      <c r="Q14" s="8"/>
    </row>
    <row r="15" spans="1:17" x14ac:dyDescent="0.25">
      <c r="A15" s="52"/>
      <c r="B15" s="53" t="s">
        <v>4</v>
      </c>
      <c r="C15" s="8" t="s">
        <v>10</v>
      </c>
      <c r="D15" s="63">
        <f>COUNTIFS('TOTAL SUSPEK'!$F:$F,"menur")</f>
        <v>0</v>
      </c>
      <c r="E15" s="18"/>
      <c r="F15" s="19"/>
      <c r="G15" s="19"/>
      <c r="H15" s="19"/>
      <c r="I15" s="19"/>
      <c r="J15" s="19"/>
      <c r="K15" s="20"/>
      <c r="L15" s="20"/>
      <c r="M15" s="20"/>
      <c r="P15" s="35">
        <f t="shared" si="0"/>
        <v>0</v>
      </c>
      <c r="Q15" s="8"/>
    </row>
    <row r="16" spans="1:17" x14ac:dyDescent="0.25">
      <c r="A16" s="52"/>
      <c r="B16" s="53" t="s">
        <v>4</v>
      </c>
      <c r="C16" s="8" t="s">
        <v>11</v>
      </c>
      <c r="D16" s="63">
        <f>COUNTIFS('TOTAL SUSPEK'!$F:$F,"wringinjajar")</f>
        <v>0</v>
      </c>
      <c r="E16" s="18"/>
      <c r="F16" s="19"/>
      <c r="G16" s="19"/>
      <c r="H16" s="19"/>
      <c r="I16" s="19"/>
      <c r="J16" s="19"/>
      <c r="K16" s="20"/>
      <c r="L16" s="20"/>
      <c r="M16" s="20"/>
      <c r="P16" s="35">
        <f t="shared" si="0"/>
        <v>0</v>
      </c>
      <c r="Q16" s="8"/>
    </row>
    <row r="17" spans="1:17" x14ac:dyDescent="0.25">
      <c r="A17" s="52"/>
      <c r="B17" s="53" t="s">
        <v>4</v>
      </c>
      <c r="C17" s="8" t="s">
        <v>12</v>
      </c>
      <c r="D17" s="63">
        <f>COUNTIFS('TOTAL SUSPEK'!$F:$F,"candisari")</f>
        <v>0</v>
      </c>
      <c r="E17" s="18"/>
      <c r="F17" s="19"/>
      <c r="G17" s="19"/>
      <c r="H17" s="19"/>
      <c r="I17" s="19"/>
      <c r="J17" s="19"/>
      <c r="K17" s="20"/>
      <c r="L17" s="20"/>
      <c r="M17" s="20"/>
      <c r="P17" s="35">
        <f t="shared" si="0"/>
        <v>0</v>
      </c>
      <c r="Q17" s="8"/>
    </row>
    <row r="18" spans="1:17" x14ac:dyDescent="0.25">
      <c r="A18" s="52"/>
      <c r="B18" s="53" t="s">
        <v>4</v>
      </c>
      <c r="C18" s="8" t="s">
        <v>13</v>
      </c>
      <c r="D18" s="63">
        <f>COUNTIFS('TOTAL SUSPEK'!$F:$F,"ngemplak")</f>
        <v>0</v>
      </c>
      <c r="E18" s="18"/>
      <c r="F18" s="19"/>
      <c r="G18" s="19"/>
      <c r="H18" s="19"/>
      <c r="I18" s="19"/>
      <c r="J18" s="19"/>
      <c r="K18" s="20"/>
      <c r="L18" s="20"/>
      <c r="M18" s="20"/>
      <c r="P18" s="35">
        <f t="shared" si="0"/>
        <v>0</v>
      </c>
      <c r="Q18" s="8"/>
    </row>
    <row r="19" spans="1:17" x14ac:dyDescent="0.25">
      <c r="A19" s="52"/>
      <c r="B19" s="53" t="s">
        <v>4</v>
      </c>
      <c r="C19" s="8" t="s">
        <v>14</v>
      </c>
      <c r="D19" s="63">
        <f>COUNTIFS('TOTAL SUSPEK'!$F:$F,"karangsono")</f>
        <v>0</v>
      </c>
      <c r="E19" s="18"/>
      <c r="F19" s="19"/>
      <c r="G19" s="19"/>
      <c r="H19" s="19"/>
      <c r="I19" s="19"/>
      <c r="J19" s="19"/>
      <c r="K19" s="20"/>
      <c r="L19" s="20"/>
      <c r="M19" s="20"/>
      <c r="P19" s="35">
        <f t="shared" si="0"/>
        <v>0</v>
      </c>
      <c r="Q19" s="8"/>
    </row>
    <row r="20" spans="1:17" x14ac:dyDescent="0.25">
      <c r="A20" s="52"/>
      <c r="B20" s="53" t="s">
        <v>4</v>
      </c>
      <c r="C20" s="8" t="s">
        <v>15</v>
      </c>
      <c r="D20" s="63">
        <f>COUNTIFS('TOTAL SUSPEK'!$F:$F,"jamus")</f>
        <v>0</v>
      </c>
      <c r="E20" s="18"/>
      <c r="F20" s="19"/>
      <c r="G20" s="19"/>
      <c r="H20" s="19"/>
      <c r="I20" s="19"/>
      <c r="J20" s="19"/>
      <c r="K20" s="20"/>
      <c r="L20" s="20"/>
      <c r="M20" s="20"/>
      <c r="P20" s="35">
        <f t="shared" si="0"/>
        <v>0</v>
      </c>
      <c r="Q20" s="8"/>
    </row>
    <row r="21" spans="1:17" x14ac:dyDescent="0.25">
      <c r="A21" s="52"/>
      <c r="B21" s="53" t="s">
        <v>4</v>
      </c>
      <c r="C21" s="8" t="s">
        <v>16</v>
      </c>
      <c r="D21" s="63">
        <f>COUNTIFS('TOTAL SUSPEK'!$F:$F,"waru")</f>
        <v>0</v>
      </c>
      <c r="E21" s="18"/>
      <c r="F21" s="19"/>
      <c r="G21" s="19"/>
      <c r="H21" s="19"/>
      <c r="I21" s="19"/>
      <c r="J21" s="19"/>
      <c r="K21" s="20"/>
      <c r="L21" s="20"/>
      <c r="M21" s="20"/>
      <c r="P21" s="35">
        <f t="shared" si="0"/>
        <v>0</v>
      </c>
      <c r="Q21" s="8"/>
    </row>
    <row r="22" spans="1:17" x14ac:dyDescent="0.25">
      <c r="A22" s="52"/>
      <c r="B22" s="53" t="s">
        <v>4</v>
      </c>
      <c r="C22" s="8" t="s">
        <v>17</v>
      </c>
      <c r="D22" s="63">
        <f>COUNTIFS('TOTAL SUSPEK'!$F:$F,"tegalarum")</f>
        <v>0</v>
      </c>
      <c r="E22" s="18"/>
      <c r="F22" s="19"/>
      <c r="G22" s="19"/>
      <c r="H22" s="19"/>
      <c r="I22" s="19"/>
      <c r="J22" s="19"/>
      <c r="K22" s="20"/>
      <c r="L22" s="20"/>
      <c r="M22" s="20"/>
      <c r="P22" s="35">
        <f t="shared" si="0"/>
        <v>0</v>
      </c>
      <c r="Q22" s="8"/>
    </row>
    <row r="23" spans="1:17" x14ac:dyDescent="0.25">
      <c r="A23" s="52"/>
      <c r="B23" s="53" t="s">
        <v>4</v>
      </c>
      <c r="C23" s="8" t="s">
        <v>18</v>
      </c>
      <c r="D23" s="63">
        <f>COUNTIFS('TOTAL SUSPEK'!$F:$F,"tamansari")</f>
        <v>0</v>
      </c>
      <c r="E23" s="18"/>
      <c r="F23" s="19"/>
      <c r="G23" s="19"/>
      <c r="H23" s="19"/>
      <c r="I23" s="19"/>
      <c r="J23" s="19"/>
      <c r="K23" s="20"/>
      <c r="L23" s="20"/>
      <c r="M23" s="20"/>
      <c r="P23" s="35">
        <f t="shared" si="0"/>
        <v>0</v>
      </c>
      <c r="Q23" s="8"/>
    </row>
    <row r="24" spans="1:17" x14ac:dyDescent="0.25">
      <c r="A24" s="52"/>
      <c r="B24" s="53" t="s">
        <v>4</v>
      </c>
      <c r="C24" s="8" t="s">
        <v>19</v>
      </c>
      <c r="D24" s="63">
        <f>COUNTIFS('TOTAL SUSPEK'!$F:$F,"banyumeneng")</f>
        <v>0</v>
      </c>
      <c r="E24" s="18"/>
      <c r="F24" s="19"/>
      <c r="G24" s="19"/>
      <c r="H24" s="19"/>
      <c r="I24" s="19"/>
      <c r="J24" s="19"/>
      <c r="K24" s="20"/>
      <c r="L24" s="20"/>
      <c r="M24" s="20"/>
      <c r="P24" s="35">
        <f t="shared" si="0"/>
        <v>0</v>
      </c>
      <c r="Q24" s="8"/>
    </row>
    <row r="25" spans="1:17" x14ac:dyDescent="0.25">
      <c r="A25" s="52"/>
      <c r="B25" s="53" t="s">
        <v>4</v>
      </c>
      <c r="C25" s="8" t="s">
        <v>20</v>
      </c>
      <c r="D25" s="63">
        <f>COUNTIFS('TOTAL SUSPEK'!$F:$F,"kebonbatur")</f>
        <v>0</v>
      </c>
      <c r="E25" s="18"/>
      <c r="F25" s="19"/>
      <c r="G25" s="19"/>
      <c r="H25" s="19"/>
      <c r="I25" s="19"/>
      <c r="J25" s="19"/>
      <c r="K25" s="20"/>
      <c r="L25" s="20"/>
      <c r="M25" s="20"/>
      <c r="P25" s="35">
        <f t="shared" si="0"/>
        <v>0</v>
      </c>
      <c r="Q25" s="8"/>
    </row>
    <row r="26" spans="1:17" x14ac:dyDescent="0.25">
      <c r="A26" s="52"/>
      <c r="B26" s="53" t="s">
        <v>4</v>
      </c>
      <c r="C26" s="8" t="s">
        <v>21</v>
      </c>
      <c r="D26" s="63">
        <f>COUNTIFS('TOTAL SUSPEK'!$F:$F,"batursari")</f>
        <v>0</v>
      </c>
      <c r="E26" s="18"/>
      <c r="F26" s="19"/>
      <c r="G26" s="19"/>
      <c r="H26" s="19"/>
      <c r="I26" s="19"/>
      <c r="J26" s="19"/>
      <c r="K26" s="20"/>
      <c r="L26" s="20"/>
      <c r="M26" s="20"/>
      <c r="P26" s="35">
        <f t="shared" si="0"/>
        <v>0</v>
      </c>
      <c r="Q26" s="8"/>
    </row>
    <row r="27" spans="1:17" ht="15" customHeight="1" x14ac:dyDescent="0.25">
      <c r="A27" s="52">
        <v>2</v>
      </c>
      <c r="B27" s="53" t="s">
        <v>22</v>
      </c>
      <c r="C27" s="8" t="s">
        <v>23</v>
      </c>
      <c r="D27" s="63">
        <f>COUNTIFS('TOTAL SUSPEK'!$F:$F,"wonowoso")</f>
        <v>0</v>
      </c>
      <c r="E27" s="18" t="e">
        <f>SUM(#REF!)</f>
        <v>#REF!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>
        <f>SUM(D27:D43)</f>
        <v>0</v>
      </c>
      <c r="M27" s="18" t="e">
        <f>SUM(#REF!)</f>
        <v>#REF!</v>
      </c>
      <c r="P27" s="35">
        <f t="shared" si="0"/>
        <v>0</v>
      </c>
      <c r="Q27" s="118">
        <f>SUM(P27:P43)</f>
        <v>0</v>
      </c>
    </row>
    <row r="28" spans="1:17" ht="15" customHeight="1" x14ac:dyDescent="0.25">
      <c r="A28" s="52"/>
      <c r="B28" s="53" t="s">
        <v>22</v>
      </c>
      <c r="C28" s="8" t="s">
        <v>24</v>
      </c>
      <c r="D28" s="63">
        <f>COUNTIFS('TOTAL SUSPEK'!$F:$F,"sampang")</f>
        <v>0</v>
      </c>
      <c r="E28" s="18"/>
      <c r="F28" s="19"/>
      <c r="G28" s="19"/>
      <c r="H28" s="19"/>
      <c r="I28" s="19"/>
      <c r="J28" s="19"/>
      <c r="K28" s="20"/>
      <c r="L28" s="20"/>
      <c r="M28" s="20"/>
      <c r="P28" s="35">
        <f t="shared" si="0"/>
        <v>0</v>
      </c>
      <c r="Q28" s="8"/>
    </row>
    <row r="29" spans="1:17" ht="15" customHeight="1" x14ac:dyDescent="0.25">
      <c r="A29" s="52"/>
      <c r="B29" s="53" t="s">
        <v>22</v>
      </c>
      <c r="C29" s="8" t="s">
        <v>242</v>
      </c>
      <c r="D29" s="63">
        <f>COUNTIFS('TOTAL SUSPEK'!$F:$F,"tambakbulusan")</f>
        <v>0</v>
      </c>
      <c r="E29" s="18"/>
      <c r="F29" s="19"/>
      <c r="G29" s="19"/>
      <c r="H29" s="19"/>
      <c r="I29" s="19"/>
      <c r="J29" s="19"/>
      <c r="K29" s="20"/>
      <c r="L29" s="20"/>
      <c r="M29" s="20"/>
      <c r="P29" s="35">
        <f t="shared" si="0"/>
        <v>0</v>
      </c>
      <c r="Q29" s="8"/>
    </row>
    <row r="30" spans="1:17" ht="15" customHeight="1" x14ac:dyDescent="0.25">
      <c r="A30" s="52"/>
      <c r="B30" s="53" t="s">
        <v>22</v>
      </c>
      <c r="C30" s="8" t="s">
        <v>25</v>
      </c>
      <c r="D30" s="63">
        <f>COUNTIFS('TOTAL SUSPEK'!$F:$F,"pulosari")</f>
        <v>0</v>
      </c>
      <c r="E30" s="18"/>
      <c r="F30" s="19"/>
      <c r="G30" s="19"/>
      <c r="H30" s="19"/>
      <c r="I30" s="19"/>
      <c r="J30" s="19"/>
      <c r="K30" s="20"/>
      <c r="L30" s="20"/>
      <c r="M30" s="20"/>
      <c r="P30" s="35">
        <f t="shared" si="0"/>
        <v>0</v>
      </c>
      <c r="Q30" s="8"/>
    </row>
    <row r="31" spans="1:17" ht="15" customHeight="1" x14ac:dyDescent="0.25">
      <c r="A31" s="52"/>
      <c r="B31" s="53" t="s">
        <v>22</v>
      </c>
      <c r="C31" s="8" t="s">
        <v>26</v>
      </c>
      <c r="D31" s="63">
        <f>COUNTIFS('TOTAL SUSPEK'!$F:$F,"Rejosari",'TOTAL SUSPEK'!$E:$E,"karangtengah")</f>
        <v>0</v>
      </c>
      <c r="E31" s="18"/>
      <c r="F31" s="19"/>
      <c r="G31" s="19"/>
      <c r="H31" s="19"/>
      <c r="I31" s="19"/>
      <c r="J31" s="19"/>
      <c r="K31" s="20"/>
      <c r="L31" s="20"/>
      <c r="M31" s="20"/>
      <c r="P31" s="35">
        <f t="shared" si="0"/>
        <v>0</v>
      </c>
      <c r="Q31" s="8"/>
    </row>
    <row r="32" spans="1:17" ht="15" customHeight="1" x14ac:dyDescent="0.25">
      <c r="A32" s="52"/>
      <c r="B32" s="53" t="s">
        <v>22</v>
      </c>
      <c r="C32" s="8" t="s">
        <v>27</v>
      </c>
      <c r="D32" s="63">
        <f>COUNTIFS('TOTAL SUSPEK'!$F:$F,"Ploso")</f>
        <v>0</v>
      </c>
      <c r="E32" s="18"/>
      <c r="F32" s="19"/>
      <c r="G32" s="19"/>
      <c r="H32" s="19"/>
      <c r="I32" s="19"/>
      <c r="J32" s="19"/>
      <c r="K32" s="20"/>
      <c r="L32" s="20"/>
      <c r="M32" s="20"/>
      <c r="P32" s="35">
        <f t="shared" si="0"/>
        <v>0</v>
      </c>
      <c r="Q32" s="8"/>
    </row>
    <row r="33" spans="1:17" ht="15" customHeight="1" x14ac:dyDescent="0.25">
      <c r="A33" s="52"/>
      <c r="B33" s="53" t="s">
        <v>22</v>
      </c>
      <c r="C33" s="8" t="s">
        <v>28</v>
      </c>
      <c r="D33" s="63">
        <f>COUNTIFS('TOTAL SUSPEK'!$F:$F,"Wonokerto")</f>
        <v>0</v>
      </c>
      <c r="E33" s="18"/>
      <c r="F33" s="19"/>
      <c r="G33" s="19"/>
      <c r="H33" s="19"/>
      <c r="I33" s="19"/>
      <c r="J33" s="19"/>
      <c r="K33" s="20"/>
      <c r="L33" s="20"/>
      <c r="M33" s="20"/>
      <c r="P33" s="35">
        <f t="shared" si="0"/>
        <v>0</v>
      </c>
      <c r="Q33" s="8"/>
    </row>
    <row r="34" spans="1:17" ht="15" customHeight="1" x14ac:dyDescent="0.25">
      <c r="A34" s="52"/>
      <c r="B34" s="53" t="s">
        <v>22</v>
      </c>
      <c r="C34" s="8" t="s">
        <v>240</v>
      </c>
      <c r="D34" s="63">
        <f>COUNTIFS('TOTAL SUSPEK'!$F:$F,"Karangsari")</f>
        <v>0</v>
      </c>
      <c r="E34" s="18"/>
      <c r="F34" s="19"/>
      <c r="G34" s="19"/>
      <c r="H34" s="19"/>
      <c r="I34" s="19"/>
      <c r="J34" s="19"/>
      <c r="K34" s="20"/>
      <c r="L34" s="20"/>
      <c r="M34" s="20"/>
      <c r="P34" s="35">
        <f t="shared" si="0"/>
        <v>0</v>
      </c>
      <c r="Q34" s="8"/>
    </row>
    <row r="35" spans="1:17" ht="15" customHeight="1" x14ac:dyDescent="0.25">
      <c r="A35" s="52"/>
      <c r="B35" s="53" t="s">
        <v>22</v>
      </c>
      <c r="C35" s="8" t="s">
        <v>29</v>
      </c>
      <c r="D35" s="63">
        <f>COUNTIFS('TOTAL SUSPEK'!$F:$F,"Batu")</f>
        <v>0</v>
      </c>
      <c r="E35" s="18"/>
      <c r="F35" s="19"/>
      <c r="G35" s="19"/>
      <c r="H35" s="19"/>
      <c r="I35" s="19"/>
      <c r="J35" s="19"/>
      <c r="K35" s="20"/>
      <c r="L35" s="20"/>
      <c r="M35" s="20"/>
      <c r="P35" s="35">
        <f t="shared" si="0"/>
        <v>0</v>
      </c>
      <c r="Q35" s="8"/>
    </row>
    <row r="36" spans="1:17" ht="15" customHeight="1" x14ac:dyDescent="0.25">
      <c r="A36" s="52"/>
      <c r="B36" s="53" t="s">
        <v>22</v>
      </c>
      <c r="C36" s="8" t="s">
        <v>30</v>
      </c>
      <c r="D36" s="63">
        <f>COUNTIFS('TOTAL SUSPEK'!$F:$F,"Donorejo")</f>
        <v>0</v>
      </c>
      <c r="E36" s="18"/>
      <c r="F36" s="19"/>
      <c r="G36" s="19"/>
      <c r="H36" s="19"/>
      <c r="I36" s="19"/>
      <c r="J36" s="19"/>
      <c r="K36" s="20"/>
      <c r="L36" s="20"/>
      <c r="M36" s="20"/>
      <c r="P36" s="35">
        <f t="shared" si="0"/>
        <v>0</v>
      </c>
      <c r="Q36" s="8"/>
    </row>
    <row r="37" spans="1:17" ht="15" customHeight="1" x14ac:dyDescent="0.25">
      <c r="A37" s="52"/>
      <c r="B37" s="53" t="s">
        <v>22</v>
      </c>
      <c r="C37" s="8" t="s">
        <v>276</v>
      </c>
      <c r="D37" s="63">
        <f>COUNTIFS('TOTAL SUSPEK'!$F:$F,"Kedunguter")</f>
        <v>0</v>
      </c>
      <c r="E37" s="18"/>
      <c r="F37" s="19"/>
      <c r="G37" s="19"/>
      <c r="H37" s="19"/>
      <c r="I37" s="19"/>
      <c r="J37" s="19"/>
      <c r="K37" s="20"/>
      <c r="L37" s="20"/>
      <c r="M37" s="20"/>
      <c r="P37" s="35">
        <f t="shared" si="0"/>
        <v>0</v>
      </c>
      <c r="Q37" s="8"/>
    </row>
    <row r="38" spans="1:17" ht="15" customHeight="1" x14ac:dyDescent="0.25">
      <c r="A38" s="52"/>
      <c r="B38" s="53" t="s">
        <v>22</v>
      </c>
      <c r="C38" s="8" t="s">
        <v>277</v>
      </c>
      <c r="D38" s="63">
        <f>COUNTIFS('TOTAL SUSPEK'!$F:$F,"Karangtowo")</f>
        <v>0</v>
      </c>
      <c r="E38" s="18"/>
      <c r="F38" s="19"/>
      <c r="G38" s="19"/>
      <c r="H38" s="19"/>
      <c r="I38" s="19"/>
      <c r="J38" s="19"/>
      <c r="K38" s="20"/>
      <c r="L38" s="20"/>
      <c r="M38" s="20"/>
      <c r="P38" s="35">
        <f t="shared" si="0"/>
        <v>0</v>
      </c>
      <c r="Q38" s="8"/>
    </row>
    <row r="39" spans="1:17" ht="15" customHeight="1" x14ac:dyDescent="0.25">
      <c r="A39" s="52"/>
      <c r="B39" s="53" t="s">
        <v>22</v>
      </c>
      <c r="C39" s="8" t="s">
        <v>31</v>
      </c>
      <c r="D39" s="63">
        <f>COUNTIFS('TOTAL SUSPEK'!$F:$F,"Wonoagung")</f>
        <v>0</v>
      </c>
      <c r="E39" s="18"/>
      <c r="F39" s="19"/>
      <c r="G39" s="19"/>
      <c r="H39" s="19"/>
      <c r="I39" s="19"/>
      <c r="J39" s="19"/>
      <c r="K39" s="20"/>
      <c r="L39" s="20"/>
      <c r="M39" s="20"/>
      <c r="P39" s="35">
        <f t="shared" si="0"/>
        <v>0</v>
      </c>
      <c r="Q39" s="8"/>
    </row>
    <row r="40" spans="1:17" ht="15" customHeight="1" x14ac:dyDescent="0.25">
      <c r="A40" s="52"/>
      <c r="B40" s="53" t="s">
        <v>22</v>
      </c>
      <c r="C40" s="8" t="s">
        <v>32</v>
      </c>
      <c r="D40" s="63">
        <f>COUNTIFS('TOTAL SUSPEK'!$F:$F,"Klitih")</f>
        <v>0</v>
      </c>
      <c r="E40" s="18"/>
      <c r="F40" s="19"/>
      <c r="G40" s="19"/>
      <c r="H40" s="19"/>
      <c r="I40" s="19"/>
      <c r="J40" s="19"/>
      <c r="K40" s="20"/>
      <c r="L40" s="20"/>
      <c r="M40" s="20"/>
      <c r="P40" s="35">
        <f t="shared" si="0"/>
        <v>0</v>
      </c>
      <c r="Q40" s="8"/>
    </row>
    <row r="41" spans="1:17" ht="15" customHeight="1" x14ac:dyDescent="0.25">
      <c r="A41" s="52"/>
      <c r="B41" s="53" t="s">
        <v>22</v>
      </c>
      <c r="C41" s="8" t="s">
        <v>33</v>
      </c>
      <c r="D41" s="63">
        <f>COUNTIFS('TOTAL SUSPEK'!$F:$F,"Grogol")</f>
        <v>0</v>
      </c>
      <c r="E41" s="18"/>
      <c r="F41" s="19"/>
      <c r="G41" s="19"/>
      <c r="H41" s="19"/>
      <c r="I41" s="19"/>
      <c r="J41" s="19"/>
      <c r="K41" s="20"/>
      <c r="L41" s="20"/>
      <c r="M41" s="20"/>
      <c r="P41" s="35">
        <f t="shared" si="0"/>
        <v>0</v>
      </c>
      <c r="Q41" s="8"/>
    </row>
    <row r="42" spans="1:17" ht="15" customHeight="1" x14ac:dyDescent="0.25">
      <c r="A42" s="52"/>
      <c r="B42" s="53" t="s">
        <v>22</v>
      </c>
      <c r="C42" s="8" t="s">
        <v>34</v>
      </c>
      <c r="D42" s="63">
        <f>COUNTIFS('TOTAL SUSPEK'!$F:$F,"Pidodo")</f>
        <v>0</v>
      </c>
      <c r="E42" s="18"/>
      <c r="F42" s="19"/>
      <c r="G42" s="19"/>
      <c r="H42" s="19"/>
      <c r="I42" s="19"/>
      <c r="J42" s="19"/>
      <c r="K42" s="20"/>
      <c r="L42" s="20"/>
      <c r="M42" s="20"/>
      <c r="P42" s="35">
        <f t="shared" si="0"/>
        <v>0</v>
      </c>
      <c r="Q42" s="8"/>
    </row>
    <row r="43" spans="1:17" ht="15" customHeight="1" x14ac:dyDescent="0.25">
      <c r="A43" s="52"/>
      <c r="B43" s="53" t="s">
        <v>22</v>
      </c>
      <c r="C43" s="8" t="s">
        <v>35</v>
      </c>
      <c r="D43" s="63">
        <f>COUNTIFS('TOTAL SUSPEK'!$F:$F,"Dukun")</f>
        <v>0</v>
      </c>
      <c r="E43" s="18"/>
      <c r="F43" s="19"/>
      <c r="G43" s="19"/>
      <c r="H43" s="19"/>
      <c r="I43" s="19"/>
      <c r="J43" s="19"/>
      <c r="K43" s="20"/>
      <c r="L43" s="20"/>
      <c r="M43" s="20"/>
      <c r="P43" s="35">
        <f t="shared" si="0"/>
        <v>0</v>
      </c>
      <c r="Q43" s="8"/>
    </row>
    <row r="44" spans="1:17" x14ac:dyDescent="0.25">
      <c r="A44" s="39">
        <v>3</v>
      </c>
      <c r="B44" s="54" t="s">
        <v>36</v>
      </c>
      <c r="C44" s="8" t="s">
        <v>37</v>
      </c>
      <c r="D44" s="63">
        <f>COUNTIFS('TOTAL SUSPEK'!$F:$F,"Botorejo")</f>
        <v>0</v>
      </c>
      <c r="E44" s="18" t="e">
        <f>SUM(#REF!)</f>
        <v>#REF!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>
        <f>SUM(D44:D64)</f>
        <v>1</v>
      </c>
      <c r="M44" s="18" t="e">
        <f>SUM(#REF!)</f>
        <v>#REF!</v>
      </c>
      <c r="P44" s="35">
        <f t="shared" si="0"/>
        <v>0</v>
      </c>
      <c r="Q44" s="118">
        <f>SUM(P44:P64)</f>
        <v>1</v>
      </c>
    </row>
    <row r="45" spans="1:17" x14ac:dyDescent="0.25">
      <c r="A45" s="39"/>
      <c r="B45" s="54" t="s">
        <v>36</v>
      </c>
      <c r="C45" s="8" t="s">
        <v>38</v>
      </c>
      <c r="D45" s="63">
        <f>COUNTIFS('TOTAL SUSPEK'!$F:$F,"Getas")</f>
        <v>0</v>
      </c>
      <c r="E45" s="18"/>
      <c r="F45" s="19"/>
      <c r="G45" s="19"/>
      <c r="H45" s="19"/>
      <c r="I45" s="19"/>
      <c r="J45" s="19"/>
      <c r="K45" s="20"/>
      <c r="L45" s="20"/>
      <c r="M45" s="20"/>
      <c r="P45" s="35">
        <f t="shared" si="0"/>
        <v>0</v>
      </c>
      <c r="Q45" s="8"/>
    </row>
    <row r="46" spans="1:17" x14ac:dyDescent="0.25">
      <c r="A46" s="39"/>
      <c r="B46" s="54" t="s">
        <v>36</v>
      </c>
      <c r="C46" s="8" t="s">
        <v>39</v>
      </c>
      <c r="D46" s="63">
        <f>COUNTIFS('TOTAL SUSPEK'!$F:$F,"Kuncir")</f>
        <v>1</v>
      </c>
      <c r="E46" s="18"/>
      <c r="F46" s="19"/>
      <c r="G46" s="19"/>
      <c r="H46" s="19"/>
      <c r="I46" s="19"/>
      <c r="J46" s="19"/>
      <c r="K46" s="20"/>
      <c r="L46" s="20"/>
      <c r="M46" s="20"/>
      <c r="P46" s="35">
        <f t="shared" si="0"/>
        <v>1</v>
      </c>
      <c r="Q46" s="8"/>
    </row>
    <row r="47" spans="1:17" x14ac:dyDescent="0.25">
      <c r="A47" s="39"/>
      <c r="B47" s="54" t="s">
        <v>36</v>
      </c>
      <c r="C47" s="8" t="s">
        <v>40</v>
      </c>
      <c r="D47" s="63">
        <f>COUNTIFS('TOTAL SUSPEK'!$F:$F,"trengguli")</f>
        <v>0</v>
      </c>
      <c r="E47" s="18"/>
      <c r="F47" s="19"/>
      <c r="G47" s="19"/>
      <c r="H47" s="19"/>
      <c r="I47" s="19"/>
      <c r="J47" s="19"/>
      <c r="K47" s="20"/>
      <c r="L47" s="20"/>
      <c r="M47" s="20"/>
      <c r="P47" s="35">
        <f t="shared" si="0"/>
        <v>0</v>
      </c>
      <c r="Q47" s="8"/>
    </row>
    <row r="48" spans="1:17" x14ac:dyDescent="0.25">
      <c r="A48" s="39"/>
      <c r="B48" s="54" t="s">
        <v>36</v>
      </c>
      <c r="C48" s="8" t="s">
        <v>41</v>
      </c>
      <c r="D48" s="63">
        <f>COUNTIFS('TOTAL SUSPEK'!$F:$F,"Mranak")</f>
        <v>0</v>
      </c>
      <c r="E48" s="18"/>
      <c r="F48" s="19"/>
      <c r="G48" s="19"/>
      <c r="H48" s="19"/>
      <c r="I48" s="19"/>
      <c r="J48" s="19"/>
      <c r="K48" s="20"/>
      <c r="L48" s="20"/>
      <c r="M48" s="20"/>
      <c r="P48" s="35">
        <f t="shared" si="0"/>
        <v>0</v>
      </c>
      <c r="Q48" s="8"/>
    </row>
    <row r="49" spans="1:17" x14ac:dyDescent="0.25">
      <c r="A49" s="39"/>
      <c r="B49" s="54" t="s">
        <v>36</v>
      </c>
      <c r="C49" s="8" t="s">
        <v>42</v>
      </c>
      <c r="D49" s="63">
        <f>COUNTIFS('TOTAL SUSPEK'!$F:$F,"Pilangrejo")</f>
        <v>0</v>
      </c>
      <c r="E49" s="18"/>
      <c r="F49" s="19"/>
      <c r="G49" s="19"/>
      <c r="H49" s="19"/>
      <c r="I49" s="19"/>
      <c r="J49" s="19"/>
      <c r="K49" s="20"/>
      <c r="L49" s="20"/>
      <c r="M49" s="20"/>
      <c r="P49" s="35">
        <f t="shared" si="0"/>
        <v>0</v>
      </c>
      <c r="Q49" s="8"/>
    </row>
    <row r="50" spans="1:17" x14ac:dyDescent="0.25">
      <c r="A50" s="39"/>
      <c r="B50" s="54" t="s">
        <v>36</v>
      </c>
      <c r="C50" s="8" t="s">
        <v>43</v>
      </c>
      <c r="D50" s="63">
        <f>COUNTIFS('TOTAL SUSPEK'!$F:$F,"Kerangkulon")</f>
        <v>0</v>
      </c>
      <c r="E50" s="18"/>
      <c r="F50" s="19"/>
      <c r="G50" s="19"/>
      <c r="H50" s="19"/>
      <c r="I50" s="19"/>
      <c r="J50" s="19"/>
      <c r="K50" s="20"/>
      <c r="L50" s="20"/>
      <c r="M50" s="20"/>
      <c r="P50" s="35">
        <f t="shared" si="0"/>
        <v>0</v>
      </c>
      <c r="Q50" s="8"/>
    </row>
    <row r="51" spans="1:17" x14ac:dyDescent="0.25">
      <c r="A51" s="39"/>
      <c r="B51" s="54" t="s">
        <v>36</v>
      </c>
      <c r="C51" s="8" t="s">
        <v>44</v>
      </c>
      <c r="D51" s="63">
        <f>COUNTIFS('TOTAL SUSPEK'!$F:$F,"Sidomulyo",'TOTAL SUSPEK'!$E:$E,"wonosalam")</f>
        <v>0</v>
      </c>
      <c r="E51" s="18"/>
      <c r="F51" s="19"/>
      <c r="G51" s="19"/>
      <c r="H51" s="19"/>
      <c r="I51" s="19"/>
      <c r="J51" s="19"/>
      <c r="K51" s="20"/>
      <c r="L51" s="20"/>
      <c r="M51" s="20"/>
      <c r="P51" s="35">
        <f t="shared" si="0"/>
        <v>0</v>
      </c>
      <c r="Q51" s="8"/>
    </row>
    <row r="52" spans="1:17" x14ac:dyDescent="0.25">
      <c r="A52" s="39"/>
      <c r="B52" s="54" t="s">
        <v>36</v>
      </c>
      <c r="C52" s="8" t="s">
        <v>45</v>
      </c>
      <c r="D52" s="63">
        <f>COUNTIFS('TOTAL SUSPEK'!$F:$F,"Bunderan")</f>
        <v>0</v>
      </c>
      <c r="E52" s="18"/>
      <c r="F52" s="19"/>
      <c r="G52" s="19"/>
      <c r="H52" s="19"/>
      <c r="I52" s="19"/>
      <c r="J52" s="19"/>
      <c r="K52" s="20"/>
      <c r="L52" s="20"/>
      <c r="M52" s="20"/>
      <c r="P52" s="35">
        <f t="shared" si="0"/>
        <v>0</v>
      </c>
      <c r="Q52" s="8"/>
    </row>
    <row r="53" spans="1:17" x14ac:dyDescent="0.25">
      <c r="A53" s="39"/>
      <c r="B53" s="54" t="s">
        <v>36</v>
      </c>
      <c r="C53" s="8" t="s">
        <v>46</v>
      </c>
      <c r="D53" s="63">
        <f>COUNTIFS('TOTAL SUSPEK'!$F:$F,"Mojodemak")</f>
        <v>0</v>
      </c>
      <c r="E53" s="18"/>
      <c r="F53" s="19"/>
      <c r="G53" s="19"/>
      <c r="H53" s="19"/>
      <c r="I53" s="19"/>
      <c r="J53" s="19"/>
      <c r="K53" s="20"/>
      <c r="L53" s="20"/>
      <c r="M53" s="20"/>
      <c r="P53" s="35">
        <f t="shared" si="0"/>
        <v>0</v>
      </c>
      <c r="Q53" s="8"/>
    </row>
    <row r="54" spans="1:17" x14ac:dyDescent="0.25">
      <c r="A54" s="39"/>
      <c r="B54" s="54" t="s">
        <v>36</v>
      </c>
      <c r="C54" s="8" t="s">
        <v>47</v>
      </c>
      <c r="D54" s="63">
        <f>COUNTIFS('TOTAL SUSPEK'!$F:$F,"Mrisen")</f>
        <v>0</v>
      </c>
      <c r="E54" s="18"/>
      <c r="F54" s="19"/>
      <c r="G54" s="19"/>
      <c r="H54" s="19"/>
      <c r="I54" s="19"/>
      <c r="J54" s="19"/>
      <c r="K54" s="20"/>
      <c r="L54" s="20"/>
      <c r="M54" s="20"/>
      <c r="P54" s="35">
        <f t="shared" si="0"/>
        <v>0</v>
      </c>
      <c r="Q54" s="8"/>
    </row>
    <row r="55" spans="1:17" x14ac:dyDescent="0.25">
      <c r="A55" s="39"/>
      <c r="B55" s="54" t="s">
        <v>36</v>
      </c>
      <c r="C55" s="8" t="s">
        <v>48</v>
      </c>
      <c r="D55" s="63">
        <f>COUNTIFS('TOTAL SUSPEK'!$F:$F,"Doreng")</f>
        <v>0</v>
      </c>
      <c r="E55" s="18"/>
      <c r="F55" s="19"/>
      <c r="G55" s="19"/>
      <c r="H55" s="19"/>
      <c r="I55" s="19"/>
      <c r="J55" s="19"/>
      <c r="K55" s="20"/>
      <c r="L55" s="20"/>
      <c r="M55" s="20"/>
      <c r="P55" s="35">
        <f t="shared" si="0"/>
        <v>0</v>
      </c>
      <c r="Q55" s="8"/>
    </row>
    <row r="56" spans="1:17" x14ac:dyDescent="0.25">
      <c r="A56" s="39"/>
      <c r="B56" s="54" t="s">
        <v>36</v>
      </c>
      <c r="C56" s="8" t="s">
        <v>274</v>
      </c>
      <c r="D56" s="63">
        <f>COUNTIFS('TOTAL SUSPEK'!$F:$F,"Karangrowo")</f>
        <v>0</v>
      </c>
      <c r="E56" s="18"/>
      <c r="F56" s="19"/>
      <c r="G56" s="19"/>
      <c r="H56" s="19"/>
      <c r="I56" s="19"/>
      <c r="J56" s="19"/>
      <c r="K56" s="20"/>
      <c r="L56" s="20"/>
      <c r="M56" s="20"/>
      <c r="P56" s="35">
        <f t="shared" si="0"/>
        <v>0</v>
      </c>
      <c r="Q56" s="8"/>
    </row>
    <row r="57" spans="1:17" x14ac:dyDescent="0.25">
      <c r="A57" s="39"/>
      <c r="B57" s="54" t="s">
        <v>36</v>
      </c>
      <c r="C57" s="8" t="s">
        <v>49</v>
      </c>
      <c r="D57" s="63">
        <f>COUNTIFS('TOTAL SUSPEK'!$F:$F,"Kalianyar")</f>
        <v>0</v>
      </c>
      <c r="E57" s="18"/>
      <c r="F57" s="19"/>
      <c r="G57" s="19"/>
      <c r="H57" s="19"/>
      <c r="I57" s="19"/>
      <c r="J57" s="19"/>
      <c r="K57" s="20"/>
      <c r="L57" s="20"/>
      <c r="M57" s="20"/>
      <c r="P57" s="35">
        <f t="shared" si="0"/>
        <v>0</v>
      </c>
      <c r="Q57" s="8"/>
    </row>
    <row r="58" spans="1:17" x14ac:dyDescent="0.25">
      <c r="A58" s="39"/>
      <c r="B58" s="54" t="s">
        <v>36</v>
      </c>
      <c r="C58" s="8" t="s">
        <v>36</v>
      </c>
      <c r="D58" s="63">
        <f>COUNTIFS('TOTAL SUSPEK'!$F:$F,"Wonosalam")</f>
        <v>0</v>
      </c>
      <c r="E58" s="18"/>
      <c r="F58" s="19"/>
      <c r="G58" s="19"/>
      <c r="H58" s="19"/>
      <c r="I58" s="19"/>
      <c r="J58" s="19"/>
      <c r="K58" s="20"/>
      <c r="L58" s="20"/>
      <c r="M58" s="20"/>
      <c r="P58" s="35">
        <f t="shared" si="0"/>
        <v>0</v>
      </c>
      <c r="Q58" s="8"/>
    </row>
    <row r="59" spans="1:17" x14ac:dyDescent="0.25">
      <c r="A59" s="39"/>
      <c r="B59" s="54" t="s">
        <v>36</v>
      </c>
      <c r="C59" s="8" t="s">
        <v>50</v>
      </c>
      <c r="D59" s="63">
        <f>COUNTIFS('TOTAL SUSPEK'!$F:$F,"Tlogorejo",'TOTAL SUSPEK'!$E:$E,"wonosalam")</f>
        <v>0</v>
      </c>
      <c r="E59" s="18"/>
      <c r="F59" s="19"/>
      <c r="G59" s="19"/>
      <c r="H59" s="19"/>
      <c r="I59" s="19"/>
      <c r="J59" s="19"/>
      <c r="K59" s="20"/>
      <c r="L59" s="20"/>
      <c r="M59" s="20"/>
      <c r="P59" s="35">
        <f t="shared" si="0"/>
        <v>0</v>
      </c>
      <c r="Q59" s="8"/>
    </row>
    <row r="60" spans="1:17" x14ac:dyDescent="0.25">
      <c r="A60" s="39"/>
      <c r="B60" s="54" t="s">
        <v>36</v>
      </c>
      <c r="C60" s="8" t="s">
        <v>51</v>
      </c>
      <c r="D60" s="63">
        <f>COUNTIFS('TOTAL SUSPEK'!$F:$F,"Tlogodowo")</f>
        <v>0</v>
      </c>
      <c r="E60" s="18"/>
      <c r="F60" s="19"/>
      <c r="G60" s="19"/>
      <c r="H60" s="19"/>
      <c r="I60" s="19"/>
      <c r="J60" s="19"/>
      <c r="K60" s="20"/>
      <c r="L60" s="20"/>
      <c r="M60" s="20"/>
      <c r="P60" s="35">
        <f t="shared" si="0"/>
        <v>0</v>
      </c>
      <c r="Q60" s="8"/>
    </row>
    <row r="61" spans="1:17" x14ac:dyDescent="0.25">
      <c r="A61" s="39"/>
      <c r="B61" s="54" t="s">
        <v>36</v>
      </c>
      <c r="C61" s="8" t="s">
        <v>52</v>
      </c>
      <c r="D61" s="63">
        <f>COUNTIFS('TOTAL SUSPEK'!$F:$F,"Lempuyang")</f>
        <v>0</v>
      </c>
      <c r="E61" s="18"/>
      <c r="F61" s="19"/>
      <c r="G61" s="19"/>
      <c r="H61" s="19"/>
      <c r="I61" s="19"/>
      <c r="J61" s="19"/>
      <c r="K61" s="20"/>
      <c r="L61" s="20"/>
      <c r="M61" s="20"/>
      <c r="P61" s="35">
        <f t="shared" si="0"/>
        <v>0</v>
      </c>
      <c r="Q61" s="8"/>
    </row>
    <row r="62" spans="1:17" x14ac:dyDescent="0.25">
      <c r="A62" s="39"/>
      <c r="B62" s="54" t="s">
        <v>36</v>
      </c>
      <c r="C62" s="8" t="s">
        <v>53</v>
      </c>
      <c r="D62" s="63">
        <f>COUNTIFS('TOTAL SUSPEK'!$F:$F,"Karangrejo",'TOTAL SUSPEK'!$E:$E,"Wonosalam")</f>
        <v>0</v>
      </c>
      <c r="E62" s="18"/>
      <c r="F62" s="19"/>
      <c r="G62" s="19"/>
      <c r="H62" s="19"/>
      <c r="I62" s="19"/>
      <c r="J62" s="19"/>
      <c r="K62" s="20"/>
      <c r="L62" s="20"/>
      <c r="M62" s="20"/>
      <c r="P62" s="35">
        <f t="shared" si="0"/>
        <v>0</v>
      </c>
      <c r="Q62" s="8"/>
    </row>
    <row r="63" spans="1:17" x14ac:dyDescent="0.25">
      <c r="A63" s="39"/>
      <c r="B63" s="54" t="s">
        <v>36</v>
      </c>
      <c r="C63" s="8" t="s">
        <v>275</v>
      </c>
      <c r="D63" s="63">
        <f>COUNTIFS('TOTAL SUSPEK'!$F:$F,"Kendaldoyong")</f>
        <v>0</v>
      </c>
      <c r="E63" s="18"/>
      <c r="F63" s="19"/>
      <c r="G63" s="19"/>
      <c r="H63" s="19"/>
      <c r="I63" s="19"/>
      <c r="J63" s="19"/>
      <c r="K63" s="20"/>
      <c r="L63" s="20"/>
      <c r="M63" s="20"/>
      <c r="P63" s="35">
        <f t="shared" si="0"/>
        <v>0</v>
      </c>
      <c r="Q63" s="8"/>
    </row>
    <row r="64" spans="1:17" x14ac:dyDescent="0.25">
      <c r="A64" s="39"/>
      <c r="B64" s="54" t="s">
        <v>36</v>
      </c>
      <c r="C64" s="8" t="s">
        <v>54</v>
      </c>
      <c r="D64" s="63">
        <f>COUNTIFS('TOTAL SUSPEK'!$F:$F,"Jogoloyo")</f>
        <v>0</v>
      </c>
      <c r="E64" s="18"/>
      <c r="F64" s="19"/>
      <c r="G64" s="19"/>
      <c r="H64" s="19"/>
      <c r="I64" s="19"/>
      <c r="J64" s="19"/>
      <c r="K64" s="20"/>
      <c r="L64" s="20"/>
      <c r="M64" s="20"/>
      <c r="P64" s="35">
        <f t="shared" si="0"/>
        <v>0</v>
      </c>
      <c r="Q64" s="8"/>
    </row>
    <row r="65" spans="1:17" x14ac:dyDescent="0.25">
      <c r="A65" s="52">
        <v>4</v>
      </c>
      <c r="B65" s="53" t="s">
        <v>55</v>
      </c>
      <c r="C65" s="55" t="s">
        <v>56</v>
      </c>
      <c r="D65" s="63">
        <f>COUNTIFS('TOTAL SUSPEK'!$F:$F,"Kedondong",'TOTAL SUSPEK'!$E:$E,"gajah")</f>
        <v>0</v>
      </c>
      <c r="E65" s="18" t="e">
        <f>SUM(#REF!)</f>
        <v>#REF!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>
        <f>SUM(D65:D82)</f>
        <v>0</v>
      </c>
      <c r="M65" s="18" t="e">
        <f>SUM(#REF!)</f>
        <v>#REF!</v>
      </c>
      <c r="P65" s="35">
        <f t="shared" si="0"/>
        <v>0</v>
      </c>
      <c r="Q65" s="118">
        <f>SUM(P65:P82)</f>
        <v>0</v>
      </c>
    </row>
    <row r="66" spans="1:17" x14ac:dyDescent="0.25">
      <c r="A66" s="52"/>
      <c r="B66" s="53" t="s">
        <v>55</v>
      </c>
      <c r="C66" s="56" t="s">
        <v>57</v>
      </c>
      <c r="D66" s="63">
        <f>COUNTIFS('TOTAL SUSPEK'!$F:$F,"Banjarsari",'TOTAL SUSPEK'!$E:$E,"gajah")</f>
        <v>0</v>
      </c>
      <c r="E66" s="18"/>
      <c r="F66" s="19"/>
      <c r="G66" s="19"/>
      <c r="H66" s="19"/>
      <c r="I66" s="19"/>
      <c r="J66" s="19"/>
      <c r="K66" s="20"/>
      <c r="L66" s="20"/>
      <c r="M66" s="20"/>
      <c r="P66" s="35">
        <f t="shared" si="0"/>
        <v>0</v>
      </c>
      <c r="Q66" s="8"/>
    </row>
    <row r="67" spans="1:17" x14ac:dyDescent="0.25">
      <c r="A67" s="52"/>
      <c r="B67" s="53" t="s">
        <v>55</v>
      </c>
      <c r="C67" s="55" t="s">
        <v>55</v>
      </c>
      <c r="D67" s="63">
        <f>COUNTIFS('TOTAL SUSPEK'!$F:$F,"Gajah")</f>
        <v>0</v>
      </c>
      <c r="E67" s="18"/>
      <c r="F67" s="19"/>
      <c r="G67" s="19"/>
      <c r="H67" s="19"/>
      <c r="I67" s="19"/>
      <c r="J67" s="19"/>
      <c r="K67" s="20"/>
      <c r="L67" s="20"/>
      <c r="M67" s="20"/>
      <c r="P67" s="35">
        <f t="shared" si="0"/>
        <v>0</v>
      </c>
      <c r="Q67" s="8"/>
    </row>
    <row r="68" spans="1:17" x14ac:dyDescent="0.25">
      <c r="A68" s="52"/>
      <c r="B68" s="53" t="s">
        <v>55</v>
      </c>
      <c r="C68" s="55" t="s">
        <v>58</v>
      </c>
      <c r="D68" s="63">
        <f>COUNTIFS('TOTAL SUSPEK'!$F:$F,"Sari")</f>
        <v>0</v>
      </c>
      <c r="E68" s="18"/>
      <c r="F68" s="19"/>
      <c r="G68" s="19"/>
      <c r="H68" s="19"/>
      <c r="I68" s="19"/>
      <c r="J68" s="19"/>
      <c r="K68" s="20"/>
      <c r="L68" s="20"/>
      <c r="M68" s="20"/>
      <c r="P68" s="35">
        <f t="shared" si="0"/>
        <v>0</v>
      </c>
      <c r="Q68" s="8"/>
    </row>
    <row r="69" spans="1:17" x14ac:dyDescent="0.25">
      <c r="A69" s="52"/>
      <c r="B69" s="53" t="s">
        <v>55</v>
      </c>
      <c r="C69" s="55" t="s">
        <v>59</v>
      </c>
      <c r="D69" s="63">
        <f>COUNTIFS('TOTAL SUSPEK'!$F:$F,"Boyolali")</f>
        <v>0</v>
      </c>
      <c r="E69" s="18"/>
      <c r="F69" s="19"/>
      <c r="G69" s="19"/>
      <c r="H69" s="19"/>
      <c r="I69" s="19"/>
      <c r="J69" s="19"/>
      <c r="K69" s="20"/>
      <c r="L69" s="20"/>
      <c r="M69" s="20"/>
      <c r="P69" s="35">
        <f t="shared" si="0"/>
        <v>0</v>
      </c>
      <c r="Q69" s="8"/>
    </row>
    <row r="70" spans="1:17" x14ac:dyDescent="0.25">
      <c r="A70" s="52"/>
      <c r="B70" s="53" t="s">
        <v>55</v>
      </c>
      <c r="C70" s="55" t="s">
        <v>60</v>
      </c>
      <c r="D70" s="63">
        <f>COUNTIFS('TOTAL SUSPEK'!$F:$F,"Jatisono")</f>
        <v>0</v>
      </c>
      <c r="E70" s="18"/>
      <c r="F70" s="19"/>
      <c r="G70" s="19"/>
      <c r="H70" s="19"/>
      <c r="I70" s="19"/>
      <c r="J70" s="19"/>
      <c r="K70" s="20"/>
      <c r="L70" s="20"/>
      <c r="M70" s="20"/>
      <c r="P70" s="35">
        <f t="shared" si="0"/>
        <v>0</v>
      </c>
      <c r="Q70" s="8"/>
    </row>
    <row r="71" spans="1:17" x14ac:dyDescent="0.25">
      <c r="A71" s="52"/>
      <c r="B71" s="53" t="s">
        <v>55</v>
      </c>
      <c r="C71" s="55" t="s">
        <v>61</v>
      </c>
      <c r="D71" s="63">
        <f>COUNTIFS('TOTAL SUSPEK'!$F:$F,"Sambiroto")</f>
        <v>0</v>
      </c>
      <c r="E71" s="18"/>
      <c r="F71" s="19"/>
      <c r="G71" s="19"/>
      <c r="H71" s="19"/>
      <c r="I71" s="19"/>
      <c r="J71" s="19"/>
      <c r="K71" s="20"/>
      <c r="L71" s="20"/>
      <c r="M71" s="20"/>
      <c r="P71" s="35">
        <f t="shared" si="0"/>
        <v>0</v>
      </c>
      <c r="Q71" s="8"/>
    </row>
    <row r="72" spans="1:17" x14ac:dyDescent="0.25">
      <c r="A72" s="52"/>
      <c r="B72" s="53" t="s">
        <v>55</v>
      </c>
      <c r="C72" s="55" t="s">
        <v>62</v>
      </c>
      <c r="D72" s="63">
        <f>COUNTIFS('TOTAL SUSPEK'!$F:$F,"Tlogopandogan")</f>
        <v>0</v>
      </c>
      <c r="E72" s="18"/>
      <c r="F72" s="19"/>
      <c r="G72" s="19"/>
      <c r="H72" s="19"/>
      <c r="I72" s="19"/>
      <c r="J72" s="19"/>
      <c r="K72" s="20"/>
      <c r="L72" s="20"/>
      <c r="M72" s="20"/>
      <c r="P72" s="35">
        <f t="shared" ref="P72:P135" si="1">SUM(D72:D72)</f>
        <v>0</v>
      </c>
      <c r="Q72" s="8"/>
    </row>
    <row r="73" spans="1:17" x14ac:dyDescent="0.25">
      <c r="A73" s="52"/>
      <c r="B73" s="53" t="s">
        <v>55</v>
      </c>
      <c r="C73" s="55" t="s">
        <v>63</v>
      </c>
      <c r="D73" s="63">
        <f>COUNTIFS('TOTAL SUSPEK'!$F:$F,"Surodadi",'TOTAL SUSPEK'!$E:$E,"gajah")</f>
        <v>0</v>
      </c>
      <c r="E73" s="18"/>
      <c r="F73" s="19"/>
      <c r="G73" s="19"/>
      <c r="H73" s="19"/>
      <c r="I73" s="19"/>
      <c r="J73" s="19"/>
      <c r="K73" s="20"/>
      <c r="L73" s="20"/>
      <c r="M73" s="20"/>
      <c r="P73" s="35">
        <f t="shared" si="1"/>
        <v>0</v>
      </c>
      <c r="Q73" s="8"/>
    </row>
    <row r="74" spans="1:17" x14ac:dyDescent="0.25">
      <c r="A74" s="52"/>
      <c r="B74" s="53" t="s">
        <v>55</v>
      </c>
      <c r="C74" s="55" t="s">
        <v>64</v>
      </c>
      <c r="D74" s="63">
        <f>COUNTIFS('TOTAL SUSPEK'!$F:$F,"Gedangalas")</f>
        <v>0</v>
      </c>
      <c r="E74" s="18"/>
      <c r="F74" s="19"/>
      <c r="G74" s="19"/>
      <c r="H74" s="19"/>
      <c r="I74" s="19"/>
      <c r="J74" s="19"/>
      <c r="K74" s="20"/>
      <c r="L74" s="20"/>
      <c r="M74" s="20"/>
      <c r="P74" s="35">
        <f t="shared" si="1"/>
        <v>0</v>
      </c>
      <c r="Q74" s="8"/>
    </row>
    <row r="75" spans="1:17" x14ac:dyDescent="0.25">
      <c r="A75" s="52"/>
      <c r="B75" s="53" t="s">
        <v>55</v>
      </c>
      <c r="C75" s="55" t="s">
        <v>65</v>
      </c>
      <c r="D75" s="63">
        <f>COUNTIFS('TOTAL SUSPEK'!$F:$F,"Sambung")</f>
        <v>0</v>
      </c>
      <c r="E75" s="18"/>
      <c r="F75" s="19"/>
      <c r="G75" s="19"/>
      <c r="H75" s="19"/>
      <c r="I75" s="19"/>
      <c r="J75" s="19"/>
      <c r="K75" s="20"/>
      <c r="L75" s="20"/>
      <c r="M75" s="20"/>
      <c r="P75" s="35">
        <f t="shared" si="1"/>
        <v>0</v>
      </c>
      <c r="Q75" s="8"/>
    </row>
    <row r="76" spans="1:17" x14ac:dyDescent="0.25">
      <c r="A76" s="52"/>
      <c r="B76" s="53" t="s">
        <v>55</v>
      </c>
      <c r="C76" s="55" t="s">
        <v>66</v>
      </c>
      <c r="D76" s="63">
        <f>COUNTIFS('TOTAL SUSPEK'!$F:$F,"Tambirejo")</f>
        <v>0</v>
      </c>
      <c r="E76" s="18"/>
      <c r="F76" s="19"/>
      <c r="G76" s="19"/>
      <c r="H76" s="19"/>
      <c r="I76" s="19"/>
      <c r="J76" s="19"/>
      <c r="K76" s="20"/>
      <c r="L76" s="20"/>
      <c r="M76" s="20"/>
      <c r="P76" s="35">
        <f t="shared" si="1"/>
        <v>0</v>
      </c>
      <c r="Q76" s="8"/>
    </row>
    <row r="77" spans="1:17" x14ac:dyDescent="0.25">
      <c r="A77" s="52"/>
      <c r="B77" s="53" t="s">
        <v>55</v>
      </c>
      <c r="C77" s="55" t="s">
        <v>67</v>
      </c>
      <c r="D77" s="63">
        <f>COUNTIFS('TOTAL SUSPEK'!$F:$F,"Mlatiharjo")</f>
        <v>0</v>
      </c>
      <c r="E77" s="18"/>
      <c r="F77" s="19"/>
      <c r="G77" s="19"/>
      <c r="H77" s="19"/>
      <c r="I77" s="19"/>
      <c r="J77" s="19"/>
      <c r="K77" s="20"/>
      <c r="L77" s="20"/>
      <c r="M77" s="20"/>
      <c r="P77" s="35">
        <f t="shared" si="1"/>
        <v>0</v>
      </c>
      <c r="Q77" s="8"/>
    </row>
    <row r="78" spans="1:17" x14ac:dyDescent="0.25">
      <c r="A78" s="52"/>
      <c r="B78" s="53" t="s">
        <v>55</v>
      </c>
      <c r="C78" s="55" t="s">
        <v>68</v>
      </c>
      <c r="D78" s="63">
        <f>COUNTIFS('TOTAL SUSPEK'!$F:$F,"Mojosimo")</f>
        <v>0</v>
      </c>
      <c r="E78" s="18"/>
      <c r="F78" s="19"/>
      <c r="G78" s="19"/>
      <c r="H78" s="19"/>
      <c r="I78" s="19"/>
      <c r="J78" s="19"/>
      <c r="K78" s="20"/>
      <c r="L78" s="20"/>
      <c r="M78" s="20"/>
      <c r="P78" s="35">
        <f t="shared" si="1"/>
        <v>0</v>
      </c>
      <c r="Q78" s="8"/>
    </row>
    <row r="79" spans="1:17" x14ac:dyDescent="0.25">
      <c r="A79" s="52"/>
      <c r="B79" s="53" t="s">
        <v>55</v>
      </c>
      <c r="C79" s="55" t="s">
        <v>69</v>
      </c>
      <c r="D79" s="63">
        <f>COUNTIFS('TOTAL SUSPEK'!$F:$F,"Medini")</f>
        <v>0</v>
      </c>
      <c r="E79" s="18"/>
      <c r="F79" s="19"/>
      <c r="G79" s="19"/>
      <c r="H79" s="19"/>
      <c r="I79" s="19"/>
      <c r="J79" s="19"/>
      <c r="K79" s="20"/>
      <c r="L79" s="20"/>
      <c r="M79" s="20"/>
      <c r="P79" s="35">
        <f t="shared" si="1"/>
        <v>0</v>
      </c>
      <c r="Q79" s="8"/>
    </row>
    <row r="80" spans="1:17" x14ac:dyDescent="0.25">
      <c r="A80" s="52"/>
      <c r="B80" s="53" t="s">
        <v>55</v>
      </c>
      <c r="C80" s="55" t="s">
        <v>70</v>
      </c>
      <c r="D80" s="63">
        <f>COUNTIFS('TOTAL SUSPEK'!$F:$F,"Wilalung")</f>
        <v>0</v>
      </c>
      <c r="E80" s="18"/>
      <c r="F80" s="19"/>
      <c r="G80" s="19"/>
      <c r="H80" s="19"/>
      <c r="I80" s="19"/>
      <c r="J80" s="19"/>
      <c r="K80" s="20"/>
      <c r="L80" s="20"/>
      <c r="M80" s="20"/>
      <c r="P80" s="35">
        <f t="shared" si="1"/>
        <v>0</v>
      </c>
      <c r="Q80" s="8"/>
    </row>
    <row r="81" spans="1:17" x14ac:dyDescent="0.25">
      <c r="A81" s="52"/>
      <c r="B81" s="53" t="s">
        <v>55</v>
      </c>
      <c r="C81" s="55" t="s">
        <v>71</v>
      </c>
      <c r="D81" s="63">
        <f>COUNTIFS('TOTAL SUSPEK'!$F:$F,"Tanjunganyar")</f>
        <v>0</v>
      </c>
      <c r="E81" s="18"/>
      <c r="F81" s="19"/>
      <c r="G81" s="19"/>
      <c r="H81" s="19"/>
      <c r="I81" s="19"/>
      <c r="J81" s="19"/>
      <c r="K81" s="20"/>
      <c r="L81" s="20"/>
      <c r="M81" s="20"/>
      <c r="P81" s="35">
        <f t="shared" si="1"/>
        <v>0</v>
      </c>
      <c r="Q81" s="8"/>
    </row>
    <row r="82" spans="1:17" x14ac:dyDescent="0.25">
      <c r="A82" s="52"/>
      <c r="B82" s="53" t="s">
        <v>55</v>
      </c>
      <c r="C82" s="55" t="s">
        <v>72</v>
      </c>
      <c r="D82" s="63">
        <f>COUNTIFS('TOTAL SUSPEK'!$F:$F,"Mlekang")</f>
        <v>0</v>
      </c>
      <c r="E82" s="18"/>
      <c r="F82" s="19"/>
      <c r="G82" s="19"/>
      <c r="H82" s="19"/>
      <c r="I82" s="19"/>
      <c r="J82" s="19"/>
      <c r="K82" s="20"/>
      <c r="L82" s="20"/>
      <c r="M82" s="20"/>
      <c r="P82" s="35">
        <f t="shared" si="1"/>
        <v>0</v>
      </c>
      <c r="Q82" s="8"/>
    </row>
    <row r="83" spans="1:17" ht="15" customHeight="1" x14ac:dyDescent="0.25">
      <c r="A83" s="52">
        <v>5</v>
      </c>
      <c r="B83" s="15" t="s">
        <v>73</v>
      </c>
      <c r="C83" s="8" t="s">
        <v>74</v>
      </c>
      <c r="D83" s="63">
        <f>COUNTIFS('TOTAL SUSPEK'!$F:$F,"Cangkring B")</f>
        <v>0</v>
      </c>
      <c r="E83" s="18" t="e">
        <f>SUM(#REF!)</f>
        <v>#REF!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>
        <f>SUM(D83:D99)</f>
        <v>0</v>
      </c>
      <c r="M83" s="18" t="e">
        <f>SUM(#REF!)</f>
        <v>#REF!</v>
      </c>
      <c r="P83" s="35">
        <f t="shared" si="1"/>
        <v>0</v>
      </c>
      <c r="Q83" s="118">
        <f>SUM(P83:P99)</f>
        <v>0</v>
      </c>
    </row>
    <row r="84" spans="1:17" ht="15" customHeight="1" x14ac:dyDescent="0.25">
      <c r="A84" s="52"/>
      <c r="B84" s="15" t="s">
        <v>73</v>
      </c>
      <c r="C84" s="8" t="s">
        <v>75</v>
      </c>
      <c r="D84" s="63">
        <f>COUNTIFS('TOTAL SUSPEK'!$F:$F,"Undaan Lor")</f>
        <v>0</v>
      </c>
      <c r="E84" s="18"/>
      <c r="F84" s="19"/>
      <c r="G84" s="19"/>
      <c r="H84" s="19"/>
      <c r="I84" s="19"/>
      <c r="J84" s="19"/>
      <c r="K84" s="20"/>
      <c r="L84" s="20"/>
      <c r="M84" s="20"/>
      <c r="P84" s="35">
        <f t="shared" si="1"/>
        <v>0</v>
      </c>
      <c r="Q84" s="8"/>
    </row>
    <row r="85" spans="1:17" ht="15" customHeight="1" x14ac:dyDescent="0.25">
      <c r="A85" s="52"/>
      <c r="B85" s="15" t="s">
        <v>73</v>
      </c>
      <c r="C85" s="8" t="s">
        <v>76</v>
      </c>
      <c r="D85" s="63">
        <f>COUNTIFS('TOTAL SUSPEK'!$F:$F,"Undaan Kidul")</f>
        <v>0</v>
      </c>
      <c r="E85" s="18"/>
      <c r="F85" s="19"/>
      <c r="G85" s="19"/>
      <c r="H85" s="19"/>
      <c r="I85" s="19"/>
      <c r="J85" s="19"/>
      <c r="K85" s="20"/>
      <c r="L85" s="20"/>
      <c r="M85" s="20"/>
      <c r="P85" s="35">
        <f t="shared" si="1"/>
        <v>0</v>
      </c>
      <c r="Q85" s="8"/>
    </row>
    <row r="86" spans="1:17" ht="15" customHeight="1" x14ac:dyDescent="0.25">
      <c r="A86" s="52"/>
      <c r="B86" s="15" t="s">
        <v>73</v>
      </c>
      <c r="C86" s="8" t="s">
        <v>77</v>
      </c>
      <c r="D86" s="63">
        <f>COUNTIFS('TOTAL SUSPEK'!$F:$F,"Ketanjung")</f>
        <v>0</v>
      </c>
      <c r="E86" s="18"/>
      <c r="F86" s="19"/>
      <c r="G86" s="19"/>
      <c r="H86" s="19"/>
      <c r="I86" s="19"/>
      <c r="J86" s="19"/>
      <c r="K86" s="20"/>
      <c r="L86" s="20"/>
      <c r="M86" s="20"/>
      <c r="P86" s="35">
        <f t="shared" si="1"/>
        <v>0</v>
      </c>
      <c r="Q86" s="8"/>
    </row>
    <row r="87" spans="1:17" ht="15" customHeight="1" x14ac:dyDescent="0.25">
      <c r="A87" s="52"/>
      <c r="B87" s="15" t="s">
        <v>73</v>
      </c>
      <c r="C87" s="8" t="s">
        <v>280</v>
      </c>
      <c r="D87" s="63">
        <f>COUNTIFS('TOTAL SUSPEK'!$F:$F,"Cangkring Rembang")</f>
        <v>0</v>
      </c>
      <c r="E87" s="18"/>
      <c r="F87" s="19"/>
      <c r="G87" s="19"/>
      <c r="H87" s="19"/>
      <c r="I87" s="19"/>
      <c r="J87" s="19"/>
      <c r="K87" s="20"/>
      <c r="L87" s="20"/>
      <c r="M87" s="20"/>
      <c r="P87" s="35">
        <f t="shared" si="1"/>
        <v>0</v>
      </c>
      <c r="Q87" s="8"/>
    </row>
    <row r="88" spans="1:17" ht="15" customHeight="1" x14ac:dyDescent="0.25">
      <c r="A88" s="52"/>
      <c r="B88" s="15" t="s">
        <v>73</v>
      </c>
      <c r="C88" s="8" t="s">
        <v>79</v>
      </c>
      <c r="D88" s="63">
        <f>COUNTIFS('TOTAL SUSPEK'!$F:$F,"Tuwang")</f>
        <v>0</v>
      </c>
      <c r="E88" s="18"/>
      <c r="F88" s="19"/>
      <c r="G88" s="19"/>
      <c r="H88" s="19"/>
      <c r="I88" s="19"/>
      <c r="J88" s="19"/>
      <c r="K88" s="20"/>
      <c r="L88" s="20"/>
      <c r="M88" s="20"/>
      <c r="P88" s="35">
        <f t="shared" si="1"/>
        <v>0</v>
      </c>
      <c r="Q88" s="8"/>
    </row>
    <row r="89" spans="1:17" ht="15" customHeight="1" x14ac:dyDescent="0.25">
      <c r="A89" s="52"/>
      <c r="B89" s="15" t="s">
        <v>73</v>
      </c>
      <c r="C89" s="8" t="s">
        <v>80</v>
      </c>
      <c r="D89" s="63">
        <f>COUNTIFS('TOTAL SUSPEK'!$F:$F,"Wonorejo",'TOTAL SUSPEK'!$E:$E,"karanganyar")</f>
        <v>0</v>
      </c>
      <c r="E89" s="18"/>
      <c r="F89" s="19"/>
      <c r="G89" s="19"/>
      <c r="H89" s="19"/>
      <c r="I89" s="19"/>
      <c r="J89" s="19"/>
      <c r="K89" s="20"/>
      <c r="L89" s="20"/>
      <c r="M89" s="20"/>
      <c r="P89" s="35">
        <f t="shared" si="1"/>
        <v>0</v>
      </c>
      <c r="Q89" s="8"/>
    </row>
    <row r="90" spans="1:17" ht="15" customHeight="1" x14ac:dyDescent="0.25">
      <c r="A90" s="52"/>
      <c r="B90" s="15" t="s">
        <v>73</v>
      </c>
      <c r="C90" s="8" t="s">
        <v>281</v>
      </c>
      <c r="D90" s="63">
        <f>COUNTIFS('TOTAL SUSPEK'!$F:$F,"Ngemplik Wetan")</f>
        <v>0</v>
      </c>
      <c r="E90" s="18"/>
      <c r="F90" s="19"/>
      <c r="G90" s="19"/>
      <c r="H90" s="19"/>
      <c r="I90" s="19"/>
      <c r="J90" s="19"/>
      <c r="K90" s="20"/>
      <c r="L90" s="20"/>
      <c r="M90" s="20"/>
      <c r="P90" s="35">
        <f t="shared" si="1"/>
        <v>0</v>
      </c>
      <c r="Q90" s="8"/>
    </row>
    <row r="91" spans="1:17" ht="15" customHeight="1" x14ac:dyDescent="0.25">
      <c r="A91" s="52"/>
      <c r="B91" s="15" t="s">
        <v>73</v>
      </c>
      <c r="C91" s="8" t="s">
        <v>73</v>
      </c>
      <c r="D91" s="63">
        <f>COUNTIFS('TOTAL SUSPEK'!$F:$F,"Karanganyar")</f>
        <v>0</v>
      </c>
      <c r="E91" s="18"/>
      <c r="F91" s="19"/>
      <c r="G91" s="19"/>
      <c r="H91" s="19"/>
      <c r="I91" s="19"/>
      <c r="J91" s="19"/>
      <c r="K91" s="20"/>
      <c r="L91" s="20"/>
      <c r="M91" s="20"/>
      <c r="P91" s="35">
        <f t="shared" si="1"/>
        <v>0</v>
      </c>
      <c r="Q91" s="8"/>
    </row>
    <row r="92" spans="1:17" ht="15" customHeight="1" x14ac:dyDescent="0.25">
      <c r="A92" s="52"/>
      <c r="B92" s="15" t="s">
        <v>73</v>
      </c>
      <c r="C92" s="8" t="s">
        <v>81</v>
      </c>
      <c r="D92" s="63">
        <f>COUNTIFS('TOTAL SUSPEK'!$F:$F,"Ngaluran")</f>
        <v>0</v>
      </c>
      <c r="E92" s="18"/>
      <c r="F92" s="19"/>
      <c r="G92" s="19"/>
      <c r="H92" s="19"/>
      <c r="I92" s="19"/>
      <c r="J92" s="19"/>
      <c r="K92" s="20"/>
      <c r="L92" s="20"/>
      <c r="M92" s="20"/>
      <c r="P92" s="35">
        <f t="shared" si="1"/>
        <v>0</v>
      </c>
      <c r="Q92" s="8"/>
    </row>
    <row r="93" spans="1:17" ht="15" customHeight="1" x14ac:dyDescent="0.25">
      <c r="A93" s="52"/>
      <c r="B93" s="15" t="s">
        <v>73</v>
      </c>
      <c r="C93" s="8" t="s">
        <v>82</v>
      </c>
      <c r="D93" s="63">
        <f>COUNTIFS('TOTAL SUSPEK'!$F:$F,"Kedungwaru Kidul")</f>
        <v>0</v>
      </c>
      <c r="E93" s="18"/>
      <c r="F93" s="19"/>
      <c r="G93" s="19"/>
      <c r="H93" s="19"/>
      <c r="I93" s="19"/>
      <c r="J93" s="19"/>
      <c r="K93" s="20"/>
      <c r="L93" s="20"/>
      <c r="M93" s="20"/>
      <c r="P93" s="35">
        <f t="shared" si="1"/>
        <v>0</v>
      </c>
      <c r="Q93" s="8"/>
    </row>
    <row r="94" spans="1:17" ht="15" customHeight="1" x14ac:dyDescent="0.25">
      <c r="A94" s="52"/>
      <c r="B94" s="15" t="s">
        <v>73</v>
      </c>
      <c r="C94" s="8" t="s">
        <v>83</v>
      </c>
      <c r="D94" s="63">
        <f>COUNTIFS('TOTAL SUSPEK'!$F:$F,"Kedungwaru Lor")</f>
        <v>0</v>
      </c>
      <c r="E94" s="18"/>
      <c r="F94" s="19"/>
      <c r="G94" s="19"/>
      <c r="H94" s="19"/>
      <c r="I94" s="19"/>
      <c r="J94" s="19"/>
      <c r="K94" s="20"/>
      <c r="L94" s="20"/>
      <c r="M94" s="20"/>
      <c r="P94" s="35">
        <f t="shared" si="1"/>
        <v>0</v>
      </c>
      <c r="Q94" s="8"/>
    </row>
    <row r="95" spans="1:17" ht="15" customHeight="1" x14ac:dyDescent="0.25">
      <c r="A95" s="52"/>
      <c r="B95" s="15" t="s">
        <v>73</v>
      </c>
      <c r="C95" s="8" t="s">
        <v>84</v>
      </c>
      <c r="D95" s="63">
        <f>COUNTIFS('TOTAL SUSPEK'!$F:$F,"Tugu Lor")</f>
        <v>0</v>
      </c>
      <c r="E95" s="18"/>
      <c r="F95" s="19"/>
      <c r="G95" s="19"/>
      <c r="H95" s="19"/>
      <c r="I95" s="19"/>
      <c r="J95" s="19"/>
      <c r="K95" s="20"/>
      <c r="L95" s="20"/>
      <c r="M95" s="20"/>
      <c r="P95" s="35">
        <f t="shared" si="1"/>
        <v>0</v>
      </c>
      <c r="Q95" s="8"/>
    </row>
    <row r="96" spans="1:17" ht="15" customHeight="1" x14ac:dyDescent="0.25">
      <c r="A96" s="52"/>
      <c r="B96" s="15" t="s">
        <v>73</v>
      </c>
      <c r="C96" s="8" t="s">
        <v>295</v>
      </c>
      <c r="D96" s="63">
        <f>COUNTIFS('TOTAL SUSPEK'!$F:$F,"Kotakan")</f>
        <v>0</v>
      </c>
      <c r="E96" s="18"/>
      <c r="F96" s="19"/>
      <c r="G96" s="19"/>
      <c r="H96" s="19"/>
      <c r="I96" s="19"/>
      <c r="J96" s="19"/>
      <c r="K96" s="20"/>
      <c r="L96" s="20"/>
      <c r="M96" s="20"/>
      <c r="P96" s="35">
        <f t="shared" si="1"/>
        <v>0</v>
      </c>
      <c r="Q96" s="8"/>
    </row>
    <row r="97" spans="1:17" ht="15" customHeight="1" x14ac:dyDescent="0.25">
      <c r="A97" s="52"/>
      <c r="B97" s="15" t="s">
        <v>73</v>
      </c>
      <c r="C97" s="8" t="s">
        <v>85</v>
      </c>
      <c r="D97" s="63">
        <f>COUNTIFS('TOTAL SUSPEK'!$F:$F,"Wonoketingal")</f>
        <v>0</v>
      </c>
      <c r="E97" s="18"/>
      <c r="F97" s="19"/>
      <c r="G97" s="19"/>
      <c r="H97" s="19"/>
      <c r="I97" s="19"/>
      <c r="J97" s="19"/>
      <c r="K97" s="20"/>
      <c r="L97" s="20"/>
      <c r="M97" s="20"/>
      <c r="P97" s="35">
        <f t="shared" si="1"/>
        <v>0</v>
      </c>
      <c r="Q97" s="8"/>
    </row>
    <row r="98" spans="1:17" ht="15" customHeight="1" x14ac:dyDescent="0.25">
      <c r="A98" s="52"/>
      <c r="B98" s="15" t="s">
        <v>73</v>
      </c>
      <c r="C98" s="8" t="s">
        <v>86</v>
      </c>
      <c r="D98" s="63">
        <f>COUNTIFS('TOTAL SUSPEK'!$F:$F,"Jatirejo")</f>
        <v>0</v>
      </c>
      <c r="E98" s="18"/>
      <c r="F98" s="19"/>
      <c r="G98" s="19"/>
      <c r="H98" s="19"/>
      <c r="I98" s="19"/>
      <c r="J98" s="19"/>
      <c r="K98" s="20"/>
      <c r="L98" s="20"/>
      <c r="M98" s="20"/>
      <c r="P98" s="35">
        <f t="shared" si="1"/>
        <v>0</v>
      </c>
      <c r="Q98" s="8"/>
    </row>
    <row r="99" spans="1:17" ht="15" customHeight="1" x14ac:dyDescent="0.25">
      <c r="A99" s="52"/>
      <c r="B99" s="15" t="s">
        <v>73</v>
      </c>
      <c r="C99" s="8" t="s">
        <v>9</v>
      </c>
      <c r="D99" s="63">
        <f>COUNTIFS('TOTAL SUSPEK'!$F:$F,"Bandungrejo",'TOTAL SUSPEK'!$E:$E,"Karanganyar")</f>
        <v>0</v>
      </c>
      <c r="E99" s="18"/>
      <c r="F99" s="19"/>
      <c r="G99" s="19"/>
      <c r="H99" s="19"/>
      <c r="I99" s="19"/>
      <c r="J99" s="19"/>
      <c r="K99" s="20"/>
      <c r="L99" s="20"/>
      <c r="M99" s="20"/>
      <c r="P99" s="35">
        <f t="shared" si="1"/>
        <v>0</v>
      </c>
      <c r="Q99" s="8"/>
    </row>
    <row r="100" spans="1:17" ht="15" customHeight="1" x14ac:dyDescent="0.25">
      <c r="A100" s="52">
        <v>6</v>
      </c>
      <c r="B100" s="15" t="s">
        <v>87</v>
      </c>
      <c r="C100" s="8" t="s">
        <v>88</v>
      </c>
      <c r="D100" s="63">
        <f>COUNTIFS('TOTAL SUSPEK'!$F:$F,"Mijen",'TOTAL SUSPEK'!$E:$E,"mijen")</f>
        <v>0</v>
      </c>
      <c r="E100" s="18" t="e">
        <f>SUM(#REF!)</f>
        <v>#REF!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>
        <f>SUM(D100:D114)</f>
        <v>0</v>
      </c>
      <c r="M100" s="18" t="e">
        <f>SUM(#REF!)</f>
        <v>#REF!</v>
      </c>
      <c r="P100" s="35">
        <f t="shared" si="1"/>
        <v>0</v>
      </c>
      <c r="Q100" s="118">
        <f>SUM(P100:P114)</f>
        <v>0</v>
      </c>
    </row>
    <row r="101" spans="1:17" ht="15" customHeight="1" x14ac:dyDescent="0.25">
      <c r="A101" s="52"/>
      <c r="B101" s="15" t="s">
        <v>87</v>
      </c>
      <c r="C101" s="8" t="s">
        <v>89</v>
      </c>
      <c r="D101" s="63">
        <f>COUNTIFS('TOTAL SUSPEK'!$F:$F,"Geneng")</f>
        <v>0</v>
      </c>
      <c r="E101" s="18"/>
      <c r="F101" s="19"/>
      <c r="G101" s="19"/>
      <c r="H101" s="19"/>
      <c r="I101" s="19"/>
      <c r="J101" s="19"/>
      <c r="K101" s="20"/>
      <c r="L101" s="20"/>
      <c r="M101" s="20"/>
      <c r="P101" s="35">
        <f t="shared" si="1"/>
        <v>0</v>
      </c>
      <c r="Q101" s="8"/>
    </row>
    <row r="102" spans="1:17" ht="15" customHeight="1" x14ac:dyDescent="0.25">
      <c r="A102" s="52"/>
      <c r="B102" s="15" t="s">
        <v>87</v>
      </c>
      <c r="C102" s="8" t="s">
        <v>90</v>
      </c>
      <c r="D102" s="63">
        <f>COUNTIFS('TOTAL SUSPEK'!$F:$F,"Tanggul")</f>
        <v>0</v>
      </c>
      <c r="E102" s="18"/>
      <c r="F102" s="19"/>
      <c r="G102" s="19"/>
      <c r="H102" s="19"/>
      <c r="I102" s="19"/>
      <c r="J102" s="19"/>
      <c r="K102" s="20"/>
      <c r="L102" s="20"/>
      <c r="M102" s="20"/>
      <c r="P102" s="35">
        <f t="shared" si="1"/>
        <v>0</v>
      </c>
      <c r="Q102" s="8"/>
    </row>
    <row r="103" spans="1:17" ht="15" customHeight="1" x14ac:dyDescent="0.25">
      <c r="A103" s="52"/>
      <c r="B103" s="15" t="s">
        <v>87</v>
      </c>
      <c r="C103" s="8" t="s">
        <v>91</v>
      </c>
      <c r="D103" s="63">
        <f>COUNTIFS('TOTAL SUSPEK'!$F:$F,"Bantengmati")</f>
        <v>0</v>
      </c>
      <c r="E103" s="18"/>
      <c r="F103" s="19"/>
      <c r="G103" s="19"/>
      <c r="H103" s="19"/>
      <c r="I103" s="19"/>
      <c r="J103" s="19"/>
      <c r="K103" s="20"/>
      <c r="L103" s="20"/>
      <c r="M103" s="20"/>
      <c r="P103" s="35">
        <f t="shared" si="1"/>
        <v>0</v>
      </c>
      <c r="Q103" s="8"/>
    </row>
    <row r="104" spans="1:17" ht="15" customHeight="1" x14ac:dyDescent="0.25">
      <c r="A104" s="52"/>
      <c r="B104" s="15" t="s">
        <v>87</v>
      </c>
      <c r="C104" s="8" t="s">
        <v>92</v>
      </c>
      <c r="D104" s="63">
        <f>COUNTIFS('TOTAL SUSPEK'!$F:$F,"Mlaten")</f>
        <v>0</v>
      </c>
      <c r="E104" s="18"/>
      <c r="F104" s="19"/>
      <c r="G104" s="19"/>
      <c r="H104" s="19"/>
      <c r="I104" s="19"/>
      <c r="J104" s="19"/>
      <c r="K104" s="20"/>
      <c r="L104" s="20"/>
      <c r="M104" s="20"/>
      <c r="P104" s="35">
        <f t="shared" si="1"/>
        <v>0</v>
      </c>
      <c r="Q104" s="8"/>
    </row>
    <row r="105" spans="1:17" ht="15" customHeight="1" x14ac:dyDescent="0.25">
      <c r="A105" s="52"/>
      <c r="B105" s="15" t="s">
        <v>87</v>
      </c>
      <c r="C105" s="8" t="s">
        <v>93</v>
      </c>
      <c r="D105" s="63">
        <f>COUNTIFS('TOTAL SUSPEK'!$F:$F,"Bermi")</f>
        <v>0</v>
      </c>
      <c r="E105" s="18"/>
      <c r="F105" s="19"/>
      <c r="G105" s="19"/>
      <c r="H105" s="19"/>
      <c r="I105" s="19"/>
      <c r="J105" s="19"/>
      <c r="K105" s="20"/>
      <c r="L105" s="20"/>
      <c r="M105" s="20"/>
      <c r="P105" s="35">
        <f t="shared" si="1"/>
        <v>0</v>
      </c>
      <c r="Q105" s="8"/>
    </row>
    <row r="106" spans="1:17" ht="15" customHeight="1" x14ac:dyDescent="0.25">
      <c r="A106" s="52"/>
      <c r="B106" s="15" t="s">
        <v>87</v>
      </c>
      <c r="C106" s="8" t="s">
        <v>94</v>
      </c>
      <c r="D106" s="63">
        <f>COUNTIFS('TOTAL SUSPEK'!$F:$F,"Gempolsongo")</f>
        <v>0</v>
      </c>
      <c r="E106" s="18"/>
      <c r="F106" s="19"/>
      <c r="G106" s="19"/>
      <c r="H106" s="19"/>
      <c r="I106" s="19"/>
      <c r="J106" s="19"/>
      <c r="K106" s="20"/>
      <c r="L106" s="20"/>
      <c r="M106" s="20"/>
      <c r="P106" s="35">
        <f t="shared" si="1"/>
        <v>0</v>
      </c>
      <c r="Q106" s="8"/>
    </row>
    <row r="107" spans="1:17" ht="15" customHeight="1" x14ac:dyDescent="0.25">
      <c r="A107" s="52"/>
      <c r="B107" s="15" t="s">
        <v>87</v>
      </c>
      <c r="C107" s="8" t="s">
        <v>95</v>
      </c>
      <c r="D107" s="63">
        <f>COUNTIFS('TOTAL SUSPEK'!$F:$F,"Ngelo wetan")</f>
        <v>0</v>
      </c>
      <c r="E107" s="18"/>
      <c r="F107" s="19"/>
      <c r="G107" s="19"/>
      <c r="H107" s="19"/>
      <c r="I107" s="19"/>
      <c r="J107" s="19"/>
      <c r="K107" s="20"/>
      <c r="L107" s="20"/>
      <c r="M107" s="20"/>
      <c r="P107" s="35">
        <f t="shared" si="1"/>
        <v>0</v>
      </c>
      <c r="Q107" s="8"/>
    </row>
    <row r="108" spans="1:17" ht="15" customHeight="1" x14ac:dyDescent="0.25">
      <c r="A108" s="52"/>
      <c r="B108" s="15" t="s">
        <v>87</v>
      </c>
      <c r="C108" s="8" t="s">
        <v>96</v>
      </c>
      <c r="D108" s="63">
        <f>COUNTIFS('TOTAL SUSPEK'!$F:$F,"Bakung")</f>
        <v>0</v>
      </c>
      <c r="E108" s="18"/>
      <c r="F108" s="19"/>
      <c r="G108" s="19"/>
      <c r="H108" s="19"/>
      <c r="I108" s="19"/>
      <c r="J108" s="19"/>
      <c r="K108" s="20"/>
      <c r="L108" s="20"/>
      <c r="M108" s="20"/>
      <c r="P108" s="35">
        <f t="shared" si="1"/>
        <v>0</v>
      </c>
      <c r="Q108" s="8"/>
    </row>
    <row r="109" spans="1:17" ht="15" customHeight="1" x14ac:dyDescent="0.25">
      <c r="A109" s="52"/>
      <c r="B109" s="15" t="s">
        <v>87</v>
      </c>
      <c r="C109" s="8" t="s">
        <v>97</v>
      </c>
      <c r="D109" s="63">
        <f>COUNTIFS('TOTAL SUSPEK'!$F:$F,"Pasir")</f>
        <v>0</v>
      </c>
      <c r="E109" s="18"/>
      <c r="F109" s="19"/>
      <c r="G109" s="19"/>
      <c r="H109" s="19"/>
      <c r="I109" s="19"/>
      <c r="J109" s="19"/>
      <c r="K109" s="20"/>
      <c r="L109" s="20"/>
      <c r="M109" s="20"/>
      <c r="P109" s="35">
        <f t="shared" si="1"/>
        <v>0</v>
      </c>
      <c r="Q109" s="8"/>
    </row>
    <row r="110" spans="1:17" ht="15" customHeight="1" x14ac:dyDescent="0.25">
      <c r="A110" s="52"/>
      <c r="B110" s="15" t="s">
        <v>87</v>
      </c>
      <c r="C110" s="8" t="s">
        <v>98</v>
      </c>
      <c r="D110" s="63">
        <f>COUNTIFS('TOTAL SUSPEK'!$F:$F,"Jleper")</f>
        <v>0</v>
      </c>
      <c r="E110" s="18"/>
      <c r="F110" s="19"/>
      <c r="G110" s="19"/>
      <c r="H110" s="19"/>
      <c r="I110" s="19"/>
      <c r="J110" s="19"/>
      <c r="K110" s="20"/>
      <c r="L110" s="20"/>
      <c r="M110" s="20"/>
      <c r="P110" s="35">
        <f t="shared" si="1"/>
        <v>0</v>
      </c>
      <c r="Q110" s="8"/>
    </row>
    <row r="111" spans="1:17" ht="15" customHeight="1" x14ac:dyDescent="0.25">
      <c r="A111" s="52"/>
      <c r="B111" s="15" t="s">
        <v>87</v>
      </c>
      <c r="C111" s="8" t="s">
        <v>26</v>
      </c>
      <c r="D111" s="63">
        <f>COUNTIFS('TOTAL SUSPEK'!$F:$F,"Rejosari",'TOTAL SUSPEK'!$E:$E,"mijen")</f>
        <v>0</v>
      </c>
      <c r="E111" s="18"/>
      <c r="F111" s="19"/>
      <c r="G111" s="19"/>
      <c r="H111" s="19"/>
      <c r="I111" s="19"/>
      <c r="J111" s="19"/>
      <c r="K111" s="20"/>
      <c r="L111" s="20"/>
      <c r="M111" s="20"/>
      <c r="P111" s="35">
        <f t="shared" si="1"/>
        <v>0</v>
      </c>
      <c r="Q111" s="8"/>
    </row>
    <row r="112" spans="1:17" ht="15" customHeight="1" x14ac:dyDescent="0.25">
      <c r="A112" s="52"/>
      <c r="B112" s="15" t="s">
        <v>87</v>
      </c>
      <c r="C112" s="8" t="s">
        <v>99</v>
      </c>
      <c r="D112" s="63">
        <f>COUNTIFS('TOTAL SUSPEK'!$F:$F,"Ngegot")</f>
        <v>0</v>
      </c>
      <c r="E112" s="18"/>
      <c r="F112" s="19"/>
      <c r="G112" s="19"/>
      <c r="H112" s="19"/>
      <c r="I112" s="19"/>
      <c r="J112" s="19"/>
      <c r="K112" s="20"/>
      <c r="L112" s="20"/>
      <c r="M112" s="20"/>
      <c r="P112" s="35">
        <f t="shared" si="1"/>
        <v>0</v>
      </c>
      <c r="Q112" s="8"/>
    </row>
    <row r="113" spans="1:17" ht="15" customHeight="1" x14ac:dyDescent="0.25">
      <c r="A113" s="52"/>
      <c r="B113" s="15" t="s">
        <v>87</v>
      </c>
      <c r="C113" s="8" t="s">
        <v>100</v>
      </c>
      <c r="D113" s="63">
        <f>COUNTIFS('TOTAL SUSPEK'!$F:$F,"Pecuk")</f>
        <v>0</v>
      </c>
      <c r="E113" s="18"/>
      <c r="F113" s="19"/>
      <c r="G113" s="19"/>
      <c r="H113" s="19"/>
      <c r="I113" s="19"/>
      <c r="J113" s="19"/>
      <c r="K113" s="20"/>
      <c r="L113" s="20"/>
      <c r="M113" s="20"/>
      <c r="P113" s="35">
        <f t="shared" si="1"/>
        <v>0</v>
      </c>
      <c r="Q113" s="8"/>
    </row>
    <row r="114" spans="1:17" ht="15" customHeight="1" x14ac:dyDescent="0.25">
      <c r="A114" s="52"/>
      <c r="B114" s="15" t="s">
        <v>87</v>
      </c>
      <c r="C114" s="8" t="s">
        <v>101</v>
      </c>
      <c r="D114" s="63">
        <f>COUNTIFS('TOTAL SUSPEK'!$F:$F,"Ngelo Kulon")</f>
        <v>0</v>
      </c>
      <c r="E114" s="18"/>
      <c r="F114" s="19"/>
      <c r="G114" s="19"/>
      <c r="H114" s="19"/>
      <c r="I114" s="19"/>
      <c r="J114" s="19"/>
      <c r="K114" s="20"/>
      <c r="L114" s="20"/>
      <c r="M114" s="20"/>
      <c r="P114" s="35">
        <f t="shared" si="1"/>
        <v>0</v>
      </c>
      <c r="Q114" s="8"/>
    </row>
    <row r="115" spans="1:17" x14ac:dyDescent="0.25">
      <c r="A115" s="52">
        <v>7</v>
      </c>
      <c r="B115" s="15" t="s">
        <v>102</v>
      </c>
      <c r="C115" s="8" t="s">
        <v>103</v>
      </c>
      <c r="D115" s="63">
        <f>COUNTIFS('TOTAL SUSPEK'!$F:$F,"Betokan")</f>
        <v>1</v>
      </c>
      <c r="E115" s="18" t="e">
        <f>SUM(#REF!)</f>
        <v>#REF!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>
        <f>SUM(D115:D133)</f>
        <v>1</v>
      </c>
      <c r="M115" s="18" t="e">
        <f>SUM(#REF!)</f>
        <v>#REF!</v>
      </c>
      <c r="P115" s="35">
        <f t="shared" si="1"/>
        <v>1</v>
      </c>
      <c r="Q115" s="118">
        <f>SUM(P115:P133)</f>
        <v>1</v>
      </c>
    </row>
    <row r="116" spans="1:17" x14ac:dyDescent="0.25">
      <c r="A116" s="52"/>
      <c r="B116" s="15" t="s">
        <v>102</v>
      </c>
      <c r="C116" s="8" t="s">
        <v>104</v>
      </c>
      <c r="D116" s="63">
        <f>COUNTIFS('TOTAL SUSPEK'!$F:$F,"Kalicilik")</f>
        <v>0</v>
      </c>
      <c r="E116" s="18"/>
      <c r="F116" s="19"/>
      <c r="G116" s="19"/>
      <c r="H116" s="19"/>
      <c r="I116" s="19"/>
      <c r="J116" s="19"/>
      <c r="K116" s="20"/>
      <c r="L116" s="20"/>
      <c r="M116" s="20"/>
      <c r="P116" s="35">
        <f t="shared" si="1"/>
        <v>0</v>
      </c>
      <c r="Q116" s="8"/>
    </row>
    <row r="117" spans="1:17" x14ac:dyDescent="0.25">
      <c r="A117" s="52"/>
      <c r="B117" s="15" t="s">
        <v>102</v>
      </c>
      <c r="C117" s="8" t="s">
        <v>105</v>
      </c>
      <c r="D117" s="63">
        <f>COUNTIFS('TOTAL SUSPEK'!$F:$F,"Kadilangu")</f>
        <v>0</v>
      </c>
      <c r="E117" s="18"/>
      <c r="F117" s="19"/>
      <c r="G117" s="19"/>
      <c r="H117" s="19"/>
      <c r="I117" s="19"/>
      <c r="J117" s="19"/>
      <c r="K117" s="20"/>
      <c r="L117" s="20"/>
      <c r="M117" s="20"/>
      <c r="P117" s="35">
        <f t="shared" si="1"/>
        <v>0</v>
      </c>
      <c r="Q117" s="8"/>
    </row>
    <row r="118" spans="1:17" x14ac:dyDescent="0.25">
      <c r="A118" s="52"/>
      <c r="B118" s="15" t="s">
        <v>102</v>
      </c>
      <c r="C118" s="8" t="s">
        <v>106</v>
      </c>
      <c r="D118" s="63">
        <f>COUNTIFS('TOTAL SUSPEK'!$F:$F,"Singorejo")</f>
        <v>0</v>
      </c>
      <c r="E118" s="18"/>
      <c r="F118" s="19"/>
      <c r="G118" s="19"/>
      <c r="H118" s="19"/>
      <c r="I118" s="19"/>
      <c r="J118" s="19"/>
      <c r="K118" s="20"/>
      <c r="L118" s="20"/>
      <c r="M118" s="20"/>
      <c r="P118" s="35">
        <f t="shared" si="1"/>
        <v>0</v>
      </c>
      <c r="Q118" s="8"/>
    </row>
    <row r="119" spans="1:17" x14ac:dyDescent="0.25">
      <c r="A119" s="52"/>
      <c r="B119" s="15" t="s">
        <v>102</v>
      </c>
      <c r="C119" s="8" t="s">
        <v>107</v>
      </c>
      <c r="D119" s="63">
        <f>COUNTIFS('TOTAL SUSPEK'!$F:$F,"Karangmlati")</f>
        <v>0</v>
      </c>
      <c r="E119" s="18"/>
      <c r="F119" s="19"/>
      <c r="G119" s="19"/>
      <c r="H119" s="19"/>
      <c r="I119" s="19"/>
      <c r="J119" s="19"/>
      <c r="K119" s="20"/>
      <c r="L119" s="20"/>
      <c r="M119" s="20"/>
      <c r="P119" s="35">
        <f t="shared" si="1"/>
        <v>0</v>
      </c>
      <c r="Q119" s="8"/>
    </row>
    <row r="120" spans="1:17" x14ac:dyDescent="0.25">
      <c r="A120" s="52"/>
      <c r="B120" s="15" t="s">
        <v>102</v>
      </c>
      <c r="C120" s="8" t="s">
        <v>108</v>
      </c>
      <c r="D120" s="63">
        <f>COUNTIFS('TOTAL SUSPEK'!$F:$F,"Bintoro")</f>
        <v>0</v>
      </c>
      <c r="E120" s="18"/>
      <c r="F120" s="19"/>
      <c r="G120" s="19"/>
      <c r="H120" s="19"/>
      <c r="I120" s="19"/>
      <c r="J120" s="19"/>
      <c r="K120" s="20"/>
      <c r="L120" s="20"/>
      <c r="M120" s="20"/>
      <c r="P120" s="35">
        <f t="shared" si="1"/>
        <v>0</v>
      </c>
      <c r="Q120" s="8"/>
    </row>
    <row r="121" spans="1:17" x14ac:dyDescent="0.25">
      <c r="A121" s="52"/>
      <c r="B121" s="15" t="s">
        <v>102</v>
      </c>
      <c r="C121" s="8" t="s">
        <v>109</v>
      </c>
      <c r="D121" s="63">
        <f>COUNTIFS('TOTAL SUSPEK'!$F:$F,"Turirejo")</f>
        <v>0</v>
      </c>
      <c r="E121" s="18"/>
      <c r="F121" s="19"/>
      <c r="G121" s="19"/>
      <c r="H121" s="19"/>
      <c r="I121" s="19"/>
      <c r="J121" s="19"/>
      <c r="K121" s="20"/>
      <c r="L121" s="20"/>
      <c r="M121" s="20"/>
      <c r="P121" s="35">
        <f t="shared" si="1"/>
        <v>0</v>
      </c>
      <c r="Q121" s="8"/>
    </row>
    <row r="122" spans="1:17" x14ac:dyDescent="0.25">
      <c r="A122" s="52"/>
      <c r="B122" s="15" t="s">
        <v>102</v>
      </c>
      <c r="C122" s="8" t="s">
        <v>56</v>
      </c>
      <c r="D122" s="63">
        <f>COUNTIFS('TOTAL SUSPEK'!$F:$F,"Kedondong",'TOTAL SUSPEK'!$E:$E,"demak")</f>
        <v>0</v>
      </c>
      <c r="E122" s="18"/>
      <c r="F122" s="19"/>
      <c r="G122" s="19"/>
      <c r="H122" s="19"/>
      <c r="I122" s="19"/>
      <c r="J122" s="19"/>
      <c r="K122" s="20"/>
      <c r="L122" s="20"/>
      <c r="M122" s="20"/>
      <c r="O122"/>
      <c r="P122" s="35">
        <f t="shared" si="1"/>
        <v>0</v>
      </c>
      <c r="Q122" s="8"/>
    </row>
    <row r="123" spans="1:17" x14ac:dyDescent="0.25">
      <c r="A123" s="52"/>
      <c r="B123" s="15" t="s">
        <v>102</v>
      </c>
      <c r="C123" s="57" t="s">
        <v>110</v>
      </c>
      <c r="D123" s="63">
        <f>COUNTIFS('TOTAL SUSPEK'!$F:$F,"Bango")</f>
        <v>0</v>
      </c>
      <c r="E123" s="18"/>
      <c r="F123" s="19"/>
      <c r="G123" s="19"/>
      <c r="H123" s="19"/>
      <c r="I123" s="19"/>
      <c r="J123" s="19"/>
      <c r="K123" s="20"/>
      <c r="L123" s="20"/>
      <c r="M123" s="20"/>
      <c r="P123" s="35">
        <f t="shared" si="1"/>
        <v>0</v>
      </c>
      <c r="Q123" s="8"/>
    </row>
    <row r="124" spans="1:17" x14ac:dyDescent="0.25">
      <c r="A124" s="52"/>
      <c r="B124" s="15" t="s">
        <v>102</v>
      </c>
      <c r="C124" s="8" t="s">
        <v>111</v>
      </c>
      <c r="D124" s="63">
        <f>COUNTIFS('TOTAL SUSPEK'!$F:$F,"Raji")</f>
        <v>0</v>
      </c>
      <c r="E124" s="18"/>
      <c r="F124" s="19"/>
      <c r="G124" s="19"/>
      <c r="H124" s="19"/>
      <c r="I124" s="19"/>
      <c r="J124" s="19"/>
      <c r="K124" s="20"/>
      <c r="L124" s="20"/>
      <c r="M124" s="20"/>
      <c r="P124" s="35">
        <f t="shared" si="1"/>
        <v>0</v>
      </c>
      <c r="Q124" s="8"/>
    </row>
    <row r="125" spans="1:17" x14ac:dyDescent="0.25">
      <c r="A125" s="52"/>
      <c r="B125" s="15" t="s">
        <v>102</v>
      </c>
      <c r="C125" s="8" t="s">
        <v>112</v>
      </c>
      <c r="D125" s="63">
        <f>COUNTIFS('TOTAL SUSPEK'!$F:$F,"Mulyorejo")</f>
        <v>0</v>
      </c>
      <c r="E125" s="18"/>
      <c r="F125" s="19"/>
      <c r="G125" s="19"/>
      <c r="H125" s="19"/>
      <c r="I125" s="19"/>
      <c r="J125" s="19"/>
      <c r="K125" s="20"/>
      <c r="L125" s="20"/>
      <c r="M125" s="20"/>
      <c r="P125" s="35">
        <f t="shared" si="1"/>
        <v>0</v>
      </c>
      <c r="Q125" s="8"/>
    </row>
    <row r="126" spans="1:17" x14ac:dyDescent="0.25">
      <c r="A126" s="52"/>
      <c r="B126" s="15" t="s">
        <v>102</v>
      </c>
      <c r="C126" s="8" t="s">
        <v>113</v>
      </c>
      <c r="D126" s="63">
        <f>COUNTIFS('TOTAL SUSPEK'!$F:$F,"Sedo")</f>
        <v>0</v>
      </c>
      <c r="E126" s="18"/>
      <c r="F126" s="19"/>
      <c r="G126" s="19"/>
      <c r="H126" s="19"/>
      <c r="I126" s="19"/>
      <c r="J126" s="19"/>
      <c r="K126" s="20"/>
      <c r="L126" s="20"/>
      <c r="M126" s="20"/>
      <c r="P126" s="35">
        <f t="shared" si="1"/>
        <v>0</v>
      </c>
      <c r="Q126" s="8"/>
    </row>
    <row r="127" spans="1:17" x14ac:dyDescent="0.25">
      <c r="A127" s="52"/>
      <c r="B127" s="15" t="s">
        <v>102</v>
      </c>
      <c r="C127" s="57" t="s">
        <v>114</v>
      </c>
      <c r="D127" s="63">
        <f>COUNTIFS('TOTAL SUSPEK'!$F:$F,"Bolo")</f>
        <v>0</v>
      </c>
      <c r="E127" s="18"/>
      <c r="F127" s="19"/>
      <c r="G127" s="19"/>
      <c r="H127" s="19"/>
      <c r="I127" s="19"/>
      <c r="J127" s="19"/>
      <c r="K127" s="20"/>
      <c r="L127" s="20"/>
      <c r="M127" s="20"/>
      <c r="P127" s="35">
        <f t="shared" si="1"/>
        <v>0</v>
      </c>
      <c r="Q127" s="8"/>
    </row>
    <row r="128" spans="1:17" x14ac:dyDescent="0.25">
      <c r="A128" s="52"/>
      <c r="B128" s="15" t="s">
        <v>102</v>
      </c>
      <c r="C128" s="8" t="s">
        <v>115</v>
      </c>
      <c r="D128" s="63">
        <f>COUNTIFS('TOTAL SUSPEK'!$F:$F,"Katonsari")</f>
        <v>0</v>
      </c>
      <c r="E128" s="18"/>
      <c r="F128" s="19"/>
      <c r="G128" s="19"/>
      <c r="H128" s="19"/>
      <c r="I128" s="19"/>
      <c r="J128" s="19"/>
      <c r="K128" s="20"/>
      <c r="L128" s="20"/>
      <c r="M128" s="20"/>
      <c r="P128" s="35">
        <f t="shared" si="1"/>
        <v>0</v>
      </c>
      <c r="Q128" s="8"/>
    </row>
    <row r="129" spans="1:17" x14ac:dyDescent="0.25">
      <c r="A129" s="52"/>
      <c r="B129" s="15" t="s">
        <v>102</v>
      </c>
      <c r="C129" s="8" t="s">
        <v>116</v>
      </c>
      <c r="D129" s="63">
        <f>COUNTIFS('TOTAL SUSPEK'!$F:$F,"Kalikondang")</f>
        <v>0</v>
      </c>
      <c r="E129" s="18"/>
      <c r="F129" s="19"/>
      <c r="G129" s="19"/>
      <c r="H129" s="19"/>
      <c r="I129" s="19"/>
      <c r="J129" s="19"/>
      <c r="K129" s="20"/>
      <c r="L129" s="20"/>
      <c r="M129" s="20"/>
      <c r="P129" s="35">
        <f t="shared" si="1"/>
        <v>0</v>
      </c>
      <c r="Q129" s="8"/>
    </row>
    <row r="130" spans="1:17" x14ac:dyDescent="0.25">
      <c r="A130" s="52"/>
      <c r="B130" s="15" t="s">
        <v>102</v>
      </c>
      <c r="C130" s="8" t="s">
        <v>117</v>
      </c>
      <c r="D130" s="63">
        <f>COUNTIFS('TOTAL SUSPEK'!$F:$F,"Cabean")</f>
        <v>0</v>
      </c>
      <c r="E130" s="18"/>
      <c r="F130" s="19"/>
      <c r="G130" s="19"/>
      <c r="H130" s="19"/>
      <c r="I130" s="19"/>
      <c r="J130" s="19"/>
      <c r="K130" s="20"/>
      <c r="L130" s="20"/>
      <c r="M130" s="20"/>
      <c r="P130" s="35">
        <f t="shared" si="1"/>
        <v>0</v>
      </c>
      <c r="Q130" s="8"/>
    </row>
    <row r="131" spans="1:17" x14ac:dyDescent="0.25">
      <c r="A131" s="52"/>
      <c r="B131" s="15" t="s">
        <v>102</v>
      </c>
      <c r="C131" s="8" t="s">
        <v>118</v>
      </c>
      <c r="D131" s="63">
        <f>COUNTIFS('TOTAL SUSPEK'!$F:$F,"Tempuran")</f>
        <v>0</v>
      </c>
      <c r="E131" s="18"/>
      <c r="F131" s="19"/>
      <c r="G131" s="19"/>
      <c r="H131" s="19"/>
      <c r="I131" s="19"/>
      <c r="J131" s="19"/>
      <c r="K131" s="20"/>
      <c r="L131" s="20"/>
      <c r="M131" s="20"/>
      <c r="P131" s="35">
        <f t="shared" si="1"/>
        <v>0</v>
      </c>
      <c r="Q131" s="8"/>
    </row>
    <row r="132" spans="1:17" x14ac:dyDescent="0.25">
      <c r="A132" s="52"/>
      <c r="B132" s="15" t="s">
        <v>102</v>
      </c>
      <c r="C132" s="8" t="s">
        <v>119</v>
      </c>
      <c r="D132" s="63">
        <f>COUNTIFS('TOTAL SUSPEK'!$F:$F,"Donorojo")</f>
        <v>0</v>
      </c>
      <c r="E132" s="18"/>
      <c r="F132" s="19"/>
      <c r="G132" s="19"/>
      <c r="H132" s="19"/>
      <c r="I132" s="19"/>
      <c r="J132" s="19"/>
      <c r="K132" s="20"/>
      <c r="L132" s="20"/>
      <c r="M132" s="20"/>
      <c r="P132" s="35">
        <f t="shared" si="1"/>
        <v>0</v>
      </c>
      <c r="Q132" s="8"/>
    </row>
    <row r="133" spans="1:17" x14ac:dyDescent="0.25">
      <c r="A133" s="52"/>
      <c r="B133" s="15" t="s">
        <v>102</v>
      </c>
      <c r="C133" s="8" t="s">
        <v>120</v>
      </c>
      <c r="D133" s="63">
        <f>COUNTIFS('TOTAL SUSPEK'!$F:$F,"Mangunjiwan")</f>
        <v>0</v>
      </c>
      <c r="E133" s="18"/>
      <c r="F133" s="19"/>
      <c r="G133" s="19"/>
      <c r="H133" s="19"/>
      <c r="I133" s="19"/>
      <c r="J133" s="19"/>
      <c r="K133" s="20"/>
      <c r="L133" s="20"/>
      <c r="M133" s="20"/>
      <c r="P133" s="35">
        <f t="shared" si="1"/>
        <v>0</v>
      </c>
      <c r="Q133" s="8"/>
    </row>
    <row r="134" spans="1:17" x14ac:dyDescent="0.25">
      <c r="A134" s="52">
        <v>8</v>
      </c>
      <c r="B134" s="15" t="s">
        <v>121</v>
      </c>
      <c r="C134" s="8" t="s">
        <v>122</v>
      </c>
      <c r="D134" s="63">
        <f>COUNTIFS('TOTAL SUSPEK'!$F:$F,"Morodemak")</f>
        <v>0</v>
      </c>
      <c r="E134" s="18" t="e">
        <f>SUM(#REF!)</f>
        <v>#REF!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>
        <f>SUM(D134:D154)</f>
        <v>0</v>
      </c>
      <c r="M134" s="18" t="e">
        <f>SUM(#REF!)</f>
        <v>#REF!</v>
      </c>
      <c r="P134" s="35">
        <f t="shared" si="1"/>
        <v>0</v>
      </c>
      <c r="Q134" s="118">
        <f>SUM(P134:P154)</f>
        <v>0</v>
      </c>
    </row>
    <row r="135" spans="1:17" x14ac:dyDescent="0.25">
      <c r="A135" s="52"/>
      <c r="B135" s="15" t="s">
        <v>121</v>
      </c>
      <c r="C135" s="8" t="s">
        <v>123</v>
      </c>
      <c r="D135" s="63">
        <f>COUNTIFS('TOTAL SUSPEK'!$F:$F,"Purworejo")</f>
        <v>0</v>
      </c>
      <c r="E135" s="18"/>
      <c r="F135" s="19"/>
      <c r="G135" s="19"/>
      <c r="H135" s="19"/>
      <c r="I135" s="19"/>
      <c r="J135" s="19"/>
      <c r="K135" s="20"/>
      <c r="L135" s="20"/>
      <c r="M135" s="20"/>
      <c r="P135" s="35">
        <f t="shared" si="1"/>
        <v>0</v>
      </c>
      <c r="Q135" s="8"/>
    </row>
    <row r="136" spans="1:17" x14ac:dyDescent="0.25">
      <c r="A136" s="52"/>
      <c r="B136" s="15" t="s">
        <v>121</v>
      </c>
      <c r="C136" s="8" t="s">
        <v>8</v>
      </c>
      <c r="D136" s="63">
        <f>COUNTIFS('TOTAL SUSPEK'!$F:$F,"Sumberejo",'TOTAL SUSPEK'!$E:$E,"bonang")</f>
        <v>0</v>
      </c>
      <c r="E136" s="18"/>
      <c r="F136" s="19"/>
      <c r="G136" s="19"/>
      <c r="H136" s="19"/>
      <c r="I136" s="19"/>
      <c r="J136" s="19"/>
      <c r="K136" s="20"/>
      <c r="L136" s="20"/>
      <c r="M136" s="20"/>
      <c r="P136" s="35">
        <f t="shared" ref="P136:P199" si="2">SUM(D136:D136)</f>
        <v>0</v>
      </c>
      <c r="Q136" s="8"/>
    </row>
    <row r="137" spans="1:17" x14ac:dyDescent="0.25">
      <c r="A137" s="52"/>
      <c r="B137" s="15" t="s">
        <v>121</v>
      </c>
      <c r="C137" s="8" t="s">
        <v>124</v>
      </c>
      <c r="D137" s="63">
        <f>COUNTIFS('TOTAL SUSPEK'!$F:$F,"Gebangarum")</f>
        <v>0</v>
      </c>
      <c r="E137" s="18"/>
      <c r="F137" s="19"/>
      <c r="G137" s="19"/>
      <c r="H137" s="19"/>
      <c r="I137" s="19"/>
      <c r="J137" s="19"/>
      <c r="K137" s="20"/>
      <c r="L137" s="20"/>
      <c r="M137" s="20"/>
      <c r="P137" s="35">
        <f t="shared" si="2"/>
        <v>0</v>
      </c>
      <c r="Q137" s="8"/>
    </row>
    <row r="138" spans="1:17" x14ac:dyDescent="0.25">
      <c r="A138" s="52"/>
      <c r="B138" s="15" t="s">
        <v>121</v>
      </c>
      <c r="C138" s="8" t="s">
        <v>125</v>
      </c>
      <c r="D138" s="63">
        <f>COUNTIFS('TOTAL SUSPEK'!$F:$F,"Gebang")</f>
        <v>0</v>
      </c>
      <c r="E138" s="18"/>
      <c r="F138" s="19"/>
      <c r="G138" s="19"/>
      <c r="H138" s="19"/>
      <c r="I138" s="19"/>
      <c r="J138" s="19"/>
      <c r="K138" s="20"/>
      <c r="L138" s="20"/>
      <c r="M138" s="20"/>
      <c r="P138" s="35">
        <f t="shared" si="2"/>
        <v>0</v>
      </c>
      <c r="Q138" s="8"/>
    </row>
    <row r="139" spans="1:17" x14ac:dyDescent="0.25">
      <c r="A139" s="52"/>
      <c r="B139" s="15" t="s">
        <v>121</v>
      </c>
      <c r="C139" s="8" t="s">
        <v>126</v>
      </c>
      <c r="D139" s="63">
        <f>COUNTIFS('TOTAL SUSPEK'!$F:$F,"Kembangan")</f>
        <v>0</v>
      </c>
      <c r="E139" s="18"/>
      <c r="F139" s="19"/>
      <c r="G139" s="19"/>
      <c r="H139" s="19"/>
      <c r="I139" s="19"/>
      <c r="J139" s="19"/>
      <c r="K139" s="20"/>
      <c r="L139" s="20"/>
      <c r="M139" s="20"/>
      <c r="P139" s="35">
        <f t="shared" si="2"/>
        <v>0</v>
      </c>
      <c r="Q139" s="8"/>
    </row>
    <row r="140" spans="1:17" x14ac:dyDescent="0.25">
      <c r="A140" s="52"/>
      <c r="B140" s="15" t="s">
        <v>121</v>
      </c>
      <c r="C140" s="8" t="s">
        <v>53</v>
      </c>
      <c r="D140" s="63">
        <f>COUNTIFS('TOTAL SUSPEK'!$F:$F,"Karangrejo",'TOTAL SUSPEK'!$E:$E,"bonang")</f>
        <v>0</v>
      </c>
      <c r="E140" s="18"/>
      <c r="F140" s="19"/>
      <c r="G140" s="19"/>
      <c r="H140" s="19"/>
      <c r="I140" s="19"/>
      <c r="J140" s="19"/>
      <c r="K140" s="20"/>
      <c r="L140" s="20"/>
      <c r="M140" s="20"/>
      <c r="P140" s="35">
        <f t="shared" si="2"/>
        <v>0</v>
      </c>
      <c r="Q140" s="8"/>
    </row>
    <row r="141" spans="1:17" x14ac:dyDescent="0.25">
      <c r="A141" s="52"/>
      <c r="B141" s="15" t="s">
        <v>121</v>
      </c>
      <c r="C141" s="8" t="s">
        <v>127</v>
      </c>
      <c r="D141" s="63">
        <f>COUNTIFS('TOTAL SUSPEK'!$F:$F,"Sukodono")</f>
        <v>0</v>
      </c>
      <c r="E141" s="18"/>
      <c r="F141" s="19"/>
      <c r="G141" s="19"/>
      <c r="H141" s="19"/>
      <c r="I141" s="19"/>
      <c r="J141" s="19"/>
      <c r="K141" s="20"/>
      <c r="L141" s="20"/>
      <c r="M141" s="20"/>
      <c r="P141" s="35">
        <f t="shared" si="2"/>
        <v>0</v>
      </c>
      <c r="Q141" s="8"/>
    </row>
    <row r="142" spans="1:17" x14ac:dyDescent="0.25">
      <c r="A142" s="52"/>
      <c r="B142" s="15" t="s">
        <v>121</v>
      </c>
      <c r="C142" s="8" t="s">
        <v>128</v>
      </c>
      <c r="D142" s="63">
        <f>COUNTIFS('TOTAL SUSPEK'!$F:$F,"Tlogoboyo")</f>
        <v>0</v>
      </c>
      <c r="E142" s="18"/>
      <c r="F142" s="19"/>
      <c r="G142" s="19"/>
      <c r="H142" s="19"/>
      <c r="I142" s="19"/>
      <c r="J142" s="19"/>
      <c r="K142" s="20"/>
      <c r="L142" s="20"/>
      <c r="M142" s="20"/>
      <c r="P142" s="35">
        <f t="shared" si="2"/>
        <v>0</v>
      </c>
      <c r="Q142" s="8"/>
    </row>
    <row r="143" spans="1:17" x14ac:dyDescent="0.25">
      <c r="A143" s="52"/>
      <c r="B143" s="15" t="s">
        <v>121</v>
      </c>
      <c r="C143" s="8" t="s">
        <v>129</v>
      </c>
      <c r="D143" s="63">
        <f>COUNTIFS('TOTAL SUSPEK'!$F:$F,"Margolinduk")</f>
        <v>0</v>
      </c>
      <c r="E143" s="18"/>
      <c r="F143" s="19"/>
      <c r="G143" s="19"/>
      <c r="H143" s="19"/>
      <c r="I143" s="19"/>
      <c r="J143" s="19"/>
      <c r="K143" s="20"/>
      <c r="L143" s="20"/>
      <c r="M143" s="20"/>
      <c r="P143" s="35">
        <f t="shared" si="2"/>
        <v>0</v>
      </c>
      <c r="Q143" s="8"/>
    </row>
    <row r="144" spans="1:17" x14ac:dyDescent="0.25">
      <c r="A144" s="52"/>
      <c r="B144" s="15" t="s">
        <v>121</v>
      </c>
      <c r="C144" s="8" t="s">
        <v>130</v>
      </c>
      <c r="D144" s="63">
        <f>COUNTIFS('TOTAL SUSPEK'!$F:$F,"Tridonorejo")</f>
        <v>0</v>
      </c>
      <c r="E144" s="18"/>
      <c r="F144" s="19"/>
      <c r="G144" s="19"/>
      <c r="H144" s="19"/>
      <c r="I144" s="19"/>
      <c r="J144" s="19"/>
      <c r="K144" s="20"/>
      <c r="L144" s="20"/>
      <c r="M144" s="20"/>
      <c r="P144" s="35">
        <f t="shared" si="2"/>
        <v>0</v>
      </c>
      <c r="Q144" s="8"/>
    </row>
    <row r="145" spans="1:17" x14ac:dyDescent="0.25">
      <c r="A145" s="52"/>
      <c r="B145" s="15" t="s">
        <v>121</v>
      </c>
      <c r="C145" s="8" t="s">
        <v>131</v>
      </c>
      <c r="D145" s="63">
        <f>COUNTIFS('TOTAL SUSPEK'!$F:$F,"Wonosari")</f>
        <v>0</v>
      </c>
      <c r="E145" s="18"/>
      <c r="F145" s="19"/>
      <c r="G145" s="19"/>
      <c r="H145" s="19"/>
      <c r="I145" s="19"/>
      <c r="J145" s="19"/>
      <c r="K145" s="20"/>
      <c r="L145" s="20"/>
      <c r="M145" s="20"/>
      <c r="P145" s="35">
        <f t="shared" si="2"/>
        <v>0</v>
      </c>
      <c r="Q145" s="8"/>
    </row>
    <row r="146" spans="1:17" x14ac:dyDescent="0.25">
      <c r="A146" s="52"/>
      <c r="B146" s="15" t="s">
        <v>121</v>
      </c>
      <c r="C146" s="8" t="s">
        <v>132</v>
      </c>
      <c r="D146" s="63">
        <f>COUNTIFS('TOTAL SUSPEK'!$F:$F,"Jatirogo")</f>
        <v>0</v>
      </c>
      <c r="E146" s="18"/>
      <c r="F146" s="19"/>
      <c r="G146" s="19"/>
      <c r="H146" s="19"/>
      <c r="I146" s="19"/>
      <c r="J146" s="19"/>
      <c r="K146" s="20"/>
      <c r="L146" s="20"/>
      <c r="M146" s="20"/>
      <c r="P146" s="35">
        <f t="shared" si="2"/>
        <v>0</v>
      </c>
      <c r="Q146" s="8"/>
    </row>
    <row r="147" spans="1:17" x14ac:dyDescent="0.25">
      <c r="A147" s="52"/>
      <c r="B147" s="15" t="s">
        <v>121</v>
      </c>
      <c r="C147" s="8" t="s">
        <v>133</v>
      </c>
      <c r="D147" s="63">
        <f>COUNTIFS('TOTAL SUSPEK'!$F:$F,"Poncoharjo")</f>
        <v>0</v>
      </c>
      <c r="E147" s="18"/>
      <c r="F147" s="19"/>
      <c r="G147" s="19"/>
      <c r="H147" s="19"/>
      <c r="I147" s="19"/>
      <c r="J147" s="19"/>
      <c r="K147" s="20"/>
      <c r="L147" s="20"/>
      <c r="M147" s="20"/>
      <c r="P147" s="35">
        <f t="shared" si="2"/>
        <v>0</v>
      </c>
      <c r="Q147" s="8"/>
    </row>
    <row r="148" spans="1:17" x14ac:dyDescent="0.25">
      <c r="A148" s="52"/>
      <c r="B148" s="15" t="s">
        <v>121</v>
      </c>
      <c r="C148" s="8" t="s">
        <v>134</v>
      </c>
      <c r="D148" s="63">
        <f>COUNTIFS('TOTAL SUSPEK'!$F:$F,"Jali")</f>
        <v>0</v>
      </c>
      <c r="E148" s="18"/>
      <c r="F148" s="19"/>
      <c r="G148" s="19"/>
      <c r="H148" s="19"/>
      <c r="I148" s="19"/>
      <c r="J148" s="19"/>
      <c r="K148" s="20"/>
      <c r="L148" s="20"/>
      <c r="M148" s="20"/>
      <c r="P148" s="35">
        <f t="shared" si="2"/>
        <v>0</v>
      </c>
      <c r="Q148" s="8"/>
    </row>
    <row r="149" spans="1:17" x14ac:dyDescent="0.25">
      <c r="A149" s="52"/>
      <c r="B149" s="15" t="s">
        <v>121</v>
      </c>
      <c r="C149" s="8" t="s">
        <v>135</v>
      </c>
      <c r="D149" s="63">
        <f>COUNTIFS('TOTAL SUSPEK'!$F:$F,"Krajanbogo")</f>
        <v>0</v>
      </c>
      <c r="E149" s="18"/>
      <c r="F149" s="19"/>
      <c r="G149" s="19"/>
      <c r="H149" s="19"/>
      <c r="I149" s="19"/>
      <c r="J149" s="19"/>
      <c r="K149" s="20"/>
      <c r="L149" s="20"/>
      <c r="M149" s="20"/>
      <c r="P149" s="35">
        <f t="shared" si="2"/>
        <v>0</v>
      </c>
      <c r="Q149" s="8"/>
    </row>
    <row r="150" spans="1:17" x14ac:dyDescent="0.25">
      <c r="A150" s="52"/>
      <c r="B150" s="15" t="s">
        <v>121</v>
      </c>
      <c r="C150" s="8" t="s">
        <v>136</v>
      </c>
      <c r="D150" s="63">
        <f>COUNTIFS('TOTAL SUSPEK'!$F:$F,"Serangan")</f>
        <v>0</v>
      </c>
      <c r="E150" s="18"/>
      <c r="F150" s="19"/>
      <c r="G150" s="19"/>
      <c r="H150" s="19"/>
      <c r="I150" s="19"/>
      <c r="J150" s="19"/>
      <c r="K150" s="20"/>
      <c r="L150" s="20"/>
      <c r="M150" s="20"/>
      <c r="P150" s="35">
        <f t="shared" si="2"/>
        <v>0</v>
      </c>
      <c r="Q150" s="8"/>
    </row>
    <row r="151" spans="1:17" x14ac:dyDescent="0.25">
      <c r="A151" s="52"/>
      <c r="B151" s="15" t="s">
        <v>121</v>
      </c>
      <c r="C151" s="57" t="s">
        <v>137</v>
      </c>
      <c r="D151" s="63">
        <f>COUNTIFS('TOTAL SUSPEK'!$F:$F,"Betahwalang")</f>
        <v>0</v>
      </c>
      <c r="E151" s="18"/>
      <c r="F151" s="19"/>
      <c r="G151" s="19"/>
      <c r="H151" s="19"/>
      <c r="I151" s="19"/>
      <c r="J151" s="19"/>
      <c r="K151" s="20"/>
      <c r="L151" s="20"/>
      <c r="M151" s="20"/>
      <c r="P151" s="35">
        <f t="shared" si="2"/>
        <v>0</v>
      </c>
      <c r="Q151" s="8"/>
    </row>
    <row r="152" spans="1:17" x14ac:dyDescent="0.25">
      <c r="A152" s="52"/>
      <c r="B152" s="15" t="s">
        <v>121</v>
      </c>
      <c r="C152" s="8" t="s">
        <v>138</v>
      </c>
      <c r="D152" s="63">
        <f>COUNTIFS('TOTAL SUSPEK'!$F:$F,"Jatimulyo")</f>
        <v>0</v>
      </c>
      <c r="E152" s="18"/>
      <c r="F152" s="19"/>
      <c r="G152" s="19"/>
      <c r="H152" s="19"/>
      <c r="I152" s="19"/>
      <c r="J152" s="19"/>
      <c r="K152" s="20"/>
      <c r="L152" s="20"/>
      <c r="M152" s="20"/>
      <c r="P152" s="35">
        <f t="shared" si="2"/>
        <v>0</v>
      </c>
      <c r="Q152" s="8"/>
    </row>
    <row r="153" spans="1:17" x14ac:dyDescent="0.25">
      <c r="A153" s="52"/>
      <c r="B153" s="15" t="s">
        <v>121</v>
      </c>
      <c r="C153" s="8" t="s">
        <v>139</v>
      </c>
      <c r="D153" s="63">
        <f>COUNTIFS('TOTAL SUSPEK'!$F:$F,"Weding")</f>
        <v>0</v>
      </c>
      <c r="E153" s="18"/>
      <c r="F153" s="19"/>
      <c r="G153" s="19"/>
      <c r="H153" s="19"/>
      <c r="I153" s="19"/>
      <c r="J153" s="19"/>
      <c r="K153" s="20"/>
      <c r="L153" s="20"/>
      <c r="M153" s="20"/>
      <c r="P153" s="35">
        <f t="shared" si="2"/>
        <v>0</v>
      </c>
      <c r="Q153" s="8"/>
    </row>
    <row r="154" spans="1:17" x14ac:dyDescent="0.25">
      <c r="A154" s="52"/>
      <c r="B154" s="15" t="s">
        <v>121</v>
      </c>
      <c r="C154" s="8" t="s">
        <v>140</v>
      </c>
      <c r="D154" s="63">
        <f>COUNTIFS('TOTAL SUSPEK'!$F:$F,"Bonangrejo")</f>
        <v>0</v>
      </c>
      <c r="E154" s="18"/>
      <c r="F154" s="19"/>
      <c r="G154" s="19"/>
      <c r="H154" s="19"/>
      <c r="I154" s="19"/>
      <c r="J154" s="19"/>
      <c r="K154" s="20"/>
      <c r="L154" s="20"/>
      <c r="M154" s="20"/>
      <c r="P154" s="35">
        <f t="shared" si="2"/>
        <v>0</v>
      </c>
      <c r="Q154" s="8"/>
    </row>
    <row r="155" spans="1:17" ht="15" customHeight="1" x14ac:dyDescent="0.25">
      <c r="A155" s="52">
        <v>9</v>
      </c>
      <c r="B155" s="15" t="s">
        <v>141</v>
      </c>
      <c r="C155" s="8" t="s">
        <v>142</v>
      </c>
      <c r="D155" s="63">
        <f>COUNTIFS('TOTAL SUSPEK'!$F:$F,"Temuroso")</f>
        <v>0</v>
      </c>
      <c r="E155" s="18" t="e">
        <f>SUM(#REF!)</f>
        <v>#REF!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>
        <f>SUM(D155:D174)</f>
        <v>0</v>
      </c>
      <c r="M155" s="18" t="e">
        <f>SUM(#REF!)</f>
        <v>#REF!</v>
      </c>
      <c r="P155" s="35">
        <f t="shared" si="2"/>
        <v>0</v>
      </c>
      <c r="Q155" s="118">
        <f>SUM(P155:P174)</f>
        <v>0</v>
      </c>
    </row>
    <row r="156" spans="1:17" ht="15" customHeight="1" x14ac:dyDescent="0.25">
      <c r="A156" s="52"/>
      <c r="B156" s="15" t="s">
        <v>141</v>
      </c>
      <c r="C156" s="8" t="s">
        <v>143</v>
      </c>
      <c r="D156" s="63">
        <f>COUNTIFS('TOTAL SUSPEK'!$F:$F,"Turitempel")</f>
        <v>0</v>
      </c>
      <c r="E156" s="18"/>
      <c r="F156" s="19"/>
      <c r="G156" s="19"/>
      <c r="H156" s="19"/>
      <c r="I156" s="19"/>
      <c r="J156" s="19"/>
      <c r="K156" s="20"/>
      <c r="L156" s="20"/>
      <c r="M156" s="20"/>
      <c r="P156" s="35">
        <f t="shared" si="2"/>
        <v>0</v>
      </c>
      <c r="Q156" s="8"/>
    </row>
    <row r="157" spans="1:17" ht="15" customHeight="1" x14ac:dyDescent="0.25">
      <c r="A157" s="52"/>
      <c r="B157" s="15" t="s">
        <v>141</v>
      </c>
      <c r="C157" s="8" t="s">
        <v>144</v>
      </c>
      <c r="D157" s="63">
        <f>COUNTIFS('TOTAL SUSPEK'!$F:$F,"Tlogoweru")</f>
        <v>0</v>
      </c>
      <c r="E157" s="18"/>
      <c r="F157" s="19"/>
      <c r="G157" s="19"/>
      <c r="H157" s="19"/>
      <c r="I157" s="19"/>
      <c r="J157" s="19"/>
      <c r="K157" s="20"/>
      <c r="L157" s="20"/>
      <c r="M157" s="20"/>
      <c r="P157" s="35">
        <f t="shared" si="2"/>
        <v>0</v>
      </c>
      <c r="Q157" s="8"/>
    </row>
    <row r="158" spans="1:17" ht="15" customHeight="1" x14ac:dyDescent="0.25">
      <c r="A158" s="52"/>
      <c r="B158" s="15" t="s">
        <v>141</v>
      </c>
      <c r="C158" s="8" t="s">
        <v>145</v>
      </c>
      <c r="D158" s="63">
        <f>COUNTIFS('TOTAL SUSPEK'!$F:$F,"Trimulyo")</f>
        <v>0</v>
      </c>
      <c r="E158" s="18"/>
      <c r="F158" s="19"/>
      <c r="G158" s="19"/>
      <c r="H158" s="19"/>
      <c r="I158" s="19"/>
      <c r="J158" s="19"/>
      <c r="K158" s="20"/>
      <c r="L158" s="20"/>
      <c r="M158" s="20"/>
      <c r="P158" s="35">
        <f t="shared" si="2"/>
        <v>0</v>
      </c>
      <c r="Q158" s="8"/>
    </row>
    <row r="159" spans="1:17" ht="15" customHeight="1" x14ac:dyDescent="0.25">
      <c r="A159" s="52"/>
      <c r="B159" s="15" t="s">
        <v>141</v>
      </c>
      <c r="C159" s="8" t="s">
        <v>146</v>
      </c>
      <c r="D159" s="63">
        <f>COUNTIFS('TOTAL SUSPEK'!$F:$F,"Bakalrejo")</f>
        <v>0</v>
      </c>
      <c r="E159" s="18"/>
      <c r="F159" s="19"/>
      <c r="G159" s="19"/>
      <c r="H159" s="19"/>
      <c r="I159" s="19"/>
      <c r="J159" s="19"/>
      <c r="K159" s="20"/>
      <c r="L159" s="20"/>
      <c r="M159" s="20"/>
      <c r="P159" s="35">
        <f t="shared" si="2"/>
        <v>0</v>
      </c>
      <c r="Q159" s="8"/>
    </row>
    <row r="160" spans="1:17" ht="15" customHeight="1" x14ac:dyDescent="0.25">
      <c r="A160" s="52"/>
      <c r="B160" s="15" t="s">
        <v>141</v>
      </c>
      <c r="C160" s="8" t="s">
        <v>50</v>
      </c>
      <c r="D160" s="63">
        <f>COUNTIFS('TOTAL SUSPEK'!$F:$F,"Tlogorejo",'TOTAL SUSPEK'!$E:$E,"guntur")</f>
        <v>0</v>
      </c>
      <c r="E160" s="18"/>
      <c r="F160" s="19"/>
      <c r="G160" s="19"/>
      <c r="H160" s="19"/>
      <c r="I160" s="19"/>
      <c r="J160" s="19"/>
      <c r="K160" s="20"/>
      <c r="L160" s="20"/>
      <c r="M160" s="20"/>
      <c r="P160" s="35">
        <f t="shared" si="2"/>
        <v>0</v>
      </c>
      <c r="Q160" s="8"/>
    </row>
    <row r="161" spans="1:17" ht="15" customHeight="1" x14ac:dyDescent="0.25">
      <c r="A161" s="52"/>
      <c r="B161" s="15" t="s">
        <v>141</v>
      </c>
      <c r="C161" s="8" t="s">
        <v>147</v>
      </c>
      <c r="D161" s="63">
        <f>COUNTIFS('TOTAL SUSPEK'!$F:$F,"Bumiharjo")</f>
        <v>0</v>
      </c>
      <c r="E161" s="18"/>
      <c r="F161" s="19"/>
      <c r="G161" s="19"/>
      <c r="H161" s="19"/>
      <c r="I161" s="19"/>
      <c r="J161" s="19"/>
      <c r="K161" s="20"/>
      <c r="L161" s="20"/>
      <c r="M161" s="20"/>
      <c r="P161" s="35">
        <f t="shared" si="2"/>
        <v>0</v>
      </c>
      <c r="Q161" s="8"/>
    </row>
    <row r="162" spans="1:17" ht="15" customHeight="1" x14ac:dyDescent="0.25">
      <c r="A162" s="52"/>
      <c r="B162" s="15" t="s">
        <v>141</v>
      </c>
      <c r="C162" s="8" t="s">
        <v>148</v>
      </c>
      <c r="D162" s="63">
        <f>COUNTIFS('TOTAL SUSPEK'!$F:$F,"Sidoharjo")</f>
        <v>0</v>
      </c>
      <c r="E162" s="18"/>
      <c r="F162" s="19"/>
      <c r="G162" s="19"/>
      <c r="H162" s="19"/>
      <c r="I162" s="19"/>
      <c r="J162" s="19"/>
      <c r="K162" s="20"/>
      <c r="L162" s="20"/>
      <c r="M162" s="20"/>
      <c r="P162" s="35">
        <f t="shared" si="2"/>
        <v>0</v>
      </c>
      <c r="Q162" s="8"/>
    </row>
    <row r="163" spans="1:17" ht="15" customHeight="1" x14ac:dyDescent="0.25">
      <c r="A163" s="52"/>
      <c r="B163" s="15" t="s">
        <v>141</v>
      </c>
      <c r="C163" s="8" t="s">
        <v>149</v>
      </c>
      <c r="D163" s="63">
        <f>COUNTIFS('TOTAL SUSPEK'!$F:$F,"Bogosari")</f>
        <v>0</v>
      </c>
      <c r="E163" s="18"/>
      <c r="F163" s="19"/>
      <c r="G163" s="19"/>
      <c r="H163" s="19"/>
      <c r="I163" s="19"/>
      <c r="J163" s="19"/>
      <c r="K163" s="20"/>
      <c r="L163" s="20"/>
      <c r="M163" s="20"/>
      <c r="P163" s="35">
        <f t="shared" si="2"/>
        <v>0</v>
      </c>
      <c r="Q163" s="8"/>
    </row>
    <row r="164" spans="1:17" ht="15" customHeight="1" x14ac:dyDescent="0.25">
      <c r="A164" s="52"/>
      <c r="B164" s="15" t="s">
        <v>141</v>
      </c>
      <c r="C164" s="8" t="s">
        <v>150</v>
      </c>
      <c r="D164" s="63">
        <f>COUNTIFS('TOTAL SUSPEK'!$F:$F,"Guntur")</f>
        <v>0</v>
      </c>
      <c r="E164" s="18"/>
      <c r="F164" s="19"/>
      <c r="G164" s="19"/>
      <c r="H164" s="19"/>
      <c r="I164" s="19"/>
      <c r="J164" s="19"/>
      <c r="K164" s="20"/>
      <c r="L164" s="20"/>
      <c r="M164" s="20"/>
      <c r="P164" s="35">
        <f t="shared" si="2"/>
        <v>0</v>
      </c>
      <c r="Q164" s="8"/>
    </row>
    <row r="165" spans="1:17" ht="15" customHeight="1" x14ac:dyDescent="0.25">
      <c r="A165" s="52"/>
      <c r="B165" s="15" t="s">
        <v>141</v>
      </c>
      <c r="C165" s="8" t="s">
        <v>151</v>
      </c>
      <c r="D165" s="63">
        <f>COUNTIFS('TOTAL SUSPEK'!$F:$F,"Blerong")</f>
        <v>0</v>
      </c>
      <c r="E165" s="18"/>
      <c r="F165" s="19"/>
      <c r="G165" s="19"/>
      <c r="H165" s="19"/>
      <c r="I165" s="19"/>
      <c r="J165" s="19"/>
      <c r="K165" s="20"/>
      <c r="L165" s="20"/>
      <c r="M165" s="20"/>
      <c r="P165" s="35">
        <f t="shared" si="2"/>
        <v>0</v>
      </c>
      <c r="Q165" s="8"/>
    </row>
    <row r="166" spans="1:17" ht="15" customHeight="1" x14ac:dyDescent="0.25">
      <c r="A166" s="52"/>
      <c r="B166" s="15" t="s">
        <v>141</v>
      </c>
      <c r="C166" s="8" t="s">
        <v>152</v>
      </c>
      <c r="D166" s="63">
        <f>COUNTIFS('TOTAL SUSPEK'!$F:$F,"Pamongan")</f>
        <v>0</v>
      </c>
      <c r="E166" s="18"/>
      <c r="F166" s="19"/>
      <c r="G166" s="19"/>
      <c r="H166" s="19"/>
      <c r="I166" s="19"/>
      <c r="J166" s="19"/>
      <c r="K166" s="20"/>
      <c r="L166" s="20"/>
      <c r="M166" s="20"/>
      <c r="P166" s="35">
        <f t="shared" si="2"/>
        <v>0</v>
      </c>
      <c r="Q166" s="8"/>
    </row>
    <row r="167" spans="1:17" ht="15" customHeight="1" x14ac:dyDescent="0.25">
      <c r="A167" s="52"/>
      <c r="B167" s="15" t="s">
        <v>141</v>
      </c>
      <c r="C167" s="8" t="s">
        <v>153</v>
      </c>
      <c r="D167" s="63">
        <f>COUNTIFS('TOTAL SUSPEK'!$F:$F,"Sukorejo")</f>
        <v>0</v>
      </c>
      <c r="E167" s="18"/>
      <c r="F167" s="19"/>
      <c r="G167" s="19"/>
      <c r="H167" s="19"/>
      <c r="I167" s="19"/>
      <c r="J167" s="19"/>
      <c r="K167" s="20"/>
      <c r="L167" s="20"/>
      <c r="M167" s="20"/>
      <c r="P167" s="35">
        <f t="shared" si="2"/>
        <v>0</v>
      </c>
      <c r="Q167" s="8"/>
    </row>
    <row r="168" spans="1:17" ht="15" customHeight="1" x14ac:dyDescent="0.25">
      <c r="A168" s="52"/>
      <c r="B168" s="15" t="s">
        <v>141</v>
      </c>
      <c r="C168" s="8" t="s">
        <v>154</v>
      </c>
      <c r="D168" s="63">
        <f>COUNTIFS('TOTAL SUSPEK'!$F:$F,"Sarirejo")</f>
        <v>0</v>
      </c>
      <c r="E168" s="18"/>
      <c r="F168" s="19"/>
      <c r="G168" s="19"/>
      <c r="H168" s="19"/>
      <c r="I168" s="19"/>
      <c r="J168" s="19"/>
      <c r="K168" s="20"/>
      <c r="L168" s="20"/>
      <c r="M168" s="20"/>
      <c r="P168" s="35">
        <f t="shared" si="2"/>
        <v>0</v>
      </c>
      <c r="Q168" s="8"/>
    </row>
    <row r="169" spans="1:17" ht="15" customHeight="1" x14ac:dyDescent="0.25">
      <c r="A169" s="52"/>
      <c r="B169" s="15" t="s">
        <v>141</v>
      </c>
      <c r="C169" s="8" t="s">
        <v>155</v>
      </c>
      <c r="D169" s="63">
        <f>COUNTIFS('TOTAL SUSPEK'!$F:$F,"Sidokumpul")</f>
        <v>0</v>
      </c>
      <c r="E169" s="18"/>
      <c r="F169" s="19"/>
      <c r="G169" s="19"/>
      <c r="H169" s="19"/>
      <c r="I169" s="19"/>
      <c r="J169" s="19"/>
      <c r="K169" s="20"/>
      <c r="L169" s="20"/>
      <c r="M169" s="20"/>
      <c r="P169" s="35">
        <f t="shared" si="2"/>
        <v>0</v>
      </c>
      <c r="Q169" s="8"/>
    </row>
    <row r="170" spans="1:17" ht="15" customHeight="1" x14ac:dyDescent="0.25">
      <c r="A170" s="52"/>
      <c r="B170" s="15" t="s">
        <v>141</v>
      </c>
      <c r="C170" s="8" t="s">
        <v>156</v>
      </c>
      <c r="D170" s="63">
        <f>COUNTIFS('TOTAL SUSPEK'!$F:$F,"Gaji")</f>
        <v>0</v>
      </c>
      <c r="E170" s="18"/>
      <c r="F170" s="19"/>
      <c r="G170" s="19"/>
      <c r="H170" s="19"/>
      <c r="I170" s="19"/>
      <c r="J170" s="19"/>
      <c r="K170" s="20"/>
      <c r="L170" s="20"/>
      <c r="M170" s="20"/>
      <c r="P170" s="35">
        <f t="shared" si="2"/>
        <v>0</v>
      </c>
      <c r="Q170" s="8"/>
    </row>
    <row r="171" spans="1:17" ht="15" customHeight="1" x14ac:dyDescent="0.25">
      <c r="A171" s="52"/>
      <c r="B171" s="15" t="s">
        <v>141</v>
      </c>
      <c r="C171" s="8" t="s">
        <v>157</v>
      </c>
      <c r="D171" s="63">
        <f>COUNTIFS('TOTAL SUSPEK'!$F:$F,"Banjarejo")</f>
        <v>0</v>
      </c>
      <c r="E171" s="18"/>
      <c r="F171" s="19"/>
      <c r="G171" s="19"/>
      <c r="H171" s="19"/>
      <c r="I171" s="19"/>
      <c r="J171" s="19"/>
      <c r="K171" s="20"/>
      <c r="L171" s="20"/>
      <c r="M171" s="20"/>
      <c r="P171" s="35">
        <f t="shared" si="2"/>
        <v>0</v>
      </c>
      <c r="Q171" s="8"/>
    </row>
    <row r="172" spans="1:17" ht="15" customHeight="1" x14ac:dyDescent="0.25">
      <c r="A172" s="52"/>
      <c r="B172" s="15" t="s">
        <v>141</v>
      </c>
      <c r="C172" s="8" t="s">
        <v>158</v>
      </c>
      <c r="D172" s="63">
        <f>COUNTIFS('TOTAL SUSPEK'!$F:$F,"Krandon")</f>
        <v>0</v>
      </c>
      <c r="E172" s="18"/>
      <c r="F172" s="19"/>
      <c r="G172" s="19"/>
      <c r="H172" s="19"/>
      <c r="I172" s="19"/>
      <c r="J172" s="19"/>
      <c r="K172" s="20"/>
      <c r="L172" s="20"/>
      <c r="M172" s="20"/>
      <c r="P172" s="35">
        <f t="shared" si="2"/>
        <v>0</v>
      </c>
      <c r="Q172" s="8"/>
    </row>
    <row r="173" spans="1:17" ht="15" customHeight="1" x14ac:dyDescent="0.25">
      <c r="A173" s="52"/>
      <c r="B173" s="15" t="s">
        <v>141</v>
      </c>
      <c r="C173" s="8" t="s">
        <v>159</v>
      </c>
      <c r="D173" s="63">
        <f>COUNTIFS('TOTAL SUSPEK'!$F:$F,"Tangkis")</f>
        <v>0</v>
      </c>
      <c r="E173" s="18"/>
      <c r="F173" s="19"/>
      <c r="G173" s="19"/>
      <c r="H173" s="19"/>
      <c r="I173" s="19"/>
      <c r="J173" s="19"/>
      <c r="K173" s="20"/>
      <c r="L173" s="20"/>
      <c r="M173" s="20"/>
      <c r="P173" s="35">
        <f t="shared" si="2"/>
        <v>0</v>
      </c>
      <c r="Q173" s="8"/>
    </row>
    <row r="174" spans="1:17" ht="15" customHeight="1" x14ac:dyDescent="0.25">
      <c r="A174" s="52"/>
      <c r="B174" s="15" t="s">
        <v>141</v>
      </c>
      <c r="C174" s="8" t="s">
        <v>80</v>
      </c>
      <c r="D174" s="63">
        <f>COUNTIFS('TOTAL SUSPEK'!$F:$F,"Wonorejo",'TOTAL SUSPEK'!$E:$E,"guntur")</f>
        <v>0</v>
      </c>
      <c r="E174" s="18"/>
      <c r="F174" s="19"/>
      <c r="G174" s="19"/>
      <c r="H174" s="19"/>
      <c r="I174" s="19"/>
      <c r="J174" s="19"/>
      <c r="K174" s="20"/>
      <c r="L174" s="20"/>
      <c r="M174" s="20"/>
      <c r="P174" s="35">
        <f t="shared" si="2"/>
        <v>0</v>
      </c>
      <c r="Q174" s="8"/>
    </row>
    <row r="175" spans="1:17" ht="15" customHeight="1" x14ac:dyDescent="0.25">
      <c r="A175" s="5">
        <v>10</v>
      </c>
      <c r="B175" s="15" t="s">
        <v>164</v>
      </c>
      <c r="C175" s="8" t="s">
        <v>160</v>
      </c>
      <c r="D175" s="63">
        <f>COUNTIFS('TOTAL SUSPEK'!$F:$F,"Bumirejo")</f>
        <v>0</v>
      </c>
      <c r="E175" s="18" t="e">
        <f>SUM(#REF!)</f>
        <v>#REF!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>
        <f>SUM(D175:D186)</f>
        <v>0</v>
      </c>
      <c r="M175" s="18" t="e">
        <f>SUM(#REF!)</f>
        <v>#REF!</v>
      </c>
      <c r="P175" s="35">
        <f t="shared" si="2"/>
        <v>0</v>
      </c>
      <c r="Q175" s="118">
        <f>SUM(P175:P186)</f>
        <v>0</v>
      </c>
    </row>
    <row r="176" spans="1:17" ht="15" customHeight="1" x14ac:dyDescent="0.25">
      <c r="A176" s="5"/>
      <c r="B176" s="15" t="s">
        <v>164</v>
      </c>
      <c r="C176" s="8" t="s">
        <v>161</v>
      </c>
      <c r="D176" s="63">
        <f>COUNTIFS('TOTAL SUSPEK'!$F:$F,"Pundenarum")</f>
        <v>0</v>
      </c>
      <c r="E176" s="18"/>
      <c r="F176" s="19"/>
      <c r="G176" s="19"/>
      <c r="H176" s="19"/>
      <c r="I176" s="19"/>
      <c r="J176" s="19"/>
      <c r="K176" s="20"/>
      <c r="L176" s="20"/>
      <c r="M176" s="20"/>
      <c r="P176" s="35">
        <f t="shared" si="2"/>
        <v>0</v>
      </c>
      <c r="Q176" s="8"/>
    </row>
    <row r="177" spans="1:17" ht="15" customHeight="1" x14ac:dyDescent="0.25">
      <c r="A177" s="5"/>
      <c r="B177" s="15" t="s">
        <v>164</v>
      </c>
      <c r="C177" s="8" t="s">
        <v>162</v>
      </c>
      <c r="D177" s="63">
        <f>COUNTIFS('TOTAL SUSPEK'!$F:$F,"Kuripan")</f>
        <v>0</v>
      </c>
      <c r="E177" s="18"/>
      <c r="F177" s="19"/>
      <c r="G177" s="19"/>
      <c r="H177" s="19"/>
      <c r="I177" s="19"/>
      <c r="J177" s="19"/>
      <c r="K177" s="20"/>
      <c r="L177" s="20"/>
      <c r="M177" s="20"/>
      <c r="P177" s="35">
        <f t="shared" si="2"/>
        <v>0</v>
      </c>
      <c r="Q177" s="8"/>
    </row>
    <row r="178" spans="1:17" ht="15" customHeight="1" x14ac:dyDescent="0.25">
      <c r="A178" s="5"/>
      <c r="B178" s="15" t="s">
        <v>164</v>
      </c>
      <c r="C178" s="8" t="s">
        <v>163</v>
      </c>
      <c r="D178" s="63">
        <f>COUNTIFS('TOTAL SUSPEK'!$F:$F,"Brambang")</f>
        <v>0</v>
      </c>
      <c r="E178" s="18"/>
      <c r="F178" s="19"/>
      <c r="G178" s="19"/>
      <c r="H178" s="19"/>
      <c r="I178" s="19"/>
      <c r="J178" s="19"/>
      <c r="K178" s="20"/>
      <c r="L178" s="20"/>
      <c r="M178" s="20"/>
      <c r="P178" s="35">
        <f t="shared" si="2"/>
        <v>0</v>
      </c>
      <c r="Q178" s="8"/>
    </row>
    <row r="179" spans="1:17" ht="15" customHeight="1" x14ac:dyDescent="0.25">
      <c r="A179" s="5"/>
      <c r="B179" s="15" t="s">
        <v>164</v>
      </c>
      <c r="C179" s="8" t="s">
        <v>164</v>
      </c>
      <c r="D179" s="63">
        <f>COUNTIFS('TOTAL SUSPEK'!$F:$F,"Karangawen")</f>
        <v>0</v>
      </c>
      <c r="E179" s="18"/>
      <c r="F179" s="19"/>
      <c r="G179" s="19"/>
      <c r="H179" s="19"/>
      <c r="I179" s="19"/>
      <c r="J179" s="19"/>
      <c r="K179" s="20"/>
      <c r="L179" s="20"/>
      <c r="M179" s="20"/>
      <c r="P179" s="35">
        <f t="shared" si="2"/>
        <v>0</v>
      </c>
      <c r="Q179" s="8"/>
    </row>
    <row r="180" spans="1:17" ht="15" customHeight="1" x14ac:dyDescent="0.25">
      <c r="A180" s="5"/>
      <c r="B180" s="15" t="s">
        <v>164</v>
      </c>
      <c r="C180" s="8" t="s">
        <v>165</v>
      </c>
      <c r="D180" s="63">
        <f>COUNTIFS('TOTAL SUSPEK'!$F:$F,"Sidorejo",'TOTAL SUSPEK'!$E:$E,"karangawen")</f>
        <v>0</v>
      </c>
      <c r="E180" s="18"/>
      <c r="F180" s="19"/>
      <c r="G180" s="19"/>
      <c r="H180" s="19"/>
      <c r="I180" s="19"/>
      <c r="J180" s="19"/>
      <c r="K180" s="20"/>
      <c r="L180" s="20"/>
      <c r="M180" s="20"/>
      <c r="P180" s="35">
        <f t="shared" si="2"/>
        <v>0</v>
      </c>
      <c r="Q180" s="8"/>
    </row>
    <row r="181" spans="1:17" ht="15" customHeight="1" x14ac:dyDescent="0.25">
      <c r="A181" s="5"/>
      <c r="B181" s="15" t="s">
        <v>164</v>
      </c>
      <c r="C181" s="8" t="s">
        <v>166</v>
      </c>
      <c r="D181" s="63">
        <f>COUNTIFS('TOTAL SUSPEK'!$F:$F,"Wonosekar")</f>
        <v>0</v>
      </c>
      <c r="E181" s="18"/>
      <c r="F181" s="19"/>
      <c r="G181" s="19"/>
      <c r="H181" s="19"/>
      <c r="I181" s="19"/>
      <c r="J181" s="19"/>
      <c r="K181" s="20"/>
      <c r="L181" s="20"/>
      <c r="M181" s="20"/>
      <c r="P181" s="35">
        <f t="shared" si="2"/>
        <v>0</v>
      </c>
      <c r="Q181" s="8"/>
    </row>
    <row r="182" spans="1:17" ht="15" customHeight="1" x14ac:dyDescent="0.25">
      <c r="A182" s="5"/>
      <c r="B182" s="15" t="s">
        <v>164</v>
      </c>
      <c r="C182" s="8" t="s">
        <v>50</v>
      </c>
      <c r="D182" s="63">
        <f>COUNTIFS('TOTAL SUSPEK'!$F:$F,"Tlogorejo",'TOTAL SUSPEK'!$E:$E,"Karangawen")</f>
        <v>0</v>
      </c>
      <c r="E182" s="18"/>
      <c r="F182" s="19"/>
      <c r="G182" s="19"/>
      <c r="H182" s="19"/>
      <c r="I182" s="19"/>
      <c r="J182" s="19"/>
      <c r="K182" s="20"/>
      <c r="L182" s="20"/>
      <c r="M182" s="20"/>
      <c r="P182" s="35">
        <f t="shared" si="2"/>
        <v>0</v>
      </c>
      <c r="Q182" s="8"/>
    </row>
    <row r="183" spans="1:17" ht="15" customHeight="1" x14ac:dyDescent="0.25">
      <c r="A183" s="5"/>
      <c r="B183" s="15" t="s">
        <v>164</v>
      </c>
      <c r="C183" s="8" t="s">
        <v>26</v>
      </c>
      <c r="D183" s="63">
        <f>COUNTIFS('TOTAL SUSPEK'!$F:$F,"Rejosari",'TOTAL SUSPEK'!$E:$E,"karangawen")</f>
        <v>0</v>
      </c>
      <c r="E183" s="18"/>
      <c r="F183" s="19"/>
      <c r="G183" s="19"/>
      <c r="H183" s="19"/>
      <c r="I183" s="19"/>
      <c r="J183" s="19"/>
      <c r="K183" s="20"/>
      <c r="L183" s="20"/>
      <c r="M183" s="20"/>
      <c r="P183" s="35">
        <f t="shared" si="2"/>
        <v>0</v>
      </c>
      <c r="Q183" s="8"/>
    </row>
    <row r="184" spans="1:17" ht="15" customHeight="1" x14ac:dyDescent="0.25">
      <c r="A184" s="5"/>
      <c r="B184" s="15" t="s">
        <v>164</v>
      </c>
      <c r="C184" s="8" t="s">
        <v>167</v>
      </c>
      <c r="D184" s="63">
        <f>COUNTIFS('TOTAL SUSPEK'!$F:$F,"Teluk")</f>
        <v>0</v>
      </c>
      <c r="E184" s="18"/>
      <c r="F184" s="19"/>
      <c r="G184" s="19"/>
      <c r="H184" s="19"/>
      <c r="I184" s="19"/>
      <c r="J184" s="19"/>
      <c r="K184" s="20"/>
      <c r="L184" s="20"/>
      <c r="M184" s="20"/>
      <c r="P184" s="35">
        <f t="shared" si="2"/>
        <v>0</v>
      </c>
      <c r="Q184" s="8"/>
    </row>
    <row r="185" spans="1:17" ht="15" customHeight="1" x14ac:dyDescent="0.25">
      <c r="A185" s="5"/>
      <c r="B185" s="15" t="s">
        <v>164</v>
      </c>
      <c r="C185" s="8" t="s">
        <v>168</v>
      </c>
      <c r="D185" s="63">
        <f>COUNTIFS('TOTAL SUSPEK'!$F:$F,"Margohayu")</f>
        <v>0</v>
      </c>
      <c r="E185" s="18"/>
      <c r="F185" s="19"/>
      <c r="G185" s="19"/>
      <c r="H185" s="19"/>
      <c r="I185" s="19"/>
      <c r="J185" s="19"/>
      <c r="K185" s="20"/>
      <c r="L185" s="20"/>
      <c r="M185" s="20"/>
      <c r="P185" s="35">
        <f t="shared" si="2"/>
        <v>0</v>
      </c>
      <c r="Q185" s="8"/>
    </row>
    <row r="186" spans="1:17" ht="15" customHeight="1" x14ac:dyDescent="0.25">
      <c r="A186" s="5"/>
      <c r="B186" s="15" t="s">
        <v>164</v>
      </c>
      <c r="C186" s="8" t="s">
        <v>169</v>
      </c>
      <c r="D186" s="63">
        <f>COUNTIFS('TOTAL SUSPEK'!$F:$F,"Jragung")</f>
        <v>0</v>
      </c>
      <c r="E186" s="18"/>
      <c r="F186" s="19"/>
      <c r="G186" s="19"/>
      <c r="H186" s="19"/>
      <c r="I186" s="19"/>
      <c r="J186" s="19"/>
      <c r="K186" s="20"/>
      <c r="L186" s="20"/>
      <c r="M186" s="20"/>
      <c r="P186" s="35">
        <f t="shared" si="2"/>
        <v>0</v>
      </c>
      <c r="Q186" s="8"/>
    </row>
    <row r="187" spans="1:17" x14ac:dyDescent="0.25">
      <c r="A187" s="5">
        <v>11</v>
      </c>
      <c r="B187" s="15" t="s">
        <v>170</v>
      </c>
      <c r="C187" s="8" t="s">
        <v>171</v>
      </c>
      <c r="D187" s="63">
        <f>COUNTIFS('TOTAL SUSPEK'!$F:$F,"Harjowinangun")</f>
        <v>0</v>
      </c>
      <c r="E187" s="18" t="e">
        <f>SUM(#REF!)</f>
        <v>#REF!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>
        <f>SUM(D187:D202)</f>
        <v>2</v>
      </c>
      <c r="M187" s="18" t="e">
        <f>SUM(#REF!)</f>
        <v>#REF!</v>
      </c>
      <c r="P187" s="35">
        <f t="shared" si="2"/>
        <v>0</v>
      </c>
      <c r="Q187" s="118">
        <f>SUM(P187:P202)</f>
        <v>2</v>
      </c>
    </row>
    <row r="188" spans="1:17" x14ac:dyDescent="0.25">
      <c r="A188" s="5"/>
      <c r="B188" s="15" t="s">
        <v>170</v>
      </c>
      <c r="C188" s="8" t="s">
        <v>170</v>
      </c>
      <c r="D188" s="63">
        <f>COUNTIFS('TOTAL SUSPEK'!$F:$F,"Dempet")</f>
        <v>0</v>
      </c>
      <c r="E188" s="18"/>
      <c r="F188" s="19"/>
      <c r="G188" s="19"/>
      <c r="H188" s="19"/>
      <c r="I188" s="19"/>
      <c r="J188" s="19"/>
      <c r="K188" s="20"/>
      <c r="L188" s="20"/>
      <c r="M188" s="20"/>
      <c r="P188" s="35">
        <f t="shared" si="2"/>
        <v>0</v>
      </c>
      <c r="Q188" s="8"/>
    </row>
    <row r="189" spans="1:17" x14ac:dyDescent="0.25">
      <c r="A189" s="5"/>
      <c r="B189" s="15" t="s">
        <v>170</v>
      </c>
      <c r="C189" s="8" t="s">
        <v>172</v>
      </c>
      <c r="D189" s="63">
        <f>COUNTIFS('TOTAL SUSPEK'!$F:$F,"Brakas")</f>
        <v>0</v>
      </c>
      <c r="E189" s="18"/>
      <c r="F189" s="19"/>
      <c r="G189" s="19"/>
      <c r="H189" s="19"/>
      <c r="I189" s="19"/>
      <c r="J189" s="19"/>
      <c r="K189" s="20"/>
      <c r="L189" s="20"/>
      <c r="M189" s="20"/>
      <c r="P189" s="35">
        <f t="shared" si="2"/>
        <v>0</v>
      </c>
      <c r="Q189" s="8"/>
    </row>
    <row r="190" spans="1:17" x14ac:dyDescent="0.25">
      <c r="A190" s="5"/>
      <c r="B190" s="15" t="s">
        <v>170</v>
      </c>
      <c r="C190" s="57" t="s">
        <v>44</v>
      </c>
      <c r="D190" s="63">
        <f>COUNTIFS('TOTAL SUSPEK'!$F:$F,"Sidomulyo",'TOTAL SUSPEK'!$E:$E,"dempet")</f>
        <v>0</v>
      </c>
      <c r="E190" s="18"/>
      <c r="F190" s="19"/>
      <c r="G190" s="19"/>
      <c r="H190" s="19"/>
      <c r="I190" s="19"/>
      <c r="J190" s="19"/>
      <c r="K190" s="20"/>
      <c r="L190" s="20"/>
      <c r="M190" s="20"/>
      <c r="P190" s="35">
        <f t="shared" si="2"/>
        <v>0</v>
      </c>
      <c r="Q190" s="8"/>
    </row>
    <row r="191" spans="1:17" x14ac:dyDescent="0.25">
      <c r="A191" s="5"/>
      <c r="B191" s="15" t="s">
        <v>170</v>
      </c>
      <c r="C191" s="8" t="s">
        <v>173</v>
      </c>
      <c r="D191" s="63">
        <f>COUNTIFS('TOTAL SUSPEK'!$F:$F,"Gempoldenok")</f>
        <v>0</v>
      </c>
      <c r="E191" s="18"/>
      <c r="F191" s="19"/>
      <c r="G191" s="19"/>
      <c r="H191" s="19"/>
      <c r="I191" s="19"/>
      <c r="J191" s="19"/>
      <c r="K191" s="20"/>
      <c r="L191" s="20"/>
      <c r="M191" s="20"/>
      <c r="P191" s="35">
        <f t="shared" si="2"/>
        <v>0</v>
      </c>
      <c r="Q191" s="8"/>
    </row>
    <row r="192" spans="1:17" x14ac:dyDescent="0.25">
      <c r="A192" s="5"/>
      <c r="B192" s="15" t="s">
        <v>170</v>
      </c>
      <c r="C192" s="8" t="s">
        <v>174</v>
      </c>
      <c r="D192" s="63">
        <f>COUNTIFS('TOTAL SUSPEK'!$F:$F,"Botosengon")</f>
        <v>0</v>
      </c>
      <c r="E192" s="18"/>
      <c r="F192" s="19"/>
      <c r="G192" s="19"/>
      <c r="H192" s="19"/>
      <c r="I192" s="19"/>
      <c r="J192" s="19"/>
      <c r="K192" s="20"/>
      <c r="L192" s="20"/>
      <c r="M192" s="20"/>
      <c r="P192" s="35">
        <f t="shared" si="2"/>
        <v>0</v>
      </c>
      <c r="Q192" s="8"/>
    </row>
    <row r="193" spans="1:17" x14ac:dyDescent="0.25">
      <c r="A193" s="5"/>
      <c r="B193" s="15" t="s">
        <v>170</v>
      </c>
      <c r="C193" s="8" t="s">
        <v>175</v>
      </c>
      <c r="D193" s="63">
        <f>COUNTIFS('TOTAL SUSPEK'!$F:$F,"Merak")</f>
        <v>0</v>
      </c>
      <c r="E193" s="18"/>
      <c r="F193" s="19"/>
      <c r="G193" s="19"/>
      <c r="H193" s="19"/>
      <c r="I193" s="19"/>
      <c r="J193" s="19"/>
      <c r="K193" s="20"/>
      <c r="L193" s="20"/>
      <c r="M193" s="20"/>
      <c r="P193" s="35">
        <f t="shared" si="2"/>
        <v>0</v>
      </c>
      <c r="Q193" s="8"/>
    </row>
    <row r="194" spans="1:17" x14ac:dyDescent="0.25">
      <c r="A194" s="5"/>
      <c r="B194" s="15" t="s">
        <v>170</v>
      </c>
      <c r="C194" s="8" t="s">
        <v>176</v>
      </c>
      <c r="D194" s="63">
        <f>COUNTIFS('TOTAL SUSPEK'!$F:$F,"Kebonsari")</f>
        <v>1</v>
      </c>
      <c r="E194" s="18"/>
      <c r="F194" s="19"/>
      <c r="G194" s="19"/>
      <c r="H194" s="19"/>
      <c r="I194" s="19"/>
      <c r="J194" s="19"/>
      <c r="K194" s="20"/>
      <c r="L194" s="20"/>
      <c r="M194" s="20"/>
      <c r="P194" s="35">
        <f t="shared" si="2"/>
        <v>1</v>
      </c>
      <c r="Q194" s="8"/>
    </row>
    <row r="195" spans="1:17" x14ac:dyDescent="0.25">
      <c r="A195" s="5"/>
      <c r="B195" s="15" t="s">
        <v>170</v>
      </c>
      <c r="C195" s="8" t="s">
        <v>177</v>
      </c>
      <c r="D195" s="63">
        <f>COUNTIFS('TOTAL SUSPEK'!$F:$F,"Balerejo")</f>
        <v>1</v>
      </c>
      <c r="E195" s="18"/>
      <c r="F195" s="19"/>
      <c r="G195" s="19"/>
      <c r="H195" s="19"/>
      <c r="I195" s="19"/>
      <c r="J195" s="19"/>
      <c r="K195" s="20"/>
      <c r="L195" s="20"/>
      <c r="M195" s="20"/>
      <c r="P195" s="35">
        <f t="shared" si="2"/>
        <v>1</v>
      </c>
      <c r="Q195" s="8"/>
    </row>
    <row r="196" spans="1:17" x14ac:dyDescent="0.25">
      <c r="A196" s="5"/>
      <c r="B196" s="15" t="s">
        <v>170</v>
      </c>
      <c r="C196" s="8" t="s">
        <v>53</v>
      </c>
      <c r="D196" s="63">
        <f>COUNTIFS('TOTAL SUSPEK'!$F:$F,"Karangrejo",'TOTAL SUSPEK'!$E:$E,"dempet")</f>
        <v>0</v>
      </c>
      <c r="E196" s="18"/>
      <c r="F196" s="19"/>
      <c r="G196" s="19"/>
      <c r="H196" s="19"/>
      <c r="I196" s="19"/>
      <c r="J196" s="19"/>
      <c r="K196" s="20"/>
      <c r="L196" s="20"/>
      <c r="M196" s="20"/>
      <c r="P196" s="35">
        <f t="shared" si="2"/>
        <v>0</v>
      </c>
      <c r="Q196" s="8"/>
    </row>
    <row r="197" spans="1:17" x14ac:dyDescent="0.25">
      <c r="A197" s="5"/>
      <c r="B197" s="15" t="s">
        <v>170</v>
      </c>
      <c r="C197" s="8" t="s">
        <v>178</v>
      </c>
      <c r="D197" s="63">
        <f>COUNTIFS('TOTAL SUSPEK'!$F:$F,"Baleromo")</f>
        <v>0</v>
      </c>
      <c r="E197" s="18"/>
      <c r="F197" s="19"/>
      <c r="G197" s="19"/>
      <c r="H197" s="19"/>
      <c r="I197" s="19"/>
      <c r="J197" s="19"/>
      <c r="K197" s="20"/>
      <c r="L197" s="20"/>
      <c r="M197" s="20"/>
      <c r="P197" s="35">
        <f t="shared" si="2"/>
        <v>0</v>
      </c>
      <c r="Q197" s="8"/>
    </row>
    <row r="198" spans="1:17" x14ac:dyDescent="0.25">
      <c r="A198" s="5"/>
      <c r="B198" s="15" t="s">
        <v>170</v>
      </c>
      <c r="C198" s="8" t="s">
        <v>179</v>
      </c>
      <c r="D198" s="63">
        <f>COUNTIFS('TOTAL SUSPEK'!$F:$F,"Jerukgulung")</f>
        <v>0</v>
      </c>
      <c r="E198" s="18"/>
      <c r="F198" s="19"/>
      <c r="G198" s="19"/>
      <c r="H198" s="19"/>
      <c r="I198" s="19"/>
      <c r="J198" s="19"/>
      <c r="K198" s="20"/>
      <c r="L198" s="20"/>
      <c r="M198" s="20"/>
      <c r="P198" s="35">
        <f t="shared" si="2"/>
        <v>0</v>
      </c>
      <c r="Q198" s="8"/>
    </row>
    <row r="199" spans="1:17" x14ac:dyDescent="0.25">
      <c r="A199" s="5"/>
      <c r="B199" s="15" t="s">
        <v>170</v>
      </c>
      <c r="C199" s="8" t="s">
        <v>180</v>
      </c>
      <c r="D199" s="63">
        <f>COUNTIFS('TOTAL SUSPEK'!$F:$F,"Kunir")</f>
        <v>0</v>
      </c>
      <c r="E199" s="18"/>
      <c r="F199" s="19"/>
      <c r="G199" s="19"/>
      <c r="H199" s="19"/>
      <c r="I199" s="19"/>
      <c r="J199" s="19"/>
      <c r="K199" s="20"/>
      <c r="L199" s="20"/>
      <c r="M199" s="20"/>
      <c r="P199" s="35">
        <f t="shared" si="2"/>
        <v>0</v>
      </c>
      <c r="Q199" s="8"/>
    </row>
    <row r="200" spans="1:17" x14ac:dyDescent="0.25">
      <c r="A200" s="5"/>
      <c r="B200" s="15" t="s">
        <v>170</v>
      </c>
      <c r="C200" s="8" t="s">
        <v>398</v>
      </c>
      <c r="D200" s="63">
        <f>COUNTIFS('TOTAL SUSPEK'!$F:$F,"Kedungori")</f>
        <v>0</v>
      </c>
      <c r="E200" s="18"/>
      <c r="F200" s="19"/>
      <c r="G200" s="19"/>
      <c r="H200" s="19"/>
      <c r="I200" s="19"/>
      <c r="J200" s="19"/>
      <c r="K200" s="20"/>
      <c r="L200" s="20"/>
      <c r="M200" s="20"/>
      <c r="P200" s="35">
        <f t="shared" ref="P200:P257" si="3">SUM(D200:D200)</f>
        <v>0</v>
      </c>
      <c r="Q200" s="8"/>
    </row>
    <row r="201" spans="1:17" x14ac:dyDescent="0.25">
      <c r="A201" s="5"/>
      <c r="B201" s="15" t="s">
        <v>170</v>
      </c>
      <c r="C201" s="57" t="s">
        <v>181</v>
      </c>
      <c r="D201" s="63">
        <f>COUNTIFS('TOTAL SUSPEK'!$F:$F,"Kuwu")</f>
        <v>0</v>
      </c>
      <c r="E201" s="18"/>
      <c r="F201" s="19"/>
      <c r="G201" s="19"/>
      <c r="H201" s="19"/>
      <c r="I201" s="19"/>
      <c r="J201" s="19"/>
      <c r="K201" s="20"/>
      <c r="L201" s="20"/>
      <c r="M201" s="20"/>
      <c r="P201" s="35">
        <f t="shared" si="3"/>
        <v>0</v>
      </c>
      <c r="Q201" s="8"/>
    </row>
    <row r="202" spans="1:17" x14ac:dyDescent="0.25">
      <c r="A202" s="5"/>
      <c r="B202" s="15" t="s">
        <v>170</v>
      </c>
      <c r="C202" s="8" t="s">
        <v>182</v>
      </c>
      <c r="D202" s="63">
        <f>COUNTIFS('TOTAL SUSPEK'!$F:$F,"Kramat")</f>
        <v>0</v>
      </c>
      <c r="E202" s="18"/>
      <c r="F202" s="19"/>
      <c r="G202" s="19"/>
      <c r="H202" s="19"/>
      <c r="I202" s="19"/>
      <c r="J202" s="19"/>
      <c r="K202" s="20"/>
      <c r="L202" s="20"/>
      <c r="M202" s="20"/>
      <c r="P202" s="35">
        <f t="shared" si="3"/>
        <v>0</v>
      </c>
      <c r="Q202" s="8"/>
    </row>
    <row r="203" spans="1:17" ht="15" customHeight="1" x14ac:dyDescent="0.25">
      <c r="A203" s="5">
        <v>12</v>
      </c>
      <c r="B203" s="15" t="s">
        <v>183</v>
      </c>
      <c r="C203" s="8" t="s">
        <v>184</v>
      </c>
      <c r="D203" s="63">
        <f>COUNTIFS('TOTAL SUSPEK'!$F:$F,"Mangunrejo")</f>
        <v>0</v>
      </c>
      <c r="E203" s="18" t="e">
        <f>SUM(#REF!)</f>
        <v>#REF!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>
        <f>SUM(D203:D216)</f>
        <v>0</v>
      </c>
      <c r="M203" s="18" t="e">
        <f>SUM(#REF!)</f>
        <v>#REF!</v>
      </c>
      <c r="P203" s="35">
        <f t="shared" si="3"/>
        <v>0</v>
      </c>
      <c r="Q203" s="118">
        <f>SUM(P203:P216)</f>
        <v>0</v>
      </c>
    </row>
    <row r="204" spans="1:17" ht="15" customHeight="1" x14ac:dyDescent="0.25">
      <c r="A204" s="5"/>
      <c r="B204" s="15" t="s">
        <v>183</v>
      </c>
      <c r="C204" s="8" t="s">
        <v>185</v>
      </c>
      <c r="D204" s="63">
        <f>COUNTIFS('TOTAL SUSPEK'!$F:$F,"Tlogosih")</f>
        <v>0</v>
      </c>
      <c r="E204" s="18"/>
      <c r="F204" s="19"/>
      <c r="G204" s="19"/>
      <c r="H204" s="19"/>
      <c r="I204" s="19"/>
      <c r="J204" s="19"/>
      <c r="K204" s="20"/>
      <c r="L204" s="20"/>
      <c r="M204" s="20"/>
      <c r="P204" s="35">
        <f t="shared" si="3"/>
        <v>0</v>
      </c>
      <c r="Q204" s="8"/>
    </row>
    <row r="205" spans="1:17" ht="15" customHeight="1" x14ac:dyDescent="0.25">
      <c r="A205" s="5"/>
      <c r="B205" s="15" t="s">
        <v>183</v>
      </c>
      <c r="C205" s="8" t="s">
        <v>186</v>
      </c>
      <c r="D205" s="63">
        <f>COUNTIFS('TOTAL SUSPEK'!$F:$F,"Megonten")</f>
        <v>0</v>
      </c>
      <c r="E205" s="18"/>
      <c r="F205" s="19"/>
      <c r="G205" s="19"/>
      <c r="H205" s="19"/>
      <c r="I205" s="19"/>
      <c r="J205" s="19"/>
      <c r="K205" s="20"/>
      <c r="L205" s="20"/>
      <c r="M205" s="20"/>
      <c r="P205" s="35">
        <f t="shared" si="3"/>
        <v>0</v>
      </c>
      <c r="Q205" s="8"/>
    </row>
    <row r="206" spans="1:17" ht="15" customHeight="1" x14ac:dyDescent="0.25">
      <c r="A206" s="5"/>
      <c r="B206" s="15" t="s">
        <v>183</v>
      </c>
      <c r="C206" s="8" t="s">
        <v>187</v>
      </c>
      <c r="D206" s="63">
        <f>COUNTIFS('TOTAL SUSPEK'!$F:$F,"Soko kidul")</f>
        <v>0</v>
      </c>
      <c r="E206" s="18"/>
      <c r="F206" s="19"/>
      <c r="G206" s="19"/>
      <c r="H206" s="19"/>
      <c r="I206" s="19"/>
      <c r="J206" s="19"/>
      <c r="K206" s="20"/>
      <c r="L206" s="20"/>
      <c r="M206" s="20"/>
      <c r="P206" s="35">
        <f t="shared" si="3"/>
        <v>0</v>
      </c>
      <c r="Q206" s="8"/>
    </row>
    <row r="207" spans="1:17" ht="15" customHeight="1" x14ac:dyDescent="0.25">
      <c r="A207" s="5"/>
      <c r="B207" s="15" t="s">
        <v>183</v>
      </c>
      <c r="C207" s="8" t="s">
        <v>188</v>
      </c>
      <c r="D207" s="63">
        <f>COUNTIFS('TOTAL SUSPEK'!$F:$F,"Pilang wetan")</f>
        <v>0</v>
      </c>
      <c r="E207" s="18"/>
      <c r="F207" s="19"/>
      <c r="G207" s="19"/>
      <c r="H207" s="19"/>
      <c r="I207" s="19"/>
      <c r="J207" s="19"/>
      <c r="K207" s="20"/>
      <c r="L207" s="20"/>
      <c r="M207" s="20"/>
      <c r="P207" s="35">
        <f t="shared" si="3"/>
        <v>0</v>
      </c>
      <c r="Q207" s="8"/>
    </row>
    <row r="208" spans="1:17" ht="15" customHeight="1" x14ac:dyDescent="0.25">
      <c r="A208" s="5"/>
      <c r="B208" s="15" t="s">
        <v>183</v>
      </c>
      <c r="C208" s="8" t="s">
        <v>183</v>
      </c>
      <c r="D208" s="63">
        <f>COUNTIFS('TOTAL SUSPEK'!$F:$F,"Kebonagung")</f>
        <v>0</v>
      </c>
      <c r="E208" s="18"/>
      <c r="F208" s="19"/>
      <c r="G208" s="19"/>
      <c r="H208" s="19"/>
      <c r="I208" s="19"/>
      <c r="J208" s="19"/>
      <c r="K208" s="20"/>
      <c r="L208" s="20"/>
      <c r="M208" s="20"/>
      <c r="P208" s="35">
        <f t="shared" si="3"/>
        <v>0</v>
      </c>
      <c r="Q208" s="8"/>
    </row>
    <row r="209" spans="1:17" ht="15" customHeight="1" x14ac:dyDescent="0.25">
      <c r="A209" s="5"/>
      <c r="B209" s="15" t="s">
        <v>183</v>
      </c>
      <c r="C209" s="8" t="s">
        <v>88</v>
      </c>
      <c r="D209" s="63">
        <f>COUNTIFS('TOTAL SUSPEK'!$F:$F,"Mijen",'TOTAL SUSPEK'!$E:$E,"kebonagung")</f>
        <v>0</v>
      </c>
      <c r="E209" s="18"/>
      <c r="F209" s="19"/>
      <c r="G209" s="19"/>
      <c r="H209" s="19"/>
      <c r="I209" s="19"/>
      <c r="J209" s="19"/>
      <c r="K209" s="20"/>
      <c r="L209" s="20"/>
      <c r="M209" s="20"/>
      <c r="P209" s="35">
        <f t="shared" si="3"/>
        <v>0</v>
      </c>
      <c r="Q209" s="8"/>
    </row>
    <row r="210" spans="1:17" ht="15" customHeight="1" x14ac:dyDescent="0.25">
      <c r="A210" s="5"/>
      <c r="B210" s="15" t="s">
        <v>183</v>
      </c>
      <c r="C210" s="8" t="s">
        <v>189</v>
      </c>
      <c r="D210" s="63">
        <f>COUNTIFS('TOTAL SUSPEK'!$F:$F,"Klampok Lor")</f>
        <v>0</v>
      </c>
      <c r="E210" s="18"/>
      <c r="F210" s="19"/>
      <c r="G210" s="19"/>
      <c r="H210" s="19"/>
      <c r="I210" s="19"/>
      <c r="J210" s="19"/>
      <c r="K210" s="20"/>
      <c r="L210" s="20"/>
      <c r="M210" s="20"/>
      <c r="P210" s="35">
        <f t="shared" si="3"/>
        <v>0</v>
      </c>
      <c r="Q210" s="8"/>
    </row>
    <row r="211" spans="1:17" ht="15" customHeight="1" x14ac:dyDescent="0.25">
      <c r="A211" s="5"/>
      <c r="B211" s="15" t="s">
        <v>183</v>
      </c>
      <c r="C211" s="8" t="s">
        <v>190</v>
      </c>
      <c r="D211" s="63">
        <f>COUNTIFS('TOTAL SUSPEK'!$F:$F,"Werdoyo")</f>
        <v>0</v>
      </c>
      <c r="E211" s="18"/>
      <c r="F211" s="19"/>
      <c r="G211" s="19"/>
      <c r="H211" s="19"/>
      <c r="I211" s="19"/>
      <c r="J211" s="19"/>
      <c r="K211" s="20"/>
      <c r="L211" s="20"/>
      <c r="M211" s="20"/>
      <c r="P211" s="35">
        <f t="shared" si="3"/>
        <v>0</v>
      </c>
      <c r="Q211" s="8"/>
    </row>
    <row r="212" spans="1:17" ht="15" customHeight="1" x14ac:dyDescent="0.25">
      <c r="A212" s="5"/>
      <c r="B212" s="15" t="s">
        <v>183</v>
      </c>
      <c r="C212" s="8" t="s">
        <v>191</v>
      </c>
      <c r="D212" s="63">
        <f>COUNTIFS('TOTAL SUSPEK'!$F:$F,"Babat")</f>
        <v>0</v>
      </c>
      <c r="E212" s="18"/>
      <c r="F212" s="19"/>
      <c r="G212" s="19"/>
      <c r="H212" s="19"/>
      <c r="I212" s="19"/>
      <c r="J212" s="19"/>
      <c r="K212" s="20"/>
      <c r="L212" s="20"/>
      <c r="M212" s="20"/>
      <c r="P212" s="35">
        <f t="shared" si="3"/>
        <v>0</v>
      </c>
      <c r="Q212" s="8"/>
    </row>
    <row r="213" spans="1:17" ht="15" customHeight="1" x14ac:dyDescent="0.25">
      <c r="A213" s="5"/>
      <c r="B213" s="15" t="s">
        <v>183</v>
      </c>
      <c r="C213" s="8" t="s">
        <v>192</v>
      </c>
      <c r="D213" s="63">
        <f>COUNTIFS('TOTAL SUSPEK'!$F:$F,"Prigi")</f>
        <v>0</v>
      </c>
      <c r="E213" s="18"/>
      <c r="F213" s="19"/>
      <c r="G213" s="19"/>
      <c r="H213" s="19"/>
      <c r="I213" s="19"/>
      <c r="J213" s="19"/>
      <c r="K213" s="20"/>
      <c r="L213" s="20"/>
      <c r="M213" s="20"/>
      <c r="P213" s="35">
        <f t="shared" si="3"/>
        <v>0</v>
      </c>
      <c r="Q213" s="8"/>
    </row>
    <row r="214" spans="1:17" ht="15" customHeight="1" x14ac:dyDescent="0.25">
      <c r="A214" s="5"/>
      <c r="B214" s="15" t="s">
        <v>183</v>
      </c>
      <c r="C214" s="8" t="s">
        <v>193</v>
      </c>
      <c r="D214" s="63">
        <f>COUNTIFS('TOTAL SUSPEK'!$F:$F,"Sarimulyo")</f>
        <v>0</v>
      </c>
      <c r="E214" s="18"/>
      <c r="F214" s="19"/>
      <c r="G214" s="19"/>
      <c r="H214" s="19"/>
      <c r="I214" s="19"/>
      <c r="J214" s="19"/>
      <c r="K214" s="20"/>
      <c r="L214" s="20"/>
      <c r="M214" s="20"/>
      <c r="P214" s="35">
        <f t="shared" si="3"/>
        <v>0</v>
      </c>
      <c r="Q214" s="8"/>
    </row>
    <row r="215" spans="1:17" ht="15" customHeight="1" x14ac:dyDescent="0.25">
      <c r="A215" s="5"/>
      <c r="B215" s="15" t="s">
        <v>183</v>
      </c>
      <c r="C215" s="8" t="s">
        <v>194</v>
      </c>
      <c r="D215" s="63">
        <f>COUNTIFS('TOTAL SUSPEK'!$F:$F,"Solowire")</f>
        <v>0</v>
      </c>
      <c r="E215" s="18"/>
      <c r="F215" s="19"/>
      <c r="G215" s="19"/>
      <c r="H215" s="19"/>
      <c r="I215" s="19"/>
      <c r="J215" s="19"/>
      <c r="K215" s="20"/>
      <c r="L215" s="20"/>
      <c r="M215" s="20"/>
      <c r="P215" s="35">
        <f t="shared" si="3"/>
        <v>0</v>
      </c>
      <c r="Q215" s="8"/>
    </row>
    <row r="216" spans="1:17" ht="15" customHeight="1" x14ac:dyDescent="0.25">
      <c r="A216" s="5"/>
      <c r="B216" s="15" t="s">
        <v>183</v>
      </c>
      <c r="C216" s="8" t="s">
        <v>195</v>
      </c>
      <c r="D216" s="63">
        <f>COUNTIFS('TOTAL SUSPEK'!$F:$F,"Mangunan Lor")</f>
        <v>0</v>
      </c>
      <c r="E216" s="18"/>
      <c r="F216" s="19"/>
      <c r="G216" s="19"/>
      <c r="H216" s="19"/>
      <c r="I216" s="19"/>
      <c r="J216" s="19"/>
      <c r="K216" s="20"/>
      <c r="L216" s="20"/>
      <c r="M216" s="20"/>
      <c r="P216" s="35">
        <f t="shared" si="3"/>
        <v>0</v>
      </c>
      <c r="Q216" s="8"/>
    </row>
    <row r="217" spans="1:17" x14ac:dyDescent="0.25">
      <c r="A217" s="5">
        <v>13</v>
      </c>
      <c r="B217" s="15" t="s">
        <v>196</v>
      </c>
      <c r="C217" s="8" t="s">
        <v>197</v>
      </c>
      <c r="D217" s="63">
        <f>COUNTIFS('TOTAL SUSPEK'!$F:$F,"Bedono")</f>
        <v>0</v>
      </c>
      <c r="E217" s="18" t="e">
        <f>SUM(#REF!)</f>
        <v>#REF!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>
        <f>SUM(D217:D236)</f>
        <v>0</v>
      </c>
      <c r="M217" s="18" t="e">
        <f>SUM(#REF!)</f>
        <v>#REF!</v>
      </c>
      <c r="N217" s="34" t="s">
        <v>342</v>
      </c>
      <c r="P217" s="35">
        <f t="shared" si="3"/>
        <v>0</v>
      </c>
      <c r="Q217" s="118">
        <f>SUM(P217:P236)</f>
        <v>0</v>
      </c>
    </row>
    <row r="218" spans="1:17" x14ac:dyDescent="0.25">
      <c r="A218" s="5"/>
      <c r="B218" s="15" t="s">
        <v>196</v>
      </c>
      <c r="C218" s="8" t="s">
        <v>198</v>
      </c>
      <c r="D218" s="63">
        <f>COUNTIFS('TOTAL SUSPEK'!$F:$F,"Gemulak")</f>
        <v>0</v>
      </c>
      <c r="E218" s="18"/>
      <c r="F218" s="19"/>
      <c r="G218" s="19" t="s">
        <v>301</v>
      </c>
      <c r="H218" s="19"/>
      <c r="I218" s="19"/>
      <c r="J218" s="19"/>
      <c r="K218" s="20"/>
      <c r="L218" s="20"/>
      <c r="M218" s="20"/>
      <c r="N218" s="58" t="s">
        <v>343</v>
      </c>
      <c r="P218" s="35">
        <f t="shared" si="3"/>
        <v>0</v>
      </c>
      <c r="Q218" s="8"/>
    </row>
    <row r="219" spans="1:17" x14ac:dyDescent="0.25">
      <c r="A219" s="5"/>
      <c r="B219" s="15" t="s">
        <v>196</v>
      </c>
      <c r="C219" s="8" t="s">
        <v>199</v>
      </c>
      <c r="D219" s="63">
        <f>COUNTIFS('TOTAL SUSPEK'!$F:$F,"Sriwulan")</f>
        <v>0</v>
      </c>
      <c r="E219" s="18"/>
      <c r="F219" s="19"/>
      <c r="G219" s="19"/>
      <c r="H219" s="19"/>
      <c r="I219" s="19"/>
      <c r="J219" s="19"/>
      <c r="K219" s="20"/>
      <c r="L219" s="20"/>
      <c r="M219" s="20"/>
      <c r="N219" s="59" t="s">
        <v>338</v>
      </c>
      <c r="P219" s="35">
        <f t="shared" si="3"/>
        <v>0</v>
      </c>
      <c r="Q219" s="8"/>
    </row>
    <row r="220" spans="1:17" x14ac:dyDescent="0.25">
      <c r="A220" s="5"/>
      <c r="B220" s="15" t="s">
        <v>196</v>
      </c>
      <c r="C220" s="8" t="s">
        <v>200</v>
      </c>
      <c r="D220" s="63">
        <f>COUNTIFS('TOTAL SUSPEK'!$F:$F,"Tugu")</f>
        <v>0</v>
      </c>
      <c r="E220" s="18"/>
      <c r="F220" s="19"/>
      <c r="G220" s="19"/>
      <c r="H220" s="19"/>
      <c r="I220" s="19"/>
      <c r="J220" s="19"/>
      <c r="K220" s="20"/>
      <c r="L220" s="20"/>
      <c r="M220" s="20"/>
      <c r="N220" s="34" t="s">
        <v>396</v>
      </c>
      <c r="P220" s="35">
        <f t="shared" si="3"/>
        <v>0</v>
      </c>
      <c r="Q220" s="8"/>
    </row>
    <row r="221" spans="1:17" x14ac:dyDescent="0.25">
      <c r="A221" s="5"/>
      <c r="B221" s="15" t="s">
        <v>196</v>
      </c>
      <c r="C221" s="8" t="s">
        <v>201</v>
      </c>
      <c r="D221" s="63">
        <f>COUNTIFS('TOTAL SUSPEK'!$F:$F,"Purwosari")</f>
        <v>0</v>
      </c>
      <c r="E221" s="18"/>
      <c r="F221" s="19"/>
      <c r="G221" s="19"/>
      <c r="H221" s="19"/>
      <c r="I221" s="19"/>
      <c r="J221" s="19"/>
      <c r="K221" s="20"/>
      <c r="L221" s="20"/>
      <c r="M221" s="20"/>
      <c r="N221" s="59" t="s">
        <v>340</v>
      </c>
      <c r="P221" s="35">
        <f t="shared" si="3"/>
        <v>0</v>
      </c>
      <c r="Q221" s="8"/>
    </row>
    <row r="222" spans="1:17" x14ac:dyDescent="0.25">
      <c r="A222" s="5"/>
      <c r="B222" s="15" t="s">
        <v>196</v>
      </c>
      <c r="C222" s="8" t="s">
        <v>63</v>
      </c>
      <c r="D222" s="63">
        <f>COUNTIFS('TOTAL SUSPEK'!$F:$F,"surodadi",'TOTAL SUSPEK'!$E:$E,"sayung")</f>
        <v>0</v>
      </c>
      <c r="E222" s="18"/>
      <c r="F222" s="19"/>
      <c r="G222" s="19"/>
      <c r="H222" s="19"/>
      <c r="I222" s="19"/>
      <c r="J222" s="19"/>
      <c r="K222" s="20"/>
      <c r="L222" s="20"/>
      <c r="M222" s="20"/>
      <c r="N222" s="27" t="s">
        <v>353</v>
      </c>
      <c r="P222" s="35">
        <f t="shared" si="3"/>
        <v>0</v>
      </c>
      <c r="Q222" s="8"/>
    </row>
    <row r="223" spans="1:17" x14ac:dyDescent="0.25">
      <c r="A223" s="5"/>
      <c r="B223" s="15" t="s">
        <v>196</v>
      </c>
      <c r="C223" s="8" t="s">
        <v>165</v>
      </c>
      <c r="D223" s="63">
        <f>COUNTIFS('TOTAL SUSPEK'!$F:$F,"sidorejo",'TOTAL SUSPEK'!$E:$E,"sayung")</f>
        <v>0</v>
      </c>
      <c r="E223" s="18"/>
      <c r="F223" s="19"/>
      <c r="G223" s="19"/>
      <c r="H223" s="19"/>
      <c r="I223" s="19"/>
      <c r="J223" s="19"/>
      <c r="K223" s="20"/>
      <c r="L223" s="20"/>
      <c r="M223" s="20"/>
      <c r="N223" s="27" t="s">
        <v>353</v>
      </c>
      <c r="P223" s="35">
        <f t="shared" si="3"/>
        <v>0</v>
      </c>
      <c r="Q223" s="8"/>
    </row>
    <row r="224" spans="1:17" x14ac:dyDescent="0.25">
      <c r="A224" s="5"/>
      <c r="B224" s="15" t="s">
        <v>196</v>
      </c>
      <c r="C224" s="8" t="s">
        <v>202</v>
      </c>
      <c r="D224" s="63">
        <f>COUNTIFS('TOTAL SUSPEK'!$F:$F,"Timbulsloko")</f>
        <v>0</v>
      </c>
      <c r="E224" s="18"/>
      <c r="F224" s="19"/>
      <c r="G224" s="19"/>
      <c r="H224" s="19"/>
      <c r="I224" s="19"/>
      <c r="J224" s="19"/>
      <c r="K224" s="20"/>
      <c r="L224" s="20"/>
      <c r="M224" s="20"/>
      <c r="N224" s="59" t="s">
        <v>340</v>
      </c>
      <c r="P224" s="35">
        <f t="shared" si="3"/>
        <v>0</v>
      </c>
      <c r="Q224" s="8"/>
    </row>
    <row r="225" spans="1:17" x14ac:dyDescent="0.25">
      <c r="A225" s="5"/>
      <c r="B225" s="15" t="s">
        <v>196</v>
      </c>
      <c r="C225" s="8" t="s">
        <v>57</v>
      </c>
      <c r="D225" s="63">
        <f>COUNTIFS('TOTAL SUSPEK'!$F:$F,"banjarsari",'TOTAL SUSPEK'!$E:$E,"sayung")</f>
        <v>0</v>
      </c>
      <c r="E225" s="18"/>
      <c r="F225" s="19"/>
      <c r="G225" s="19"/>
      <c r="H225" s="19"/>
      <c r="I225" s="19"/>
      <c r="J225" s="19"/>
      <c r="K225" s="20"/>
      <c r="L225" s="20"/>
      <c r="M225" s="20"/>
      <c r="N225" s="34" t="s">
        <v>371</v>
      </c>
      <c r="P225" s="35">
        <f t="shared" si="3"/>
        <v>0</v>
      </c>
      <c r="Q225" s="8"/>
    </row>
    <row r="226" spans="1:17" x14ac:dyDescent="0.25">
      <c r="A226" s="5"/>
      <c r="B226" s="15" t="s">
        <v>196</v>
      </c>
      <c r="C226" s="8" t="s">
        <v>203</v>
      </c>
      <c r="D226" s="63">
        <f>COUNTIFS('TOTAL SUSPEK'!$F:$F,"sidogemah")</f>
        <v>0</v>
      </c>
      <c r="E226" s="18"/>
      <c r="F226" s="19"/>
      <c r="G226" s="19"/>
      <c r="H226" s="19"/>
      <c r="I226" s="19"/>
      <c r="J226" s="19"/>
      <c r="K226" s="20"/>
      <c r="L226" s="20"/>
      <c r="M226" s="20"/>
      <c r="N226" s="59" t="s">
        <v>341</v>
      </c>
      <c r="P226" s="35">
        <f t="shared" si="3"/>
        <v>0</v>
      </c>
      <c r="Q226" s="8"/>
    </row>
    <row r="227" spans="1:17" x14ac:dyDescent="0.25">
      <c r="A227" s="5"/>
      <c r="B227" s="15" t="s">
        <v>196</v>
      </c>
      <c r="C227" s="8" t="s">
        <v>204</v>
      </c>
      <c r="D227" s="63">
        <f>COUNTIFS('TOTAL SUSPEK'!$F:$F,"Tambakroto")</f>
        <v>0</v>
      </c>
      <c r="E227" s="18"/>
      <c r="F227" s="19"/>
      <c r="G227" s="19"/>
      <c r="H227" s="19"/>
      <c r="I227" s="19"/>
      <c r="J227" s="19"/>
      <c r="K227" s="20"/>
      <c r="L227" s="20"/>
      <c r="M227" s="20"/>
      <c r="N227" s="59" t="s">
        <v>340</v>
      </c>
      <c r="P227" s="35">
        <f t="shared" si="3"/>
        <v>0</v>
      </c>
      <c r="Q227" s="8"/>
    </row>
    <row r="228" spans="1:17" x14ac:dyDescent="0.25">
      <c r="A228" s="5"/>
      <c r="B228" s="15" t="s">
        <v>196</v>
      </c>
      <c r="C228" s="8" t="s">
        <v>205</v>
      </c>
      <c r="D228" s="63">
        <f>COUNTIFS('TOTAL SUSPEK'!$F:$F,"Kalisari")</f>
        <v>0</v>
      </c>
      <c r="E228" s="18"/>
      <c r="F228" s="19"/>
      <c r="G228" s="19"/>
      <c r="H228" s="19"/>
      <c r="I228" s="19"/>
      <c r="J228" s="19"/>
      <c r="K228" s="20"/>
      <c r="L228" s="20"/>
      <c r="M228" s="20"/>
      <c r="P228" s="35">
        <f t="shared" si="3"/>
        <v>0</v>
      </c>
      <c r="Q228" s="8"/>
    </row>
    <row r="229" spans="1:17" x14ac:dyDescent="0.25">
      <c r="A229" s="5"/>
      <c r="B229" s="15" t="s">
        <v>196</v>
      </c>
      <c r="C229" s="8" t="s">
        <v>206</v>
      </c>
      <c r="D229" s="63">
        <f>COUNTIFS('TOTAL SUSPEK'!$F:$F,"Dombo")</f>
        <v>0</v>
      </c>
      <c r="E229" s="18"/>
      <c r="F229" s="19"/>
      <c r="G229" s="19"/>
      <c r="H229" s="19"/>
      <c r="I229" s="19"/>
      <c r="J229" s="19"/>
      <c r="K229" s="20"/>
      <c r="L229" s="20"/>
      <c r="M229" s="20"/>
      <c r="P229" s="35">
        <f t="shared" si="3"/>
        <v>0</v>
      </c>
      <c r="Q229" s="8"/>
    </row>
    <row r="230" spans="1:17" x14ac:dyDescent="0.25">
      <c r="A230" s="5"/>
      <c r="B230" s="15" t="s">
        <v>196</v>
      </c>
      <c r="C230" s="8" t="s">
        <v>207</v>
      </c>
      <c r="D230" s="63">
        <f>COUNTIFS('TOTAL SUSPEK'!$F:$F,"Bulusari")</f>
        <v>0</v>
      </c>
      <c r="E230" s="18"/>
      <c r="F230" s="19"/>
      <c r="G230" s="19"/>
      <c r="H230" s="19"/>
      <c r="I230" s="19"/>
      <c r="J230" s="19"/>
      <c r="K230" s="20"/>
      <c r="L230" s="20"/>
      <c r="M230" s="20"/>
      <c r="P230" s="35">
        <f t="shared" si="3"/>
        <v>0</v>
      </c>
      <c r="Q230" s="8"/>
    </row>
    <row r="231" spans="1:17" x14ac:dyDescent="0.25">
      <c r="A231" s="5"/>
      <c r="B231" s="15" t="s">
        <v>196</v>
      </c>
      <c r="C231" s="8" t="s">
        <v>208</v>
      </c>
      <c r="D231" s="63">
        <f>COUNTIFS('TOTAL SUSPEK'!$F:$F,"Jetaksari")</f>
        <v>0</v>
      </c>
      <c r="E231" s="18"/>
      <c r="F231" s="19"/>
      <c r="G231" s="19"/>
      <c r="H231" s="19"/>
      <c r="I231" s="19"/>
      <c r="J231" s="19"/>
      <c r="K231" s="20"/>
      <c r="L231" s="20"/>
      <c r="M231" s="20"/>
      <c r="P231" s="35">
        <f t="shared" si="3"/>
        <v>0</v>
      </c>
      <c r="Q231" s="8"/>
    </row>
    <row r="232" spans="1:17" x14ac:dyDescent="0.25">
      <c r="A232" s="5"/>
      <c r="B232" s="15" t="s">
        <v>196</v>
      </c>
      <c r="C232" s="8" t="s">
        <v>209</v>
      </c>
      <c r="D232" s="63">
        <f>COUNTIFS('TOTAL SUSPEK'!$F:$F,"Karangasem")</f>
        <v>0</v>
      </c>
      <c r="E232" s="18"/>
      <c r="F232" s="19"/>
      <c r="G232" s="19"/>
      <c r="H232" s="19"/>
      <c r="I232" s="19"/>
      <c r="J232" s="19"/>
      <c r="K232" s="20"/>
      <c r="L232" s="20"/>
      <c r="M232" s="20"/>
      <c r="P232" s="35">
        <f t="shared" si="3"/>
        <v>0</v>
      </c>
      <c r="Q232" s="8"/>
    </row>
    <row r="233" spans="1:17" x14ac:dyDescent="0.25">
      <c r="A233" s="5"/>
      <c r="B233" s="15" t="s">
        <v>196</v>
      </c>
      <c r="C233" s="8" t="s">
        <v>210</v>
      </c>
      <c r="D233" s="63">
        <f>COUNTIFS('TOTAL SUSPEK'!$F:$F,"Prampelan")</f>
        <v>0</v>
      </c>
      <c r="E233" s="18"/>
      <c r="F233" s="19"/>
      <c r="G233" s="19"/>
      <c r="H233" s="19"/>
      <c r="I233" s="19"/>
      <c r="J233" s="19"/>
      <c r="K233" s="20"/>
      <c r="L233" s="20"/>
      <c r="M233" s="20"/>
      <c r="P233" s="35">
        <f t="shared" si="3"/>
        <v>0</v>
      </c>
      <c r="Q233" s="8"/>
    </row>
    <row r="234" spans="1:17" x14ac:dyDescent="0.25">
      <c r="A234" s="5"/>
      <c r="B234" s="15" t="s">
        <v>196</v>
      </c>
      <c r="C234" s="8" t="s">
        <v>211</v>
      </c>
      <c r="D234" s="63">
        <f>COUNTIFS('TOTAL SUSPEK'!$F:$F,"Sayung")</f>
        <v>0</v>
      </c>
      <c r="E234" s="18"/>
      <c r="F234" s="19"/>
      <c r="G234" s="19"/>
      <c r="H234" s="19"/>
      <c r="I234" s="19"/>
      <c r="J234" s="19"/>
      <c r="K234" s="20"/>
      <c r="L234" s="20"/>
      <c r="M234" s="20"/>
      <c r="P234" s="35">
        <f t="shared" si="3"/>
        <v>0</v>
      </c>
      <c r="Q234" s="8"/>
    </row>
    <row r="235" spans="1:17" x14ac:dyDescent="0.25">
      <c r="A235" s="5"/>
      <c r="B235" s="15" t="s">
        <v>196</v>
      </c>
      <c r="C235" s="8" t="s">
        <v>212</v>
      </c>
      <c r="D235" s="63">
        <f>COUNTIFS('TOTAL SUSPEK'!$F:$F,"Pilangsari")</f>
        <v>0</v>
      </c>
      <c r="E235" s="18"/>
      <c r="F235" s="19"/>
      <c r="G235" s="19"/>
      <c r="H235" s="19"/>
      <c r="I235" s="19"/>
      <c r="J235" s="19"/>
      <c r="K235" s="20"/>
      <c r="L235" s="20"/>
      <c r="M235" s="20"/>
      <c r="P235" s="35">
        <f t="shared" si="3"/>
        <v>0</v>
      </c>
      <c r="Q235" s="8"/>
    </row>
    <row r="236" spans="1:17" x14ac:dyDescent="0.25">
      <c r="A236" s="5"/>
      <c r="B236" s="15" t="s">
        <v>196</v>
      </c>
      <c r="C236" s="8" t="s">
        <v>213</v>
      </c>
      <c r="D236" s="63">
        <f>COUNTIFS('TOTAL SUSPEK'!$F:$F,"loireng")</f>
        <v>0</v>
      </c>
      <c r="E236" s="18"/>
      <c r="F236" s="19"/>
      <c r="G236" s="19"/>
      <c r="H236" s="19"/>
      <c r="I236" s="19"/>
      <c r="J236" s="19"/>
      <c r="K236" s="20"/>
      <c r="L236" s="20"/>
      <c r="M236" s="20"/>
      <c r="P236" s="35">
        <f t="shared" si="3"/>
        <v>0</v>
      </c>
      <c r="Q236" s="8"/>
    </row>
    <row r="237" spans="1:17" x14ac:dyDescent="0.25">
      <c r="A237" s="5">
        <v>14</v>
      </c>
      <c r="B237" s="15" t="s">
        <v>214</v>
      </c>
      <c r="C237" s="8" t="s">
        <v>214</v>
      </c>
      <c r="D237" s="63">
        <f>COUNTIFS('TOTAL SUSPEK'!$F:$F,"Wedung")</f>
        <v>0</v>
      </c>
      <c r="E237" s="18" t="e">
        <f>SUM(#REF!)</f>
        <v>#REF!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>
        <f>SUM(D237:D256)</f>
        <v>0</v>
      </c>
      <c r="M237" s="18" t="e">
        <f>SUM(#REF!)</f>
        <v>#REF!</v>
      </c>
      <c r="P237" s="35">
        <f t="shared" si="3"/>
        <v>0</v>
      </c>
      <c r="Q237" s="118">
        <f>SUM(P237:P256)</f>
        <v>0</v>
      </c>
    </row>
    <row r="238" spans="1:17" x14ac:dyDescent="0.25">
      <c r="A238" s="5"/>
      <c r="B238" s="15" t="s">
        <v>214</v>
      </c>
      <c r="C238" s="8" t="s">
        <v>215</v>
      </c>
      <c r="D238" s="63">
        <f>COUNTIFS('TOTAL SUSPEK'!$F:$F,"Ruwit")</f>
        <v>0</v>
      </c>
      <c r="E238" s="18"/>
      <c r="F238" s="19"/>
      <c r="G238" s="19"/>
      <c r="H238" s="19"/>
      <c r="I238" s="19"/>
      <c r="J238" s="19"/>
      <c r="K238" s="20"/>
      <c r="L238" s="20"/>
      <c r="M238" s="20"/>
      <c r="P238" s="35">
        <f t="shared" si="3"/>
        <v>0</v>
      </c>
      <c r="Q238" s="8"/>
    </row>
    <row r="239" spans="1:17" x14ac:dyDescent="0.25">
      <c r="A239" s="5"/>
      <c r="B239" s="15" t="s">
        <v>214</v>
      </c>
      <c r="C239" s="8" t="s">
        <v>216</v>
      </c>
      <c r="D239" s="63">
        <f>COUNTIFS('TOTAL SUSPEK'!$F:$F,"Bungo")</f>
        <v>0</v>
      </c>
      <c r="E239" s="18"/>
      <c r="F239" s="19"/>
      <c r="G239" s="19"/>
      <c r="H239" s="19"/>
      <c r="I239" s="19"/>
      <c r="J239" s="19"/>
      <c r="K239" s="20"/>
      <c r="L239" s="20"/>
      <c r="M239" s="20"/>
      <c r="P239" s="35">
        <f t="shared" si="3"/>
        <v>0</v>
      </c>
      <c r="Q239" s="8"/>
    </row>
    <row r="240" spans="1:17" x14ac:dyDescent="0.25">
      <c r="A240" s="5"/>
      <c r="B240" s="15" t="s">
        <v>214</v>
      </c>
      <c r="C240" s="8" t="s">
        <v>217</v>
      </c>
      <c r="D240" s="63">
        <f>COUNTIFS('TOTAL SUSPEK'!$F:$F,"Ngawen")</f>
        <v>0</v>
      </c>
      <c r="E240" s="18"/>
      <c r="F240" s="19"/>
      <c r="G240" s="19"/>
      <c r="H240" s="19"/>
      <c r="I240" s="19"/>
      <c r="J240" s="19"/>
      <c r="K240" s="20"/>
      <c r="L240" s="20"/>
      <c r="M240" s="20"/>
      <c r="P240" s="35">
        <f t="shared" si="3"/>
        <v>0</v>
      </c>
      <c r="Q240" s="8"/>
    </row>
    <row r="241" spans="1:17" x14ac:dyDescent="0.25">
      <c r="A241" s="5"/>
      <c r="B241" s="15" t="s">
        <v>214</v>
      </c>
      <c r="C241" s="8" t="s">
        <v>218</v>
      </c>
      <c r="D241" s="63">
        <f>COUNTIFS('TOTAL SUSPEK'!$F:$F,"Kenduren")</f>
        <v>0</v>
      </c>
      <c r="E241" s="18"/>
      <c r="F241" s="19"/>
      <c r="G241" s="19"/>
      <c r="H241" s="19"/>
      <c r="I241" s="19"/>
      <c r="J241" s="19"/>
      <c r="K241" s="20"/>
      <c r="L241" s="20"/>
      <c r="M241" s="20"/>
      <c r="P241" s="35">
        <f t="shared" si="3"/>
        <v>0</v>
      </c>
      <c r="Q241" s="8"/>
    </row>
    <row r="242" spans="1:17" x14ac:dyDescent="0.25">
      <c r="A242" s="5"/>
      <c r="B242" s="15" t="s">
        <v>214</v>
      </c>
      <c r="C242" s="8" t="s">
        <v>219</v>
      </c>
      <c r="D242" s="63">
        <f>COUNTIFS('TOTAL SUSPEK'!$F:$F,"Buko")</f>
        <v>0</v>
      </c>
      <c r="E242" s="18"/>
      <c r="F242" s="19"/>
      <c r="G242" s="19"/>
      <c r="H242" s="19"/>
      <c r="I242" s="19"/>
      <c r="J242" s="19"/>
      <c r="K242" s="20"/>
      <c r="L242" s="20"/>
      <c r="M242" s="20"/>
      <c r="P242" s="35">
        <f t="shared" si="3"/>
        <v>0</v>
      </c>
      <c r="Q242" s="8"/>
    </row>
    <row r="243" spans="1:17" x14ac:dyDescent="0.25">
      <c r="A243" s="5"/>
      <c r="B243" s="15" t="s">
        <v>214</v>
      </c>
      <c r="C243" s="8" t="s">
        <v>220</v>
      </c>
      <c r="D243" s="63">
        <f>COUNTIFS('TOTAL SUSPEK'!$F:$F,"Mandung")</f>
        <v>0</v>
      </c>
      <c r="E243" s="18"/>
      <c r="F243" s="19"/>
      <c r="G243" s="19"/>
      <c r="H243" s="19"/>
      <c r="I243" s="19"/>
      <c r="J243" s="19"/>
      <c r="K243" s="20"/>
      <c r="L243" s="20"/>
      <c r="M243" s="20"/>
      <c r="P243" s="35">
        <f t="shared" si="3"/>
        <v>0</v>
      </c>
      <c r="Q243" s="8"/>
    </row>
    <row r="244" spans="1:17" x14ac:dyDescent="0.25">
      <c r="A244" s="5"/>
      <c r="B244" s="15" t="s">
        <v>214</v>
      </c>
      <c r="C244" s="8" t="s">
        <v>221</v>
      </c>
      <c r="D244" s="63">
        <f>COUNTIFS('TOTAL SUSPEK'!$F:$F,"Berahan Wetan")</f>
        <v>0</v>
      </c>
      <c r="E244" s="18"/>
      <c r="F244" s="19"/>
      <c r="G244" s="19"/>
      <c r="H244" s="19"/>
      <c r="I244" s="19"/>
      <c r="J244" s="19"/>
      <c r="K244" s="20"/>
      <c r="L244" s="20"/>
      <c r="M244" s="20"/>
      <c r="P244" s="35">
        <f t="shared" si="3"/>
        <v>0</v>
      </c>
      <c r="Q244" s="8"/>
    </row>
    <row r="245" spans="1:17" x14ac:dyDescent="0.25">
      <c r="A245" s="5"/>
      <c r="B245" s="15" t="s">
        <v>214</v>
      </c>
      <c r="C245" s="8" t="s">
        <v>222</v>
      </c>
      <c r="D245" s="63">
        <f>COUNTIFS('TOTAL SUSPEK'!$F:$F,"Berahan Kulon")</f>
        <v>0</v>
      </c>
      <c r="E245" s="18"/>
      <c r="F245" s="19"/>
      <c r="G245" s="19"/>
      <c r="H245" s="19"/>
      <c r="I245" s="19"/>
      <c r="J245" s="19"/>
      <c r="K245" s="20"/>
      <c r="L245" s="20"/>
      <c r="M245" s="20"/>
      <c r="P245" s="35">
        <f t="shared" si="3"/>
        <v>0</v>
      </c>
      <c r="Q245" s="8"/>
    </row>
    <row r="246" spans="1:17" x14ac:dyDescent="0.25">
      <c r="A246" s="5"/>
      <c r="B246" s="15" t="s">
        <v>214</v>
      </c>
      <c r="C246" s="8" t="s">
        <v>223</v>
      </c>
      <c r="D246" s="63">
        <f>COUNTIFS('TOTAL SUSPEK'!$F:$F,"Tempel")</f>
        <v>0</v>
      </c>
      <c r="E246" s="18"/>
      <c r="F246" s="19"/>
      <c r="G246" s="19"/>
      <c r="H246" s="19"/>
      <c r="I246" s="19"/>
      <c r="J246" s="19"/>
      <c r="K246" s="20"/>
      <c r="L246" s="20"/>
      <c r="M246" s="20"/>
      <c r="P246" s="35">
        <f t="shared" si="3"/>
        <v>0</v>
      </c>
      <c r="Q246" s="8"/>
    </row>
    <row r="247" spans="1:17" x14ac:dyDescent="0.25">
      <c r="A247" s="5"/>
      <c r="B247" s="15" t="s">
        <v>214</v>
      </c>
      <c r="C247" s="8" t="s">
        <v>279</v>
      </c>
      <c r="D247" s="63">
        <f>COUNTIFS('TOTAL SUSPEK'!$F:$F,"Kedungkarang")</f>
        <v>0</v>
      </c>
      <c r="E247" s="18"/>
      <c r="F247" s="19"/>
      <c r="G247" s="19"/>
      <c r="H247" s="19"/>
      <c r="I247" s="19"/>
      <c r="J247" s="19"/>
      <c r="K247" s="20"/>
      <c r="L247" s="20"/>
      <c r="M247" s="20"/>
      <c r="P247" s="35">
        <f t="shared" si="3"/>
        <v>0</v>
      </c>
      <c r="Q247" s="8"/>
    </row>
    <row r="248" spans="1:17" x14ac:dyDescent="0.25">
      <c r="A248" s="5"/>
      <c r="B248" s="15" t="s">
        <v>214</v>
      </c>
      <c r="C248" s="8" t="s">
        <v>278</v>
      </c>
      <c r="D248" s="63">
        <f>COUNTIFS('TOTAL SUSPEK'!$F:$F,"Kedungmutih")</f>
        <v>0</v>
      </c>
      <c r="E248" s="18"/>
      <c r="F248" s="19"/>
      <c r="G248" s="19"/>
      <c r="H248" s="19"/>
      <c r="I248" s="19"/>
      <c r="J248" s="19"/>
      <c r="K248" s="20"/>
      <c r="L248" s="20"/>
      <c r="M248" s="20"/>
      <c r="P248" s="35">
        <f t="shared" si="3"/>
        <v>0</v>
      </c>
      <c r="Q248" s="8"/>
    </row>
    <row r="249" spans="1:17" x14ac:dyDescent="0.25">
      <c r="A249" s="5"/>
      <c r="B249" s="15" t="s">
        <v>214</v>
      </c>
      <c r="C249" s="8" t="s">
        <v>224</v>
      </c>
      <c r="D249" s="63">
        <f>COUNTIFS('TOTAL SUSPEK'!$F:$F,"Jungsemi")</f>
        <v>0</v>
      </c>
      <c r="E249" s="18"/>
      <c r="F249" s="19"/>
      <c r="G249" s="19"/>
      <c r="H249" s="19"/>
      <c r="I249" s="19"/>
      <c r="J249" s="19"/>
      <c r="K249" s="20"/>
      <c r="L249" s="20"/>
      <c r="M249" s="20"/>
      <c r="P249" s="35">
        <f t="shared" si="3"/>
        <v>0</v>
      </c>
      <c r="Q249" s="8"/>
    </row>
    <row r="250" spans="1:17" x14ac:dyDescent="0.25">
      <c r="A250" s="5"/>
      <c r="B250" s="15" t="s">
        <v>214</v>
      </c>
      <c r="C250" s="8" t="s">
        <v>225</v>
      </c>
      <c r="D250" s="63">
        <f>COUNTIFS('TOTAL SUSPEK'!$F:$F,"Jetak")</f>
        <v>0</v>
      </c>
      <c r="E250" s="18"/>
      <c r="F250" s="19"/>
      <c r="G250" s="19"/>
      <c r="H250" s="19"/>
      <c r="I250" s="19"/>
      <c r="J250" s="19"/>
      <c r="K250" s="20"/>
      <c r="L250" s="20"/>
      <c r="M250" s="20"/>
      <c r="P250" s="35">
        <f t="shared" si="3"/>
        <v>0</v>
      </c>
      <c r="Q250" s="8"/>
    </row>
    <row r="251" spans="1:17" x14ac:dyDescent="0.25">
      <c r="A251" s="5"/>
      <c r="B251" s="15" t="s">
        <v>214</v>
      </c>
      <c r="C251" s="8" t="s">
        <v>226</v>
      </c>
      <c r="D251" s="63">
        <f>COUNTIFS('TOTAL SUSPEK'!$F:$F,"Jungpasir")</f>
        <v>0</v>
      </c>
      <c r="E251" s="18"/>
      <c r="F251" s="19"/>
      <c r="G251" s="19"/>
      <c r="H251" s="19"/>
      <c r="I251" s="19"/>
      <c r="J251" s="19"/>
      <c r="K251" s="20"/>
      <c r="L251" s="20"/>
      <c r="M251" s="20"/>
      <c r="P251" s="35">
        <f t="shared" si="3"/>
        <v>0</v>
      </c>
      <c r="Q251" s="8"/>
    </row>
    <row r="252" spans="1:17" x14ac:dyDescent="0.25">
      <c r="A252" s="5"/>
      <c r="B252" s="15" t="s">
        <v>214</v>
      </c>
      <c r="C252" s="8" t="s">
        <v>227</v>
      </c>
      <c r="D252" s="63">
        <f>COUNTIFS('TOTAL SUSPEK'!$F:$F,"Mutih kulon")</f>
        <v>0</v>
      </c>
      <c r="E252" s="18"/>
      <c r="F252" s="19"/>
      <c r="G252" s="19"/>
      <c r="H252" s="19"/>
      <c r="I252" s="19"/>
      <c r="J252" s="19"/>
      <c r="K252" s="20"/>
      <c r="L252" s="20"/>
      <c r="M252" s="20"/>
      <c r="P252" s="35">
        <f t="shared" si="3"/>
        <v>0</v>
      </c>
      <c r="Q252" s="8"/>
    </row>
    <row r="253" spans="1:17" x14ac:dyDescent="0.25">
      <c r="A253" s="5"/>
      <c r="B253" s="15" t="s">
        <v>214</v>
      </c>
      <c r="C253" s="8" t="s">
        <v>228</v>
      </c>
      <c r="D253" s="63">
        <f>COUNTIFS('TOTAL SUSPEK'!$F:$F,"Mutih Wetan")</f>
        <v>0</v>
      </c>
      <c r="E253" s="18"/>
      <c r="F253" s="19"/>
      <c r="G253" s="19"/>
      <c r="H253" s="19"/>
      <c r="I253" s="19"/>
      <c r="J253" s="19"/>
      <c r="K253" s="20"/>
      <c r="L253" s="20"/>
      <c r="M253" s="20"/>
      <c r="P253" s="35">
        <f t="shared" si="3"/>
        <v>0</v>
      </c>
      <c r="Q253" s="8"/>
    </row>
    <row r="254" spans="1:17" x14ac:dyDescent="0.25">
      <c r="A254" s="5"/>
      <c r="B254" s="15" t="s">
        <v>214</v>
      </c>
      <c r="C254" s="8" t="s">
        <v>229</v>
      </c>
      <c r="D254" s="63">
        <f>COUNTIFS('TOTAL SUSPEK'!$F:$F,"Kendalasem")</f>
        <v>0</v>
      </c>
      <c r="E254" s="18"/>
      <c r="F254" s="19"/>
      <c r="G254" s="19"/>
      <c r="H254" s="19"/>
      <c r="I254" s="19"/>
      <c r="J254" s="19"/>
      <c r="K254" s="20"/>
      <c r="L254" s="20"/>
      <c r="M254" s="20"/>
      <c r="P254" s="35">
        <f t="shared" si="3"/>
        <v>0</v>
      </c>
      <c r="Q254" s="8"/>
    </row>
    <row r="255" spans="1:17" x14ac:dyDescent="0.25">
      <c r="A255" s="5"/>
      <c r="B255" s="15" t="s">
        <v>214</v>
      </c>
      <c r="C255" s="8" t="s">
        <v>230</v>
      </c>
      <c r="D255" s="63">
        <f>COUNTIFS('TOTAL SUSPEK'!$F:$F,"Babalan")</f>
        <v>0</v>
      </c>
      <c r="E255" s="18"/>
      <c r="F255" s="19"/>
      <c r="G255" s="19"/>
      <c r="H255" s="19"/>
      <c r="I255" s="19"/>
      <c r="J255" s="19"/>
      <c r="K255" s="20"/>
      <c r="L255" s="20"/>
      <c r="M255" s="20"/>
      <c r="P255" s="35">
        <f t="shared" si="3"/>
        <v>0</v>
      </c>
      <c r="Q255" s="8"/>
    </row>
    <row r="256" spans="1:17" x14ac:dyDescent="0.25">
      <c r="A256" s="5"/>
      <c r="B256" s="15" t="s">
        <v>214</v>
      </c>
      <c r="C256" s="8" t="s">
        <v>231</v>
      </c>
      <c r="D256" s="63">
        <f>COUNTIFS('TOTAL SUSPEK'!$F:$F,"Tedunan")</f>
        <v>0</v>
      </c>
      <c r="E256" s="18"/>
      <c r="F256" s="19"/>
      <c r="G256" s="19"/>
      <c r="H256" s="19"/>
      <c r="I256" s="19"/>
      <c r="J256" s="19"/>
      <c r="K256" s="20"/>
      <c r="L256" s="20"/>
      <c r="M256" s="20"/>
      <c r="P256" s="35">
        <f t="shared" si="3"/>
        <v>0</v>
      </c>
      <c r="Q256" s="8"/>
    </row>
    <row r="257" spans="1:17" x14ac:dyDescent="0.25">
      <c r="A257" s="14"/>
      <c r="B257" s="2" t="s">
        <v>294</v>
      </c>
      <c r="C257" s="51"/>
      <c r="D257" s="13">
        <v>0</v>
      </c>
      <c r="E257" s="23" t="e">
        <f>#REF!</f>
        <v>#REF!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>
        <f>D257</f>
        <v>0</v>
      </c>
      <c r="M257" s="23" t="e">
        <f>#REF!</f>
        <v>#REF!</v>
      </c>
      <c r="P257" s="35">
        <f t="shared" si="3"/>
        <v>0</v>
      </c>
      <c r="Q257" s="8">
        <f>D257</f>
        <v>0</v>
      </c>
    </row>
    <row r="258" spans="1:17" ht="15" customHeight="1" x14ac:dyDescent="0.25">
      <c r="A258" s="102" t="s">
        <v>232</v>
      </c>
      <c r="B258" s="103"/>
      <c r="C258" s="36"/>
      <c r="D258" s="24">
        <f>SUM(D8:D257)</f>
        <v>4</v>
      </c>
      <c r="E258" s="21" t="e">
        <f t="shared" ref="E258:M258" si="4">SUM(E8:E257)</f>
        <v>#REF!</v>
      </c>
      <c r="F258" s="21" t="e">
        <f t="shared" si="4"/>
        <v>#REF!</v>
      </c>
      <c r="G258" s="21" t="e">
        <f t="shared" si="4"/>
        <v>#REF!</v>
      </c>
      <c r="H258" s="21" t="e">
        <f t="shared" si="4"/>
        <v>#REF!</v>
      </c>
      <c r="I258" s="21" t="e">
        <f t="shared" si="4"/>
        <v>#REF!</v>
      </c>
      <c r="J258" s="21" t="e">
        <f t="shared" si="4"/>
        <v>#REF!</v>
      </c>
      <c r="K258" s="21" t="e">
        <f t="shared" si="4"/>
        <v>#REF!</v>
      </c>
      <c r="L258" s="21">
        <f t="shared" si="4"/>
        <v>4</v>
      </c>
      <c r="M258" s="21" t="e">
        <f t="shared" si="4"/>
        <v>#REF!</v>
      </c>
      <c r="O258" s="22">
        <f>SUM(O8:O257)</f>
        <v>0</v>
      </c>
      <c r="P258" s="37">
        <f>SUM(P8:P257)</f>
        <v>4</v>
      </c>
      <c r="Q258" s="24">
        <f>SUM(Q8:Q257)</f>
        <v>4</v>
      </c>
    </row>
    <row r="259" spans="1:17" ht="15" customHeight="1" x14ac:dyDescent="0.25">
      <c r="A259" s="10"/>
      <c r="B259" s="3"/>
      <c r="C259" s="3"/>
      <c r="D259" s="3"/>
    </row>
    <row r="260" spans="1:17" ht="15" customHeight="1" x14ac:dyDescent="0.25">
      <c r="A260" s="4"/>
      <c r="B260" s="9"/>
    </row>
    <row r="261" spans="1:17" ht="15" customHeight="1" x14ac:dyDescent="0.25">
      <c r="A261" s="4"/>
    </row>
    <row r="262" spans="1:17" x14ac:dyDescent="0.25">
      <c r="A262" s="4"/>
    </row>
    <row r="263" spans="1:17" x14ac:dyDescent="0.25">
      <c r="A263" s="4"/>
    </row>
    <row r="264" spans="1:17" x14ac:dyDescent="0.25">
      <c r="A264" s="4"/>
    </row>
    <row r="265" spans="1:17" x14ac:dyDescent="0.25">
      <c r="A265" s="4"/>
    </row>
    <row r="266" spans="1:17" x14ac:dyDescent="0.25">
      <c r="A266" s="4"/>
      <c r="D266" s="3"/>
    </row>
    <row r="267" spans="1:17" x14ac:dyDescent="0.25">
      <c r="A267" s="4"/>
    </row>
    <row r="268" spans="1:17" x14ac:dyDescent="0.25">
      <c r="A268" s="4"/>
    </row>
    <row r="269" spans="1:17" x14ac:dyDescent="0.25">
      <c r="A269" s="4"/>
    </row>
    <row r="270" spans="1:17" x14ac:dyDescent="0.25">
      <c r="A270" s="4"/>
    </row>
    <row r="271" spans="1:17" x14ac:dyDescent="0.25">
      <c r="A271" s="4"/>
    </row>
    <row r="272" spans="1:17" x14ac:dyDescent="0.25">
      <c r="A272" s="4"/>
    </row>
    <row r="273" spans="1:1" customFormat="1" x14ac:dyDescent="0.25">
      <c r="A273" s="4"/>
    </row>
    <row r="274" spans="1:1" customFormat="1" x14ac:dyDescent="0.25">
      <c r="A274" s="4"/>
    </row>
    <row r="275" spans="1:1" customFormat="1" x14ac:dyDescent="0.25">
      <c r="A275" s="4"/>
    </row>
    <row r="276" spans="1:1" customFormat="1" x14ac:dyDescent="0.25">
      <c r="A276" s="4"/>
    </row>
    <row r="277" spans="1:1" customFormat="1" x14ac:dyDescent="0.25">
      <c r="A277" s="4"/>
    </row>
    <row r="278" spans="1:1" customFormat="1" x14ac:dyDescent="0.25">
      <c r="A278" s="4"/>
    </row>
    <row r="279" spans="1:1" customFormat="1" x14ac:dyDescent="0.25">
      <c r="A279" s="4"/>
    </row>
    <row r="280" spans="1:1" customFormat="1" x14ac:dyDescent="0.25">
      <c r="A280" s="4"/>
    </row>
    <row r="281" spans="1:1" customFormat="1" x14ac:dyDescent="0.25">
      <c r="A281" s="4"/>
    </row>
    <row r="282" spans="1:1" customFormat="1" x14ac:dyDescent="0.25">
      <c r="A282" s="4"/>
    </row>
    <row r="283" spans="1:1" customFormat="1" x14ac:dyDescent="0.25">
      <c r="A283" s="4"/>
    </row>
    <row r="284" spans="1:1" customFormat="1" x14ac:dyDescent="0.25">
      <c r="A284" s="4"/>
    </row>
    <row r="285" spans="1:1" customFormat="1" x14ac:dyDescent="0.25">
      <c r="A285" s="4"/>
    </row>
    <row r="286" spans="1:1" customFormat="1" x14ac:dyDescent="0.25">
      <c r="A286" s="4"/>
    </row>
    <row r="287" spans="1:1" customFormat="1" x14ac:dyDescent="0.25">
      <c r="A287" s="4"/>
    </row>
    <row r="288" spans="1:1" customFormat="1" x14ac:dyDescent="0.25">
      <c r="A288" s="4"/>
    </row>
    <row r="289" spans="1:1" customFormat="1" x14ac:dyDescent="0.25">
      <c r="A289" s="4"/>
    </row>
    <row r="290" spans="1:1" customFormat="1" x14ac:dyDescent="0.25">
      <c r="A290" s="4"/>
    </row>
    <row r="291" spans="1:1" customFormat="1" x14ac:dyDescent="0.25">
      <c r="A291" s="4"/>
    </row>
    <row r="292" spans="1:1" customFormat="1" x14ac:dyDescent="0.25">
      <c r="A292" s="4"/>
    </row>
    <row r="293" spans="1:1" customFormat="1" x14ac:dyDescent="0.25">
      <c r="A293" s="4"/>
    </row>
    <row r="294" spans="1:1" customFormat="1" x14ac:dyDescent="0.25">
      <c r="A294" s="4"/>
    </row>
    <row r="295" spans="1:1" customFormat="1" x14ac:dyDescent="0.25">
      <c r="A295" s="4"/>
    </row>
    <row r="296" spans="1:1" customFormat="1" x14ac:dyDescent="0.25">
      <c r="A296" s="4"/>
    </row>
    <row r="297" spans="1:1" customFormat="1" x14ac:dyDescent="0.25">
      <c r="A297" s="4"/>
    </row>
    <row r="298" spans="1:1" customFormat="1" x14ac:dyDescent="0.25">
      <c r="A298" s="4"/>
    </row>
    <row r="299" spans="1:1" customFormat="1" x14ac:dyDescent="0.25">
      <c r="A299" s="4"/>
    </row>
    <row r="300" spans="1:1" customFormat="1" x14ac:dyDescent="0.25">
      <c r="A300" s="4"/>
    </row>
    <row r="301" spans="1:1" customFormat="1" x14ac:dyDescent="0.25">
      <c r="A301" s="4"/>
    </row>
    <row r="302" spans="1:1" customFormat="1" x14ac:dyDescent="0.25">
      <c r="A302" s="4"/>
    </row>
    <row r="303" spans="1:1" customFormat="1" x14ac:dyDescent="0.25">
      <c r="A303" s="4"/>
    </row>
    <row r="304" spans="1:1" customFormat="1" x14ac:dyDescent="0.25">
      <c r="A304" s="4"/>
    </row>
    <row r="305" spans="1:2" customFormat="1" x14ac:dyDescent="0.25">
      <c r="A305" s="4"/>
    </row>
    <row r="306" spans="1:2" customFormat="1" x14ac:dyDescent="0.25">
      <c r="A306" s="4"/>
    </row>
    <row r="307" spans="1:2" customFormat="1" x14ac:dyDescent="0.25">
      <c r="A307" s="4"/>
    </row>
    <row r="308" spans="1:2" customFormat="1" x14ac:dyDescent="0.25">
      <c r="A308" s="4"/>
    </row>
    <row r="309" spans="1:2" customFormat="1" x14ac:dyDescent="0.25">
      <c r="A309" s="4"/>
    </row>
    <row r="310" spans="1:2" customFormat="1" x14ac:dyDescent="0.25">
      <c r="A310" s="4"/>
    </row>
    <row r="311" spans="1:2" customFormat="1" x14ac:dyDescent="0.25">
      <c r="A311" s="4"/>
    </row>
    <row r="312" spans="1:2" customFormat="1" x14ac:dyDescent="0.25">
      <c r="A312" s="4"/>
    </row>
    <row r="313" spans="1:2" customFormat="1" x14ac:dyDescent="0.25">
      <c r="A313" s="4"/>
    </row>
    <row r="314" spans="1:2" customFormat="1" x14ac:dyDescent="0.25">
      <c r="A314" s="4"/>
    </row>
    <row r="315" spans="1:2" customFormat="1" x14ac:dyDescent="0.25">
      <c r="A315" s="4"/>
    </row>
    <row r="316" spans="1:2" customFormat="1" x14ac:dyDescent="0.25">
      <c r="A316" s="4"/>
    </row>
    <row r="317" spans="1:2" customFormat="1" x14ac:dyDescent="0.25">
      <c r="A317" s="4"/>
    </row>
    <row r="318" spans="1:2" customFormat="1" x14ac:dyDescent="0.25">
      <c r="A318" s="4"/>
      <c r="B318" t="s">
        <v>233</v>
      </c>
    </row>
    <row r="319" spans="1:2" customFormat="1" x14ac:dyDescent="0.25">
      <c r="A319" s="4"/>
    </row>
    <row r="320" spans="1:2" customFormat="1" x14ac:dyDescent="0.25">
      <c r="A320" s="5" t="s">
        <v>1</v>
      </c>
      <c r="B320" s="6" t="s">
        <v>234</v>
      </c>
    </row>
    <row r="321" spans="1:2" customFormat="1" x14ac:dyDescent="0.25">
      <c r="A321" s="7" t="s">
        <v>235</v>
      </c>
      <c r="B321" s="8" t="s">
        <v>236</v>
      </c>
    </row>
    <row r="322" spans="1:2" customFormat="1" x14ac:dyDescent="0.25">
      <c r="A322" s="7" t="s">
        <v>237</v>
      </c>
      <c r="B322" s="8" t="s">
        <v>9</v>
      </c>
    </row>
    <row r="323" spans="1:2" customFormat="1" x14ac:dyDescent="0.25">
      <c r="A323" s="7" t="s">
        <v>238</v>
      </c>
      <c r="B323" s="8" t="s">
        <v>21</v>
      </c>
    </row>
    <row r="324" spans="1:2" customFormat="1" x14ac:dyDescent="0.25">
      <c r="A324" s="7" t="s">
        <v>239</v>
      </c>
      <c r="B324" s="8" t="s">
        <v>240</v>
      </c>
    </row>
    <row r="325" spans="1:2" customFormat="1" x14ac:dyDescent="0.25">
      <c r="A325" s="7" t="s">
        <v>241</v>
      </c>
      <c r="B325" s="8" t="s">
        <v>242</v>
      </c>
    </row>
    <row r="326" spans="1:2" customFormat="1" x14ac:dyDescent="0.25">
      <c r="A326" s="7" t="s">
        <v>243</v>
      </c>
      <c r="B326" s="8" t="s">
        <v>37</v>
      </c>
    </row>
    <row r="327" spans="1:2" customFormat="1" x14ac:dyDescent="0.25">
      <c r="A327" s="7" t="s">
        <v>244</v>
      </c>
      <c r="B327" s="8" t="s">
        <v>41</v>
      </c>
    </row>
    <row r="328" spans="1:2" customFormat="1" x14ac:dyDescent="0.25">
      <c r="A328" s="7" t="s">
        <v>245</v>
      </c>
      <c r="B328" s="8" t="s">
        <v>38</v>
      </c>
    </row>
    <row r="329" spans="1:2" customFormat="1" x14ac:dyDescent="0.25">
      <c r="A329" s="7" t="s">
        <v>246</v>
      </c>
      <c r="B329" s="8" t="s">
        <v>57</v>
      </c>
    </row>
    <row r="330" spans="1:2" customFormat="1" x14ac:dyDescent="0.25">
      <c r="A330" s="7" t="s">
        <v>247</v>
      </c>
      <c r="B330" s="8" t="s">
        <v>66</v>
      </c>
    </row>
    <row r="331" spans="1:2" customFormat="1" x14ac:dyDescent="0.25">
      <c r="A331" s="7" t="s">
        <v>248</v>
      </c>
      <c r="B331" s="8" t="s">
        <v>55</v>
      </c>
    </row>
    <row r="332" spans="1:2" customFormat="1" x14ac:dyDescent="0.25">
      <c r="A332" s="7" t="s">
        <v>249</v>
      </c>
      <c r="B332" s="8" t="s">
        <v>65</v>
      </c>
    </row>
    <row r="333" spans="1:2" customFormat="1" x14ac:dyDescent="0.25">
      <c r="A333" s="7" t="s">
        <v>250</v>
      </c>
      <c r="B333" s="8" t="s">
        <v>77</v>
      </c>
    </row>
    <row r="334" spans="1:2" customFormat="1" x14ac:dyDescent="0.25">
      <c r="A334" s="7" t="s">
        <v>251</v>
      </c>
      <c r="B334" s="8" t="s">
        <v>78</v>
      </c>
    </row>
    <row r="335" spans="1:2" customFormat="1" x14ac:dyDescent="0.25">
      <c r="A335" s="7" t="s">
        <v>252</v>
      </c>
      <c r="B335" s="8" t="s">
        <v>253</v>
      </c>
    </row>
    <row r="336" spans="1:2" customFormat="1" x14ac:dyDescent="0.25">
      <c r="A336" s="7" t="s">
        <v>254</v>
      </c>
      <c r="B336" s="8" t="s">
        <v>73</v>
      </c>
    </row>
    <row r="337" spans="1:2" customFormat="1" x14ac:dyDescent="0.25">
      <c r="A337" s="7" t="s">
        <v>255</v>
      </c>
      <c r="B337" s="8" t="s">
        <v>81</v>
      </c>
    </row>
    <row r="338" spans="1:2" customFormat="1" x14ac:dyDescent="0.25">
      <c r="A338" s="7" t="s">
        <v>256</v>
      </c>
      <c r="B338" s="8" t="s">
        <v>9</v>
      </c>
    </row>
    <row r="339" spans="1:2" customFormat="1" x14ac:dyDescent="0.25">
      <c r="A339" s="7" t="s">
        <v>257</v>
      </c>
      <c r="B339" s="8" t="s">
        <v>108</v>
      </c>
    </row>
    <row r="340" spans="1:2" customFormat="1" x14ac:dyDescent="0.25">
      <c r="A340" s="7" t="s">
        <v>258</v>
      </c>
      <c r="B340" s="8" t="s">
        <v>114</v>
      </c>
    </row>
    <row r="341" spans="1:2" customFormat="1" x14ac:dyDescent="0.25">
      <c r="A341" s="7" t="s">
        <v>259</v>
      </c>
      <c r="B341" s="8" t="s">
        <v>115</v>
      </c>
    </row>
    <row r="342" spans="1:2" customFormat="1" x14ac:dyDescent="0.25">
      <c r="A342" s="7" t="s">
        <v>260</v>
      </c>
      <c r="B342" s="8" t="s">
        <v>116</v>
      </c>
    </row>
    <row r="343" spans="1:2" customFormat="1" x14ac:dyDescent="0.25">
      <c r="A343" s="7" t="s">
        <v>261</v>
      </c>
      <c r="B343" s="8" t="s">
        <v>8</v>
      </c>
    </row>
    <row r="344" spans="1:2" customFormat="1" x14ac:dyDescent="0.25">
      <c r="A344" s="7" t="s">
        <v>262</v>
      </c>
      <c r="B344" s="8" t="s">
        <v>127</v>
      </c>
    </row>
    <row r="345" spans="1:2" customFormat="1" x14ac:dyDescent="0.25">
      <c r="A345" s="7" t="s">
        <v>263</v>
      </c>
      <c r="B345" s="8" t="s">
        <v>142</v>
      </c>
    </row>
    <row r="346" spans="1:2" customFormat="1" x14ac:dyDescent="0.25">
      <c r="A346" s="7" t="s">
        <v>264</v>
      </c>
      <c r="B346" s="8" t="s">
        <v>160</v>
      </c>
    </row>
    <row r="347" spans="1:2" customFormat="1" x14ac:dyDescent="0.25">
      <c r="A347" s="7" t="s">
        <v>265</v>
      </c>
      <c r="B347" s="8" t="s">
        <v>180</v>
      </c>
    </row>
    <row r="348" spans="1:2" customFormat="1" x14ac:dyDescent="0.25">
      <c r="A348" s="7" t="s">
        <v>266</v>
      </c>
      <c r="B348" s="8" t="s">
        <v>198</v>
      </c>
    </row>
    <row r="349" spans="1:2" customFormat="1" x14ac:dyDescent="0.25">
      <c r="A349" s="7" t="s">
        <v>267</v>
      </c>
      <c r="B349" s="8" t="s">
        <v>214</v>
      </c>
    </row>
    <row r="350" spans="1:2" customFormat="1" x14ac:dyDescent="0.25">
      <c r="A350" s="7" t="s">
        <v>268</v>
      </c>
      <c r="B350" s="8" t="s">
        <v>231</v>
      </c>
    </row>
    <row r="351" spans="1:2" customFormat="1" x14ac:dyDescent="0.25">
      <c r="A351" s="7" t="s">
        <v>269</v>
      </c>
      <c r="B351" s="8" t="s">
        <v>224</v>
      </c>
    </row>
    <row r="354" spans="1:2" customFormat="1" x14ac:dyDescent="0.25">
      <c r="A354" s="104" t="s">
        <v>270</v>
      </c>
      <c r="B354" s="104"/>
    </row>
    <row r="356" spans="1:2" customFormat="1" x14ac:dyDescent="0.25">
      <c r="A356" s="5" t="s">
        <v>1</v>
      </c>
      <c r="B356" s="6" t="s">
        <v>234</v>
      </c>
    </row>
    <row r="357" spans="1:2" customFormat="1" x14ac:dyDescent="0.25">
      <c r="A357" s="7" t="s">
        <v>235</v>
      </c>
      <c r="B357" s="8" t="s">
        <v>25</v>
      </c>
    </row>
    <row r="358" spans="1:2" customFormat="1" x14ac:dyDescent="0.25">
      <c r="A358" s="7" t="s">
        <v>237</v>
      </c>
      <c r="B358" s="8" t="s">
        <v>30</v>
      </c>
    </row>
    <row r="359" spans="1:2" customFormat="1" x14ac:dyDescent="0.25">
      <c r="A359" s="7" t="s">
        <v>238</v>
      </c>
      <c r="B359" s="8" t="s">
        <v>43</v>
      </c>
    </row>
    <row r="360" spans="1:2" customFormat="1" x14ac:dyDescent="0.25">
      <c r="A360" s="7" t="s">
        <v>239</v>
      </c>
      <c r="B360" s="8" t="s">
        <v>44</v>
      </c>
    </row>
    <row r="361" spans="1:2" customFormat="1" x14ac:dyDescent="0.25">
      <c r="A361" s="7" t="s">
        <v>241</v>
      </c>
      <c r="B361" s="8" t="s">
        <v>86</v>
      </c>
    </row>
    <row r="362" spans="1:2" customFormat="1" x14ac:dyDescent="0.25">
      <c r="A362" s="7" t="s">
        <v>243</v>
      </c>
      <c r="B362" s="8" t="s">
        <v>103</v>
      </c>
    </row>
    <row r="363" spans="1:2" customFormat="1" x14ac:dyDescent="0.25">
      <c r="A363" s="7" t="s">
        <v>244</v>
      </c>
      <c r="B363" s="8" t="s">
        <v>129</v>
      </c>
    </row>
    <row r="364" spans="1:2" customFormat="1" x14ac:dyDescent="0.25">
      <c r="A364" s="7" t="s">
        <v>245</v>
      </c>
      <c r="B364" s="8" t="s">
        <v>271</v>
      </c>
    </row>
    <row r="365" spans="1:2" customFormat="1" x14ac:dyDescent="0.25">
      <c r="A365" s="7" t="s">
        <v>246</v>
      </c>
      <c r="B365" s="8" t="s">
        <v>135</v>
      </c>
    </row>
    <row r="366" spans="1:2" customFormat="1" x14ac:dyDescent="0.25">
      <c r="A366" s="7" t="s">
        <v>247</v>
      </c>
      <c r="B366" s="8" t="s">
        <v>165</v>
      </c>
    </row>
    <row r="367" spans="1:2" customFormat="1" x14ac:dyDescent="0.25">
      <c r="A367" s="7" t="s">
        <v>248</v>
      </c>
      <c r="B367" s="8" t="s">
        <v>171</v>
      </c>
    </row>
    <row r="368" spans="1:2" customFormat="1" x14ac:dyDescent="0.25">
      <c r="A368" s="7" t="s">
        <v>249</v>
      </c>
      <c r="B368" s="8" t="s">
        <v>53</v>
      </c>
    </row>
    <row r="369" spans="1:2" customFormat="1" x14ac:dyDescent="0.25">
      <c r="A369" s="7" t="s">
        <v>250</v>
      </c>
      <c r="B369" s="8" t="s">
        <v>175</v>
      </c>
    </row>
    <row r="370" spans="1:2" customFormat="1" x14ac:dyDescent="0.25">
      <c r="A370" s="7" t="s">
        <v>251</v>
      </c>
      <c r="B370" s="8" t="s">
        <v>57</v>
      </c>
    </row>
    <row r="371" spans="1:2" customFormat="1" x14ac:dyDescent="0.25">
      <c r="A371" s="7" t="s">
        <v>252</v>
      </c>
      <c r="B371" s="8" t="s">
        <v>203</v>
      </c>
    </row>
  </sheetData>
  <mergeCells count="16">
    <mergeCell ref="Q5:Q7"/>
    <mergeCell ref="A258:B258"/>
    <mergeCell ref="A354:B354"/>
    <mergeCell ref="J5:J7"/>
    <mergeCell ref="K5:K7"/>
    <mergeCell ref="L5:L7"/>
    <mergeCell ref="E5:E7"/>
    <mergeCell ref="F5:F7"/>
    <mergeCell ref="G5:G7"/>
    <mergeCell ref="H5:H7"/>
    <mergeCell ref="I5:I7"/>
    <mergeCell ref="A5:A7"/>
    <mergeCell ref="B5:B7"/>
    <mergeCell ref="C5:C7"/>
    <mergeCell ref="D5:D7"/>
    <mergeCell ref="M5:M7"/>
  </mergeCells>
  <conditionalFormatting sqref="C1:C1048576">
    <cfRule type="duplicateValues" dxfId="11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workbookViewId="0">
      <selection activeCell="E18" sqref="A1:XFD1048576"/>
    </sheetView>
  </sheetViews>
  <sheetFormatPr defaultColWidth="9.140625" defaultRowHeight="15" x14ac:dyDescent="0.25"/>
  <cols>
    <col min="1" max="1" width="6.42578125" style="41" customWidth="1"/>
    <col min="2" max="2" width="37.42578125" style="40" customWidth="1"/>
    <col min="3" max="3" width="29.28515625" customWidth="1"/>
    <col min="4" max="4" width="18.28515625" style="40" customWidth="1"/>
    <col min="5" max="5" width="18.28515625" customWidth="1"/>
    <col min="6" max="10" width="18.28515625" style="40" customWidth="1"/>
    <col min="11" max="16384" width="9.140625" style="40"/>
  </cols>
  <sheetData>
    <row r="2" spans="1:5" x14ac:dyDescent="0.25">
      <c r="A2" s="114" t="s">
        <v>441</v>
      </c>
      <c r="B2" s="114"/>
      <c r="C2" s="114"/>
    </row>
    <row r="3" spans="1:5" x14ac:dyDescent="0.25">
      <c r="A3" s="115" t="str">
        <f>"TANGGAL "&amp;perdesa!B4</f>
        <v>TANGGAL 06 DESEMBER 2022</v>
      </c>
      <c r="B3" s="115"/>
    </row>
    <row r="4" spans="1:5" s="44" customFormat="1" x14ac:dyDescent="0.25">
      <c r="A4" s="42" t="s">
        <v>1</v>
      </c>
      <c r="B4" s="43" t="s">
        <v>2</v>
      </c>
      <c r="C4" s="60" t="s">
        <v>456</v>
      </c>
      <c r="E4" s="45"/>
    </row>
    <row r="5" spans="1:5" x14ac:dyDescent="0.25">
      <c r="A5" s="46"/>
      <c r="B5" s="47"/>
      <c r="C5" s="73"/>
    </row>
    <row r="6" spans="1:5" customFormat="1" x14ac:dyDescent="0.25">
      <c r="A6" s="6">
        <v>1</v>
      </c>
      <c r="B6" s="8" t="s">
        <v>284</v>
      </c>
      <c r="C6" s="75">
        <f>perdesa!Q155</f>
        <v>0</v>
      </c>
    </row>
    <row r="7" spans="1:5" customFormat="1" x14ac:dyDescent="0.25">
      <c r="A7" s="6">
        <v>2</v>
      </c>
      <c r="B7" s="8" t="s">
        <v>282</v>
      </c>
      <c r="C7" s="75">
        <f>perdesa!Q175</f>
        <v>0</v>
      </c>
    </row>
    <row r="8" spans="1:5" customFormat="1" x14ac:dyDescent="0.25">
      <c r="A8" s="6">
        <v>3</v>
      </c>
      <c r="B8" s="8" t="s">
        <v>293</v>
      </c>
      <c r="C8" s="75">
        <f>perdesa!Q237</f>
        <v>0</v>
      </c>
    </row>
    <row r="9" spans="1:5" customFormat="1" x14ac:dyDescent="0.25">
      <c r="A9" s="6">
        <v>4</v>
      </c>
      <c r="B9" s="8" t="s">
        <v>291</v>
      </c>
      <c r="C9" s="75">
        <f>perdesa!Q83</f>
        <v>0</v>
      </c>
    </row>
    <row r="10" spans="1:5" customFormat="1" x14ac:dyDescent="0.25">
      <c r="A10" s="6">
        <v>5</v>
      </c>
      <c r="B10" s="8" t="s">
        <v>0</v>
      </c>
      <c r="C10" s="75">
        <f>perdesa!Q27</f>
        <v>0</v>
      </c>
    </row>
    <row r="11" spans="1:5" customFormat="1" x14ac:dyDescent="0.25">
      <c r="A11" s="6">
        <v>6</v>
      </c>
      <c r="B11" s="8" t="s">
        <v>283</v>
      </c>
      <c r="C11" s="75">
        <f>perdesa!Q115</f>
        <v>1</v>
      </c>
    </row>
    <row r="12" spans="1:5" customFormat="1" x14ac:dyDescent="0.25">
      <c r="A12" s="6">
        <v>7</v>
      </c>
      <c r="B12" s="8" t="s">
        <v>285</v>
      </c>
      <c r="C12" s="75">
        <f>perdesa!Q217</f>
        <v>0</v>
      </c>
    </row>
    <row r="13" spans="1:5" customFormat="1" x14ac:dyDescent="0.25">
      <c r="A13" s="6">
        <v>8</v>
      </c>
      <c r="B13" s="8" t="s">
        <v>286</v>
      </c>
      <c r="C13" s="75">
        <f>perdesa!Q44</f>
        <v>1</v>
      </c>
    </row>
    <row r="14" spans="1:5" customFormat="1" x14ac:dyDescent="0.25">
      <c r="A14" s="6">
        <v>9</v>
      </c>
      <c r="B14" s="8" t="s">
        <v>292</v>
      </c>
      <c r="C14" s="75">
        <f>perdesa!Q134</f>
        <v>0</v>
      </c>
    </row>
    <row r="15" spans="1:5" customFormat="1" x14ac:dyDescent="0.25">
      <c r="A15" s="6">
        <v>10</v>
      </c>
      <c r="B15" s="8" t="s">
        <v>400</v>
      </c>
      <c r="C15" s="75">
        <f>perdesa!Q8</f>
        <v>0</v>
      </c>
    </row>
    <row r="16" spans="1:5" customFormat="1" x14ac:dyDescent="0.25">
      <c r="A16" s="6">
        <v>11</v>
      </c>
      <c r="B16" s="8" t="s">
        <v>287</v>
      </c>
      <c r="C16" s="63">
        <f>perdesa!Q203</f>
        <v>0</v>
      </c>
      <c r="D16" s="22"/>
    </row>
    <row r="17" spans="1:3" customFormat="1" x14ac:dyDescent="0.25">
      <c r="A17" s="6">
        <v>12</v>
      </c>
      <c r="B17" s="8" t="s">
        <v>288</v>
      </c>
      <c r="C17" s="75">
        <f>perdesa!Q187</f>
        <v>2</v>
      </c>
    </row>
    <row r="18" spans="1:3" customFormat="1" x14ac:dyDescent="0.25">
      <c r="A18" s="6">
        <v>13</v>
      </c>
      <c r="B18" s="8" t="s">
        <v>289</v>
      </c>
      <c r="C18" s="75">
        <f>perdesa!Q65</f>
        <v>0</v>
      </c>
    </row>
    <row r="19" spans="1:3" customFormat="1" x14ac:dyDescent="0.25">
      <c r="A19" s="6">
        <v>14</v>
      </c>
      <c r="B19" s="8" t="s">
        <v>290</v>
      </c>
      <c r="C19" s="75">
        <f>perdesa!Q100</f>
        <v>0</v>
      </c>
    </row>
    <row r="20" spans="1:3" customFormat="1" x14ac:dyDescent="0.25">
      <c r="A20" s="6">
        <v>15</v>
      </c>
      <c r="B20" s="8" t="s">
        <v>294</v>
      </c>
      <c r="C20" s="63">
        <f>perdesa!Q257</f>
        <v>0</v>
      </c>
    </row>
    <row r="21" spans="1:3" s="40" customFormat="1" x14ac:dyDescent="0.25">
      <c r="A21" s="48"/>
      <c r="B21" s="49" t="s">
        <v>401</v>
      </c>
      <c r="C21" s="74">
        <f>SUM(C6:C20)</f>
        <v>4</v>
      </c>
    </row>
    <row r="27" spans="1:3" s="40" customFormat="1" x14ac:dyDescent="0.25">
      <c r="A27" s="41"/>
      <c r="B27" s="40" t="s">
        <v>458</v>
      </c>
      <c r="C27"/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ColWidth="8.85546875" defaultRowHeight="15" x14ac:dyDescent="0.25"/>
  <cols>
    <col min="6" max="6" width="25.42578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352</v>
      </c>
      <c r="E5" s="33" t="s">
        <v>311</v>
      </c>
      <c r="F5" s="54" t="s">
        <v>402</v>
      </c>
      <c r="G5" s="61">
        <v>44008</v>
      </c>
      <c r="H5" s="60">
        <v>46</v>
      </c>
      <c r="I5" s="54" t="s">
        <v>405</v>
      </c>
      <c r="J5" s="60" t="s">
        <v>403</v>
      </c>
      <c r="K5" s="60">
        <v>1</v>
      </c>
      <c r="L5" s="60" t="s">
        <v>404</v>
      </c>
      <c r="M5" s="60" t="s">
        <v>405</v>
      </c>
      <c r="N5" s="60" t="s">
        <v>404</v>
      </c>
      <c r="O5" s="31" t="s">
        <v>294</v>
      </c>
      <c r="P5" s="31" t="s">
        <v>294</v>
      </c>
      <c r="Q5" s="30"/>
      <c r="R5" s="8" t="s">
        <v>350</v>
      </c>
      <c r="S5" s="30"/>
      <c r="T5" s="30"/>
      <c r="U5" s="30"/>
      <c r="V5" s="30"/>
      <c r="W5" s="30"/>
      <c r="X5" s="30"/>
      <c r="Y5" s="30"/>
      <c r="Z5" s="30" t="s">
        <v>318</v>
      </c>
      <c r="AA5" s="30"/>
      <c r="AB5" s="30"/>
      <c r="AC5" s="30"/>
      <c r="AD5" s="30" t="s">
        <v>310</v>
      </c>
      <c r="AF5" s="26" t="s">
        <v>294</v>
      </c>
      <c r="AG5" s="26" t="s">
        <v>294</v>
      </c>
    </row>
    <row r="6" spans="1:33" ht="105" x14ac:dyDescent="0.25">
      <c r="C6" s="32">
        <v>44017</v>
      </c>
      <c r="D6" s="39" t="s">
        <v>352</v>
      </c>
      <c r="E6" s="39" t="s">
        <v>311</v>
      </c>
      <c r="F6" s="27" t="s">
        <v>429</v>
      </c>
      <c r="G6" s="39" t="s">
        <v>307</v>
      </c>
      <c r="H6" s="39">
        <v>54</v>
      </c>
      <c r="I6" s="39"/>
      <c r="J6" s="39"/>
      <c r="K6" s="39"/>
      <c r="L6" s="39"/>
      <c r="M6" s="39"/>
      <c r="N6" s="27" t="s">
        <v>428</v>
      </c>
      <c r="O6" s="27" t="s">
        <v>395</v>
      </c>
      <c r="P6" s="27" t="s">
        <v>283</v>
      </c>
      <c r="Q6" s="39"/>
      <c r="R6" s="39" t="s">
        <v>430</v>
      </c>
      <c r="S6" s="39"/>
      <c r="T6" s="39" t="s">
        <v>326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355</v>
      </c>
      <c r="AE6" s="29"/>
      <c r="AF6" s="28" t="s">
        <v>395</v>
      </c>
      <c r="AG6" s="28" t="s">
        <v>283</v>
      </c>
    </row>
  </sheetData>
  <conditionalFormatting sqref="F5">
    <cfRule type="duplicateValues" dxfId="10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ColWidth="8.85546875"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352</v>
      </c>
      <c r="E3" s="30" t="s">
        <v>311</v>
      </c>
      <c r="F3" s="31" t="s">
        <v>316</v>
      </c>
      <c r="G3" s="30" t="s">
        <v>305</v>
      </c>
      <c r="H3" s="30">
        <v>52</v>
      </c>
      <c r="I3" s="30" t="s">
        <v>426</v>
      </c>
      <c r="J3" s="30"/>
      <c r="K3" s="30"/>
      <c r="L3" s="30"/>
      <c r="M3" s="30"/>
      <c r="N3" s="31" t="s">
        <v>317</v>
      </c>
      <c r="O3" s="31" t="s">
        <v>345</v>
      </c>
      <c r="P3" s="31" t="s">
        <v>282</v>
      </c>
      <c r="Q3" s="30"/>
      <c r="R3" s="30" t="s">
        <v>312</v>
      </c>
      <c r="S3" s="30" t="s">
        <v>399</v>
      </c>
      <c r="T3" s="30"/>
      <c r="U3" s="30"/>
      <c r="V3" s="30"/>
      <c r="W3" s="30"/>
      <c r="X3" s="30"/>
      <c r="Y3" s="30"/>
      <c r="Z3" s="30" t="s">
        <v>393</v>
      </c>
      <c r="AA3" s="30" t="s">
        <v>427</v>
      </c>
      <c r="AB3" s="30" t="s">
        <v>308</v>
      </c>
    </row>
    <row r="4" spans="4:33" s="25" customFormat="1" ht="27" customHeight="1" x14ac:dyDescent="0.25">
      <c r="D4" s="30" t="s">
        <v>352</v>
      </c>
      <c r="E4" s="30" t="s">
        <v>311</v>
      </c>
      <c r="F4" s="31" t="s">
        <v>356</v>
      </c>
      <c r="G4" s="30" t="s">
        <v>305</v>
      </c>
      <c r="H4" s="30">
        <v>56</v>
      </c>
      <c r="I4" s="30" t="s">
        <v>357</v>
      </c>
      <c r="J4" s="30"/>
      <c r="K4" s="30"/>
      <c r="L4" s="30"/>
      <c r="M4" s="30"/>
      <c r="N4" s="31" t="s">
        <v>423</v>
      </c>
      <c r="O4" s="31" t="s">
        <v>346</v>
      </c>
      <c r="P4" s="31" t="s">
        <v>309</v>
      </c>
      <c r="Q4" s="30"/>
      <c r="R4" s="30" t="s">
        <v>312</v>
      </c>
      <c r="S4" s="30" t="s">
        <v>424</v>
      </c>
      <c r="T4" s="30"/>
      <c r="U4" s="30"/>
      <c r="V4" s="30"/>
      <c r="W4" s="30"/>
      <c r="X4" s="30"/>
      <c r="Y4" s="30"/>
      <c r="Z4" s="30" t="s">
        <v>393</v>
      </c>
      <c r="AA4" s="30" t="s">
        <v>425</v>
      </c>
      <c r="AB4" s="30" t="s">
        <v>308</v>
      </c>
    </row>
    <row r="5" spans="4:33" s="25" customFormat="1" ht="27" customHeight="1" x14ac:dyDescent="0.25">
      <c r="D5" s="30" t="s">
        <v>352</v>
      </c>
      <c r="E5" s="30" t="s">
        <v>311</v>
      </c>
      <c r="F5" s="31" t="s">
        <v>314</v>
      </c>
      <c r="G5" s="30" t="s">
        <v>305</v>
      </c>
      <c r="H5" s="30">
        <v>52</v>
      </c>
      <c r="I5" s="30" t="s">
        <v>315</v>
      </c>
      <c r="J5" s="30"/>
      <c r="K5" s="30"/>
      <c r="L5" s="30"/>
      <c r="M5" s="30"/>
      <c r="N5" s="31" t="s">
        <v>420</v>
      </c>
      <c r="O5" s="31" t="s">
        <v>344</v>
      </c>
      <c r="P5" s="31" t="s">
        <v>0</v>
      </c>
      <c r="Q5" s="30"/>
      <c r="R5" s="30" t="s">
        <v>312</v>
      </c>
      <c r="S5" s="30" t="s">
        <v>421</v>
      </c>
      <c r="T5" s="30"/>
      <c r="U5" s="30"/>
      <c r="V5" s="30"/>
      <c r="W5" s="30"/>
      <c r="X5" s="30"/>
      <c r="Y5" s="30"/>
      <c r="Z5" s="30" t="s">
        <v>393</v>
      </c>
      <c r="AA5" s="30" t="s">
        <v>422</v>
      </c>
      <c r="AB5" s="30" t="s">
        <v>308</v>
      </c>
    </row>
    <row r="6" spans="4:33" s="25" customFormat="1" ht="27" customHeight="1" x14ac:dyDescent="0.25">
      <c r="D6" s="30" t="s">
        <v>352</v>
      </c>
      <c r="E6" s="30" t="s">
        <v>311</v>
      </c>
      <c r="F6" s="31" t="s">
        <v>331</v>
      </c>
      <c r="G6" s="30" t="s">
        <v>305</v>
      </c>
      <c r="H6" s="30">
        <v>63</v>
      </c>
      <c r="I6" s="30" t="s">
        <v>324</v>
      </c>
      <c r="J6" s="30"/>
      <c r="K6" s="30"/>
      <c r="L6" s="30"/>
      <c r="M6" s="30"/>
      <c r="N6" s="31" t="s">
        <v>323</v>
      </c>
      <c r="O6" s="31" t="s">
        <v>354</v>
      </c>
      <c r="P6" s="31" t="s">
        <v>293</v>
      </c>
      <c r="Q6" s="30"/>
      <c r="R6" s="30" t="s">
        <v>306</v>
      </c>
      <c r="S6" s="30" t="s">
        <v>409</v>
      </c>
      <c r="T6" s="30"/>
      <c r="U6" s="30"/>
      <c r="V6" s="30"/>
      <c r="W6" s="30"/>
      <c r="X6" s="30"/>
      <c r="Y6" s="30"/>
      <c r="Z6" s="30" t="s">
        <v>393</v>
      </c>
      <c r="AA6" s="30" t="s">
        <v>419</v>
      </c>
      <c r="AB6" s="30" t="s">
        <v>308</v>
      </c>
    </row>
    <row r="7" spans="4:33" s="25" customFormat="1" ht="27" customHeight="1" x14ac:dyDescent="0.25">
      <c r="D7" s="30" t="s">
        <v>352</v>
      </c>
      <c r="E7" s="30" t="s">
        <v>311</v>
      </c>
      <c r="F7" s="31" t="s">
        <v>372</v>
      </c>
      <c r="G7" s="30" t="s">
        <v>305</v>
      </c>
      <c r="H7" s="30">
        <v>17</v>
      </c>
      <c r="I7" s="30" t="s">
        <v>374</v>
      </c>
      <c r="J7" s="30"/>
      <c r="K7" s="30"/>
      <c r="L7" s="30"/>
      <c r="M7" s="30"/>
      <c r="N7" s="31" t="s">
        <v>373</v>
      </c>
      <c r="O7" s="31" t="s">
        <v>351</v>
      </c>
      <c r="P7" s="31" t="s">
        <v>309</v>
      </c>
      <c r="Q7" s="30"/>
      <c r="R7" s="30" t="s">
        <v>312</v>
      </c>
      <c r="S7" s="30" t="s">
        <v>377</v>
      </c>
      <c r="T7" s="30"/>
      <c r="U7" s="30"/>
      <c r="V7" s="30"/>
      <c r="W7" s="30"/>
      <c r="X7" s="30"/>
      <c r="Y7" s="30"/>
      <c r="Z7" s="30" t="s">
        <v>393</v>
      </c>
      <c r="AA7" s="30" t="s">
        <v>325</v>
      </c>
      <c r="AB7" s="30" t="s">
        <v>308</v>
      </c>
    </row>
    <row r="8" spans="4:33" s="25" customFormat="1" ht="27" customHeight="1" x14ac:dyDescent="0.25">
      <c r="D8" s="30" t="s">
        <v>352</v>
      </c>
      <c r="E8" s="30" t="s">
        <v>311</v>
      </c>
      <c r="F8" s="31" t="s">
        <v>332</v>
      </c>
      <c r="G8" s="30" t="s">
        <v>305</v>
      </c>
      <c r="H8" s="30">
        <v>75</v>
      </c>
      <c r="I8" s="30" t="s">
        <v>333</v>
      </c>
      <c r="J8" s="30"/>
      <c r="K8" s="30"/>
      <c r="L8" s="30"/>
      <c r="M8" s="30"/>
      <c r="N8" s="31" t="s">
        <v>418</v>
      </c>
      <c r="O8" s="31" t="s">
        <v>347</v>
      </c>
      <c r="P8" s="31" t="s">
        <v>309</v>
      </c>
      <c r="Q8" s="30"/>
      <c r="R8" s="30" t="s">
        <v>312</v>
      </c>
      <c r="S8" s="30" t="s">
        <v>411</v>
      </c>
      <c r="T8" s="30"/>
      <c r="U8" s="30"/>
      <c r="V8" s="30"/>
      <c r="W8" s="30"/>
      <c r="X8" s="30"/>
      <c r="Y8" s="30"/>
      <c r="Z8" s="30" t="s">
        <v>393</v>
      </c>
      <c r="AA8" s="30" t="s">
        <v>334</v>
      </c>
      <c r="AB8" s="30" t="s">
        <v>308</v>
      </c>
    </row>
    <row r="9" spans="4:33" s="25" customFormat="1" ht="27" customHeight="1" x14ac:dyDescent="0.25">
      <c r="D9" s="30" t="s">
        <v>352</v>
      </c>
      <c r="E9" s="30" t="s">
        <v>311</v>
      </c>
      <c r="F9" s="31" t="s">
        <v>362</v>
      </c>
      <c r="G9" s="30" t="s">
        <v>307</v>
      </c>
      <c r="H9" s="30">
        <v>28</v>
      </c>
      <c r="I9" s="30" t="s">
        <v>368</v>
      </c>
      <c r="J9" s="30"/>
      <c r="K9" s="30"/>
      <c r="L9" s="30"/>
      <c r="M9" s="30"/>
      <c r="N9" s="31" t="s">
        <v>367</v>
      </c>
      <c r="O9" s="31" t="s">
        <v>343</v>
      </c>
      <c r="P9" s="31" t="s">
        <v>285</v>
      </c>
      <c r="Q9" s="30"/>
      <c r="R9" s="30" t="s">
        <v>312</v>
      </c>
      <c r="S9" s="30" t="s">
        <v>377</v>
      </c>
      <c r="T9" s="30"/>
      <c r="U9" s="30"/>
      <c r="V9" s="30"/>
      <c r="W9" s="30"/>
      <c r="X9" s="30"/>
      <c r="Y9" s="30"/>
      <c r="Z9" s="30" t="s">
        <v>393</v>
      </c>
      <c r="AA9" s="30" t="s">
        <v>369</v>
      </c>
      <c r="AB9" s="30" t="s">
        <v>308</v>
      </c>
    </row>
    <row r="10" spans="4:33" s="25" customFormat="1" ht="27" customHeight="1" x14ac:dyDescent="0.25">
      <c r="D10" s="30" t="s">
        <v>352</v>
      </c>
      <c r="E10" s="30" t="s">
        <v>311</v>
      </c>
      <c r="F10" s="31" t="s">
        <v>386</v>
      </c>
      <c r="G10" s="30" t="s">
        <v>307</v>
      </c>
      <c r="H10" s="30">
        <v>76</v>
      </c>
      <c r="I10" s="30" t="s">
        <v>388</v>
      </c>
      <c r="J10" s="30"/>
      <c r="K10" s="30"/>
      <c r="L10" s="30"/>
      <c r="M10" s="30"/>
      <c r="N10" s="31" t="s">
        <v>387</v>
      </c>
      <c r="O10" s="31" t="s">
        <v>349</v>
      </c>
      <c r="P10" s="31" t="s">
        <v>282</v>
      </c>
      <c r="Q10" s="30"/>
      <c r="R10" s="30" t="s">
        <v>312</v>
      </c>
      <c r="S10" s="30" t="s">
        <v>376</v>
      </c>
      <c r="T10" s="30"/>
      <c r="U10" s="30"/>
      <c r="V10" s="30"/>
      <c r="W10" s="30"/>
      <c r="X10" s="30"/>
      <c r="Y10" s="30"/>
      <c r="Z10" s="30" t="s">
        <v>393</v>
      </c>
      <c r="AA10" s="30" t="s">
        <v>322</v>
      </c>
      <c r="AB10" s="30" t="s">
        <v>308</v>
      </c>
    </row>
    <row r="11" spans="4:33" s="25" customFormat="1" ht="27" customHeight="1" x14ac:dyDescent="0.25">
      <c r="D11" s="30" t="s">
        <v>352</v>
      </c>
      <c r="E11" s="30" t="s">
        <v>311</v>
      </c>
      <c r="F11" s="31" t="s">
        <v>390</v>
      </c>
      <c r="G11" s="30" t="s">
        <v>305</v>
      </c>
      <c r="H11" s="30">
        <v>20</v>
      </c>
      <c r="I11" s="30" t="s">
        <v>308</v>
      </c>
      <c r="J11" s="30"/>
      <c r="K11" s="30"/>
      <c r="L11" s="30"/>
      <c r="M11" s="30"/>
      <c r="N11" s="31" t="s">
        <v>391</v>
      </c>
      <c r="O11" s="31" t="s">
        <v>309</v>
      </c>
      <c r="P11" s="31" t="s">
        <v>309</v>
      </c>
      <c r="Q11" s="30"/>
      <c r="R11" s="30" t="s">
        <v>312</v>
      </c>
      <c r="S11" s="30" t="s">
        <v>392</v>
      </c>
      <c r="T11" s="30"/>
      <c r="U11" s="30"/>
      <c r="V11" s="30"/>
      <c r="W11" s="30"/>
      <c r="X11" s="30"/>
      <c r="Y11" s="30"/>
      <c r="Z11" s="30" t="s">
        <v>393</v>
      </c>
      <c r="AA11" s="30" t="s">
        <v>417</v>
      </c>
      <c r="AB11" s="30" t="s">
        <v>308</v>
      </c>
      <c r="AG11" s="26"/>
    </row>
    <row r="12" spans="4:33" s="25" customFormat="1" ht="27" customHeight="1" x14ac:dyDescent="0.25">
      <c r="D12" s="30" t="s">
        <v>352</v>
      </c>
      <c r="E12" s="30" t="s">
        <v>311</v>
      </c>
      <c r="F12" s="31" t="s">
        <v>359</v>
      </c>
      <c r="G12" s="30" t="s">
        <v>305</v>
      </c>
      <c r="H12" s="30">
        <v>72</v>
      </c>
      <c r="I12" s="30" t="s">
        <v>308</v>
      </c>
      <c r="J12" s="30"/>
      <c r="K12" s="30"/>
      <c r="L12" s="30"/>
      <c r="M12" s="30"/>
      <c r="N12" s="31" t="s">
        <v>360</v>
      </c>
      <c r="O12" s="31" t="s">
        <v>370</v>
      </c>
      <c r="P12" s="31" t="s">
        <v>282</v>
      </c>
      <c r="Q12" s="30"/>
      <c r="R12" s="30" t="s">
        <v>312</v>
      </c>
      <c r="S12" s="30" t="s">
        <v>389</v>
      </c>
      <c r="T12" s="30"/>
      <c r="U12" s="30"/>
      <c r="V12" s="30"/>
      <c r="W12" s="30"/>
      <c r="X12" s="30"/>
      <c r="Y12" s="30"/>
      <c r="Z12" s="30" t="s">
        <v>393</v>
      </c>
      <c r="AA12" s="30" t="s">
        <v>361</v>
      </c>
      <c r="AB12" s="30" t="s">
        <v>308</v>
      </c>
      <c r="AG12" s="26"/>
    </row>
    <row r="13" spans="4:33" s="25" customFormat="1" ht="27" customHeight="1" x14ac:dyDescent="0.25">
      <c r="D13" s="30" t="s">
        <v>352</v>
      </c>
      <c r="E13" s="30" t="s">
        <v>311</v>
      </c>
      <c r="F13" s="31" t="s">
        <v>337</v>
      </c>
      <c r="G13" s="30" t="s">
        <v>307</v>
      </c>
      <c r="H13" s="30">
        <v>48</v>
      </c>
      <c r="I13" s="30" t="s">
        <v>414</v>
      </c>
      <c r="J13" s="30"/>
      <c r="K13" s="30"/>
      <c r="L13" s="30"/>
      <c r="M13" s="30"/>
      <c r="N13" s="30" t="s">
        <v>415</v>
      </c>
      <c r="O13" s="30" t="s">
        <v>346</v>
      </c>
      <c r="P13" s="30" t="s">
        <v>309</v>
      </c>
      <c r="Q13" s="30"/>
      <c r="R13" s="30" t="s">
        <v>312</v>
      </c>
      <c r="S13" s="30" t="s">
        <v>380</v>
      </c>
      <c r="T13" s="30"/>
      <c r="U13" s="30"/>
      <c r="V13" s="30"/>
      <c r="W13" s="30"/>
      <c r="X13" s="30"/>
      <c r="Y13" s="30"/>
      <c r="Z13" s="30" t="s">
        <v>393</v>
      </c>
      <c r="AA13" s="30" t="s">
        <v>416</v>
      </c>
      <c r="AB13" s="30" t="s">
        <v>308</v>
      </c>
      <c r="AG13" s="26"/>
    </row>
    <row r="14" spans="4:33" s="25" customFormat="1" ht="27" customHeight="1" x14ac:dyDescent="0.25">
      <c r="D14" s="30" t="s">
        <v>352</v>
      </c>
      <c r="E14" s="30" t="s">
        <v>311</v>
      </c>
      <c r="F14" s="31" t="s">
        <v>378</v>
      </c>
      <c r="G14" s="30" t="s">
        <v>307</v>
      </c>
      <c r="H14" s="30">
        <v>36</v>
      </c>
      <c r="I14" s="30" t="s">
        <v>379</v>
      </c>
      <c r="J14" s="30"/>
      <c r="K14" s="30"/>
      <c r="L14" s="30"/>
      <c r="M14" s="30"/>
      <c r="N14" s="30" t="s">
        <v>412</v>
      </c>
      <c r="O14" s="30" t="s">
        <v>358</v>
      </c>
      <c r="P14" s="30" t="s">
        <v>309</v>
      </c>
      <c r="Q14" s="30"/>
      <c r="R14" s="30" t="s">
        <v>312</v>
      </c>
      <c r="S14" s="30" t="s">
        <v>375</v>
      </c>
      <c r="T14" s="30"/>
      <c r="U14" s="30"/>
      <c r="V14" s="30"/>
      <c r="W14" s="30"/>
      <c r="X14" s="30"/>
      <c r="Y14" s="30"/>
      <c r="Z14" s="30" t="s">
        <v>393</v>
      </c>
      <c r="AA14" s="30" t="s">
        <v>413</v>
      </c>
      <c r="AB14" s="30" t="s">
        <v>308</v>
      </c>
      <c r="AG14" s="26"/>
    </row>
    <row r="15" spans="4:33" s="25" customFormat="1" ht="27" customHeight="1" x14ac:dyDescent="0.25">
      <c r="D15" s="30" t="s">
        <v>352</v>
      </c>
      <c r="E15" s="30" t="s">
        <v>311</v>
      </c>
      <c r="F15" s="31" t="s">
        <v>313</v>
      </c>
      <c r="G15" s="30" t="s">
        <v>307</v>
      </c>
      <c r="H15" s="30">
        <v>47</v>
      </c>
      <c r="I15" s="30" t="s">
        <v>383</v>
      </c>
      <c r="J15" s="30"/>
      <c r="K15" s="30"/>
      <c r="L15" s="30"/>
      <c r="M15" s="30"/>
      <c r="N15" s="30" t="s">
        <v>382</v>
      </c>
      <c r="O15" s="30" t="s">
        <v>381</v>
      </c>
      <c r="P15" s="30" t="s">
        <v>282</v>
      </c>
      <c r="Q15" s="30"/>
      <c r="R15" s="30" t="s">
        <v>312</v>
      </c>
      <c r="S15" s="30" t="s">
        <v>385</v>
      </c>
      <c r="T15" s="30"/>
      <c r="U15" s="30"/>
      <c r="V15" s="30"/>
      <c r="W15" s="30"/>
      <c r="X15" s="30"/>
      <c r="Y15" s="30"/>
      <c r="Z15" s="30" t="s">
        <v>393</v>
      </c>
      <c r="AA15" s="30" t="s">
        <v>384</v>
      </c>
      <c r="AB15" s="30" t="s">
        <v>308</v>
      </c>
      <c r="AG15" s="26"/>
    </row>
    <row r="16" spans="4:33" s="25" customFormat="1" ht="27" customHeight="1" x14ac:dyDescent="0.25">
      <c r="D16" s="30" t="s">
        <v>352</v>
      </c>
      <c r="E16" s="30" t="s">
        <v>311</v>
      </c>
      <c r="F16" s="31" t="s">
        <v>335</v>
      </c>
      <c r="G16" s="30" t="s">
        <v>305</v>
      </c>
      <c r="H16" s="30">
        <v>53</v>
      </c>
      <c r="I16" s="30" t="s">
        <v>336</v>
      </c>
      <c r="J16" s="30"/>
      <c r="K16" s="30"/>
      <c r="L16" s="30"/>
      <c r="M16" s="30"/>
      <c r="N16" s="30" t="s">
        <v>410</v>
      </c>
      <c r="O16" s="30" t="s">
        <v>397</v>
      </c>
      <c r="P16" s="30" t="s">
        <v>286</v>
      </c>
      <c r="Q16" s="30"/>
      <c r="R16" s="30" t="s">
        <v>306</v>
      </c>
      <c r="S16" s="30" t="s">
        <v>411</v>
      </c>
      <c r="T16" s="30"/>
      <c r="U16" s="30"/>
      <c r="V16" s="30"/>
      <c r="W16" s="30"/>
      <c r="X16" s="30"/>
      <c r="Y16" s="30"/>
      <c r="Z16" s="30" t="s">
        <v>393</v>
      </c>
      <c r="AA16" s="30" t="s">
        <v>328</v>
      </c>
      <c r="AB16" s="30" t="s">
        <v>308</v>
      </c>
      <c r="AG16" s="26"/>
    </row>
    <row r="17" spans="4:33" s="25" customFormat="1" ht="27" customHeight="1" x14ac:dyDescent="0.25">
      <c r="D17" s="30" t="s">
        <v>352</v>
      </c>
      <c r="E17" s="30" t="s">
        <v>311</v>
      </c>
      <c r="F17" s="31" t="s">
        <v>319</v>
      </c>
      <c r="G17" s="30" t="s">
        <v>307</v>
      </c>
      <c r="H17" s="30">
        <v>48</v>
      </c>
      <c r="I17" s="30" t="s">
        <v>408</v>
      </c>
      <c r="J17" s="30"/>
      <c r="K17" s="30"/>
      <c r="L17" s="30"/>
      <c r="M17" s="30"/>
      <c r="N17" s="30" t="s">
        <v>321</v>
      </c>
      <c r="O17" s="30" t="s">
        <v>348</v>
      </c>
      <c r="P17" s="30" t="s">
        <v>309</v>
      </c>
      <c r="Q17" s="30"/>
      <c r="R17" s="30" t="s">
        <v>320</v>
      </c>
      <c r="S17" s="30" t="s">
        <v>409</v>
      </c>
      <c r="T17" s="30"/>
      <c r="U17" s="30"/>
      <c r="V17" s="30"/>
      <c r="W17" s="30"/>
      <c r="X17" s="30"/>
      <c r="Y17" s="30"/>
      <c r="Z17" s="30" t="s">
        <v>393</v>
      </c>
      <c r="AA17" s="30">
        <v>0</v>
      </c>
      <c r="AB17" s="30" t="s">
        <v>308</v>
      </c>
      <c r="AG17" s="26"/>
    </row>
    <row r="18" spans="4:33" s="25" customFormat="1" ht="27" customHeight="1" x14ac:dyDescent="0.25">
      <c r="D18" s="30" t="s">
        <v>352</v>
      </c>
      <c r="E18" s="30" t="s">
        <v>311</v>
      </c>
      <c r="F18" s="31" t="s">
        <v>363</v>
      </c>
      <c r="G18" s="30" t="s">
        <v>305</v>
      </c>
      <c r="H18" s="30">
        <v>45</v>
      </c>
      <c r="I18" s="30" t="s">
        <v>365</v>
      </c>
      <c r="J18" s="30"/>
      <c r="K18" s="30"/>
      <c r="L18" s="30"/>
      <c r="M18" s="30"/>
      <c r="N18" s="30" t="s">
        <v>364</v>
      </c>
      <c r="O18" s="30" t="s">
        <v>339</v>
      </c>
      <c r="P18" s="30" t="s">
        <v>309</v>
      </c>
      <c r="Q18" s="30"/>
      <c r="R18" s="30" t="s">
        <v>312</v>
      </c>
      <c r="S18" s="30" t="s">
        <v>385</v>
      </c>
      <c r="T18" s="30"/>
      <c r="U18" s="30"/>
      <c r="V18" s="30"/>
      <c r="W18" s="30"/>
      <c r="X18" s="30"/>
      <c r="Y18" s="30"/>
      <c r="Z18" s="30" t="s">
        <v>393</v>
      </c>
      <c r="AA18" s="30" t="s">
        <v>366</v>
      </c>
      <c r="AB18" s="30" t="s">
        <v>308</v>
      </c>
      <c r="AG18" s="26"/>
    </row>
    <row r="19" spans="4:33" s="25" customFormat="1" ht="27" customHeight="1" x14ac:dyDescent="0.25">
      <c r="D19" s="30" t="s">
        <v>352</v>
      </c>
      <c r="E19" s="30" t="s">
        <v>311</v>
      </c>
      <c r="F19" s="31" t="s">
        <v>327</v>
      </c>
      <c r="G19" s="30" t="s">
        <v>307</v>
      </c>
      <c r="H19" s="30">
        <v>24</v>
      </c>
      <c r="I19" s="30" t="s">
        <v>329</v>
      </c>
      <c r="J19" s="30"/>
      <c r="K19" s="30"/>
      <c r="L19" s="30"/>
      <c r="M19" s="30"/>
      <c r="N19" s="30" t="s">
        <v>406</v>
      </c>
      <c r="O19" s="30" t="s">
        <v>284</v>
      </c>
      <c r="P19" s="30" t="s">
        <v>284</v>
      </c>
      <c r="Q19" s="30"/>
      <c r="R19" s="30" t="s">
        <v>312</v>
      </c>
      <c r="S19" s="30" t="s">
        <v>407</v>
      </c>
      <c r="T19" s="30"/>
      <c r="U19" s="30"/>
      <c r="V19" s="30"/>
      <c r="W19" s="30"/>
      <c r="X19" s="30"/>
      <c r="Y19" s="30"/>
      <c r="Z19" s="30" t="s">
        <v>393</v>
      </c>
      <c r="AA19" s="30" t="s">
        <v>330</v>
      </c>
      <c r="AB19" s="30" t="s">
        <v>308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9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opLeftCell="A5" zoomScale="85" zoomScaleNormal="85" workbookViewId="0">
      <selection activeCell="B11" sqref="B11"/>
    </sheetView>
  </sheetViews>
  <sheetFormatPr defaultColWidth="9.140625" defaultRowHeight="12" x14ac:dyDescent="0.25"/>
  <cols>
    <col min="1" max="1" width="4.85546875" style="64" customWidth="1"/>
    <col min="2" max="2" width="22.42578125" style="64" customWidth="1"/>
    <col min="3" max="4" width="29.42578125" style="64" customWidth="1"/>
    <col min="5" max="5" width="16.140625" style="64" customWidth="1"/>
    <col min="6" max="6" width="16.85546875" style="64" customWidth="1"/>
    <col min="7" max="7" width="16.7109375" style="64" customWidth="1"/>
    <col min="8" max="8" width="6.28515625" style="64" customWidth="1"/>
    <col min="9" max="9" width="6.85546875" style="64" customWidth="1"/>
    <col min="10" max="10" width="18.42578125" style="65" customWidth="1"/>
    <col min="11" max="11" width="26.140625" style="64" customWidth="1"/>
    <col min="12" max="12" width="22.28515625" style="64" customWidth="1"/>
    <col min="13" max="13" width="44.42578125" style="64" customWidth="1"/>
    <col min="14" max="14" width="22.42578125" style="64" customWidth="1"/>
    <col min="15" max="15" width="22.7109375" style="64" customWidth="1"/>
    <col min="16" max="16" width="27.42578125" style="64" customWidth="1"/>
    <col min="17" max="17" width="3" style="64" hidden="1" customWidth="1"/>
    <col min="18" max="18" width="13.28515625" style="64" customWidth="1"/>
    <col min="19" max="19" width="9.140625" style="64"/>
    <col min="20" max="20" width="27.42578125" style="64" customWidth="1"/>
    <col min="21" max="21" width="18.140625" style="64" customWidth="1"/>
    <col min="22" max="22" width="33.85546875" style="64" customWidth="1"/>
    <col min="23" max="23" width="18" style="64" customWidth="1"/>
    <col min="24" max="24" width="10.42578125" style="64" customWidth="1"/>
    <col min="25" max="25" width="24.42578125" style="64" customWidth="1"/>
    <col min="26" max="26" width="23.7109375" style="64" customWidth="1"/>
    <col min="27" max="27" width="13.28515625" style="64" customWidth="1"/>
    <col min="28" max="28" width="16.42578125" style="64" customWidth="1"/>
    <col min="29" max="29" width="9.140625" style="64"/>
    <col min="30" max="30" width="13.42578125" style="64" customWidth="1"/>
    <col min="31" max="31" width="15.28515625" style="64" customWidth="1"/>
    <col min="32" max="16384" width="9.140625" style="64"/>
  </cols>
  <sheetData>
    <row r="1" spans="1:31" ht="21" customHeight="1" x14ac:dyDescent="0.25">
      <c r="A1" s="116" t="s">
        <v>474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31" x14ac:dyDescent="0.25">
      <c r="A2" s="116" t="s">
        <v>475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4" spans="1:31" x14ac:dyDescent="0.25">
      <c r="A4" s="116"/>
      <c r="B4" s="116"/>
      <c r="C4" s="66"/>
      <c r="D4" s="66"/>
      <c r="E4" s="66"/>
    </row>
    <row r="5" spans="1:31" x14ac:dyDescent="0.25">
      <c r="A5" s="117" t="s">
        <v>518</v>
      </c>
      <c r="B5" s="117"/>
      <c r="C5" s="117"/>
      <c r="D5" s="117"/>
      <c r="E5" s="117"/>
    </row>
    <row r="6" spans="1:31" customFormat="1" ht="20.45" customHeight="1" x14ac:dyDescent="0.25">
      <c r="A6" t="s">
        <v>1</v>
      </c>
      <c r="B6" s="68" t="s">
        <v>442</v>
      </c>
      <c r="C6" t="s">
        <v>431</v>
      </c>
      <c r="D6" t="s">
        <v>465</v>
      </c>
      <c r="E6" t="s">
        <v>432</v>
      </c>
      <c r="F6" t="s">
        <v>2</v>
      </c>
      <c r="G6" t="s">
        <v>433</v>
      </c>
      <c r="H6" t="s">
        <v>466</v>
      </c>
      <c r="I6" t="s">
        <v>467</v>
      </c>
      <c r="J6" t="s">
        <v>434</v>
      </c>
      <c r="K6" t="s">
        <v>435</v>
      </c>
      <c r="L6" t="s">
        <v>436</v>
      </c>
      <c r="M6" t="s">
        <v>437</v>
      </c>
      <c r="N6" t="s">
        <v>443</v>
      </c>
      <c r="O6" t="s">
        <v>444</v>
      </c>
      <c r="P6" t="s">
        <v>445</v>
      </c>
      <c r="Q6" t="s">
        <v>446</v>
      </c>
      <c r="R6" t="s">
        <v>447</v>
      </c>
      <c r="S6" t="s">
        <v>448</v>
      </c>
      <c r="T6" t="s">
        <v>449</v>
      </c>
      <c r="U6" s="70" t="s">
        <v>450</v>
      </c>
      <c r="V6" t="s">
        <v>440</v>
      </c>
      <c r="W6" s="70" t="s">
        <v>451</v>
      </c>
      <c r="X6" s="70" t="s">
        <v>452</v>
      </c>
      <c r="Y6" t="s">
        <v>438</v>
      </c>
      <c r="Z6" t="s">
        <v>469</v>
      </c>
      <c r="AA6" t="s">
        <v>470</v>
      </c>
      <c r="AB6" s="70" t="s">
        <v>471</v>
      </c>
      <c r="AC6" t="s">
        <v>453</v>
      </c>
      <c r="AD6" s="69" t="s">
        <v>454</v>
      </c>
      <c r="AE6" s="69" t="s">
        <v>455</v>
      </c>
    </row>
    <row r="7" spans="1:31" ht="15" x14ac:dyDescent="0.25">
      <c r="A7" s="64">
        <v>1</v>
      </c>
      <c r="B7" s="68" t="s">
        <v>510</v>
      </c>
      <c r="C7" t="s">
        <v>511</v>
      </c>
      <c r="D7" t="s">
        <v>476</v>
      </c>
      <c r="E7" t="s">
        <v>283</v>
      </c>
      <c r="F7" t="s">
        <v>288</v>
      </c>
      <c r="G7" t="s">
        <v>512</v>
      </c>
      <c r="H7"/>
      <c r="I7"/>
      <c r="J7" t="s">
        <v>513</v>
      </c>
      <c r="K7">
        <v>18</v>
      </c>
      <c r="L7" t="s">
        <v>307</v>
      </c>
      <c r="M7" t="s">
        <v>514</v>
      </c>
      <c r="N7" t="s">
        <v>515</v>
      </c>
      <c r="O7" t="s">
        <v>516</v>
      </c>
      <c r="P7" t="s">
        <v>509</v>
      </c>
      <c r="Q7"/>
      <c r="R7"/>
      <c r="S7"/>
      <c r="T7"/>
      <c r="U7" s="70"/>
      <c r="V7" t="s">
        <v>493</v>
      </c>
      <c r="W7" s="70">
        <v>44209</v>
      </c>
      <c r="X7" s="70"/>
      <c r="Y7" t="s">
        <v>477</v>
      </c>
      <c r="Z7"/>
      <c r="AA7"/>
      <c r="AB7" s="70"/>
      <c r="AC7">
        <v>1</v>
      </c>
      <c r="AD7" s="69">
        <v>44900.366458333003</v>
      </c>
      <c r="AE7" s="69">
        <v>44210.308599536998</v>
      </c>
    </row>
    <row r="8" spans="1:31" ht="15" x14ac:dyDescent="0.25">
      <c r="A8" s="64">
        <v>2</v>
      </c>
      <c r="B8" s="68" t="s">
        <v>478</v>
      </c>
      <c r="C8" t="s">
        <v>479</v>
      </c>
      <c r="D8" t="s">
        <v>476</v>
      </c>
      <c r="E8" t="s">
        <v>283</v>
      </c>
      <c r="F8" t="s">
        <v>282</v>
      </c>
      <c r="G8" t="s">
        <v>349</v>
      </c>
      <c r="H8">
        <v>2</v>
      </c>
      <c r="I8">
        <v>1</v>
      </c>
      <c r="J8" t="s">
        <v>480</v>
      </c>
      <c r="K8">
        <v>13</v>
      </c>
      <c r="L8" t="s">
        <v>307</v>
      </c>
      <c r="M8" t="s">
        <v>481</v>
      </c>
      <c r="N8"/>
      <c r="O8"/>
      <c r="P8" t="s">
        <v>482</v>
      </c>
      <c r="Q8"/>
      <c r="R8"/>
      <c r="S8"/>
      <c r="T8"/>
      <c r="U8" s="70"/>
      <c r="V8" t="s">
        <v>483</v>
      </c>
      <c r="W8" s="70">
        <v>44860</v>
      </c>
      <c r="X8" s="70"/>
      <c r="Y8" t="s">
        <v>477</v>
      </c>
      <c r="Z8" t="s">
        <v>484</v>
      </c>
      <c r="AA8" t="s">
        <v>485</v>
      </c>
      <c r="AB8" s="70">
        <v>44860</v>
      </c>
      <c r="AC8">
        <v>0</v>
      </c>
      <c r="AD8" s="69">
        <v>44860.405486110998</v>
      </c>
      <c r="AE8" s="69">
        <v>44860.405486110998</v>
      </c>
    </row>
    <row r="9" spans="1:31" ht="15" x14ac:dyDescent="0.25">
      <c r="A9" s="64">
        <v>3</v>
      </c>
      <c r="B9" s="68" t="s">
        <v>495</v>
      </c>
      <c r="C9" t="s">
        <v>496</v>
      </c>
      <c r="D9" t="s">
        <v>476</v>
      </c>
      <c r="E9" t="s">
        <v>283</v>
      </c>
      <c r="F9" t="s">
        <v>288</v>
      </c>
      <c r="G9" t="s">
        <v>497</v>
      </c>
      <c r="H9">
        <v>4</v>
      </c>
      <c r="I9">
        <v>5</v>
      </c>
      <c r="J9" t="s">
        <v>498</v>
      </c>
      <c r="K9">
        <v>60</v>
      </c>
      <c r="L9" t="s">
        <v>307</v>
      </c>
      <c r="M9" t="s">
        <v>499</v>
      </c>
      <c r="N9"/>
      <c r="O9"/>
      <c r="P9" t="s">
        <v>500</v>
      </c>
      <c r="Q9"/>
      <c r="R9"/>
      <c r="S9"/>
      <c r="T9"/>
      <c r="U9" s="70"/>
      <c r="V9" t="s">
        <v>493</v>
      </c>
      <c r="W9" s="70">
        <v>44893</v>
      </c>
      <c r="X9" s="70"/>
      <c r="Y9" t="s">
        <v>477</v>
      </c>
      <c r="Z9" t="s">
        <v>501</v>
      </c>
      <c r="AA9" t="s">
        <v>494</v>
      </c>
      <c r="AB9" s="70">
        <v>44893</v>
      </c>
      <c r="AC9">
        <v>0</v>
      </c>
      <c r="AD9" s="69">
        <v>44894.359328703998</v>
      </c>
      <c r="AE9" s="69">
        <v>44894.359328703998</v>
      </c>
    </row>
    <row r="10" spans="1:31" ht="15" x14ac:dyDescent="0.25">
      <c r="A10" s="64">
        <v>4</v>
      </c>
      <c r="B10" s="68" t="s">
        <v>502</v>
      </c>
      <c r="C10" t="s">
        <v>503</v>
      </c>
      <c r="D10" t="s">
        <v>476</v>
      </c>
      <c r="E10" t="s">
        <v>283</v>
      </c>
      <c r="F10" t="s">
        <v>283</v>
      </c>
      <c r="G10" t="s">
        <v>504</v>
      </c>
      <c r="H10">
        <v>4</v>
      </c>
      <c r="I10">
        <v>4</v>
      </c>
      <c r="J10" t="s">
        <v>505</v>
      </c>
      <c r="K10">
        <v>0</v>
      </c>
      <c r="L10" t="s">
        <v>307</v>
      </c>
      <c r="M10" t="s">
        <v>506</v>
      </c>
      <c r="N10" t="s">
        <v>507</v>
      </c>
      <c r="O10" t="s">
        <v>486</v>
      </c>
      <c r="P10" t="s">
        <v>508</v>
      </c>
      <c r="Q10"/>
      <c r="R10"/>
      <c r="S10"/>
      <c r="T10"/>
      <c r="U10" s="70"/>
      <c r="V10" t="s">
        <v>493</v>
      </c>
      <c r="W10" s="70">
        <v>44896</v>
      </c>
      <c r="X10" s="70"/>
      <c r="Y10" t="s">
        <v>477</v>
      </c>
      <c r="Z10"/>
      <c r="AA10"/>
      <c r="AB10" s="70"/>
      <c r="AC10">
        <v>0</v>
      </c>
      <c r="AD10" s="69">
        <v>44898.357256944</v>
      </c>
      <c r="AE10" s="69">
        <v>44897.418611111003</v>
      </c>
    </row>
  </sheetData>
  <mergeCells count="4">
    <mergeCell ref="A1:O1"/>
    <mergeCell ref="A2:O2"/>
    <mergeCell ref="A4:B4"/>
    <mergeCell ref="A5:E5"/>
  </mergeCells>
  <phoneticPr fontId="17" type="noConversion"/>
  <conditionalFormatting sqref="B1:C1048576">
    <cfRule type="duplicateValues" dxfId="8" priority="1413"/>
    <cfRule type="duplicateValues" dxfId="7" priority="1414"/>
    <cfRule type="duplicateValues" dxfId="6" priority="1415"/>
    <cfRule type="duplicateValues" dxfId="5" priority="1416"/>
    <cfRule type="duplicateValues" dxfId="4" priority="1417"/>
  </conditionalFormatting>
  <conditionalFormatting sqref="C1:C1048576">
    <cfRule type="duplicateValues" dxfId="3" priority="1428"/>
  </conditionalFormatting>
  <conditionalFormatting sqref="B1:B1048576">
    <cfRule type="duplicateValues" dxfId="2" priority="1431"/>
    <cfRule type="duplicateValues" dxfId="1" priority="1432"/>
    <cfRule type="duplicateValues" dxfId="0" priority="1433"/>
  </conditionalFormatting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"/>
  <sheetViews>
    <sheetView workbookViewId="0">
      <selection activeCell="A2" sqref="A2"/>
    </sheetView>
  </sheetViews>
  <sheetFormatPr defaultColWidth="9.140625" defaultRowHeight="15" x14ac:dyDescent="0.25"/>
  <cols>
    <col min="1" max="1" width="4.28515625" customWidth="1"/>
    <col min="2" max="2" width="20.7109375" customWidth="1"/>
    <col min="3" max="4" width="25.7109375" customWidth="1"/>
    <col min="5" max="5" width="12.85546875" customWidth="1"/>
    <col min="6" max="6" width="14.140625" customWidth="1"/>
    <col min="7" max="7" width="17.42578125" customWidth="1"/>
    <col min="8" max="8" width="39.42578125" customWidth="1"/>
    <col min="9" max="9" width="7.42578125" customWidth="1"/>
    <col min="10" max="10" width="12" customWidth="1"/>
    <col min="11" max="11" width="18.140625" customWidth="1"/>
    <col min="12" max="12" width="18.28515625" customWidth="1"/>
    <col min="13" max="13" width="19.42578125" customWidth="1"/>
    <col min="14" max="14" width="19.140625" customWidth="1"/>
    <col min="15" max="15" width="18.42578125" customWidth="1"/>
    <col min="20" max="20" width="27.28515625" customWidth="1"/>
    <col min="21" max="21" width="19.42578125" customWidth="1"/>
    <col min="22" max="22" width="14.140625" customWidth="1"/>
    <col min="23" max="23" width="17.140625" customWidth="1"/>
    <col min="25" max="25" width="22.42578125" customWidth="1"/>
    <col min="26" max="26" width="23.140625" customWidth="1"/>
    <col min="30" max="30" width="13.28515625" customWidth="1"/>
    <col min="31" max="31" width="13" customWidth="1"/>
  </cols>
  <sheetData>
    <row r="1" spans="1:31" x14ac:dyDescent="0.25">
      <c r="A1" s="8" t="s">
        <v>1</v>
      </c>
      <c r="B1" s="78" t="s">
        <v>442</v>
      </c>
      <c r="C1" s="8" t="s">
        <v>431</v>
      </c>
      <c r="D1" s="8" t="s">
        <v>465</v>
      </c>
      <c r="E1" s="8" t="s">
        <v>432</v>
      </c>
      <c r="F1" s="8" t="s">
        <v>2</v>
      </c>
      <c r="G1" s="8" t="s">
        <v>433</v>
      </c>
      <c r="H1" s="8" t="s">
        <v>466</v>
      </c>
      <c r="I1" s="8" t="s">
        <v>467</v>
      </c>
      <c r="J1" s="8" t="s">
        <v>434</v>
      </c>
      <c r="K1" s="8" t="s">
        <v>435</v>
      </c>
      <c r="L1" s="8" t="s">
        <v>436</v>
      </c>
      <c r="M1" s="8" t="s">
        <v>437</v>
      </c>
      <c r="N1" s="8" t="s">
        <v>443</v>
      </c>
      <c r="O1" s="8" t="s">
        <v>444</v>
      </c>
      <c r="P1" s="8" t="s">
        <v>445</v>
      </c>
      <c r="Q1" s="8" t="s">
        <v>446</v>
      </c>
      <c r="R1" s="8" t="s">
        <v>447</v>
      </c>
      <c r="S1" s="8" t="s">
        <v>448</v>
      </c>
      <c r="T1" s="8" t="s">
        <v>449</v>
      </c>
      <c r="U1" s="79" t="s">
        <v>450</v>
      </c>
      <c r="V1" s="8" t="s">
        <v>440</v>
      </c>
      <c r="W1" s="79" t="s">
        <v>451</v>
      </c>
      <c r="X1" s="79" t="s">
        <v>452</v>
      </c>
      <c r="Y1" s="8" t="s">
        <v>438</v>
      </c>
      <c r="Z1" s="8" t="s">
        <v>469</v>
      </c>
      <c r="AA1" s="8" t="s">
        <v>470</v>
      </c>
      <c r="AB1" s="79" t="s">
        <v>471</v>
      </c>
      <c r="AC1" s="8" t="s">
        <v>453</v>
      </c>
      <c r="AD1" s="80" t="s">
        <v>454</v>
      </c>
      <c r="AE1" s="80" t="s">
        <v>455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"/>
  <sheetViews>
    <sheetView zoomScale="90" zoomScaleNormal="90" workbookViewId="0">
      <selection activeCell="A2" sqref="A2"/>
    </sheetView>
  </sheetViews>
  <sheetFormatPr defaultColWidth="9.140625" defaultRowHeight="15" x14ac:dyDescent="0.25"/>
  <cols>
    <col min="1" max="1" width="5.7109375" customWidth="1"/>
    <col min="2" max="2" width="20.7109375" customWidth="1"/>
    <col min="3" max="4" width="29.85546875" customWidth="1"/>
    <col min="5" max="5" width="12.85546875" customWidth="1"/>
    <col min="6" max="6" width="14.28515625" customWidth="1"/>
    <col min="7" max="7" width="13.42578125" customWidth="1"/>
    <col min="8" max="8" width="24.42578125" customWidth="1"/>
    <col min="9" max="9" width="8" customWidth="1"/>
    <col min="10" max="10" width="12.7109375" customWidth="1"/>
    <col min="11" max="11" width="19.28515625" customWidth="1"/>
    <col min="12" max="12" width="20.140625" customWidth="1"/>
    <col min="13" max="13" width="12.42578125" customWidth="1"/>
    <col min="14" max="14" width="13.140625" customWidth="1"/>
    <col min="18" max="18" width="15.42578125" customWidth="1"/>
    <col min="19" max="19" width="17.28515625" customWidth="1"/>
    <col min="20" max="20" width="28.140625" customWidth="1"/>
    <col min="21" max="21" width="14.42578125" customWidth="1"/>
    <col min="23" max="23" width="17.42578125" customWidth="1"/>
    <col min="25" max="25" width="20.42578125" customWidth="1"/>
    <col min="26" max="26" width="22.7109375" customWidth="1"/>
    <col min="31" max="31" width="11.42578125" customWidth="1"/>
  </cols>
  <sheetData>
    <row r="1" spans="1:31" x14ac:dyDescent="0.25">
      <c r="A1" t="s">
        <v>468</v>
      </c>
      <c r="B1" s="68" t="s">
        <v>442</v>
      </c>
      <c r="C1" t="s">
        <v>431</v>
      </c>
      <c r="D1" t="s">
        <v>465</v>
      </c>
      <c r="E1" t="s">
        <v>432</v>
      </c>
      <c r="F1" t="s">
        <v>2</v>
      </c>
      <c r="G1" t="s">
        <v>433</v>
      </c>
      <c r="H1" t="s">
        <v>466</v>
      </c>
      <c r="I1" t="s">
        <v>467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70" t="s">
        <v>450</v>
      </c>
      <c r="V1" t="s">
        <v>440</v>
      </c>
      <c r="W1" s="70" t="s">
        <v>451</v>
      </c>
      <c r="X1" s="70" t="s">
        <v>452</v>
      </c>
      <c r="Y1" t="s">
        <v>438</v>
      </c>
      <c r="Z1" t="s">
        <v>469</v>
      </c>
      <c r="AA1" t="s">
        <v>470</v>
      </c>
      <c r="AB1" s="70" t="s">
        <v>471</v>
      </c>
      <c r="AC1" t="s">
        <v>453</v>
      </c>
      <c r="AD1" s="69" t="s">
        <v>454</v>
      </c>
      <c r="AE1" s="69" t="s">
        <v>455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77"/>
  <sheetViews>
    <sheetView topLeftCell="A657" zoomScaleNormal="100" workbookViewId="0">
      <selection activeCell="I660"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3" customWidth="1"/>
    <col min="9" max="9" width="12.7109375" customWidth="1"/>
    <col min="10" max="10" width="16.28515625" customWidth="1"/>
    <col min="11" max="11" width="15.42578125" customWidth="1"/>
  </cols>
  <sheetData>
    <row r="3" spans="1:7" x14ac:dyDescent="0.25">
      <c r="A3" s="6" t="s">
        <v>462</v>
      </c>
      <c r="B3" s="6" t="s">
        <v>463</v>
      </c>
      <c r="C3" s="6" t="s">
        <v>461</v>
      </c>
      <c r="D3" s="6" t="s">
        <v>464</v>
      </c>
      <c r="E3" s="6" t="s">
        <v>460</v>
      </c>
      <c r="F3" s="6" t="s">
        <v>459</v>
      </c>
      <c r="G3" s="60" t="s">
        <v>473</v>
      </c>
    </row>
    <row r="4" spans="1:7" hidden="1" x14ac:dyDescent="0.25">
      <c r="A4" s="67">
        <v>44228</v>
      </c>
      <c r="B4" s="6"/>
      <c r="C4" s="6"/>
      <c r="D4" s="6"/>
      <c r="E4" s="6"/>
      <c r="F4" s="6"/>
      <c r="G4" s="60"/>
    </row>
    <row r="5" spans="1:7" hidden="1" x14ac:dyDescent="0.25">
      <c r="A5" s="67">
        <v>44229</v>
      </c>
      <c r="B5" s="6"/>
      <c r="C5" s="6"/>
      <c r="D5" s="6"/>
      <c r="E5" s="6"/>
      <c r="F5" s="6"/>
      <c r="G5" s="60"/>
    </row>
    <row r="6" spans="1:7" hidden="1" x14ac:dyDescent="0.25">
      <c r="A6" s="67">
        <v>44230</v>
      </c>
      <c r="B6" s="6"/>
      <c r="C6" s="6"/>
      <c r="D6" s="6"/>
      <c r="E6" s="6"/>
      <c r="F6" s="6"/>
      <c r="G6" s="60"/>
    </row>
    <row r="7" spans="1:7" hidden="1" x14ac:dyDescent="0.25">
      <c r="A7" s="67">
        <v>44231</v>
      </c>
      <c r="B7" s="6"/>
      <c r="C7" s="6"/>
      <c r="D7" s="6"/>
      <c r="E7" s="6"/>
      <c r="F7" s="6"/>
      <c r="G7" s="60"/>
    </row>
    <row r="8" spans="1:7" hidden="1" x14ac:dyDescent="0.25">
      <c r="A8" s="67">
        <v>44232</v>
      </c>
      <c r="B8" s="6"/>
      <c r="C8" s="6"/>
      <c r="D8" s="6"/>
      <c r="E8" s="6"/>
      <c r="F8" s="6"/>
      <c r="G8" s="60"/>
    </row>
    <row r="9" spans="1:7" hidden="1" x14ac:dyDescent="0.25">
      <c r="A9" s="67">
        <v>44233</v>
      </c>
      <c r="B9" s="6">
        <v>8</v>
      </c>
      <c r="C9" s="6">
        <v>69</v>
      </c>
      <c r="D9" s="6">
        <v>6</v>
      </c>
      <c r="E9" s="6">
        <v>1991</v>
      </c>
      <c r="F9" s="6">
        <f>E9+C9</f>
        <v>2060</v>
      </c>
      <c r="G9" s="60">
        <f>F9-E9-C9</f>
        <v>0</v>
      </c>
    </row>
    <row r="10" spans="1:7" hidden="1" x14ac:dyDescent="0.25">
      <c r="A10" s="67">
        <v>44234</v>
      </c>
      <c r="B10" s="6">
        <v>7</v>
      </c>
      <c r="C10" s="6">
        <v>70</v>
      </c>
      <c r="D10" s="6">
        <v>5</v>
      </c>
      <c r="E10" s="6">
        <f>E9+D10</f>
        <v>1996</v>
      </c>
      <c r="F10" s="6">
        <f t="shared" ref="F10:F73" si="0">E10+C10</f>
        <v>2066</v>
      </c>
      <c r="G10" s="60">
        <f t="shared" ref="G10:G41" si="1">F10-E10-C10</f>
        <v>0</v>
      </c>
    </row>
    <row r="11" spans="1:7" hidden="1" x14ac:dyDescent="0.25">
      <c r="A11" s="67">
        <v>44235</v>
      </c>
      <c r="B11" s="6">
        <v>22</v>
      </c>
      <c r="C11" s="6">
        <v>74</v>
      </c>
      <c r="D11" s="6">
        <v>18</v>
      </c>
      <c r="E11" s="6">
        <f t="shared" ref="E11:E74" si="2">E10+D11</f>
        <v>2014</v>
      </c>
      <c r="F11" s="6">
        <f t="shared" si="0"/>
        <v>2088</v>
      </c>
      <c r="G11" s="60">
        <f t="shared" si="1"/>
        <v>0</v>
      </c>
    </row>
    <row r="12" spans="1:7" hidden="1" x14ac:dyDescent="0.25">
      <c r="A12" s="67">
        <v>44236</v>
      </c>
      <c r="B12" s="6">
        <v>16</v>
      </c>
      <c r="C12" s="6">
        <v>53</v>
      </c>
      <c r="D12" s="6">
        <v>37</v>
      </c>
      <c r="E12" s="6">
        <f t="shared" si="2"/>
        <v>2051</v>
      </c>
      <c r="F12" s="6">
        <f t="shared" si="0"/>
        <v>2104</v>
      </c>
      <c r="G12" s="60">
        <f t="shared" si="1"/>
        <v>0</v>
      </c>
    </row>
    <row r="13" spans="1:7" hidden="1" x14ac:dyDescent="0.25">
      <c r="A13" s="67">
        <v>44237</v>
      </c>
      <c r="B13" s="6">
        <v>14</v>
      </c>
      <c r="C13" s="6">
        <v>47</v>
      </c>
      <c r="D13" s="6">
        <v>20</v>
      </c>
      <c r="E13" s="6">
        <f t="shared" si="2"/>
        <v>2071</v>
      </c>
      <c r="F13" s="6">
        <f t="shared" si="0"/>
        <v>2118</v>
      </c>
      <c r="G13" s="60">
        <f t="shared" si="1"/>
        <v>0</v>
      </c>
    </row>
    <row r="14" spans="1:7" hidden="1" x14ac:dyDescent="0.25">
      <c r="A14" s="67">
        <v>44238</v>
      </c>
      <c r="B14" s="6">
        <v>9</v>
      </c>
      <c r="C14" s="6">
        <v>34</v>
      </c>
      <c r="D14" s="6">
        <v>22</v>
      </c>
      <c r="E14" s="6">
        <f t="shared" si="2"/>
        <v>2093</v>
      </c>
      <c r="F14" s="6">
        <f t="shared" si="0"/>
        <v>2127</v>
      </c>
      <c r="G14" s="60">
        <f t="shared" si="1"/>
        <v>0</v>
      </c>
    </row>
    <row r="15" spans="1:7" hidden="1" x14ac:dyDescent="0.25">
      <c r="A15" s="67">
        <v>44239</v>
      </c>
      <c r="B15" s="6">
        <v>8</v>
      </c>
      <c r="C15" s="6">
        <v>35</v>
      </c>
      <c r="D15" s="6">
        <v>7</v>
      </c>
      <c r="E15" s="6">
        <f t="shared" si="2"/>
        <v>2100</v>
      </c>
      <c r="F15" s="6">
        <f t="shared" si="0"/>
        <v>2135</v>
      </c>
      <c r="G15" s="60">
        <f t="shared" si="1"/>
        <v>0</v>
      </c>
    </row>
    <row r="16" spans="1:7" hidden="1" x14ac:dyDescent="0.25">
      <c r="A16" s="67">
        <v>44240</v>
      </c>
      <c r="B16" s="6">
        <v>11</v>
      </c>
      <c r="C16" s="6">
        <v>38</v>
      </c>
      <c r="D16" s="6">
        <v>8</v>
      </c>
      <c r="E16" s="6">
        <f t="shared" si="2"/>
        <v>2108</v>
      </c>
      <c r="F16" s="6">
        <f t="shared" si="0"/>
        <v>2146</v>
      </c>
      <c r="G16" s="60">
        <f t="shared" si="1"/>
        <v>0</v>
      </c>
    </row>
    <row r="17" spans="1:8" hidden="1" x14ac:dyDescent="0.25">
      <c r="A17" s="67">
        <v>44241</v>
      </c>
      <c r="B17" s="6">
        <v>4</v>
      </c>
      <c r="C17" s="6">
        <v>35</v>
      </c>
      <c r="D17" s="6">
        <v>7</v>
      </c>
      <c r="E17" s="6">
        <f t="shared" si="2"/>
        <v>2115</v>
      </c>
      <c r="F17" s="6">
        <f t="shared" si="0"/>
        <v>2150</v>
      </c>
      <c r="G17" s="60">
        <f t="shared" si="1"/>
        <v>0</v>
      </c>
      <c r="H17" s="76"/>
    </row>
    <row r="18" spans="1:8" hidden="1" x14ac:dyDescent="0.25">
      <c r="A18" s="67">
        <v>44242</v>
      </c>
      <c r="B18" s="6">
        <v>32</v>
      </c>
      <c r="C18" s="6">
        <v>46</v>
      </c>
      <c r="D18" s="6">
        <v>21</v>
      </c>
      <c r="E18" s="6">
        <f t="shared" si="2"/>
        <v>2136</v>
      </c>
      <c r="F18" s="6">
        <f t="shared" si="0"/>
        <v>2182</v>
      </c>
      <c r="G18" s="60">
        <f t="shared" si="1"/>
        <v>0</v>
      </c>
    </row>
    <row r="19" spans="1:8" hidden="1" x14ac:dyDescent="0.25">
      <c r="A19" s="67">
        <v>44243</v>
      </c>
      <c r="B19" s="6">
        <v>11</v>
      </c>
      <c r="C19" s="6">
        <f>C18-D19+B19</f>
        <v>42</v>
      </c>
      <c r="D19" s="6">
        <v>15</v>
      </c>
      <c r="E19" s="6">
        <f t="shared" si="2"/>
        <v>2151</v>
      </c>
      <c r="F19" s="6">
        <f t="shared" si="0"/>
        <v>2193</v>
      </c>
      <c r="G19" s="60">
        <f t="shared" si="1"/>
        <v>0</v>
      </c>
    </row>
    <row r="20" spans="1:8" hidden="1" x14ac:dyDescent="0.25">
      <c r="A20" s="67">
        <v>44244</v>
      </c>
      <c r="B20" s="6">
        <v>11</v>
      </c>
      <c r="C20" s="6">
        <f t="shared" ref="C20:C83" si="3">C19-D20+B20</f>
        <v>40</v>
      </c>
      <c r="D20" s="6">
        <v>13</v>
      </c>
      <c r="E20" s="6">
        <f t="shared" si="2"/>
        <v>2164</v>
      </c>
      <c r="F20" s="6">
        <f t="shared" si="0"/>
        <v>2204</v>
      </c>
      <c r="G20" s="60">
        <f t="shared" si="1"/>
        <v>0</v>
      </c>
    </row>
    <row r="21" spans="1:8" hidden="1" x14ac:dyDescent="0.25">
      <c r="A21" s="67">
        <v>44245</v>
      </c>
      <c r="B21" s="6">
        <v>17</v>
      </c>
      <c r="C21" s="6">
        <f t="shared" si="3"/>
        <v>41</v>
      </c>
      <c r="D21" s="6">
        <v>16</v>
      </c>
      <c r="E21" s="6">
        <f t="shared" si="2"/>
        <v>2180</v>
      </c>
      <c r="F21" s="6">
        <f t="shared" si="0"/>
        <v>2221</v>
      </c>
      <c r="G21" s="60">
        <f t="shared" si="1"/>
        <v>0</v>
      </c>
    </row>
    <row r="22" spans="1:8" hidden="1" x14ac:dyDescent="0.25">
      <c r="A22" s="67">
        <v>44246</v>
      </c>
      <c r="B22" s="6">
        <v>11</v>
      </c>
      <c r="C22" s="6">
        <f t="shared" si="3"/>
        <v>39</v>
      </c>
      <c r="D22" s="6">
        <v>13</v>
      </c>
      <c r="E22" s="6">
        <f t="shared" si="2"/>
        <v>2193</v>
      </c>
      <c r="F22" s="6">
        <f t="shared" si="0"/>
        <v>2232</v>
      </c>
      <c r="G22" s="60">
        <f t="shared" si="1"/>
        <v>0</v>
      </c>
    </row>
    <row r="23" spans="1:8" hidden="1" x14ac:dyDescent="0.25">
      <c r="A23" s="67">
        <v>44247</v>
      </c>
      <c r="B23" s="6">
        <v>5</v>
      </c>
      <c r="C23" s="6">
        <f t="shared" si="3"/>
        <v>38</v>
      </c>
      <c r="D23" s="6">
        <v>6</v>
      </c>
      <c r="E23" s="6">
        <f t="shared" si="2"/>
        <v>2199</v>
      </c>
      <c r="F23" s="6">
        <f t="shared" si="0"/>
        <v>2237</v>
      </c>
      <c r="G23" s="60">
        <f t="shared" si="1"/>
        <v>0</v>
      </c>
    </row>
    <row r="24" spans="1:8" hidden="1" x14ac:dyDescent="0.25">
      <c r="A24" s="67">
        <v>44248</v>
      </c>
      <c r="B24" s="6">
        <v>6</v>
      </c>
      <c r="C24" s="6">
        <f t="shared" si="3"/>
        <v>36</v>
      </c>
      <c r="D24" s="6">
        <v>8</v>
      </c>
      <c r="E24" s="6">
        <f t="shared" si="2"/>
        <v>2207</v>
      </c>
      <c r="F24" s="6">
        <f t="shared" si="0"/>
        <v>2243</v>
      </c>
      <c r="G24" s="60">
        <f t="shared" si="1"/>
        <v>0</v>
      </c>
    </row>
    <row r="25" spans="1:8" hidden="1" x14ac:dyDescent="0.25">
      <c r="A25" s="67">
        <v>44249</v>
      </c>
      <c r="B25" s="6">
        <v>15</v>
      </c>
      <c r="C25" s="6">
        <f t="shared" si="3"/>
        <v>28</v>
      </c>
      <c r="D25" s="6">
        <v>23</v>
      </c>
      <c r="E25" s="6">
        <f t="shared" si="2"/>
        <v>2230</v>
      </c>
      <c r="F25" s="6">
        <f t="shared" si="0"/>
        <v>2258</v>
      </c>
      <c r="G25" s="60">
        <f t="shared" si="1"/>
        <v>0</v>
      </c>
    </row>
    <row r="26" spans="1:8" hidden="1" x14ac:dyDescent="0.25">
      <c r="A26" s="67">
        <v>44250</v>
      </c>
      <c r="B26" s="6">
        <v>13</v>
      </c>
      <c r="C26" s="6">
        <f t="shared" si="3"/>
        <v>31</v>
      </c>
      <c r="D26" s="6">
        <v>10</v>
      </c>
      <c r="E26" s="6">
        <f t="shared" si="2"/>
        <v>2240</v>
      </c>
      <c r="F26" s="6">
        <f t="shared" si="0"/>
        <v>2271</v>
      </c>
      <c r="G26" s="60">
        <f t="shared" si="1"/>
        <v>0</v>
      </c>
    </row>
    <row r="27" spans="1:8" hidden="1" x14ac:dyDescent="0.25">
      <c r="A27" s="67">
        <v>44251</v>
      </c>
      <c r="B27" s="6">
        <v>9</v>
      </c>
      <c r="C27" s="6">
        <f t="shared" si="3"/>
        <v>30</v>
      </c>
      <c r="D27" s="6">
        <v>10</v>
      </c>
      <c r="E27" s="6">
        <f t="shared" si="2"/>
        <v>2250</v>
      </c>
      <c r="F27" s="6">
        <f t="shared" si="0"/>
        <v>2280</v>
      </c>
      <c r="G27" s="60">
        <f t="shared" si="1"/>
        <v>0</v>
      </c>
    </row>
    <row r="28" spans="1:8" hidden="1" x14ac:dyDescent="0.25">
      <c r="A28" s="67">
        <v>44252</v>
      </c>
      <c r="B28" s="6">
        <v>7</v>
      </c>
      <c r="C28" s="6">
        <f t="shared" si="3"/>
        <v>30</v>
      </c>
      <c r="D28" s="6">
        <v>7</v>
      </c>
      <c r="E28" s="6">
        <f t="shared" si="2"/>
        <v>2257</v>
      </c>
      <c r="F28" s="6">
        <f t="shared" si="0"/>
        <v>2287</v>
      </c>
      <c r="G28" s="60">
        <f t="shared" si="1"/>
        <v>0</v>
      </c>
    </row>
    <row r="29" spans="1:8" hidden="1" x14ac:dyDescent="0.25">
      <c r="A29" s="67">
        <v>44253</v>
      </c>
      <c r="B29" s="6">
        <v>10</v>
      </c>
      <c r="C29" s="6">
        <f t="shared" si="3"/>
        <v>29</v>
      </c>
      <c r="D29" s="6">
        <v>11</v>
      </c>
      <c r="E29" s="6">
        <f t="shared" si="2"/>
        <v>2268</v>
      </c>
      <c r="F29" s="6">
        <f t="shared" si="0"/>
        <v>2297</v>
      </c>
      <c r="G29" s="60">
        <f t="shared" si="1"/>
        <v>0</v>
      </c>
    </row>
    <row r="30" spans="1:8" hidden="1" x14ac:dyDescent="0.25">
      <c r="A30" s="67">
        <v>44254</v>
      </c>
      <c r="B30" s="6">
        <v>7</v>
      </c>
      <c r="C30" s="6">
        <f t="shared" si="3"/>
        <v>30</v>
      </c>
      <c r="D30" s="6">
        <v>6</v>
      </c>
      <c r="E30" s="6">
        <f t="shared" si="2"/>
        <v>2274</v>
      </c>
      <c r="F30" s="6">
        <f t="shared" si="0"/>
        <v>2304</v>
      </c>
      <c r="G30" s="60">
        <f t="shared" si="1"/>
        <v>0</v>
      </c>
    </row>
    <row r="31" spans="1:8" hidden="1" x14ac:dyDescent="0.25">
      <c r="A31" s="67">
        <v>44255</v>
      </c>
      <c r="B31" s="6">
        <v>1</v>
      </c>
      <c r="C31" s="6">
        <f t="shared" si="3"/>
        <v>30</v>
      </c>
      <c r="D31" s="6">
        <v>1</v>
      </c>
      <c r="E31" s="6">
        <f t="shared" si="2"/>
        <v>2275</v>
      </c>
      <c r="F31" s="6">
        <f t="shared" si="0"/>
        <v>2305</v>
      </c>
      <c r="G31" s="60">
        <f t="shared" si="1"/>
        <v>0</v>
      </c>
    </row>
    <row r="32" spans="1:8" hidden="1" x14ac:dyDescent="0.25">
      <c r="A32" s="67">
        <v>44256</v>
      </c>
      <c r="B32" s="6">
        <v>14</v>
      </c>
      <c r="C32" s="6">
        <f t="shared" si="3"/>
        <v>34</v>
      </c>
      <c r="D32" s="6">
        <v>10</v>
      </c>
      <c r="E32" s="6">
        <f t="shared" si="2"/>
        <v>2285</v>
      </c>
      <c r="F32" s="6">
        <f t="shared" si="0"/>
        <v>2319</v>
      </c>
      <c r="G32" s="60">
        <f t="shared" si="1"/>
        <v>0</v>
      </c>
    </row>
    <row r="33" spans="1:7" hidden="1" x14ac:dyDescent="0.25">
      <c r="A33" s="67">
        <v>44257</v>
      </c>
      <c r="B33" s="6">
        <v>13</v>
      </c>
      <c r="C33" s="6">
        <f t="shared" si="3"/>
        <v>36</v>
      </c>
      <c r="D33" s="6">
        <v>11</v>
      </c>
      <c r="E33" s="6">
        <f t="shared" si="2"/>
        <v>2296</v>
      </c>
      <c r="F33" s="6">
        <f t="shared" si="0"/>
        <v>2332</v>
      </c>
      <c r="G33" s="60">
        <f t="shared" si="1"/>
        <v>0</v>
      </c>
    </row>
    <row r="34" spans="1:7" hidden="1" x14ac:dyDescent="0.25">
      <c r="A34" s="67">
        <v>44258</v>
      </c>
      <c r="B34" s="6">
        <v>5</v>
      </c>
      <c r="C34" s="6">
        <f t="shared" si="3"/>
        <v>32</v>
      </c>
      <c r="D34" s="6">
        <v>9</v>
      </c>
      <c r="E34" s="6">
        <f t="shared" si="2"/>
        <v>2305</v>
      </c>
      <c r="F34" s="6">
        <f t="shared" si="0"/>
        <v>2337</v>
      </c>
      <c r="G34" s="60">
        <f t="shared" si="1"/>
        <v>0</v>
      </c>
    </row>
    <row r="35" spans="1:7" hidden="1" x14ac:dyDescent="0.25">
      <c r="A35" s="67">
        <v>44259</v>
      </c>
      <c r="B35" s="6">
        <v>18</v>
      </c>
      <c r="C35" s="6">
        <f t="shared" si="3"/>
        <v>34</v>
      </c>
      <c r="D35" s="6">
        <v>16</v>
      </c>
      <c r="E35" s="6">
        <f t="shared" si="2"/>
        <v>2321</v>
      </c>
      <c r="F35" s="6">
        <f t="shared" si="0"/>
        <v>2355</v>
      </c>
      <c r="G35" s="60">
        <f t="shared" si="1"/>
        <v>0</v>
      </c>
    </row>
    <row r="36" spans="1:7" hidden="1" x14ac:dyDescent="0.25">
      <c r="A36" s="67">
        <v>44260</v>
      </c>
      <c r="B36" s="6">
        <v>8</v>
      </c>
      <c r="C36" s="6">
        <f t="shared" si="3"/>
        <v>35</v>
      </c>
      <c r="D36" s="6">
        <v>7</v>
      </c>
      <c r="E36" s="6">
        <f t="shared" si="2"/>
        <v>2328</v>
      </c>
      <c r="F36" s="6">
        <f t="shared" si="0"/>
        <v>2363</v>
      </c>
      <c r="G36" s="60">
        <f t="shared" si="1"/>
        <v>0</v>
      </c>
    </row>
    <row r="37" spans="1:7" hidden="1" x14ac:dyDescent="0.25">
      <c r="A37" s="67">
        <v>44261</v>
      </c>
      <c r="B37" s="6">
        <v>9</v>
      </c>
      <c r="C37" s="6">
        <f t="shared" si="3"/>
        <v>33</v>
      </c>
      <c r="D37" s="6">
        <v>11</v>
      </c>
      <c r="E37" s="6">
        <f t="shared" si="2"/>
        <v>2339</v>
      </c>
      <c r="F37" s="6">
        <f t="shared" si="0"/>
        <v>2372</v>
      </c>
      <c r="G37" s="60">
        <f t="shared" si="1"/>
        <v>0</v>
      </c>
    </row>
    <row r="38" spans="1:7" hidden="1" x14ac:dyDescent="0.25">
      <c r="A38" s="67">
        <v>44262</v>
      </c>
      <c r="B38" s="6">
        <v>2</v>
      </c>
      <c r="C38" s="6">
        <f t="shared" si="3"/>
        <v>34</v>
      </c>
      <c r="D38" s="6">
        <v>1</v>
      </c>
      <c r="E38" s="6">
        <f t="shared" si="2"/>
        <v>2340</v>
      </c>
      <c r="F38" s="6">
        <f t="shared" si="0"/>
        <v>2374</v>
      </c>
      <c r="G38" s="60">
        <f t="shared" si="1"/>
        <v>0</v>
      </c>
    </row>
    <row r="39" spans="1:7" hidden="1" x14ac:dyDescent="0.25">
      <c r="A39" s="67">
        <v>44263</v>
      </c>
      <c r="B39" s="6">
        <v>8</v>
      </c>
      <c r="C39" s="6">
        <f t="shared" si="3"/>
        <v>28</v>
      </c>
      <c r="D39" s="6">
        <v>14</v>
      </c>
      <c r="E39" s="6">
        <f t="shared" si="2"/>
        <v>2354</v>
      </c>
      <c r="F39" s="6">
        <f t="shared" si="0"/>
        <v>2382</v>
      </c>
      <c r="G39" s="60">
        <f t="shared" si="1"/>
        <v>0</v>
      </c>
    </row>
    <row r="40" spans="1:7" hidden="1" x14ac:dyDescent="0.25">
      <c r="A40" s="67">
        <v>44264</v>
      </c>
      <c r="B40" s="6">
        <v>9</v>
      </c>
      <c r="C40" s="6">
        <f t="shared" si="3"/>
        <v>22</v>
      </c>
      <c r="D40" s="6">
        <v>15</v>
      </c>
      <c r="E40" s="6">
        <f t="shared" si="2"/>
        <v>2369</v>
      </c>
      <c r="F40" s="6">
        <f t="shared" si="0"/>
        <v>2391</v>
      </c>
      <c r="G40" s="60">
        <f t="shared" si="1"/>
        <v>0</v>
      </c>
    </row>
    <row r="41" spans="1:7" hidden="1" x14ac:dyDescent="0.25">
      <c r="A41" s="67">
        <v>44265</v>
      </c>
      <c r="B41" s="6">
        <v>15</v>
      </c>
      <c r="C41" s="6">
        <f t="shared" si="3"/>
        <v>25</v>
      </c>
      <c r="D41" s="6">
        <v>12</v>
      </c>
      <c r="E41" s="6">
        <f t="shared" si="2"/>
        <v>2381</v>
      </c>
      <c r="F41" s="6">
        <f t="shared" si="0"/>
        <v>2406</v>
      </c>
      <c r="G41" s="60">
        <f t="shared" si="1"/>
        <v>0</v>
      </c>
    </row>
    <row r="42" spans="1:7" hidden="1" x14ac:dyDescent="0.25">
      <c r="A42" s="67">
        <v>44266</v>
      </c>
      <c r="B42" s="6">
        <v>2</v>
      </c>
      <c r="C42" s="6">
        <f t="shared" si="3"/>
        <v>25</v>
      </c>
      <c r="D42" s="6">
        <v>2</v>
      </c>
      <c r="E42" s="6">
        <f t="shared" si="2"/>
        <v>2383</v>
      </c>
      <c r="F42" s="6">
        <f t="shared" si="0"/>
        <v>2408</v>
      </c>
      <c r="G42" s="60"/>
    </row>
    <row r="43" spans="1:7" hidden="1" x14ac:dyDescent="0.25">
      <c r="A43" s="67">
        <v>44267</v>
      </c>
      <c r="B43" s="6">
        <v>9</v>
      </c>
      <c r="C43" s="6">
        <f t="shared" si="3"/>
        <v>20</v>
      </c>
      <c r="D43" s="6">
        <v>14</v>
      </c>
      <c r="E43" s="6">
        <f t="shared" si="2"/>
        <v>2397</v>
      </c>
      <c r="F43" s="6">
        <f t="shared" si="0"/>
        <v>2417</v>
      </c>
      <c r="G43" s="60"/>
    </row>
    <row r="44" spans="1:7" hidden="1" x14ac:dyDescent="0.25">
      <c r="A44" s="67">
        <v>44268</v>
      </c>
      <c r="B44" s="6">
        <v>8</v>
      </c>
      <c r="C44" s="6">
        <f t="shared" si="3"/>
        <v>23</v>
      </c>
      <c r="D44" s="6">
        <v>5</v>
      </c>
      <c r="E44" s="6">
        <f t="shared" si="2"/>
        <v>2402</v>
      </c>
      <c r="F44" s="6">
        <f t="shared" si="0"/>
        <v>2425</v>
      </c>
      <c r="G44" s="60"/>
    </row>
    <row r="45" spans="1:7" hidden="1" x14ac:dyDescent="0.25">
      <c r="A45" s="67">
        <v>44269</v>
      </c>
      <c r="B45" s="6">
        <v>3</v>
      </c>
      <c r="C45" s="6">
        <f t="shared" si="3"/>
        <v>24</v>
      </c>
      <c r="D45" s="6">
        <v>2</v>
      </c>
      <c r="E45" s="6">
        <f t="shared" si="2"/>
        <v>2404</v>
      </c>
      <c r="F45" s="6">
        <f t="shared" si="0"/>
        <v>2428</v>
      </c>
      <c r="G45" s="60"/>
    </row>
    <row r="46" spans="1:7" hidden="1" x14ac:dyDescent="0.25">
      <c r="A46" s="67">
        <v>44270</v>
      </c>
      <c r="B46" s="6">
        <v>8</v>
      </c>
      <c r="C46" s="6">
        <f t="shared" si="3"/>
        <v>15</v>
      </c>
      <c r="D46" s="6">
        <v>17</v>
      </c>
      <c r="E46" s="6">
        <f t="shared" si="2"/>
        <v>2421</v>
      </c>
      <c r="F46" s="6">
        <f t="shared" si="0"/>
        <v>2436</v>
      </c>
      <c r="G46" s="60"/>
    </row>
    <row r="47" spans="1:7" hidden="1" x14ac:dyDescent="0.25">
      <c r="A47" s="67">
        <v>44271</v>
      </c>
      <c r="B47" s="6">
        <v>15</v>
      </c>
      <c r="C47" s="6">
        <f t="shared" si="3"/>
        <v>21</v>
      </c>
      <c r="D47" s="6">
        <v>9</v>
      </c>
      <c r="E47" s="6">
        <f t="shared" si="2"/>
        <v>2430</v>
      </c>
      <c r="F47" s="6">
        <f t="shared" si="0"/>
        <v>2451</v>
      </c>
      <c r="G47" s="60"/>
    </row>
    <row r="48" spans="1:7" hidden="1" x14ac:dyDescent="0.25">
      <c r="A48" s="67">
        <v>44272</v>
      </c>
      <c r="B48" s="6">
        <v>7</v>
      </c>
      <c r="C48" s="6">
        <f t="shared" si="3"/>
        <v>19</v>
      </c>
      <c r="D48" s="6">
        <v>9</v>
      </c>
      <c r="E48" s="6">
        <f t="shared" si="2"/>
        <v>2439</v>
      </c>
      <c r="F48" s="6">
        <f t="shared" si="0"/>
        <v>2458</v>
      </c>
      <c r="G48" s="60"/>
    </row>
    <row r="49" spans="1:7" hidden="1" x14ac:dyDescent="0.25">
      <c r="A49" s="67">
        <v>44273</v>
      </c>
      <c r="B49" s="6">
        <v>6</v>
      </c>
      <c r="C49" s="6">
        <f t="shared" si="3"/>
        <v>13</v>
      </c>
      <c r="D49" s="6">
        <v>12</v>
      </c>
      <c r="E49" s="6">
        <f t="shared" si="2"/>
        <v>2451</v>
      </c>
      <c r="F49" s="6">
        <f t="shared" si="0"/>
        <v>2464</v>
      </c>
      <c r="G49" s="60"/>
    </row>
    <row r="50" spans="1:7" hidden="1" x14ac:dyDescent="0.25">
      <c r="A50" s="67">
        <v>44274</v>
      </c>
      <c r="B50" s="6">
        <v>8</v>
      </c>
      <c r="C50" s="6">
        <f t="shared" si="3"/>
        <v>17</v>
      </c>
      <c r="D50" s="6">
        <v>4</v>
      </c>
      <c r="E50" s="6">
        <f t="shared" si="2"/>
        <v>2455</v>
      </c>
      <c r="F50" s="6">
        <f t="shared" si="0"/>
        <v>2472</v>
      </c>
      <c r="G50" s="60"/>
    </row>
    <row r="51" spans="1:7" hidden="1" x14ac:dyDescent="0.25">
      <c r="A51" s="67">
        <v>44275</v>
      </c>
      <c r="B51" s="6">
        <v>5</v>
      </c>
      <c r="C51" s="6">
        <f t="shared" si="3"/>
        <v>18</v>
      </c>
      <c r="D51" s="6">
        <v>4</v>
      </c>
      <c r="E51" s="6">
        <f t="shared" si="2"/>
        <v>2459</v>
      </c>
      <c r="F51" s="6">
        <f t="shared" si="0"/>
        <v>2477</v>
      </c>
      <c r="G51" s="60"/>
    </row>
    <row r="52" spans="1:7" hidden="1" x14ac:dyDescent="0.25">
      <c r="A52" s="67">
        <v>44276</v>
      </c>
      <c r="B52" s="6">
        <v>7</v>
      </c>
      <c r="C52" s="6">
        <f t="shared" si="3"/>
        <v>22</v>
      </c>
      <c r="D52" s="6">
        <v>3</v>
      </c>
      <c r="E52" s="6">
        <f t="shared" si="2"/>
        <v>2462</v>
      </c>
      <c r="F52" s="6">
        <f t="shared" si="0"/>
        <v>2484</v>
      </c>
      <c r="G52" s="60"/>
    </row>
    <row r="53" spans="1:7" hidden="1" x14ac:dyDescent="0.25">
      <c r="A53" s="67">
        <v>44277</v>
      </c>
      <c r="B53" s="6">
        <v>10</v>
      </c>
      <c r="C53" s="6">
        <f t="shared" si="3"/>
        <v>20</v>
      </c>
      <c r="D53" s="6">
        <v>12</v>
      </c>
      <c r="E53" s="6">
        <f t="shared" si="2"/>
        <v>2474</v>
      </c>
      <c r="F53" s="6">
        <f t="shared" si="0"/>
        <v>2494</v>
      </c>
      <c r="G53" s="60"/>
    </row>
    <row r="54" spans="1:7" hidden="1" x14ac:dyDescent="0.25">
      <c r="A54" s="67">
        <v>44278</v>
      </c>
      <c r="B54" s="6">
        <v>11</v>
      </c>
      <c r="C54" s="6">
        <f t="shared" si="3"/>
        <v>18</v>
      </c>
      <c r="D54" s="6">
        <v>13</v>
      </c>
      <c r="E54" s="6">
        <f t="shared" si="2"/>
        <v>2487</v>
      </c>
      <c r="F54" s="6">
        <f t="shared" si="0"/>
        <v>2505</v>
      </c>
      <c r="G54" s="60"/>
    </row>
    <row r="55" spans="1:7" hidden="1" x14ac:dyDescent="0.25">
      <c r="A55" s="67">
        <v>44279</v>
      </c>
      <c r="B55" s="6">
        <v>6</v>
      </c>
      <c r="C55" s="6">
        <f t="shared" si="3"/>
        <v>19</v>
      </c>
      <c r="D55" s="6">
        <v>5</v>
      </c>
      <c r="E55" s="6">
        <f t="shared" si="2"/>
        <v>2492</v>
      </c>
      <c r="F55" s="6">
        <f t="shared" si="0"/>
        <v>2511</v>
      </c>
      <c r="G55" s="60"/>
    </row>
    <row r="56" spans="1:7" hidden="1" x14ac:dyDescent="0.25">
      <c r="A56" s="67">
        <v>44280</v>
      </c>
      <c r="B56" s="6">
        <v>13</v>
      </c>
      <c r="C56" s="6">
        <f t="shared" si="3"/>
        <v>26</v>
      </c>
      <c r="D56" s="6">
        <v>6</v>
      </c>
      <c r="E56" s="6">
        <f t="shared" si="2"/>
        <v>2498</v>
      </c>
      <c r="F56" s="6">
        <f t="shared" si="0"/>
        <v>2524</v>
      </c>
      <c r="G56" s="60"/>
    </row>
    <row r="57" spans="1:7" hidden="1" x14ac:dyDescent="0.25">
      <c r="A57" s="67">
        <v>44281</v>
      </c>
      <c r="B57" s="6">
        <v>5</v>
      </c>
      <c r="C57" s="6">
        <f t="shared" si="3"/>
        <v>28</v>
      </c>
      <c r="D57" s="6">
        <v>3</v>
      </c>
      <c r="E57" s="6">
        <f t="shared" si="2"/>
        <v>2501</v>
      </c>
      <c r="F57" s="6">
        <f t="shared" si="0"/>
        <v>2529</v>
      </c>
      <c r="G57" s="60"/>
    </row>
    <row r="58" spans="1:7" hidden="1" x14ac:dyDescent="0.25">
      <c r="A58" s="67">
        <v>44282</v>
      </c>
      <c r="B58" s="6">
        <v>5</v>
      </c>
      <c r="C58" s="6">
        <f t="shared" si="3"/>
        <v>20</v>
      </c>
      <c r="D58" s="6">
        <v>13</v>
      </c>
      <c r="E58" s="6">
        <f t="shared" si="2"/>
        <v>2514</v>
      </c>
      <c r="F58" s="6">
        <f t="shared" si="0"/>
        <v>2534</v>
      </c>
      <c r="G58" s="60"/>
    </row>
    <row r="59" spans="1:7" hidden="1" x14ac:dyDescent="0.25">
      <c r="A59" s="67">
        <v>44283</v>
      </c>
      <c r="B59" s="6">
        <v>3</v>
      </c>
      <c r="C59" s="6">
        <f t="shared" si="3"/>
        <v>22</v>
      </c>
      <c r="D59" s="6">
        <v>1</v>
      </c>
      <c r="E59" s="6">
        <f t="shared" si="2"/>
        <v>2515</v>
      </c>
      <c r="F59" s="6">
        <f t="shared" si="0"/>
        <v>2537</v>
      </c>
      <c r="G59" s="60"/>
    </row>
    <row r="60" spans="1:7" hidden="1" x14ac:dyDescent="0.25">
      <c r="A60" s="67">
        <v>44284</v>
      </c>
      <c r="B60" s="6">
        <v>12</v>
      </c>
      <c r="C60" s="6">
        <f t="shared" si="3"/>
        <v>18</v>
      </c>
      <c r="D60" s="6">
        <v>16</v>
      </c>
      <c r="E60" s="6">
        <f t="shared" si="2"/>
        <v>2531</v>
      </c>
      <c r="F60" s="6">
        <f t="shared" si="0"/>
        <v>2549</v>
      </c>
      <c r="G60" s="60"/>
    </row>
    <row r="61" spans="1:7" hidden="1" x14ac:dyDescent="0.25">
      <c r="A61" s="67">
        <v>44285</v>
      </c>
      <c r="B61" s="6">
        <v>5</v>
      </c>
      <c r="C61" s="6">
        <f t="shared" si="3"/>
        <v>19</v>
      </c>
      <c r="D61" s="6">
        <v>4</v>
      </c>
      <c r="E61" s="6">
        <f t="shared" si="2"/>
        <v>2535</v>
      </c>
      <c r="F61" s="6">
        <f t="shared" si="0"/>
        <v>2554</v>
      </c>
      <c r="G61" s="60"/>
    </row>
    <row r="62" spans="1:7" hidden="1" x14ac:dyDescent="0.25">
      <c r="A62" s="67">
        <v>44286</v>
      </c>
      <c r="B62" s="6">
        <v>10</v>
      </c>
      <c r="C62" s="6">
        <f t="shared" si="3"/>
        <v>21</v>
      </c>
      <c r="D62" s="6">
        <v>8</v>
      </c>
      <c r="E62" s="6">
        <f t="shared" si="2"/>
        <v>2543</v>
      </c>
      <c r="F62" s="6">
        <f t="shared" si="0"/>
        <v>2564</v>
      </c>
      <c r="G62" s="60"/>
    </row>
    <row r="63" spans="1:7" hidden="1" x14ac:dyDescent="0.25">
      <c r="A63" s="67">
        <v>44287</v>
      </c>
      <c r="B63" s="6">
        <v>10</v>
      </c>
      <c r="C63" s="6">
        <f t="shared" si="3"/>
        <v>25</v>
      </c>
      <c r="D63" s="6">
        <v>6</v>
      </c>
      <c r="E63" s="6">
        <f t="shared" si="2"/>
        <v>2549</v>
      </c>
      <c r="F63" s="6">
        <f t="shared" si="0"/>
        <v>2574</v>
      </c>
      <c r="G63" s="60"/>
    </row>
    <row r="64" spans="1:7" hidden="1" x14ac:dyDescent="0.25">
      <c r="A64" s="67">
        <v>44288</v>
      </c>
      <c r="B64" s="6">
        <v>3</v>
      </c>
      <c r="C64" s="6">
        <f t="shared" si="3"/>
        <v>24</v>
      </c>
      <c r="D64" s="6">
        <v>4</v>
      </c>
      <c r="E64" s="6">
        <f t="shared" si="2"/>
        <v>2553</v>
      </c>
      <c r="F64" s="6">
        <f t="shared" si="0"/>
        <v>2577</v>
      </c>
      <c r="G64" s="60"/>
    </row>
    <row r="65" spans="1:7" hidden="1" x14ac:dyDescent="0.25">
      <c r="A65" s="67">
        <v>44289</v>
      </c>
      <c r="B65" s="6">
        <v>7</v>
      </c>
      <c r="C65" s="6">
        <f t="shared" si="3"/>
        <v>25</v>
      </c>
      <c r="D65" s="6">
        <v>6</v>
      </c>
      <c r="E65" s="6">
        <f t="shared" si="2"/>
        <v>2559</v>
      </c>
      <c r="F65" s="6">
        <f t="shared" si="0"/>
        <v>2584</v>
      </c>
      <c r="G65" s="60"/>
    </row>
    <row r="66" spans="1:7" hidden="1" x14ac:dyDescent="0.25">
      <c r="A66" s="67">
        <v>44290</v>
      </c>
      <c r="B66" s="6">
        <v>5</v>
      </c>
      <c r="C66" s="6">
        <f t="shared" si="3"/>
        <v>28</v>
      </c>
      <c r="D66" s="6">
        <v>2</v>
      </c>
      <c r="E66" s="6">
        <f t="shared" si="2"/>
        <v>2561</v>
      </c>
      <c r="F66" s="6">
        <f t="shared" si="0"/>
        <v>2589</v>
      </c>
      <c r="G66" s="60"/>
    </row>
    <row r="67" spans="1:7" hidden="1" x14ac:dyDescent="0.25">
      <c r="A67" s="67">
        <v>44291</v>
      </c>
      <c r="B67" s="6">
        <v>11</v>
      </c>
      <c r="C67" s="6">
        <f t="shared" si="3"/>
        <v>29</v>
      </c>
      <c r="D67" s="6">
        <v>10</v>
      </c>
      <c r="E67" s="6">
        <f t="shared" si="2"/>
        <v>2571</v>
      </c>
      <c r="F67" s="6">
        <f t="shared" si="0"/>
        <v>2600</v>
      </c>
      <c r="G67" s="60"/>
    </row>
    <row r="68" spans="1:7" hidden="1" x14ac:dyDescent="0.25">
      <c r="A68" s="67">
        <v>44292</v>
      </c>
      <c r="B68" s="6">
        <v>8</v>
      </c>
      <c r="C68" s="6">
        <f t="shared" si="3"/>
        <v>26</v>
      </c>
      <c r="D68" s="6">
        <v>11</v>
      </c>
      <c r="E68" s="6">
        <f t="shared" si="2"/>
        <v>2582</v>
      </c>
      <c r="F68" s="6">
        <f t="shared" si="0"/>
        <v>2608</v>
      </c>
      <c r="G68" s="60"/>
    </row>
    <row r="69" spans="1:7" hidden="1" x14ac:dyDescent="0.25">
      <c r="A69" s="67">
        <v>44293</v>
      </c>
      <c r="B69" s="6">
        <v>8</v>
      </c>
      <c r="C69" s="6">
        <f t="shared" si="3"/>
        <v>24</v>
      </c>
      <c r="D69" s="6">
        <v>10</v>
      </c>
      <c r="E69" s="6">
        <f t="shared" si="2"/>
        <v>2592</v>
      </c>
      <c r="F69" s="6">
        <f t="shared" si="0"/>
        <v>2616</v>
      </c>
      <c r="G69" s="60"/>
    </row>
    <row r="70" spans="1:7" hidden="1" x14ac:dyDescent="0.25">
      <c r="A70" s="67">
        <v>44294</v>
      </c>
      <c r="B70" s="6">
        <v>6</v>
      </c>
      <c r="C70" s="6">
        <f t="shared" si="3"/>
        <v>21</v>
      </c>
      <c r="D70" s="6">
        <v>9</v>
      </c>
      <c r="E70" s="6">
        <f t="shared" si="2"/>
        <v>2601</v>
      </c>
      <c r="F70" s="6">
        <f t="shared" si="0"/>
        <v>2622</v>
      </c>
      <c r="G70" s="60"/>
    </row>
    <row r="71" spans="1:7" hidden="1" x14ac:dyDescent="0.25">
      <c r="A71" s="67">
        <v>44295</v>
      </c>
      <c r="B71" s="6">
        <v>3</v>
      </c>
      <c r="C71" s="6">
        <f t="shared" si="3"/>
        <v>17</v>
      </c>
      <c r="D71" s="6">
        <v>7</v>
      </c>
      <c r="E71" s="6">
        <f t="shared" si="2"/>
        <v>2608</v>
      </c>
      <c r="F71" s="6">
        <f t="shared" si="0"/>
        <v>2625</v>
      </c>
      <c r="G71" s="60"/>
    </row>
    <row r="72" spans="1:7" hidden="1" x14ac:dyDescent="0.25">
      <c r="A72" s="67">
        <v>44296</v>
      </c>
      <c r="B72" s="6">
        <v>6</v>
      </c>
      <c r="C72" s="6">
        <f t="shared" si="3"/>
        <v>13</v>
      </c>
      <c r="D72" s="6">
        <v>10</v>
      </c>
      <c r="E72" s="6">
        <f t="shared" si="2"/>
        <v>2618</v>
      </c>
      <c r="F72" s="6">
        <f t="shared" si="0"/>
        <v>2631</v>
      </c>
      <c r="G72" s="60"/>
    </row>
    <row r="73" spans="1:7" hidden="1" x14ac:dyDescent="0.25">
      <c r="A73" s="67">
        <v>44297</v>
      </c>
      <c r="B73" s="6">
        <v>1</v>
      </c>
      <c r="C73" s="6">
        <f t="shared" si="3"/>
        <v>13</v>
      </c>
      <c r="D73" s="6">
        <v>1</v>
      </c>
      <c r="E73" s="6">
        <f t="shared" si="2"/>
        <v>2619</v>
      </c>
      <c r="F73" s="6">
        <f t="shared" si="0"/>
        <v>2632</v>
      </c>
      <c r="G73" s="60"/>
    </row>
    <row r="74" spans="1:7" hidden="1" x14ac:dyDescent="0.25">
      <c r="A74" s="67">
        <v>44298</v>
      </c>
      <c r="B74" s="6">
        <v>7</v>
      </c>
      <c r="C74" s="6">
        <f t="shared" si="3"/>
        <v>15</v>
      </c>
      <c r="D74" s="6">
        <v>5</v>
      </c>
      <c r="E74" s="6">
        <f t="shared" si="2"/>
        <v>2624</v>
      </c>
      <c r="F74" s="6">
        <f t="shared" ref="F74:F137" si="4">E74+C74</f>
        <v>2639</v>
      </c>
      <c r="G74" s="60"/>
    </row>
    <row r="75" spans="1:7" hidden="1" x14ac:dyDescent="0.25">
      <c r="A75" s="67">
        <v>44299</v>
      </c>
      <c r="B75" s="6">
        <v>6</v>
      </c>
      <c r="C75" s="6">
        <f t="shared" si="3"/>
        <v>14</v>
      </c>
      <c r="D75" s="6">
        <v>7</v>
      </c>
      <c r="E75" s="6">
        <f t="shared" ref="E75:E138" si="5">E74+D75</f>
        <v>2631</v>
      </c>
      <c r="F75" s="6">
        <f t="shared" si="4"/>
        <v>2645</v>
      </c>
      <c r="G75" s="60"/>
    </row>
    <row r="76" spans="1:7" hidden="1" x14ac:dyDescent="0.25">
      <c r="A76" s="67">
        <v>44300</v>
      </c>
      <c r="B76" s="6">
        <v>6</v>
      </c>
      <c r="C76" s="6">
        <f t="shared" si="3"/>
        <v>14</v>
      </c>
      <c r="D76" s="6">
        <v>6</v>
      </c>
      <c r="E76" s="6">
        <f t="shared" si="5"/>
        <v>2637</v>
      </c>
      <c r="F76" s="6">
        <f t="shared" si="4"/>
        <v>2651</v>
      </c>
      <c r="G76" s="60"/>
    </row>
    <row r="77" spans="1:7" hidden="1" x14ac:dyDescent="0.25">
      <c r="A77" s="67">
        <v>44301</v>
      </c>
      <c r="B77" s="6">
        <v>8</v>
      </c>
      <c r="C77" s="6">
        <f t="shared" si="3"/>
        <v>15</v>
      </c>
      <c r="D77" s="6">
        <v>7</v>
      </c>
      <c r="E77" s="6">
        <f t="shared" si="5"/>
        <v>2644</v>
      </c>
      <c r="F77" s="6">
        <f t="shared" si="4"/>
        <v>2659</v>
      </c>
      <c r="G77" s="60"/>
    </row>
    <row r="78" spans="1:7" hidden="1" x14ac:dyDescent="0.25">
      <c r="A78" s="67">
        <v>44302</v>
      </c>
      <c r="B78" s="6">
        <v>4</v>
      </c>
      <c r="C78" s="6">
        <f t="shared" si="3"/>
        <v>10</v>
      </c>
      <c r="D78" s="6">
        <v>9</v>
      </c>
      <c r="E78" s="6">
        <f t="shared" si="5"/>
        <v>2653</v>
      </c>
      <c r="F78" s="6">
        <f t="shared" si="4"/>
        <v>2663</v>
      </c>
      <c r="G78" s="60"/>
    </row>
    <row r="79" spans="1:7" hidden="1" x14ac:dyDescent="0.25">
      <c r="A79" s="67">
        <v>44303</v>
      </c>
      <c r="B79" s="6">
        <v>4</v>
      </c>
      <c r="C79" s="6">
        <f t="shared" si="3"/>
        <v>7</v>
      </c>
      <c r="D79" s="6">
        <v>7</v>
      </c>
      <c r="E79" s="6">
        <f t="shared" si="5"/>
        <v>2660</v>
      </c>
      <c r="F79" s="6">
        <f t="shared" si="4"/>
        <v>2667</v>
      </c>
      <c r="G79" s="60"/>
    </row>
    <row r="80" spans="1:7" hidden="1" x14ac:dyDescent="0.25">
      <c r="A80" s="67">
        <v>44304</v>
      </c>
      <c r="B80" s="6">
        <v>2</v>
      </c>
      <c r="C80" s="6">
        <f t="shared" si="3"/>
        <v>7</v>
      </c>
      <c r="D80" s="6">
        <v>2</v>
      </c>
      <c r="E80" s="6">
        <f t="shared" si="5"/>
        <v>2662</v>
      </c>
      <c r="F80" s="6">
        <f t="shared" si="4"/>
        <v>2669</v>
      </c>
      <c r="G80" s="60"/>
    </row>
    <row r="81" spans="1:7" hidden="1" x14ac:dyDescent="0.25">
      <c r="A81" s="67">
        <v>44305</v>
      </c>
      <c r="B81" s="6">
        <v>10</v>
      </c>
      <c r="C81" s="6">
        <f t="shared" si="3"/>
        <v>16</v>
      </c>
      <c r="D81" s="6">
        <v>1</v>
      </c>
      <c r="E81" s="6">
        <f t="shared" si="5"/>
        <v>2663</v>
      </c>
      <c r="F81" s="6">
        <f t="shared" si="4"/>
        <v>2679</v>
      </c>
      <c r="G81" s="60"/>
    </row>
    <row r="82" spans="1:7" hidden="1" x14ac:dyDescent="0.25">
      <c r="A82" s="67">
        <v>44306</v>
      </c>
      <c r="B82" s="6">
        <v>8</v>
      </c>
      <c r="C82" s="6">
        <f t="shared" si="3"/>
        <v>15</v>
      </c>
      <c r="D82" s="6">
        <v>9</v>
      </c>
      <c r="E82" s="6">
        <f t="shared" si="5"/>
        <v>2672</v>
      </c>
      <c r="F82" s="6">
        <f t="shared" si="4"/>
        <v>2687</v>
      </c>
      <c r="G82" s="60"/>
    </row>
    <row r="83" spans="1:7" hidden="1" x14ac:dyDescent="0.25">
      <c r="A83" s="67">
        <v>44307</v>
      </c>
      <c r="B83" s="6">
        <v>7</v>
      </c>
      <c r="C83" s="6">
        <f t="shared" si="3"/>
        <v>18</v>
      </c>
      <c r="D83" s="6">
        <v>4</v>
      </c>
      <c r="E83" s="6">
        <f t="shared" si="5"/>
        <v>2676</v>
      </c>
      <c r="F83" s="6">
        <f t="shared" si="4"/>
        <v>2694</v>
      </c>
      <c r="G83" s="60"/>
    </row>
    <row r="84" spans="1:7" hidden="1" x14ac:dyDescent="0.25">
      <c r="A84" s="67">
        <v>44308</v>
      </c>
      <c r="B84" s="6">
        <v>5</v>
      </c>
      <c r="C84" s="6">
        <f t="shared" ref="C84:C147" si="6">C83-D84+B84</f>
        <v>17</v>
      </c>
      <c r="D84" s="6">
        <v>6</v>
      </c>
      <c r="E84" s="6">
        <f t="shared" si="5"/>
        <v>2682</v>
      </c>
      <c r="F84" s="6">
        <f t="shared" si="4"/>
        <v>2699</v>
      </c>
      <c r="G84" s="60"/>
    </row>
    <row r="85" spans="1:7" hidden="1" x14ac:dyDescent="0.25">
      <c r="A85" s="67">
        <v>44309</v>
      </c>
      <c r="B85" s="6">
        <v>8</v>
      </c>
      <c r="C85" s="6">
        <f t="shared" si="6"/>
        <v>17</v>
      </c>
      <c r="D85" s="6">
        <v>8</v>
      </c>
      <c r="E85" s="6">
        <f t="shared" si="5"/>
        <v>2690</v>
      </c>
      <c r="F85" s="6">
        <f t="shared" si="4"/>
        <v>2707</v>
      </c>
      <c r="G85" s="60"/>
    </row>
    <row r="86" spans="1:7" hidden="1" x14ac:dyDescent="0.25">
      <c r="A86" s="67">
        <v>44310</v>
      </c>
      <c r="B86" s="6">
        <v>5</v>
      </c>
      <c r="C86" s="6">
        <f t="shared" si="6"/>
        <v>15</v>
      </c>
      <c r="D86" s="6">
        <v>7</v>
      </c>
      <c r="E86" s="6">
        <f t="shared" si="5"/>
        <v>2697</v>
      </c>
      <c r="F86" s="6">
        <f t="shared" si="4"/>
        <v>2712</v>
      </c>
      <c r="G86" s="60"/>
    </row>
    <row r="87" spans="1:7" hidden="1" x14ac:dyDescent="0.25">
      <c r="A87" s="67">
        <v>44311</v>
      </c>
      <c r="B87" s="6">
        <v>0</v>
      </c>
      <c r="C87" s="6">
        <f t="shared" si="6"/>
        <v>12</v>
      </c>
      <c r="D87" s="6">
        <v>3</v>
      </c>
      <c r="E87" s="6">
        <f t="shared" si="5"/>
        <v>2700</v>
      </c>
      <c r="F87" s="6">
        <f t="shared" si="4"/>
        <v>2712</v>
      </c>
      <c r="G87" s="60"/>
    </row>
    <row r="88" spans="1:7" hidden="1" x14ac:dyDescent="0.25">
      <c r="A88" s="67">
        <v>44312</v>
      </c>
      <c r="B88" s="6">
        <v>6</v>
      </c>
      <c r="C88" s="6">
        <f t="shared" si="6"/>
        <v>12</v>
      </c>
      <c r="D88" s="6">
        <v>6</v>
      </c>
      <c r="E88" s="6">
        <f t="shared" si="5"/>
        <v>2706</v>
      </c>
      <c r="F88" s="6">
        <f t="shared" si="4"/>
        <v>2718</v>
      </c>
      <c r="G88" s="60"/>
    </row>
    <row r="89" spans="1:7" hidden="1" x14ac:dyDescent="0.25">
      <c r="A89" s="67">
        <v>44313</v>
      </c>
      <c r="B89" s="6">
        <v>5</v>
      </c>
      <c r="C89" s="6">
        <f t="shared" si="6"/>
        <v>15</v>
      </c>
      <c r="D89" s="6">
        <v>2</v>
      </c>
      <c r="E89" s="6">
        <f t="shared" si="5"/>
        <v>2708</v>
      </c>
      <c r="F89" s="6">
        <f t="shared" si="4"/>
        <v>2723</v>
      </c>
      <c r="G89" s="60"/>
    </row>
    <row r="90" spans="1:7" hidden="1" x14ac:dyDescent="0.25">
      <c r="A90" s="67">
        <v>44314</v>
      </c>
      <c r="B90" s="6">
        <v>0</v>
      </c>
      <c r="C90" s="6">
        <f t="shared" si="6"/>
        <v>15</v>
      </c>
      <c r="D90" s="6">
        <v>0</v>
      </c>
      <c r="E90" s="6">
        <f t="shared" si="5"/>
        <v>2708</v>
      </c>
      <c r="F90" s="6">
        <f t="shared" si="4"/>
        <v>2723</v>
      </c>
      <c r="G90" s="60"/>
    </row>
    <row r="91" spans="1:7" hidden="1" x14ac:dyDescent="0.25">
      <c r="A91" s="67">
        <v>44315</v>
      </c>
      <c r="B91" s="6">
        <v>8</v>
      </c>
      <c r="C91" s="6">
        <f t="shared" si="6"/>
        <v>13</v>
      </c>
      <c r="D91" s="6">
        <v>10</v>
      </c>
      <c r="E91" s="6">
        <f t="shared" si="5"/>
        <v>2718</v>
      </c>
      <c r="F91" s="6">
        <f t="shared" si="4"/>
        <v>2731</v>
      </c>
      <c r="G91" s="60"/>
    </row>
    <row r="92" spans="1:7" hidden="1" x14ac:dyDescent="0.25">
      <c r="A92" s="67">
        <v>44316</v>
      </c>
      <c r="B92" s="6">
        <v>9</v>
      </c>
      <c r="C92" s="6">
        <f t="shared" si="6"/>
        <v>20</v>
      </c>
      <c r="D92" s="6">
        <v>2</v>
      </c>
      <c r="E92" s="6">
        <f t="shared" si="5"/>
        <v>2720</v>
      </c>
      <c r="F92" s="6">
        <f t="shared" si="4"/>
        <v>2740</v>
      </c>
      <c r="G92" s="60"/>
    </row>
    <row r="93" spans="1:7" hidden="1" x14ac:dyDescent="0.25">
      <c r="A93" s="67">
        <v>44317</v>
      </c>
      <c r="B93" s="6">
        <v>1</v>
      </c>
      <c r="C93" s="6">
        <f t="shared" si="6"/>
        <v>16</v>
      </c>
      <c r="D93" s="6">
        <v>5</v>
      </c>
      <c r="E93" s="6">
        <f t="shared" si="5"/>
        <v>2725</v>
      </c>
      <c r="F93" s="6">
        <f t="shared" si="4"/>
        <v>2741</v>
      </c>
      <c r="G93" s="60"/>
    </row>
    <row r="94" spans="1:7" hidden="1" x14ac:dyDescent="0.25">
      <c r="A94" s="67">
        <v>44318</v>
      </c>
      <c r="B94" s="6">
        <v>3</v>
      </c>
      <c r="C94" s="6">
        <f t="shared" si="6"/>
        <v>18</v>
      </c>
      <c r="D94" s="6">
        <v>1</v>
      </c>
      <c r="E94" s="6">
        <f t="shared" si="5"/>
        <v>2726</v>
      </c>
      <c r="F94" s="6">
        <f t="shared" si="4"/>
        <v>2744</v>
      </c>
      <c r="G94" s="60"/>
    </row>
    <row r="95" spans="1:7" hidden="1" x14ac:dyDescent="0.25">
      <c r="A95" s="67">
        <v>44319</v>
      </c>
      <c r="B95" s="6">
        <v>17</v>
      </c>
      <c r="C95" s="6">
        <f t="shared" si="6"/>
        <v>30</v>
      </c>
      <c r="D95" s="6">
        <v>5</v>
      </c>
      <c r="E95" s="6">
        <f t="shared" si="5"/>
        <v>2731</v>
      </c>
      <c r="F95" s="6">
        <f t="shared" si="4"/>
        <v>2761</v>
      </c>
      <c r="G95" s="60"/>
    </row>
    <row r="96" spans="1:7" hidden="1" x14ac:dyDescent="0.25">
      <c r="A96" s="67">
        <v>44320</v>
      </c>
      <c r="B96" s="6">
        <v>9</v>
      </c>
      <c r="C96" s="6">
        <f t="shared" si="6"/>
        <v>32</v>
      </c>
      <c r="D96" s="6">
        <v>7</v>
      </c>
      <c r="E96" s="6">
        <f t="shared" si="5"/>
        <v>2738</v>
      </c>
      <c r="F96" s="6">
        <f t="shared" si="4"/>
        <v>2770</v>
      </c>
      <c r="G96" s="60"/>
    </row>
    <row r="97" spans="1:7" hidden="1" x14ac:dyDescent="0.25">
      <c r="A97" s="67">
        <v>44321</v>
      </c>
      <c r="B97" s="6">
        <v>3</v>
      </c>
      <c r="C97" s="6">
        <f t="shared" si="6"/>
        <v>29</v>
      </c>
      <c r="D97" s="6">
        <v>6</v>
      </c>
      <c r="E97" s="6">
        <f t="shared" si="5"/>
        <v>2744</v>
      </c>
      <c r="F97" s="6">
        <f t="shared" si="4"/>
        <v>2773</v>
      </c>
      <c r="G97" s="60"/>
    </row>
    <row r="98" spans="1:7" hidden="1" x14ac:dyDescent="0.25">
      <c r="A98" s="67">
        <v>44322</v>
      </c>
      <c r="B98" s="6">
        <v>6</v>
      </c>
      <c r="C98" s="6">
        <f t="shared" si="6"/>
        <v>27</v>
      </c>
      <c r="D98" s="6">
        <v>8</v>
      </c>
      <c r="E98" s="6">
        <f t="shared" si="5"/>
        <v>2752</v>
      </c>
      <c r="F98" s="6">
        <f t="shared" si="4"/>
        <v>2779</v>
      </c>
      <c r="G98" s="60"/>
    </row>
    <row r="99" spans="1:7" hidden="1" x14ac:dyDescent="0.25">
      <c r="A99" s="67">
        <v>44323</v>
      </c>
      <c r="B99" s="6">
        <v>6</v>
      </c>
      <c r="C99" s="6">
        <f t="shared" si="6"/>
        <v>30</v>
      </c>
      <c r="D99" s="6">
        <v>3</v>
      </c>
      <c r="E99" s="6">
        <f t="shared" si="5"/>
        <v>2755</v>
      </c>
      <c r="F99" s="6">
        <f t="shared" si="4"/>
        <v>2785</v>
      </c>
      <c r="G99" s="60"/>
    </row>
    <row r="100" spans="1:7" hidden="1" x14ac:dyDescent="0.25">
      <c r="A100" s="67">
        <v>44324</v>
      </c>
      <c r="B100" s="6">
        <v>14</v>
      </c>
      <c r="C100" s="6">
        <f t="shared" si="6"/>
        <v>40</v>
      </c>
      <c r="D100" s="6">
        <v>4</v>
      </c>
      <c r="E100" s="6">
        <f t="shared" si="5"/>
        <v>2759</v>
      </c>
      <c r="F100" s="6">
        <f t="shared" si="4"/>
        <v>2799</v>
      </c>
      <c r="G100" s="60"/>
    </row>
    <row r="101" spans="1:7" hidden="1" x14ac:dyDescent="0.25">
      <c r="A101" s="67">
        <v>44325</v>
      </c>
      <c r="B101" s="6">
        <v>3</v>
      </c>
      <c r="C101" s="6">
        <f t="shared" si="6"/>
        <v>38</v>
      </c>
      <c r="D101" s="6">
        <v>5</v>
      </c>
      <c r="E101" s="6">
        <f t="shared" si="5"/>
        <v>2764</v>
      </c>
      <c r="F101" s="6">
        <f t="shared" si="4"/>
        <v>2802</v>
      </c>
      <c r="G101" s="60"/>
    </row>
    <row r="102" spans="1:7" hidden="1" x14ac:dyDescent="0.25">
      <c r="A102" s="67">
        <v>44326</v>
      </c>
      <c r="B102" s="6">
        <v>10</v>
      </c>
      <c r="C102" s="6">
        <f t="shared" si="6"/>
        <v>35</v>
      </c>
      <c r="D102" s="6">
        <v>13</v>
      </c>
      <c r="E102" s="6">
        <f t="shared" si="5"/>
        <v>2777</v>
      </c>
      <c r="F102" s="6">
        <f t="shared" si="4"/>
        <v>2812</v>
      </c>
      <c r="G102" s="60"/>
    </row>
    <row r="103" spans="1:7" hidden="1" x14ac:dyDescent="0.25">
      <c r="A103" s="67">
        <v>44327</v>
      </c>
      <c r="B103" s="6">
        <v>10</v>
      </c>
      <c r="C103" s="6">
        <f t="shared" si="6"/>
        <v>38</v>
      </c>
      <c r="D103" s="6">
        <v>7</v>
      </c>
      <c r="E103" s="6">
        <f t="shared" si="5"/>
        <v>2784</v>
      </c>
      <c r="F103" s="6">
        <f t="shared" si="4"/>
        <v>2822</v>
      </c>
      <c r="G103" s="60"/>
    </row>
    <row r="104" spans="1:7" hidden="1" x14ac:dyDescent="0.25">
      <c r="A104" s="67">
        <v>44328</v>
      </c>
      <c r="B104" s="6">
        <v>6</v>
      </c>
      <c r="C104" s="6">
        <f t="shared" si="6"/>
        <v>38</v>
      </c>
      <c r="D104" s="6">
        <v>6</v>
      </c>
      <c r="E104" s="6">
        <f t="shared" si="5"/>
        <v>2790</v>
      </c>
      <c r="F104" s="6">
        <f t="shared" si="4"/>
        <v>2828</v>
      </c>
      <c r="G104" s="60"/>
    </row>
    <row r="105" spans="1:7" ht="13.5" hidden="1" customHeight="1" x14ac:dyDescent="0.25">
      <c r="A105" s="67">
        <v>44329</v>
      </c>
      <c r="B105" s="6">
        <v>0</v>
      </c>
      <c r="C105" s="6">
        <f t="shared" si="6"/>
        <v>38</v>
      </c>
      <c r="D105" s="6">
        <v>0</v>
      </c>
      <c r="E105" s="6">
        <f t="shared" si="5"/>
        <v>2790</v>
      </c>
      <c r="F105" s="6">
        <f t="shared" si="4"/>
        <v>2828</v>
      </c>
      <c r="G105" s="60"/>
    </row>
    <row r="106" spans="1:7" hidden="1" x14ac:dyDescent="0.25">
      <c r="A106" s="67">
        <v>44330</v>
      </c>
      <c r="B106" s="6">
        <v>4</v>
      </c>
      <c r="C106" s="6">
        <f t="shared" si="6"/>
        <v>40</v>
      </c>
      <c r="D106" s="6">
        <v>2</v>
      </c>
      <c r="E106" s="6">
        <f t="shared" si="5"/>
        <v>2792</v>
      </c>
      <c r="F106" s="6">
        <f t="shared" si="4"/>
        <v>2832</v>
      </c>
      <c r="G106" s="60"/>
    </row>
    <row r="107" spans="1:7" hidden="1" x14ac:dyDescent="0.25">
      <c r="A107" s="67">
        <v>44331</v>
      </c>
      <c r="B107" s="6">
        <v>9</v>
      </c>
      <c r="C107" s="6">
        <f t="shared" si="6"/>
        <v>43</v>
      </c>
      <c r="D107" s="6">
        <v>6</v>
      </c>
      <c r="E107" s="6">
        <f t="shared" si="5"/>
        <v>2798</v>
      </c>
      <c r="F107" s="6">
        <f t="shared" si="4"/>
        <v>2841</v>
      </c>
      <c r="G107" s="60"/>
    </row>
    <row r="108" spans="1:7" hidden="1" x14ac:dyDescent="0.25">
      <c r="A108" s="67">
        <v>44332</v>
      </c>
      <c r="B108" s="6">
        <v>4</v>
      </c>
      <c r="C108" s="6">
        <f t="shared" si="6"/>
        <v>43</v>
      </c>
      <c r="D108" s="6">
        <v>4</v>
      </c>
      <c r="E108" s="6">
        <f t="shared" si="5"/>
        <v>2802</v>
      </c>
      <c r="F108" s="6">
        <f t="shared" si="4"/>
        <v>2845</v>
      </c>
      <c r="G108" s="60"/>
    </row>
    <row r="109" spans="1:7" hidden="1" x14ac:dyDescent="0.25">
      <c r="A109" s="67">
        <v>44333</v>
      </c>
      <c r="B109" s="6">
        <v>11</v>
      </c>
      <c r="C109" s="6">
        <f t="shared" si="6"/>
        <v>43</v>
      </c>
      <c r="D109" s="6">
        <v>11</v>
      </c>
      <c r="E109" s="6">
        <f t="shared" si="5"/>
        <v>2813</v>
      </c>
      <c r="F109" s="6">
        <f t="shared" si="4"/>
        <v>2856</v>
      </c>
      <c r="G109" s="60"/>
    </row>
    <row r="110" spans="1:7" hidden="1" x14ac:dyDescent="0.25">
      <c r="A110" s="67">
        <v>44334</v>
      </c>
      <c r="B110" s="6">
        <v>9</v>
      </c>
      <c r="C110" s="6">
        <f t="shared" si="6"/>
        <v>42</v>
      </c>
      <c r="D110" s="6">
        <v>10</v>
      </c>
      <c r="E110" s="6">
        <f t="shared" si="5"/>
        <v>2823</v>
      </c>
      <c r="F110" s="6">
        <f t="shared" si="4"/>
        <v>2865</v>
      </c>
      <c r="G110" s="60"/>
    </row>
    <row r="111" spans="1:7" hidden="1" x14ac:dyDescent="0.25">
      <c r="A111" s="67">
        <v>44335</v>
      </c>
      <c r="B111" s="6">
        <v>4</v>
      </c>
      <c r="C111" s="6">
        <f t="shared" si="6"/>
        <v>32</v>
      </c>
      <c r="D111" s="6">
        <v>14</v>
      </c>
      <c r="E111" s="6">
        <f t="shared" si="5"/>
        <v>2837</v>
      </c>
      <c r="F111" s="6">
        <f t="shared" si="4"/>
        <v>2869</v>
      </c>
      <c r="G111" s="60"/>
    </row>
    <row r="112" spans="1:7" hidden="1" x14ac:dyDescent="0.25">
      <c r="A112" s="67">
        <v>44336</v>
      </c>
      <c r="B112" s="6">
        <v>15</v>
      </c>
      <c r="C112" s="6">
        <f t="shared" si="6"/>
        <v>36</v>
      </c>
      <c r="D112" s="6">
        <v>11</v>
      </c>
      <c r="E112" s="6">
        <f t="shared" si="5"/>
        <v>2848</v>
      </c>
      <c r="F112" s="6">
        <f t="shared" si="4"/>
        <v>2884</v>
      </c>
      <c r="G112" s="60"/>
    </row>
    <row r="113" spans="1:7" hidden="1" x14ac:dyDescent="0.25">
      <c r="A113" s="67">
        <v>44337</v>
      </c>
      <c r="B113" s="6">
        <v>4</v>
      </c>
      <c r="C113" s="6">
        <f t="shared" si="6"/>
        <v>38</v>
      </c>
      <c r="D113" s="6">
        <v>2</v>
      </c>
      <c r="E113" s="6">
        <f t="shared" si="5"/>
        <v>2850</v>
      </c>
      <c r="F113" s="6">
        <f t="shared" si="4"/>
        <v>2888</v>
      </c>
      <c r="G113" s="60"/>
    </row>
    <row r="114" spans="1:7" hidden="1" x14ac:dyDescent="0.25">
      <c r="A114" s="67">
        <v>44338</v>
      </c>
      <c r="B114" s="6">
        <v>11</v>
      </c>
      <c r="C114" s="6">
        <f t="shared" si="6"/>
        <v>45</v>
      </c>
      <c r="D114" s="6">
        <v>4</v>
      </c>
      <c r="E114" s="6">
        <f t="shared" si="5"/>
        <v>2854</v>
      </c>
      <c r="F114" s="6">
        <f t="shared" si="4"/>
        <v>2899</v>
      </c>
      <c r="G114" s="60"/>
    </row>
    <row r="115" spans="1:7" hidden="1" x14ac:dyDescent="0.25">
      <c r="A115" s="67">
        <v>44339</v>
      </c>
      <c r="B115" s="6">
        <v>4</v>
      </c>
      <c r="C115" s="6">
        <f t="shared" si="6"/>
        <v>45</v>
      </c>
      <c r="D115" s="6">
        <v>4</v>
      </c>
      <c r="E115" s="6">
        <f t="shared" si="5"/>
        <v>2858</v>
      </c>
      <c r="F115" s="6">
        <f t="shared" si="4"/>
        <v>2903</v>
      </c>
      <c r="G115" s="60"/>
    </row>
    <row r="116" spans="1:7" hidden="1" x14ac:dyDescent="0.25">
      <c r="A116" s="67">
        <v>44340</v>
      </c>
      <c r="B116" s="6">
        <v>23</v>
      </c>
      <c r="C116" s="6">
        <f t="shared" si="6"/>
        <v>56</v>
      </c>
      <c r="D116" s="6">
        <v>12</v>
      </c>
      <c r="E116" s="6">
        <f t="shared" si="5"/>
        <v>2870</v>
      </c>
      <c r="F116" s="6">
        <f t="shared" si="4"/>
        <v>2926</v>
      </c>
      <c r="G116" s="60"/>
    </row>
    <row r="117" spans="1:7" hidden="1" x14ac:dyDescent="0.25">
      <c r="A117" s="67">
        <v>44341</v>
      </c>
      <c r="B117" s="6">
        <v>19</v>
      </c>
      <c r="C117" s="6">
        <f t="shared" si="6"/>
        <v>69</v>
      </c>
      <c r="D117" s="6">
        <v>6</v>
      </c>
      <c r="E117" s="6">
        <f t="shared" si="5"/>
        <v>2876</v>
      </c>
      <c r="F117" s="6">
        <f t="shared" si="4"/>
        <v>2945</v>
      </c>
      <c r="G117" s="60"/>
    </row>
    <row r="118" spans="1:7" hidden="1" x14ac:dyDescent="0.25">
      <c r="A118" s="67">
        <v>44342</v>
      </c>
      <c r="B118" s="6">
        <v>3</v>
      </c>
      <c r="C118" s="6">
        <f t="shared" si="6"/>
        <v>70</v>
      </c>
      <c r="D118" s="6">
        <v>2</v>
      </c>
      <c r="E118" s="6">
        <f t="shared" si="5"/>
        <v>2878</v>
      </c>
      <c r="F118" s="6">
        <f t="shared" si="4"/>
        <v>2948</v>
      </c>
      <c r="G118" s="60"/>
    </row>
    <row r="119" spans="1:7" hidden="1" x14ac:dyDescent="0.25">
      <c r="A119" s="67">
        <v>44343</v>
      </c>
      <c r="B119" s="6">
        <v>25</v>
      </c>
      <c r="C119" s="6">
        <f t="shared" si="6"/>
        <v>79</v>
      </c>
      <c r="D119" s="6">
        <v>16</v>
      </c>
      <c r="E119" s="6">
        <f t="shared" si="5"/>
        <v>2894</v>
      </c>
      <c r="F119" s="6">
        <f t="shared" si="4"/>
        <v>2973</v>
      </c>
      <c r="G119" s="60"/>
    </row>
    <row r="120" spans="1:7" hidden="1" x14ac:dyDescent="0.25">
      <c r="A120" s="67">
        <v>44344</v>
      </c>
      <c r="B120" s="6">
        <v>29</v>
      </c>
      <c r="C120" s="6">
        <f t="shared" si="6"/>
        <v>80</v>
      </c>
      <c r="D120" s="6">
        <v>28</v>
      </c>
      <c r="E120" s="6">
        <f t="shared" si="5"/>
        <v>2922</v>
      </c>
      <c r="F120" s="6">
        <f t="shared" si="4"/>
        <v>3002</v>
      </c>
      <c r="G120" s="60"/>
    </row>
    <row r="121" spans="1:7" hidden="1" x14ac:dyDescent="0.25">
      <c r="A121" s="67">
        <v>44345</v>
      </c>
      <c r="B121" s="6">
        <v>20</v>
      </c>
      <c r="C121" s="6">
        <f t="shared" si="6"/>
        <v>83</v>
      </c>
      <c r="D121" s="6">
        <v>17</v>
      </c>
      <c r="E121" s="6">
        <f t="shared" si="5"/>
        <v>2939</v>
      </c>
      <c r="F121" s="6">
        <f t="shared" si="4"/>
        <v>3022</v>
      </c>
      <c r="G121" s="60"/>
    </row>
    <row r="122" spans="1:7" hidden="1" x14ac:dyDescent="0.25">
      <c r="A122" s="67">
        <v>44346</v>
      </c>
      <c r="B122" s="6">
        <v>8</v>
      </c>
      <c r="C122" s="6">
        <f t="shared" si="6"/>
        <v>84</v>
      </c>
      <c r="D122" s="6">
        <v>7</v>
      </c>
      <c r="E122" s="6">
        <f t="shared" si="5"/>
        <v>2946</v>
      </c>
      <c r="F122" s="6">
        <f t="shared" si="4"/>
        <v>3030</v>
      </c>
      <c r="G122" s="60"/>
    </row>
    <row r="123" spans="1:7" hidden="1" x14ac:dyDescent="0.25">
      <c r="A123" s="67">
        <v>44347</v>
      </c>
      <c r="B123" s="6">
        <v>38</v>
      </c>
      <c r="C123" s="6">
        <f t="shared" si="6"/>
        <v>99</v>
      </c>
      <c r="D123" s="6">
        <v>23</v>
      </c>
      <c r="E123" s="6">
        <f t="shared" si="5"/>
        <v>2969</v>
      </c>
      <c r="F123" s="6">
        <f t="shared" si="4"/>
        <v>3068</v>
      </c>
      <c r="G123" s="60"/>
    </row>
    <row r="124" spans="1:7" hidden="1" x14ac:dyDescent="0.25">
      <c r="A124" s="67">
        <v>44348</v>
      </c>
      <c r="B124" s="6">
        <v>16</v>
      </c>
      <c r="C124" s="6">
        <f t="shared" si="6"/>
        <v>107</v>
      </c>
      <c r="D124" s="6">
        <v>8</v>
      </c>
      <c r="E124" s="6">
        <f t="shared" si="5"/>
        <v>2977</v>
      </c>
      <c r="F124" s="6">
        <f t="shared" si="4"/>
        <v>3084</v>
      </c>
      <c r="G124" s="60"/>
    </row>
    <row r="125" spans="1:7" hidden="1" x14ac:dyDescent="0.25">
      <c r="A125" s="67">
        <v>44349</v>
      </c>
      <c r="B125" s="6">
        <v>38</v>
      </c>
      <c r="C125" s="6">
        <f t="shared" si="6"/>
        <v>108</v>
      </c>
      <c r="D125" s="6">
        <v>37</v>
      </c>
      <c r="E125" s="6">
        <f t="shared" si="5"/>
        <v>3014</v>
      </c>
      <c r="F125" s="6">
        <f t="shared" si="4"/>
        <v>3122</v>
      </c>
      <c r="G125" s="60"/>
    </row>
    <row r="126" spans="1:7" hidden="1" x14ac:dyDescent="0.25">
      <c r="A126" s="67">
        <v>44350</v>
      </c>
      <c r="B126" s="6">
        <v>29</v>
      </c>
      <c r="C126" s="6">
        <f t="shared" si="6"/>
        <v>110</v>
      </c>
      <c r="D126" s="6">
        <v>27</v>
      </c>
      <c r="E126" s="6">
        <f t="shared" si="5"/>
        <v>3041</v>
      </c>
      <c r="F126" s="6">
        <f t="shared" si="4"/>
        <v>3151</v>
      </c>
      <c r="G126" s="60"/>
    </row>
    <row r="127" spans="1:7" hidden="1" x14ac:dyDescent="0.25">
      <c r="A127" s="67">
        <v>44351</v>
      </c>
      <c r="B127" s="6">
        <v>26</v>
      </c>
      <c r="C127" s="6">
        <f t="shared" si="6"/>
        <v>107</v>
      </c>
      <c r="D127" s="6">
        <v>29</v>
      </c>
      <c r="E127" s="6">
        <f t="shared" si="5"/>
        <v>3070</v>
      </c>
      <c r="F127" s="6">
        <f t="shared" si="4"/>
        <v>3177</v>
      </c>
      <c r="G127" s="60"/>
    </row>
    <row r="128" spans="1:7" hidden="1" x14ac:dyDescent="0.25">
      <c r="A128" s="67">
        <v>44352</v>
      </c>
      <c r="B128" s="6">
        <v>39</v>
      </c>
      <c r="C128" s="6">
        <f t="shared" si="6"/>
        <v>127</v>
      </c>
      <c r="D128" s="6">
        <v>19</v>
      </c>
      <c r="E128" s="6">
        <f t="shared" si="5"/>
        <v>3089</v>
      </c>
      <c r="F128" s="6">
        <f t="shared" si="4"/>
        <v>3216</v>
      </c>
      <c r="G128" s="60"/>
    </row>
    <row r="129" spans="1:7" hidden="1" x14ac:dyDescent="0.25">
      <c r="A129" s="67">
        <v>44353</v>
      </c>
      <c r="B129" s="6">
        <v>11</v>
      </c>
      <c r="C129" s="6">
        <f t="shared" si="6"/>
        <v>116</v>
      </c>
      <c r="D129" s="6">
        <v>22</v>
      </c>
      <c r="E129" s="6">
        <f t="shared" si="5"/>
        <v>3111</v>
      </c>
      <c r="F129" s="6">
        <f t="shared" si="4"/>
        <v>3227</v>
      </c>
      <c r="G129" s="60"/>
    </row>
    <row r="130" spans="1:7" hidden="1" x14ac:dyDescent="0.25">
      <c r="A130" s="67">
        <v>44354</v>
      </c>
      <c r="B130" s="6">
        <v>49</v>
      </c>
      <c r="C130" s="6">
        <f t="shared" si="6"/>
        <v>102</v>
      </c>
      <c r="D130" s="6">
        <v>63</v>
      </c>
      <c r="E130" s="6">
        <f t="shared" si="5"/>
        <v>3174</v>
      </c>
      <c r="F130" s="6">
        <f t="shared" si="4"/>
        <v>3276</v>
      </c>
      <c r="G130" s="60"/>
    </row>
    <row r="131" spans="1:7" hidden="1" x14ac:dyDescent="0.25">
      <c r="A131" s="67">
        <v>44355</v>
      </c>
      <c r="B131" s="6">
        <v>45</v>
      </c>
      <c r="C131" s="6">
        <f t="shared" si="6"/>
        <v>135</v>
      </c>
      <c r="D131" s="6">
        <v>12</v>
      </c>
      <c r="E131" s="6">
        <f t="shared" si="5"/>
        <v>3186</v>
      </c>
      <c r="F131" s="6">
        <f t="shared" si="4"/>
        <v>3321</v>
      </c>
      <c r="G131" s="60"/>
    </row>
    <row r="132" spans="1:7" hidden="1" x14ac:dyDescent="0.25">
      <c r="A132" s="67">
        <v>44356</v>
      </c>
      <c r="B132" s="6">
        <v>52</v>
      </c>
      <c r="C132" s="6">
        <f t="shared" si="6"/>
        <v>144</v>
      </c>
      <c r="D132" s="6">
        <v>43</v>
      </c>
      <c r="E132" s="6">
        <f t="shared" si="5"/>
        <v>3229</v>
      </c>
      <c r="F132" s="6">
        <f t="shared" si="4"/>
        <v>3373</v>
      </c>
      <c r="G132" s="60"/>
    </row>
    <row r="133" spans="1:7" hidden="1" x14ac:dyDescent="0.25">
      <c r="A133" s="67">
        <v>44357</v>
      </c>
      <c r="B133" s="6">
        <v>56</v>
      </c>
      <c r="C133" s="6">
        <f t="shared" si="6"/>
        <v>159</v>
      </c>
      <c r="D133" s="6">
        <v>41</v>
      </c>
      <c r="E133" s="6">
        <f t="shared" si="5"/>
        <v>3270</v>
      </c>
      <c r="F133" s="6">
        <f t="shared" si="4"/>
        <v>3429</v>
      </c>
      <c r="G133" s="60"/>
    </row>
    <row r="134" spans="1:7" hidden="1" x14ac:dyDescent="0.25">
      <c r="A134" s="67">
        <v>44358</v>
      </c>
      <c r="B134" s="6">
        <v>47</v>
      </c>
      <c r="C134" s="6">
        <f t="shared" si="6"/>
        <v>148</v>
      </c>
      <c r="D134" s="6">
        <v>58</v>
      </c>
      <c r="E134" s="6">
        <f t="shared" si="5"/>
        <v>3328</v>
      </c>
      <c r="F134" s="6">
        <f t="shared" si="4"/>
        <v>3476</v>
      </c>
      <c r="G134" s="60"/>
    </row>
    <row r="135" spans="1:7" hidden="1" x14ac:dyDescent="0.25">
      <c r="A135" s="67">
        <v>44359</v>
      </c>
      <c r="B135" s="6">
        <v>39</v>
      </c>
      <c r="C135" s="6">
        <f t="shared" si="6"/>
        <v>167</v>
      </c>
      <c r="D135" s="6">
        <v>20</v>
      </c>
      <c r="E135" s="6">
        <f t="shared" si="5"/>
        <v>3348</v>
      </c>
      <c r="F135" s="6">
        <f t="shared" si="4"/>
        <v>3515</v>
      </c>
      <c r="G135" s="60"/>
    </row>
    <row r="136" spans="1:7" hidden="1" x14ac:dyDescent="0.25">
      <c r="A136" s="67">
        <v>44360</v>
      </c>
      <c r="B136" s="6">
        <v>23</v>
      </c>
      <c r="C136" s="6">
        <f t="shared" si="6"/>
        <v>187</v>
      </c>
      <c r="D136" s="6">
        <v>3</v>
      </c>
      <c r="E136" s="6">
        <f t="shared" si="5"/>
        <v>3351</v>
      </c>
      <c r="F136" s="6">
        <f t="shared" si="4"/>
        <v>3538</v>
      </c>
      <c r="G136" s="60"/>
    </row>
    <row r="137" spans="1:7" hidden="1" x14ac:dyDescent="0.25">
      <c r="A137" s="67">
        <v>44361</v>
      </c>
      <c r="B137" s="6">
        <v>47</v>
      </c>
      <c r="C137" s="6">
        <f t="shared" si="6"/>
        <v>198</v>
      </c>
      <c r="D137" s="6">
        <v>36</v>
      </c>
      <c r="E137" s="6">
        <f t="shared" si="5"/>
        <v>3387</v>
      </c>
      <c r="F137" s="6">
        <f t="shared" si="4"/>
        <v>3585</v>
      </c>
      <c r="G137" s="60"/>
    </row>
    <row r="138" spans="1:7" hidden="1" x14ac:dyDescent="0.25">
      <c r="A138" s="67">
        <v>44362</v>
      </c>
      <c r="B138" s="6">
        <v>58</v>
      </c>
      <c r="C138" s="6">
        <f t="shared" si="6"/>
        <v>206</v>
      </c>
      <c r="D138" s="6">
        <v>50</v>
      </c>
      <c r="E138" s="6">
        <f t="shared" si="5"/>
        <v>3437</v>
      </c>
      <c r="F138" s="6">
        <f t="shared" ref="F138:F201" si="7">E138+C138</f>
        <v>3643</v>
      </c>
      <c r="G138" s="60"/>
    </row>
    <row r="139" spans="1:7" hidden="1" x14ac:dyDescent="0.25">
      <c r="A139" s="67">
        <v>44363</v>
      </c>
      <c r="B139" s="6">
        <v>59</v>
      </c>
      <c r="C139" s="6">
        <f t="shared" si="6"/>
        <v>212</v>
      </c>
      <c r="D139" s="6">
        <v>53</v>
      </c>
      <c r="E139" s="6">
        <f t="shared" ref="E139:E202" si="8">E138+D139</f>
        <v>3490</v>
      </c>
      <c r="F139" s="6">
        <f t="shared" si="7"/>
        <v>3702</v>
      </c>
      <c r="G139" s="60"/>
    </row>
    <row r="140" spans="1:7" hidden="1" x14ac:dyDescent="0.25">
      <c r="A140" s="67">
        <v>44364</v>
      </c>
      <c r="B140" s="6">
        <v>65</v>
      </c>
      <c r="C140" s="6">
        <f t="shared" si="6"/>
        <v>227</v>
      </c>
      <c r="D140" s="6">
        <v>50</v>
      </c>
      <c r="E140" s="6">
        <f t="shared" si="8"/>
        <v>3540</v>
      </c>
      <c r="F140" s="6">
        <f t="shared" si="7"/>
        <v>3767</v>
      </c>
      <c r="G140" s="60"/>
    </row>
    <row r="141" spans="1:7" hidden="1" x14ac:dyDescent="0.25">
      <c r="A141" s="67">
        <v>44365</v>
      </c>
      <c r="B141" s="6">
        <v>55</v>
      </c>
      <c r="C141" s="6">
        <f t="shared" si="6"/>
        <v>235</v>
      </c>
      <c r="D141" s="6">
        <v>47</v>
      </c>
      <c r="E141" s="6">
        <f t="shared" si="8"/>
        <v>3587</v>
      </c>
      <c r="F141" s="6">
        <f t="shared" si="7"/>
        <v>3822</v>
      </c>
      <c r="G141" s="60"/>
    </row>
    <row r="142" spans="1:7" hidden="1" x14ac:dyDescent="0.25">
      <c r="A142" s="67">
        <v>44366</v>
      </c>
      <c r="B142" s="6">
        <v>50</v>
      </c>
      <c r="C142" s="6">
        <f t="shared" si="6"/>
        <v>215</v>
      </c>
      <c r="D142" s="6">
        <v>70</v>
      </c>
      <c r="E142" s="6">
        <f t="shared" si="8"/>
        <v>3657</v>
      </c>
      <c r="F142" s="6">
        <f t="shared" si="7"/>
        <v>3872</v>
      </c>
      <c r="G142" s="60"/>
    </row>
    <row r="143" spans="1:7" hidden="1" x14ac:dyDescent="0.25">
      <c r="A143" s="67">
        <v>44367</v>
      </c>
      <c r="B143" s="6">
        <v>34</v>
      </c>
      <c r="C143" s="6">
        <f t="shared" si="6"/>
        <v>230</v>
      </c>
      <c r="D143" s="6">
        <v>19</v>
      </c>
      <c r="E143" s="6">
        <f t="shared" si="8"/>
        <v>3676</v>
      </c>
      <c r="F143" s="6">
        <f t="shared" si="7"/>
        <v>3906</v>
      </c>
      <c r="G143" s="60"/>
    </row>
    <row r="144" spans="1:7" hidden="1" x14ac:dyDescent="0.25">
      <c r="A144" s="67">
        <v>44368</v>
      </c>
      <c r="B144" s="6">
        <v>79</v>
      </c>
      <c r="C144" s="6">
        <f t="shared" si="6"/>
        <v>216</v>
      </c>
      <c r="D144" s="6">
        <v>93</v>
      </c>
      <c r="E144" s="6">
        <f t="shared" si="8"/>
        <v>3769</v>
      </c>
      <c r="F144" s="6">
        <f t="shared" si="7"/>
        <v>3985</v>
      </c>
      <c r="G144" s="60"/>
    </row>
    <row r="145" spans="1:7" hidden="1" x14ac:dyDescent="0.25">
      <c r="A145" s="67">
        <v>44369</v>
      </c>
      <c r="B145" s="6">
        <v>38</v>
      </c>
      <c r="C145" s="6">
        <f t="shared" si="6"/>
        <v>232</v>
      </c>
      <c r="D145" s="6">
        <v>22</v>
      </c>
      <c r="E145" s="6">
        <f t="shared" si="8"/>
        <v>3791</v>
      </c>
      <c r="F145" s="6">
        <f t="shared" si="7"/>
        <v>4023</v>
      </c>
      <c r="G145" s="60"/>
    </row>
    <row r="146" spans="1:7" hidden="1" x14ac:dyDescent="0.25">
      <c r="A146" s="67">
        <v>44370</v>
      </c>
      <c r="B146" s="6">
        <v>52</v>
      </c>
      <c r="C146" s="6">
        <f t="shared" si="6"/>
        <v>206</v>
      </c>
      <c r="D146" s="6">
        <v>78</v>
      </c>
      <c r="E146" s="6">
        <f t="shared" si="8"/>
        <v>3869</v>
      </c>
      <c r="F146" s="6">
        <f t="shared" si="7"/>
        <v>4075</v>
      </c>
      <c r="G146" s="60"/>
    </row>
    <row r="147" spans="1:7" hidden="1" x14ac:dyDescent="0.25">
      <c r="A147" s="67">
        <v>44371</v>
      </c>
      <c r="B147" s="6">
        <v>35</v>
      </c>
      <c r="C147" s="6">
        <f t="shared" si="6"/>
        <v>197</v>
      </c>
      <c r="D147" s="6">
        <v>44</v>
      </c>
      <c r="E147" s="6">
        <f t="shared" si="8"/>
        <v>3913</v>
      </c>
      <c r="F147" s="6">
        <f t="shared" si="7"/>
        <v>4110</v>
      </c>
      <c r="G147" s="60"/>
    </row>
    <row r="148" spans="1:7" hidden="1" x14ac:dyDescent="0.25">
      <c r="A148" s="67">
        <v>44372</v>
      </c>
      <c r="B148" s="6">
        <v>43</v>
      </c>
      <c r="C148" s="6">
        <f t="shared" ref="C148:C211" si="9">C147-D148+B148</f>
        <v>222</v>
      </c>
      <c r="D148" s="6">
        <v>18</v>
      </c>
      <c r="E148" s="6">
        <f t="shared" si="8"/>
        <v>3931</v>
      </c>
      <c r="F148" s="6">
        <f t="shared" si="7"/>
        <v>4153</v>
      </c>
      <c r="G148" s="60"/>
    </row>
    <row r="149" spans="1:7" hidden="1" x14ac:dyDescent="0.25">
      <c r="A149" s="67">
        <v>44373</v>
      </c>
      <c r="B149" s="6">
        <v>48</v>
      </c>
      <c r="C149" s="6">
        <f t="shared" si="9"/>
        <v>239</v>
      </c>
      <c r="D149" s="6">
        <v>31</v>
      </c>
      <c r="E149" s="6">
        <f t="shared" si="8"/>
        <v>3962</v>
      </c>
      <c r="F149" s="6">
        <f t="shared" si="7"/>
        <v>4201</v>
      </c>
      <c r="G149" s="60"/>
    </row>
    <row r="150" spans="1:7" hidden="1" x14ac:dyDescent="0.25">
      <c r="A150" s="67">
        <v>44374</v>
      </c>
      <c r="B150" s="6">
        <v>28</v>
      </c>
      <c r="C150" s="6">
        <f t="shared" si="9"/>
        <v>239</v>
      </c>
      <c r="D150" s="6">
        <v>28</v>
      </c>
      <c r="E150" s="6">
        <f t="shared" si="8"/>
        <v>3990</v>
      </c>
      <c r="F150" s="6">
        <f t="shared" si="7"/>
        <v>4229</v>
      </c>
      <c r="G150" s="60"/>
    </row>
    <row r="151" spans="1:7" hidden="1" x14ac:dyDescent="0.25">
      <c r="A151" s="67">
        <v>44375</v>
      </c>
      <c r="B151" s="6">
        <v>73</v>
      </c>
      <c r="C151" s="6">
        <f t="shared" si="9"/>
        <v>287</v>
      </c>
      <c r="D151" s="6">
        <v>25</v>
      </c>
      <c r="E151" s="6">
        <f t="shared" si="8"/>
        <v>4015</v>
      </c>
      <c r="F151" s="6">
        <f t="shared" si="7"/>
        <v>4302</v>
      </c>
      <c r="G151" s="60"/>
    </row>
    <row r="152" spans="1:7" hidden="1" x14ac:dyDescent="0.25">
      <c r="A152" s="67">
        <v>44376</v>
      </c>
      <c r="B152" s="6">
        <v>50</v>
      </c>
      <c r="C152" s="6">
        <f t="shared" si="9"/>
        <v>286</v>
      </c>
      <c r="D152" s="6">
        <v>51</v>
      </c>
      <c r="E152" s="6">
        <f t="shared" si="8"/>
        <v>4066</v>
      </c>
      <c r="F152" s="6">
        <f t="shared" si="7"/>
        <v>4352</v>
      </c>
      <c r="G152" s="60"/>
    </row>
    <row r="153" spans="1:7" hidden="1" x14ac:dyDescent="0.25">
      <c r="A153" s="67">
        <v>44377</v>
      </c>
      <c r="B153" s="6">
        <v>25</v>
      </c>
      <c r="C153" s="6">
        <f t="shared" si="9"/>
        <v>261</v>
      </c>
      <c r="D153" s="6">
        <v>50</v>
      </c>
      <c r="E153" s="6">
        <f t="shared" si="8"/>
        <v>4116</v>
      </c>
      <c r="F153" s="6">
        <f t="shared" si="7"/>
        <v>4377</v>
      </c>
      <c r="G153" s="60"/>
    </row>
    <row r="154" spans="1:7" hidden="1" x14ac:dyDescent="0.25">
      <c r="A154" s="67">
        <v>44378</v>
      </c>
      <c r="B154" s="6">
        <v>43</v>
      </c>
      <c r="C154" s="6">
        <f t="shared" si="9"/>
        <v>239</v>
      </c>
      <c r="D154" s="6">
        <v>65</v>
      </c>
      <c r="E154" s="6">
        <f t="shared" si="8"/>
        <v>4181</v>
      </c>
      <c r="F154" s="6">
        <f t="shared" si="7"/>
        <v>4420</v>
      </c>
      <c r="G154" s="60"/>
    </row>
    <row r="155" spans="1:7" hidden="1" x14ac:dyDescent="0.25">
      <c r="A155" s="67">
        <v>44379</v>
      </c>
      <c r="B155" s="6">
        <v>13</v>
      </c>
      <c r="C155" s="6">
        <f t="shared" si="9"/>
        <v>192</v>
      </c>
      <c r="D155" s="6">
        <v>60</v>
      </c>
      <c r="E155" s="6">
        <f t="shared" si="8"/>
        <v>4241</v>
      </c>
      <c r="F155" s="6">
        <f t="shared" si="7"/>
        <v>4433</v>
      </c>
      <c r="G155" s="60"/>
    </row>
    <row r="156" spans="1:7" hidden="1" x14ac:dyDescent="0.25">
      <c r="A156" s="67">
        <v>44380</v>
      </c>
      <c r="B156" s="6">
        <v>55</v>
      </c>
      <c r="C156" s="6">
        <f t="shared" si="9"/>
        <v>198</v>
      </c>
      <c r="D156" s="6">
        <v>49</v>
      </c>
      <c r="E156" s="6">
        <f t="shared" si="8"/>
        <v>4290</v>
      </c>
      <c r="F156" s="6">
        <f t="shared" si="7"/>
        <v>4488</v>
      </c>
      <c r="G156" s="60"/>
    </row>
    <row r="157" spans="1:7" hidden="1" x14ac:dyDescent="0.25">
      <c r="A157" s="67">
        <v>44381</v>
      </c>
      <c r="B157" s="6">
        <v>22</v>
      </c>
      <c r="C157" s="6">
        <f t="shared" si="9"/>
        <v>205</v>
      </c>
      <c r="D157" s="6">
        <v>15</v>
      </c>
      <c r="E157" s="6">
        <f t="shared" si="8"/>
        <v>4305</v>
      </c>
      <c r="F157" s="6">
        <f t="shared" si="7"/>
        <v>4510</v>
      </c>
      <c r="G157" s="60"/>
    </row>
    <row r="158" spans="1:7" hidden="1" x14ac:dyDescent="0.25">
      <c r="A158" s="67">
        <v>44382</v>
      </c>
      <c r="B158" s="6">
        <v>24</v>
      </c>
      <c r="C158" s="6">
        <f t="shared" si="9"/>
        <v>183</v>
      </c>
      <c r="D158" s="6">
        <v>46</v>
      </c>
      <c r="E158" s="6">
        <f t="shared" si="8"/>
        <v>4351</v>
      </c>
      <c r="F158" s="6">
        <f t="shared" si="7"/>
        <v>4534</v>
      </c>
      <c r="G158" s="60"/>
    </row>
    <row r="159" spans="1:7" hidden="1" x14ac:dyDescent="0.25">
      <c r="A159" s="67">
        <v>44383</v>
      </c>
      <c r="B159" s="6">
        <v>36</v>
      </c>
      <c r="C159" s="6">
        <f t="shared" si="9"/>
        <v>176</v>
      </c>
      <c r="D159" s="6">
        <v>43</v>
      </c>
      <c r="E159" s="6">
        <f t="shared" si="8"/>
        <v>4394</v>
      </c>
      <c r="F159" s="6">
        <f t="shared" si="7"/>
        <v>4570</v>
      </c>
      <c r="G159" s="60"/>
    </row>
    <row r="160" spans="1:7" hidden="1" x14ac:dyDescent="0.25">
      <c r="A160" s="67">
        <v>44384</v>
      </c>
      <c r="B160" s="6">
        <v>21</v>
      </c>
      <c r="C160" s="6">
        <f t="shared" si="9"/>
        <v>189</v>
      </c>
      <c r="D160" s="6">
        <v>8</v>
      </c>
      <c r="E160" s="6">
        <f t="shared" si="8"/>
        <v>4402</v>
      </c>
      <c r="F160" s="6">
        <f t="shared" si="7"/>
        <v>4591</v>
      </c>
      <c r="G160" s="60"/>
    </row>
    <row r="161" spans="1:7" hidden="1" x14ac:dyDescent="0.25">
      <c r="A161" s="67">
        <v>44385</v>
      </c>
      <c r="B161" s="6">
        <v>28</v>
      </c>
      <c r="C161" s="6">
        <f t="shared" si="9"/>
        <v>181</v>
      </c>
      <c r="D161" s="6">
        <v>36</v>
      </c>
      <c r="E161" s="6">
        <f t="shared" si="8"/>
        <v>4438</v>
      </c>
      <c r="F161" s="6">
        <f t="shared" si="7"/>
        <v>4619</v>
      </c>
      <c r="G161" s="60"/>
    </row>
    <row r="162" spans="1:7" hidden="1" x14ac:dyDescent="0.25">
      <c r="A162" s="67">
        <v>44386</v>
      </c>
      <c r="B162" s="6">
        <v>34</v>
      </c>
      <c r="C162" s="6">
        <f t="shared" si="9"/>
        <v>161</v>
      </c>
      <c r="D162" s="6">
        <v>54</v>
      </c>
      <c r="E162" s="6">
        <f t="shared" si="8"/>
        <v>4492</v>
      </c>
      <c r="F162" s="6">
        <f t="shared" si="7"/>
        <v>4653</v>
      </c>
      <c r="G162" s="60"/>
    </row>
    <row r="163" spans="1:7" hidden="1" x14ac:dyDescent="0.25">
      <c r="A163" s="67">
        <v>44387</v>
      </c>
      <c r="B163" s="6">
        <v>13</v>
      </c>
      <c r="C163" s="6">
        <f t="shared" si="9"/>
        <v>137</v>
      </c>
      <c r="D163" s="6">
        <v>37</v>
      </c>
      <c r="E163" s="6">
        <f t="shared" si="8"/>
        <v>4529</v>
      </c>
      <c r="F163" s="6">
        <f t="shared" si="7"/>
        <v>4666</v>
      </c>
      <c r="G163" s="60"/>
    </row>
    <row r="164" spans="1:7" hidden="1" x14ac:dyDescent="0.25">
      <c r="A164" s="67">
        <v>44388</v>
      </c>
      <c r="B164" s="6">
        <v>3</v>
      </c>
      <c r="C164" s="6">
        <f t="shared" si="9"/>
        <v>125</v>
      </c>
      <c r="D164" s="6">
        <v>15</v>
      </c>
      <c r="E164" s="6">
        <f t="shared" si="8"/>
        <v>4544</v>
      </c>
      <c r="F164" s="6">
        <f t="shared" si="7"/>
        <v>4669</v>
      </c>
      <c r="G164" s="60"/>
    </row>
    <row r="165" spans="1:7" hidden="1" x14ac:dyDescent="0.25">
      <c r="A165" s="67">
        <v>44389</v>
      </c>
      <c r="B165" s="6">
        <v>19</v>
      </c>
      <c r="C165" s="6">
        <f t="shared" si="9"/>
        <v>125</v>
      </c>
      <c r="D165" s="6">
        <v>19</v>
      </c>
      <c r="E165" s="6">
        <f t="shared" si="8"/>
        <v>4563</v>
      </c>
      <c r="F165" s="6">
        <f t="shared" si="7"/>
        <v>4688</v>
      </c>
      <c r="G165" s="60"/>
    </row>
    <row r="166" spans="1:7" hidden="1" x14ac:dyDescent="0.25">
      <c r="A166" s="67">
        <v>44390</v>
      </c>
      <c r="B166" s="6">
        <v>14</v>
      </c>
      <c r="C166" s="6">
        <f t="shared" si="9"/>
        <v>121</v>
      </c>
      <c r="D166" s="6">
        <v>18</v>
      </c>
      <c r="E166" s="6">
        <f t="shared" si="8"/>
        <v>4581</v>
      </c>
      <c r="F166" s="6">
        <f t="shared" si="7"/>
        <v>4702</v>
      </c>
      <c r="G166" s="60"/>
    </row>
    <row r="167" spans="1:7" hidden="1" x14ac:dyDescent="0.25">
      <c r="A167" s="67">
        <v>44391</v>
      </c>
      <c r="B167" s="6">
        <v>15</v>
      </c>
      <c r="C167" s="6">
        <f t="shared" si="9"/>
        <v>115</v>
      </c>
      <c r="D167" s="6">
        <v>21</v>
      </c>
      <c r="E167" s="6">
        <f t="shared" si="8"/>
        <v>4602</v>
      </c>
      <c r="F167" s="6">
        <f t="shared" si="7"/>
        <v>4717</v>
      </c>
      <c r="G167" s="60"/>
    </row>
    <row r="168" spans="1:7" hidden="1" x14ac:dyDescent="0.25">
      <c r="A168" s="67">
        <v>44392</v>
      </c>
      <c r="B168" s="6">
        <v>19</v>
      </c>
      <c r="C168" s="6">
        <f t="shared" si="9"/>
        <v>118</v>
      </c>
      <c r="D168" s="6">
        <v>16</v>
      </c>
      <c r="E168" s="6">
        <f t="shared" si="8"/>
        <v>4618</v>
      </c>
      <c r="F168" s="6">
        <f t="shared" si="7"/>
        <v>4736</v>
      </c>
      <c r="G168" s="60"/>
    </row>
    <row r="169" spans="1:7" hidden="1" x14ac:dyDescent="0.25">
      <c r="A169" s="67">
        <v>44393</v>
      </c>
      <c r="B169" s="6">
        <v>10</v>
      </c>
      <c r="C169" s="6">
        <f t="shared" si="9"/>
        <v>117</v>
      </c>
      <c r="D169" s="6">
        <v>11</v>
      </c>
      <c r="E169" s="6">
        <f t="shared" si="8"/>
        <v>4629</v>
      </c>
      <c r="F169" s="6">
        <f t="shared" si="7"/>
        <v>4746</v>
      </c>
      <c r="G169" s="60"/>
    </row>
    <row r="170" spans="1:7" hidden="1" x14ac:dyDescent="0.25">
      <c r="A170" s="67">
        <v>44394</v>
      </c>
      <c r="B170" s="6">
        <v>8</v>
      </c>
      <c r="C170" s="6">
        <f t="shared" si="9"/>
        <v>115</v>
      </c>
      <c r="D170" s="6">
        <v>10</v>
      </c>
      <c r="E170" s="6">
        <f t="shared" si="8"/>
        <v>4639</v>
      </c>
      <c r="F170" s="6">
        <f t="shared" si="7"/>
        <v>4754</v>
      </c>
      <c r="G170" s="60"/>
    </row>
    <row r="171" spans="1:7" hidden="1" x14ac:dyDescent="0.25">
      <c r="A171" s="67">
        <v>44395</v>
      </c>
      <c r="B171" s="6">
        <v>4</v>
      </c>
      <c r="C171" s="6">
        <f t="shared" si="9"/>
        <v>107</v>
      </c>
      <c r="D171" s="6">
        <v>12</v>
      </c>
      <c r="E171" s="6">
        <f t="shared" si="8"/>
        <v>4651</v>
      </c>
      <c r="F171" s="6">
        <f t="shared" si="7"/>
        <v>4758</v>
      </c>
      <c r="G171" s="60"/>
    </row>
    <row r="172" spans="1:7" hidden="1" x14ac:dyDescent="0.25">
      <c r="A172" s="67">
        <v>44396</v>
      </c>
      <c r="B172" s="6">
        <v>15</v>
      </c>
      <c r="C172" s="6">
        <f t="shared" si="9"/>
        <v>109</v>
      </c>
      <c r="D172" s="6">
        <v>13</v>
      </c>
      <c r="E172" s="6">
        <f t="shared" si="8"/>
        <v>4664</v>
      </c>
      <c r="F172" s="6">
        <f t="shared" si="7"/>
        <v>4773</v>
      </c>
      <c r="G172" s="60"/>
    </row>
    <row r="173" spans="1:7" hidden="1" x14ac:dyDescent="0.25">
      <c r="A173" s="67">
        <v>44397</v>
      </c>
      <c r="B173" s="6">
        <v>4</v>
      </c>
      <c r="C173" s="6">
        <f t="shared" si="9"/>
        <v>109</v>
      </c>
      <c r="D173" s="6">
        <v>4</v>
      </c>
      <c r="E173" s="6">
        <f t="shared" si="8"/>
        <v>4668</v>
      </c>
      <c r="F173" s="6">
        <f t="shared" si="7"/>
        <v>4777</v>
      </c>
      <c r="G173" s="60"/>
    </row>
    <row r="174" spans="1:7" hidden="1" x14ac:dyDescent="0.25">
      <c r="A174" s="67">
        <v>44398</v>
      </c>
      <c r="B174" s="6">
        <v>12</v>
      </c>
      <c r="C174" s="6">
        <f t="shared" si="9"/>
        <v>107</v>
      </c>
      <c r="D174" s="6">
        <v>14</v>
      </c>
      <c r="E174" s="6">
        <f t="shared" si="8"/>
        <v>4682</v>
      </c>
      <c r="F174" s="6">
        <f t="shared" si="7"/>
        <v>4789</v>
      </c>
      <c r="G174" s="60"/>
    </row>
    <row r="175" spans="1:7" hidden="1" x14ac:dyDescent="0.25">
      <c r="A175" s="67">
        <v>44399</v>
      </c>
      <c r="B175" s="6">
        <v>10</v>
      </c>
      <c r="C175" s="6">
        <f t="shared" si="9"/>
        <v>97</v>
      </c>
      <c r="D175" s="6">
        <v>20</v>
      </c>
      <c r="E175" s="6">
        <f t="shared" si="8"/>
        <v>4702</v>
      </c>
      <c r="F175" s="6">
        <f t="shared" si="7"/>
        <v>4799</v>
      </c>
      <c r="G175" s="60"/>
    </row>
    <row r="176" spans="1:7" hidden="1" x14ac:dyDescent="0.25">
      <c r="A176" s="67">
        <v>44400</v>
      </c>
      <c r="B176" s="6">
        <v>5</v>
      </c>
      <c r="C176" s="6">
        <f t="shared" si="9"/>
        <v>91</v>
      </c>
      <c r="D176" s="6">
        <v>11</v>
      </c>
      <c r="E176" s="6">
        <f t="shared" si="8"/>
        <v>4713</v>
      </c>
      <c r="F176" s="6">
        <f t="shared" si="7"/>
        <v>4804</v>
      </c>
      <c r="G176" s="60"/>
    </row>
    <row r="177" spans="1:7" hidden="1" x14ac:dyDescent="0.25">
      <c r="A177" s="67">
        <v>44401</v>
      </c>
      <c r="B177" s="6">
        <v>5</v>
      </c>
      <c r="C177" s="6">
        <f t="shared" si="9"/>
        <v>87</v>
      </c>
      <c r="D177" s="6">
        <v>9</v>
      </c>
      <c r="E177" s="6">
        <f t="shared" si="8"/>
        <v>4722</v>
      </c>
      <c r="F177" s="6">
        <f t="shared" si="7"/>
        <v>4809</v>
      </c>
      <c r="G177" s="60"/>
    </row>
    <row r="178" spans="1:7" hidden="1" x14ac:dyDescent="0.25">
      <c r="A178" s="67">
        <v>44402</v>
      </c>
      <c r="B178" s="6">
        <v>4</v>
      </c>
      <c r="C178" s="6">
        <f t="shared" si="9"/>
        <v>89</v>
      </c>
      <c r="D178" s="6">
        <v>2</v>
      </c>
      <c r="E178" s="6">
        <f t="shared" si="8"/>
        <v>4724</v>
      </c>
      <c r="F178" s="6">
        <f t="shared" si="7"/>
        <v>4813</v>
      </c>
      <c r="G178" s="60"/>
    </row>
    <row r="179" spans="1:7" hidden="1" x14ac:dyDescent="0.25">
      <c r="A179" s="67">
        <v>44403</v>
      </c>
      <c r="B179" s="6">
        <v>10</v>
      </c>
      <c r="C179" s="6">
        <f t="shared" si="9"/>
        <v>84</v>
      </c>
      <c r="D179" s="6">
        <v>15</v>
      </c>
      <c r="E179" s="6">
        <f t="shared" si="8"/>
        <v>4739</v>
      </c>
      <c r="F179" s="6">
        <f t="shared" si="7"/>
        <v>4823</v>
      </c>
      <c r="G179" s="60"/>
    </row>
    <row r="180" spans="1:7" hidden="1" x14ac:dyDescent="0.25">
      <c r="A180" s="67">
        <v>44404</v>
      </c>
      <c r="B180" s="6">
        <v>8</v>
      </c>
      <c r="C180" s="6">
        <f t="shared" si="9"/>
        <v>72</v>
      </c>
      <c r="D180" s="6">
        <v>20</v>
      </c>
      <c r="E180" s="6">
        <f t="shared" si="8"/>
        <v>4759</v>
      </c>
      <c r="F180" s="6">
        <f t="shared" si="7"/>
        <v>4831</v>
      </c>
      <c r="G180" s="60"/>
    </row>
    <row r="181" spans="1:7" hidden="1" x14ac:dyDescent="0.25">
      <c r="A181" s="67">
        <v>44405</v>
      </c>
      <c r="B181" s="6">
        <v>6</v>
      </c>
      <c r="C181" s="6">
        <f t="shared" si="9"/>
        <v>68</v>
      </c>
      <c r="D181" s="6">
        <v>10</v>
      </c>
      <c r="E181" s="6">
        <f t="shared" si="8"/>
        <v>4769</v>
      </c>
      <c r="F181" s="6">
        <f t="shared" si="7"/>
        <v>4837</v>
      </c>
      <c r="G181" s="60"/>
    </row>
    <row r="182" spans="1:7" hidden="1" x14ac:dyDescent="0.25">
      <c r="A182" s="67">
        <v>44406</v>
      </c>
      <c r="B182" s="6">
        <v>10</v>
      </c>
      <c r="C182" s="6">
        <f t="shared" si="9"/>
        <v>67</v>
      </c>
      <c r="D182" s="6">
        <v>11</v>
      </c>
      <c r="E182" s="6">
        <f t="shared" si="8"/>
        <v>4780</v>
      </c>
      <c r="F182" s="6">
        <f t="shared" si="7"/>
        <v>4847</v>
      </c>
      <c r="G182" s="60"/>
    </row>
    <row r="183" spans="1:7" hidden="1" x14ac:dyDescent="0.25">
      <c r="A183" s="67">
        <v>44407</v>
      </c>
      <c r="B183" s="6">
        <v>5</v>
      </c>
      <c r="C183" s="6">
        <f t="shared" si="9"/>
        <v>63</v>
      </c>
      <c r="D183" s="6">
        <v>9</v>
      </c>
      <c r="E183" s="6">
        <f t="shared" si="8"/>
        <v>4789</v>
      </c>
      <c r="F183" s="6">
        <f t="shared" si="7"/>
        <v>4852</v>
      </c>
      <c r="G183" s="60"/>
    </row>
    <row r="184" spans="1:7" hidden="1" x14ac:dyDescent="0.25">
      <c r="A184" s="67">
        <v>44408</v>
      </c>
      <c r="B184" s="6">
        <v>8</v>
      </c>
      <c r="C184" s="6">
        <f t="shared" si="9"/>
        <v>49</v>
      </c>
      <c r="D184" s="6">
        <v>22</v>
      </c>
      <c r="E184" s="6">
        <f t="shared" si="8"/>
        <v>4811</v>
      </c>
      <c r="F184" s="6">
        <f t="shared" si="7"/>
        <v>4860</v>
      </c>
      <c r="G184" s="60"/>
    </row>
    <row r="185" spans="1:7" hidden="1" x14ac:dyDescent="0.25">
      <c r="A185" s="67">
        <v>44409</v>
      </c>
      <c r="B185" s="6">
        <v>0</v>
      </c>
      <c r="C185" s="6">
        <f t="shared" si="9"/>
        <v>45</v>
      </c>
      <c r="D185" s="6">
        <v>4</v>
      </c>
      <c r="E185" s="6">
        <f t="shared" si="8"/>
        <v>4815</v>
      </c>
      <c r="F185" s="6">
        <f t="shared" si="7"/>
        <v>4860</v>
      </c>
      <c r="G185" s="60"/>
    </row>
    <row r="186" spans="1:7" hidden="1" x14ac:dyDescent="0.25">
      <c r="A186" s="67">
        <v>44410</v>
      </c>
      <c r="B186" s="6">
        <v>8</v>
      </c>
      <c r="C186" s="6">
        <f t="shared" si="9"/>
        <v>41</v>
      </c>
      <c r="D186" s="6">
        <v>12</v>
      </c>
      <c r="E186" s="6">
        <f t="shared" si="8"/>
        <v>4827</v>
      </c>
      <c r="F186" s="6">
        <f t="shared" si="7"/>
        <v>4868</v>
      </c>
      <c r="G186" s="60"/>
    </row>
    <row r="187" spans="1:7" hidden="1" x14ac:dyDescent="0.25">
      <c r="A187" s="67">
        <v>44411</v>
      </c>
      <c r="B187" s="6">
        <v>7</v>
      </c>
      <c r="C187" s="6">
        <f t="shared" si="9"/>
        <v>40</v>
      </c>
      <c r="D187" s="6">
        <v>8</v>
      </c>
      <c r="E187" s="6">
        <f t="shared" si="8"/>
        <v>4835</v>
      </c>
      <c r="F187" s="6">
        <f t="shared" si="7"/>
        <v>4875</v>
      </c>
      <c r="G187" s="60"/>
    </row>
    <row r="188" spans="1:7" hidden="1" x14ac:dyDescent="0.25">
      <c r="A188" s="67">
        <v>44412</v>
      </c>
      <c r="B188" s="6">
        <v>11</v>
      </c>
      <c r="C188" s="6">
        <f t="shared" si="9"/>
        <v>38</v>
      </c>
      <c r="D188" s="6">
        <v>13</v>
      </c>
      <c r="E188" s="6">
        <f t="shared" si="8"/>
        <v>4848</v>
      </c>
      <c r="F188" s="6">
        <f t="shared" si="7"/>
        <v>4886</v>
      </c>
      <c r="G188" s="60"/>
    </row>
    <row r="189" spans="1:7" hidden="1" x14ac:dyDescent="0.25">
      <c r="A189" s="67">
        <v>44413</v>
      </c>
      <c r="B189" s="6">
        <v>6</v>
      </c>
      <c r="C189" s="6">
        <f t="shared" si="9"/>
        <v>39</v>
      </c>
      <c r="D189" s="6">
        <v>5</v>
      </c>
      <c r="E189" s="6">
        <f t="shared" si="8"/>
        <v>4853</v>
      </c>
      <c r="F189" s="6">
        <f t="shared" si="7"/>
        <v>4892</v>
      </c>
      <c r="G189" s="60"/>
    </row>
    <row r="190" spans="1:7" hidden="1" x14ac:dyDescent="0.25">
      <c r="A190" s="67">
        <v>44414</v>
      </c>
      <c r="B190" s="6">
        <v>5</v>
      </c>
      <c r="C190" s="6">
        <f t="shared" si="9"/>
        <v>40</v>
      </c>
      <c r="D190" s="6">
        <v>4</v>
      </c>
      <c r="E190" s="6">
        <f t="shared" si="8"/>
        <v>4857</v>
      </c>
      <c r="F190" s="6">
        <f t="shared" si="7"/>
        <v>4897</v>
      </c>
      <c r="G190" s="60"/>
    </row>
    <row r="191" spans="1:7" hidden="1" x14ac:dyDescent="0.25">
      <c r="A191" s="67">
        <v>44415</v>
      </c>
      <c r="B191" s="6">
        <v>4</v>
      </c>
      <c r="C191" s="6">
        <f t="shared" si="9"/>
        <v>40</v>
      </c>
      <c r="D191" s="6">
        <v>4</v>
      </c>
      <c r="E191" s="6">
        <f t="shared" si="8"/>
        <v>4861</v>
      </c>
      <c r="F191" s="6">
        <f t="shared" si="7"/>
        <v>4901</v>
      </c>
      <c r="G191" s="60"/>
    </row>
    <row r="192" spans="1:7" hidden="1" x14ac:dyDescent="0.25">
      <c r="A192" s="67">
        <v>44416</v>
      </c>
      <c r="B192" s="6">
        <v>4</v>
      </c>
      <c r="C192" s="6">
        <f t="shared" si="9"/>
        <v>42</v>
      </c>
      <c r="D192" s="6">
        <v>2</v>
      </c>
      <c r="E192" s="6">
        <f t="shared" si="8"/>
        <v>4863</v>
      </c>
      <c r="F192" s="6">
        <f t="shared" si="7"/>
        <v>4905</v>
      </c>
      <c r="G192" s="60"/>
    </row>
    <row r="193" spans="1:7" hidden="1" x14ac:dyDescent="0.25">
      <c r="A193" s="67">
        <v>44417</v>
      </c>
      <c r="B193" s="6">
        <v>5</v>
      </c>
      <c r="C193" s="6">
        <f t="shared" si="9"/>
        <v>38</v>
      </c>
      <c r="D193" s="6">
        <v>9</v>
      </c>
      <c r="E193" s="6">
        <f t="shared" si="8"/>
        <v>4872</v>
      </c>
      <c r="F193" s="6">
        <f t="shared" si="7"/>
        <v>4910</v>
      </c>
      <c r="G193" s="60"/>
    </row>
    <row r="194" spans="1:7" hidden="1" x14ac:dyDescent="0.25">
      <c r="A194" s="67">
        <v>44418</v>
      </c>
      <c r="B194" s="6">
        <v>2</v>
      </c>
      <c r="C194" s="6">
        <f t="shared" si="9"/>
        <v>34</v>
      </c>
      <c r="D194" s="6">
        <v>6</v>
      </c>
      <c r="E194" s="6">
        <f t="shared" si="8"/>
        <v>4878</v>
      </c>
      <c r="F194" s="6">
        <f t="shared" si="7"/>
        <v>4912</v>
      </c>
      <c r="G194" s="60"/>
    </row>
    <row r="195" spans="1:7" hidden="1" x14ac:dyDescent="0.25">
      <c r="A195" s="67">
        <v>44419</v>
      </c>
      <c r="B195" s="6">
        <v>1</v>
      </c>
      <c r="C195" s="6">
        <f t="shared" si="9"/>
        <v>29</v>
      </c>
      <c r="D195" s="6">
        <v>6</v>
      </c>
      <c r="E195" s="6">
        <f t="shared" si="8"/>
        <v>4884</v>
      </c>
      <c r="F195" s="6">
        <f t="shared" si="7"/>
        <v>4913</v>
      </c>
      <c r="G195" s="60"/>
    </row>
    <row r="196" spans="1:7" hidden="1" x14ac:dyDescent="0.25">
      <c r="A196" s="67">
        <v>44420</v>
      </c>
      <c r="B196" s="6">
        <v>6</v>
      </c>
      <c r="C196" s="6">
        <f t="shared" si="9"/>
        <v>29</v>
      </c>
      <c r="D196" s="6">
        <v>6</v>
      </c>
      <c r="E196" s="6">
        <f t="shared" si="8"/>
        <v>4890</v>
      </c>
      <c r="F196" s="6">
        <f t="shared" si="7"/>
        <v>4919</v>
      </c>
      <c r="G196" s="60"/>
    </row>
    <row r="197" spans="1:7" hidden="1" x14ac:dyDescent="0.25">
      <c r="A197" s="67">
        <v>44421</v>
      </c>
      <c r="B197" s="6">
        <v>1</v>
      </c>
      <c r="C197" s="6">
        <f t="shared" si="9"/>
        <v>27</v>
      </c>
      <c r="D197" s="6">
        <v>3</v>
      </c>
      <c r="E197" s="6">
        <f t="shared" si="8"/>
        <v>4893</v>
      </c>
      <c r="F197" s="6">
        <f t="shared" si="7"/>
        <v>4920</v>
      </c>
      <c r="G197" s="60"/>
    </row>
    <row r="198" spans="1:7" hidden="1" x14ac:dyDescent="0.25">
      <c r="A198" s="67">
        <v>44422</v>
      </c>
      <c r="B198" s="6">
        <v>1</v>
      </c>
      <c r="C198" s="6">
        <f t="shared" si="9"/>
        <v>25</v>
      </c>
      <c r="D198" s="6">
        <v>3</v>
      </c>
      <c r="E198" s="6">
        <f t="shared" si="8"/>
        <v>4896</v>
      </c>
      <c r="F198" s="6">
        <f t="shared" si="7"/>
        <v>4921</v>
      </c>
      <c r="G198" s="60"/>
    </row>
    <row r="199" spans="1:7" hidden="1" x14ac:dyDescent="0.25">
      <c r="A199" s="67">
        <v>44423</v>
      </c>
      <c r="B199" s="6">
        <v>3</v>
      </c>
      <c r="C199" s="6">
        <f t="shared" si="9"/>
        <v>27</v>
      </c>
      <c r="D199" s="6">
        <v>1</v>
      </c>
      <c r="E199" s="6">
        <f t="shared" si="8"/>
        <v>4897</v>
      </c>
      <c r="F199" s="6">
        <f t="shared" si="7"/>
        <v>4924</v>
      </c>
      <c r="G199" s="60"/>
    </row>
    <row r="200" spans="1:7" hidden="1" x14ac:dyDescent="0.25">
      <c r="A200" s="67">
        <v>44424</v>
      </c>
      <c r="B200" s="6">
        <v>6</v>
      </c>
      <c r="C200" s="6">
        <f t="shared" si="9"/>
        <v>30</v>
      </c>
      <c r="D200" s="6">
        <v>3</v>
      </c>
      <c r="E200" s="6">
        <f t="shared" si="8"/>
        <v>4900</v>
      </c>
      <c r="F200" s="6">
        <f t="shared" si="7"/>
        <v>4930</v>
      </c>
      <c r="G200" s="60"/>
    </row>
    <row r="201" spans="1:7" hidden="1" x14ac:dyDescent="0.25">
      <c r="A201" s="67">
        <v>44425</v>
      </c>
      <c r="B201" s="6">
        <v>3</v>
      </c>
      <c r="C201" s="6">
        <f t="shared" si="9"/>
        <v>31</v>
      </c>
      <c r="D201" s="6">
        <v>2</v>
      </c>
      <c r="E201" s="6">
        <f t="shared" si="8"/>
        <v>4902</v>
      </c>
      <c r="F201" s="6">
        <f t="shared" si="7"/>
        <v>4933</v>
      </c>
      <c r="G201" s="60"/>
    </row>
    <row r="202" spans="1:7" hidden="1" x14ac:dyDescent="0.25">
      <c r="A202" s="67">
        <v>44426</v>
      </c>
      <c r="B202" s="6">
        <v>9</v>
      </c>
      <c r="C202" s="6">
        <f t="shared" si="9"/>
        <v>37</v>
      </c>
      <c r="D202" s="6">
        <v>3</v>
      </c>
      <c r="E202" s="6">
        <f t="shared" si="8"/>
        <v>4905</v>
      </c>
      <c r="F202" s="6">
        <f t="shared" ref="F202:F213" si="10">E202+C202</f>
        <v>4942</v>
      </c>
      <c r="G202" s="60"/>
    </row>
    <row r="203" spans="1:7" hidden="1" x14ac:dyDescent="0.25">
      <c r="A203" s="67">
        <v>44427</v>
      </c>
      <c r="B203" s="6">
        <v>3</v>
      </c>
      <c r="C203" s="6">
        <f t="shared" si="9"/>
        <v>34</v>
      </c>
      <c r="D203" s="6">
        <v>6</v>
      </c>
      <c r="E203" s="6">
        <f t="shared" ref="E203:E213" si="11">E202+D203</f>
        <v>4911</v>
      </c>
      <c r="F203" s="6">
        <f t="shared" si="10"/>
        <v>4945</v>
      </c>
      <c r="G203" s="60"/>
    </row>
    <row r="204" spans="1:7" hidden="1" x14ac:dyDescent="0.25">
      <c r="A204" s="67">
        <v>44428</v>
      </c>
      <c r="B204" s="6">
        <v>5</v>
      </c>
      <c r="C204" s="6">
        <f t="shared" si="9"/>
        <v>37</v>
      </c>
      <c r="D204" s="6">
        <v>2</v>
      </c>
      <c r="E204" s="6">
        <f t="shared" si="11"/>
        <v>4913</v>
      </c>
      <c r="F204" s="6">
        <f t="shared" si="10"/>
        <v>4950</v>
      </c>
      <c r="G204" s="60"/>
    </row>
    <row r="205" spans="1:7" hidden="1" x14ac:dyDescent="0.25">
      <c r="A205" s="67">
        <v>44429</v>
      </c>
      <c r="B205" s="6">
        <v>3</v>
      </c>
      <c r="C205" s="6">
        <f t="shared" si="9"/>
        <v>36</v>
      </c>
      <c r="D205" s="6">
        <v>4</v>
      </c>
      <c r="E205" s="6">
        <f t="shared" si="11"/>
        <v>4917</v>
      </c>
      <c r="F205" s="6">
        <f t="shared" si="10"/>
        <v>4953</v>
      </c>
      <c r="G205" s="60"/>
    </row>
    <row r="206" spans="1:7" hidden="1" x14ac:dyDescent="0.25">
      <c r="A206" s="67">
        <v>44430</v>
      </c>
      <c r="B206" s="6">
        <v>11</v>
      </c>
      <c r="C206" s="6">
        <f t="shared" si="9"/>
        <v>42</v>
      </c>
      <c r="D206" s="6">
        <v>5</v>
      </c>
      <c r="E206" s="6">
        <f t="shared" si="11"/>
        <v>4922</v>
      </c>
      <c r="F206" s="6">
        <f t="shared" si="10"/>
        <v>4964</v>
      </c>
      <c r="G206" s="60"/>
    </row>
    <row r="207" spans="1:7" hidden="1" x14ac:dyDescent="0.25">
      <c r="A207" s="67">
        <v>44431</v>
      </c>
      <c r="B207" s="6">
        <v>6</v>
      </c>
      <c r="C207" s="6">
        <f t="shared" si="9"/>
        <v>43</v>
      </c>
      <c r="D207" s="6">
        <v>5</v>
      </c>
      <c r="E207" s="6">
        <f t="shared" si="11"/>
        <v>4927</v>
      </c>
      <c r="F207" s="6">
        <f t="shared" si="10"/>
        <v>4970</v>
      </c>
      <c r="G207" s="60"/>
    </row>
    <row r="208" spans="1:7" hidden="1" x14ac:dyDescent="0.25">
      <c r="A208" s="67">
        <v>44432</v>
      </c>
      <c r="B208" s="6">
        <v>4</v>
      </c>
      <c r="C208" s="6">
        <f t="shared" si="9"/>
        <v>41</v>
      </c>
      <c r="D208" s="6">
        <v>6</v>
      </c>
      <c r="E208" s="6">
        <f t="shared" si="11"/>
        <v>4933</v>
      </c>
      <c r="F208" s="6">
        <f t="shared" si="10"/>
        <v>4974</v>
      </c>
      <c r="G208" s="60"/>
    </row>
    <row r="209" spans="1:10" hidden="1" x14ac:dyDescent="0.25">
      <c r="A209" s="67">
        <v>44433</v>
      </c>
      <c r="B209" s="6">
        <v>1</v>
      </c>
      <c r="C209" s="6">
        <f t="shared" si="9"/>
        <v>34</v>
      </c>
      <c r="D209" s="6">
        <v>8</v>
      </c>
      <c r="E209" s="6">
        <f t="shared" si="11"/>
        <v>4941</v>
      </c>
      <c r="F209" s="6">
        <f t="shared" si="10"/>
        <v>4975</v>
      </c>
      <c r="G209" s="60"/>
    </row>
    <row r="210" spans="1:10" hidden="1" x14ac:dyDescent="0.25">
      <c r="A210" s="67">
        <v>44434</v>
      </c>
      <c r="B210" s="6">
        <v>4</v>
      </c>
      <c r="C210" s="6">
        <f t="shared" si="9"/>
        <v>26</v>
      </c>
      <c r="D210" s="6">
        <v>12</v>
      </c>
      <c r="E210" s="6">
        <f t="shared" si="11"/>
        <v>4953</v>
      </c>
      <c r="F210" s="6">
        <f t="shared" si="10"/>
        <v>4979</v>
      </c>
      <c r="G210" s="60"/>
    </row>
    <row r="211" spans="1:10" hidden="1" x14ac:dyDescent="0.25">
      <c r="A211" s="67">
        <v>44435</v>
      </c>
      <c r="B211" s="6">
        <v>0</v>
      </c>
      <c r="C211" s="6">
        <f t="shared" si="9"/>
        <v>23</v>
      </c>
      <c r="D211" s="6">
        <v>3</v>
      </c>
      <c r="E211" s="6">
        <f t="shared" si="11"/>
        <v>4956</v>
      </c>
      <c r="F211" s="6">
        <f t="shared" si="10"/>
        <v>4979</v>
      </c>
      <c r="G211" s="60"/>
    </row>
    <row r="212" spans="1:10" hidden="1" x14ac:dyDescent="0.25">
      <c r="A212" s="67">
        <v>44436</v>
      </c>
      <c r="B212" s="6">
        <v>2</v>
      </c>
      <c r="C212" s="6">
        <f t="shared" ref="C212:C221" si="12">C211-D212+B212</f>
        <v>21</v>
      </c>
      <c r="D212" s="6">
        <v>4</v>
      </c>
      <c r="E212" s="6">
        <f t="shared" si="11"/>
        <v>4960</v>
      </c>
      <c r="F212" s="6">
        <f t="shared" si="10"/>
        <v>4981</v>
      </c>
      <c r="G212" s="60"/>
    </row>
    <row r="213" spans="1:10" hidden="1" x14ac:dyDescent="0.25">
      <c r="A213" s="67">
        <v>44437</v>
      </c>
      <c r="B213" s="6">
        <v>3</v>
      </c>
      <c r="C213" s="6">
        <f t="shared" si="12"/>
        <v>18</v>
      </c>
      <c r="D213" s="6">
        <v>6</v>
      </c>
      <c r="E213" s="6">
        <f t="shared" si="11"/>
        <v>4966</v>
      </c>
      <c r="F213" s="6">
        <f t="shared" si="10"/>
        <v>4984</v>
      </c>
      <c r="G213" s="60"/>
    </row>
    <row r="214" spans="1:10" hidden="1" x14ac:dyDescent="0.25">
      <c r="A214" s="67">
        <v>44438</v>
      </c>
      <c r="B214" s="6">
        <v>5</v>
      </c>
      <c r="C214" s="6">
        <f t="shared" si="12"/>
        <v>17</v>
      </c>
      <c r="D214" s="6">
        <v>6</v>
      </c>
      <c r="E214" s="6">
        <v>4094</v>
      </c>
      <c r="F214" s="6">
        <f>E214+C214+G214</f>
        <v>4907</v>
      </c>
      <c r="G214" s="60">
        <v>796</v>
      </c>
    </row>
    <row r="215" spans="1:10" hidden="1" x14ac:dyDescent="0.25">
      <c r="A215" s="67">
        <v>44439</v>
      </c>
      <c r="B215" s="6">
        <v>5</v>
      </c>
      <c r="C215" s="6">
        <f t="shared" si="12"/>
        <v>18</v>
      </c>
      <c r="D215" s="6">
        <v>4</v>
      </c>
      <c r="E215" s="6">
        <v>4094</v>
      </c>
      <c r="F215" s="6">
        <f>C215+E215+G215</f>
        <v>4978</v>
      </c>
      <c r="G215" s="60">
        <v>866</v>
      </c>
      <c r="J215" s="77"/>
    </row>
    <row r="216" spans="1:10" x14ac:dyDescent="0.25">
      <c r="A216" s="67">
        <v>44440</v>
      </c>
      <c r="B216" s="6">
        <v>5</v>
      </c>
      <c r="C216" s="6">
        <f t="shared" si="12"/>
        <v>17</v>
      </c>
      <c r="D216" s="6">
        <v>6</v>
      </c>
      <c r="E216" s="6">
        <v>4146</v>
      </c>
      <c r="F216" s="6">
        <f>C216+E216+G216</f>
        <v>4978</v>
      </c>
      <c r="G216" s="60">
        <v>815</v>
      </c>
      <c r="H216">
        <f>G216-G217</f>
        <v>176</v>
      </c>
      <c r="J216" s="77"/>
    </row>
    <row r="217" spans="1:10" x14ac:dyDescent="0.25">
      <c r="A217" s="67">
        <v>44441</v>
      </c>
      <c r="B217" s="6">
        <v>1</v>
      </c>
      <c r="C217" s="6">
        <f t="shared" si="12"/>
        <v>13</v>
      </c>
      <c r="D217" s="6">
        <v>5</v>
      </c>
      <c r="E217" s="6">
        <v>4331</v>
      </c>
      <c r="F217" s="6">
        <f t="shared" ref="F217:F223" si="13">C217+E217+G217</f>
        <v>4983</v>
      </c>
      <c r="G217" s="60">
        <v>639</v>
      </c>
      <c r="H217">
        <f t="shared" ref="H217:H237" si="14">G217-G218</f>
        <v>40</v>
      </c>
      <c r="J217" s="77"/>
    </row>
    <row r="218" spans="1:10" x14ac:dyDescent="0.25">
      <c r="A218" s="67">
        <v>44442</v>
      </c>
      <c r="B218" s="6">
        <v>2</v>
      </c>
      <c r="C218" s="6">
        <f t="shared" si="12"/>
        <v>14</v>
      </c>
      <c r="D218" s="6">
        <v>1</v>
      </c>
      <c r="E218" s="6">
        <v>4375</v>
      </c>
      <c r="F218" s="6">
        <f t="shared" si="13"/>
        <v>4988</v>
      </c>
      <c r="G218" s="60">
        <v>599</v>
      </c>
      <c r="H218">
        <f t="shared" si="14"/>
        <v>58</v>
      </c>
      <c r="J218" s="77"/>
    </row>
    <row r="219" spans="1:10" x14ac:dyDescent="0.25">
      <c r="A219" s="67">
        <v>44443</v>
      </c>
      <c r="B219" s="6">
        <v>3</v>
      </c>
      <c r="C219" s="6">
        <f t="shared" si="12"/>
        <v>15</v>
      </c>
      <c r="D219" s="6">
        <v>2</v>
      </c>
      <c r="E219" s="6">
        <v>4440</v>
      </c>
      <c r="F219" s="6">
        <f t="shared" si="13"/>
        <v>4996</v>
      </c>
      <c r="G219" s="60">
        <v>541</v>
      </c>
      <c r="H219">
        <f t="shared" si="14"/>
        <v>1</v>
      </c>
      <c r="J219" s="77"/>
    </row>
    <row r="220" spans="1:10" x14ac:dyDescent="0.25">
      <c r="A220" s="67">
        <v>44444</v>
      </c>
      <c r="B220" s="6">
        <v>0</v>
      </c>
      <c r="C220" s="6">
        <f t="shared" si="12"/>
        <v>12</v>
      </c>
      <c r="D220" s="6">
        <v>3</v>
      </c>
      <c r="E220" s="6">
        <v>4442</v>
      </c>
      <c r="F220" s="6">
        <f t="shared" si="13"/>
        <v>4994</v>
      </c>
      <c r="G220" s="60">
        <v>540</v>
      </c>
      <c r="H220">
        <f t="shared" si="14"/>
        <v>115</v>
      </c>
      <c r="J220" s="77"/>
    </row>
    <row r="221" spans="1:10" x14ac:dyDescent="0.25">
      <c r="A221" s="67">
        <v>44445</v>
      </c>
      <c r="B221" s="6">
        <v>3</v>
      </c>
      <c r="C221" s="6">
        <f t="shared" si="12"/>
        <v>12</v>
      </c>
      <c r="D221" s="6">
        <v>3</v>
      </c>
      <c r="E221" s="6">
        <v>4571</v>
      </c>
      <c r="F221" s="6">
        <f t="shared" si="13"/>
        <v>5008</v>
      </c>
      <c r="G221" s="60">
        <v>425</v>
      </c>
      <c r="H221">
        <f t="shared" si="14"/>
        <v>157</v>
      </c>
      <c r="J221" s="77"/>
    </row>
    <row r="222" spans="1:10" x14ac:dyDescent="0.25">
      <c r="A222" s="67">
        <v>44446</v>
      </c>
      <c r="B222" s="6">
        <v>6</v>
      </c>
      <c r="C222" s="6">
        <v>20</v>
      </c>
      <c r="D222" s="6">
        <v>3</v>
      </c>
      <c r="E222" s="6">
        <v>4726</v>
      </c>
      <c r="F222" s="6">
        <f t="shared" si="13"/>
        <v>5014</v>
      </c>
      <c r="G222" s="60">
        <v>268</v>
      </c>
      <c r="H222">
        <f t="shared" si="14"/>
        <v>71</v>
      </c>
    </row>
    <row r="223" spans="1:10" x14ac:dyDescent="0.25">
      <c r="A223" s="67">
        <v>44447</v>
      </c>
      <c r="B223" s="6">
        <v>2</v>
      </c>
      <c r="C223" s="6">
        <v>12</v>
      </c>
      <c r="D223" s="6">
        <v>10</v>
      </c>
      <c r="E223" s="6">
        <v>4832</v>
      </c>
      <c r="F223" s="6">
        <f t="shared" si="13"/>
        <v>5041</v>
      </c>
      <c r="G223" s="60">
        <v>197</v>
      </c>
      <c r="H223">
        <f t="shared" si="14"/>
        <v>6</v>
      </c>
    </row>
    <row r="224" spans="1:10" x14ac:dyDescent="0.25">
      <c r="A224" s="67">
        <v>44448</v>
      </c>
      <c r="B224" s="6">
        <v>2</v>
      </c>
      <c r="C224" s="6">
        <v>8</v>
      </c>
      <c r="D224" s="6">
        <v>6</v>
      </c>
      <c r="E224" s="6">
        <v>4854</v>
      </c>
      <c r="F224" s="6">
        <f t="shared" ref="F224:F255" si="15">C224+E224+G224</f>
        <v>5053</v>
      </c>
      <c r="G224" s="60">
        <v>191</v>
      </c>
      <c r="H224">
        <f t="shared" si="14"/>
        <v>-18</v>
      </c>
    </row>
    <row r="225" spans="1:13" x14ac:dyDescent="0.25">
      <c r="A225" s="67">
        <v>44449</v>
      </c>
      <c r="B225" s="6">
        <v>5</v>
      </c>
      <c r="C225" s="6">
        <v>11</v>
      </c>
      <c r="D225" s="6">
        <v>2</v>
      </c>
      <c r="E225" s="6">
        <v>4864</v>
      </c>
      <c r="F225" s="6">
        <f t="shared" si="15"/>
        <v>5084</v>
      </c>
      <c r="G225" s="6">
        <v>209</v>
      </c>
      <c r="H225">
        <f t="shared" si="14"/>
        <v>-25</v>
      </c>
    </row>
    <row r="226" spans="1:13" x14ac:dyDescent="0.25">
      <c r="A226" s="67">
        <v>44450</v>
      </c>
      <c r="B226" s="6">
        <v>1</v>
      </c>
      <c r="C226" s="6">
        <v>11</v>
      </c>
      <c r="D226" s="6">
        <v>1</v>
      </c>
      <c r="E226" s="6">
        <v>4872</v>
      </c>
      <c r="F226" s="6">
        <f t="shared" si="15"/>
        <v>5117</v>
      </c>
      <c r="G226" s="6">
        <v>234</v>
      </c>
      <c r="H226">
        <f t="shared" si="14"/>
        <v>0</v>
      </c>
    </row>
    <row r="227" spans="1:13" x14ac:dyDescent="0.25">
      <c r="A227" s="67">
        <v>44451</v>
      </c>
      <c r="B227" s="6">
        <v>1</v>
      </c>
      <c r="C227" s="6">
        <v>10</v>
      </c>
      <c r="D227" s="6">
        <v>2</v>
      </c>
      <c r="E227" s="6">
        <v>4873</v>
      </c>
      <c r="F227" s="6">
        <f t="shared" si="15"/>
        <v>5117</v>
      </c>
      <c r="G227" s="6">
        <v>234</v>
      </c>
      <c r="H227">
        <f t="shared" si="14"/>
        <v>72</v>
      </c>
      <c r="J227" s="83"/>
      <c r="K227" s="82"/>
      <c r="M227" s="81"/>
    </row>
    <row r="228" spans="1:13" x14ac:dyDescent="0.25">
      <c r="A228" s="67">
        <v>44452</v>
      </c>
      <c r="B228" s="6">
        <v>4</v>
      </c>
      <c r="C228" s="6">
        <v>11</v>
      </c>
      <c r="D228" s="6">
        <v>3</v>
      </c>
      <c r="E228" s="6">
        <v>4967</v>
      </c>
      <c r="F228" s="6">
        <f t="shared" si="15"/>
        <v>5140</v>
      </c>
      <c r="G228" s="6">
        <v>162</v>
      </c>
      <c r="H228">
        <f t="shared" si="14"/>
        <v>-2</v>
      </c>
      <c r="J228" s="84"/>
      <c r="K228" s="85"/>
    </row>
    <row r="229" spans="1:13" x14ac:dyDescent="0.25">
      <c r="A229" s="67">
        <v>44453</v>
      </c>
      <c r="B229" s="6">
        <v>3</v>
      </c>
      <c r="C229" s="6">
        <v>11</v>
      </c>
      <c r="D229" s="6">
        <v>3</v>
      </c>
      <c r="E229" s="6">
        <v>4982</v>
      </c>
      <c r="F229" s="6">
        <f t="shared" si="15"/>
        <v>5157</v>
      </c>
      <c r="G229" s="6">
        <v>164</v>
      </c>
      <c r="H229">
        <f t="shared" si="14"/>
        <v>0</v>
      </c>
      <c r="J229" s="84"/>
      <c r="K229" s="85"/>
    </row>
    <row r="230" spans="1:13" x14ac:dyDescent="0.25">
      <c r="A230" s="67">
        <v>44454</v>
      </c>
      <c r="B230" s="6">
        <v>1</v>
      </c>
      <c r="C230" s="6">
        <v>9</v>
      </c>
      <c r="D230" s="6">
        <v>3</v>
      </c>
      <c r="E230" s="6">
        <v>4989</v>
      </c>
      <c r="F230" s="6">
        <f t="shared" si="15"/>
        <v>5162</v>
      </c>
      <c r="G230" s="6">
        <v>164</v>
      </c>
      <c r="H230">
        <f t="shared" si="14"/>
        <v>1</v>
      </c>
      <c r="J230" s="84"/>
      <c r="K230" s="85"/>
      <c r="M230" s="81"/>
    </row>
    <row r="231" spans="1:13" x14ac:dyDescent="0.25">
      <c r="A231" s="67">
        <v>44455</v>
      </c>
      <c r="B231" s="6">
        <v>2</v>
      </c>
      <c r="C231" s="6">
        <v>9</v>
      </c>
      <c r="D231" s="6">
        <v>3</v>
      </c>
      <c r="E231" s="6">
        <v>4996</v>
      </c>
      <c r="F231" s="6">
        <f t="shared" si="15"/>
        <v>5168</v>
      </c>
      <c r="G231" s="6">
        <v>163</v>
      </c>
      <c r="H231">
        <f t="shared" si="14"/>
        <v>0</v>
      </c>
      <c r="J231" s="86"/>
      <c r="K231" s="87"/>
    </row>
    <row r="232" spans="1:13" x14ac:dyDescent="0.25">
      <c r="A232" s="67">
        <v>44456</v>
      </c>
      <c r="B232" s="6">
        <v>5</v>
      </c>
      <c r="C232" s="6">
        <v>11</v>
      </c>
      <c r="D232" s="6">
        <v>3</v>
      </c>
      <c r="E232" s="6">
        <v>5007</v>
      </c>
      <c r="F232" s="6">
        <f t="shared" si="15"/>
        <v>5181</v>
      </c>
      <c r="G232" s="6">
        <v>163</v>
      </c>
      <c r="H232">
        <f t="shared" si="14"/>
        <v>-17</v>
      </c>
      <c r="M232" s="81"/>
    </row>
    <row r="233" spans="1:13" x14ac:dyDescent="0.25">
      <c r="A233" s="67">
        <v>44457</v>
      </c>
      <c r="B233" s="6">
        <v>3</v>
      </c>
      <c r="C233" s="6">
        <v>13</v>
      </c>
      <c r="D233" s="6">
        <v>1</v>
      </c>
      <c r="E233" s="6">
        <v>5008</v>
      </c>
      <c r="F233" s="6">
        <f t="shared" si="15"/>
        <v>5201</v>
      </c>
      <c r="G233" s="6">
        <v>180</v>
      </c>
      <c r="H233">
        <f t="shared" si="14"/>
        <v>0</v>
      </c>
    </row>
    <row r="234" spans="1:13" x14ac:dyDescent="0.25">
      <c r="A234" s="67">
        <v>44458</v>
      </c>
      <c r="B234" s="6">
        <v>0</v>
      </c>
      <c r="C234" s="6">
        <v>11</v>
      </c>
      <c r="D234" s="6">
        <v>2</v>
      </c>
      <c r="E234" s="6">
        <v>5009</v>
      </c>
      <c r="F234" s="6">
        <f t="shared" si="15"/>
        <v>5200</v>
      </c>
      <c r="G234" s="6">
        <v>180</v>
      </c>
      <c r="H234">
        <f t="shared" si="14"/>
        <v>11</v>
      </c>
    </row>
    <row r="235" spans="1:13" x14ac:dyDescent="0.25">
      <c r="A235" s="67">
        <v>44459</v>
      </c>
      <c r="B235" s="6">
        <v>4</v>
      </c>
      <c r="C235" s="6">
        <v>12</v>
      </c>
      <c r="D235" s="6">
        <v>3</v>
      </c>
      <c r="E235" s="6">
        <v>5021</v>
      </c>
      <c r="F235" s="6">
        <f t="shared" si="15"/>
        <v>5202</v>
      </c>
      <c r="G235" s="6">
        <v>169</v>
      </c>
      <c r="H235">
        <f t="shared" si="14"/>
        <v>2</v>
      </c>
      <c r="M235" s="81"/>
    </row>
    <row r="236" spans="1:13" x14ac:dyDescent="0.25">
      <c r="A236" s="67">
        <v>44460</v>
      </c>
      <c r="B236" s="6">
        <v>3</v>
      </c>
      <c r="C236" s="6">
        <v>14</v>
      </c>
      <c r="D236" s="6">
        <v>1</v>
      </c>
      <c r="E236" s="6">
        <v>5028</v>
      </c>
      <c r="F236" s="6">
        <f t="shared" si="15"/>
        <v>5209</v>
      </c>
      <c r="G236" s="6">
        <v>167</v>
      </c>
      <c r="H236">
        <f t="shared" si="14"/>
        <v>9</v>
      </c>
    </row>
    <row r="237" spans="1:13" x14ac:dyDescent="0.25">
      <c r="A237" s="67">
        <v>44461</v>
      </c>
      <c r="B237" s="6">
        <v>1</v>
      </c>
      <c r="C237" s="6">
        <v>13</v>
      </c>
      <c r="D237" s="6">
        <v>2</v>
      </c>
      <c r="E237" s="6">
        <v>5050</v>
      </c>
      <c r="F237" s="6">
        <f t="shared" si="15"/>
        <v>5221</v>
      </c>
      <c r="G237" s="6">
        <v>158</v>
      </c>
      <c r="H237">
        <f t="shared" si="14"/>
        <v>32</v>
      </c>
    </row>
    <row r="238" spans="1:13" x14ac:dyDescent="0.25">
      <c r="A238" s="67">
        <v>44462</v>
      </c>
      <c r="B238" s="6">
        <v>3</v>
      </c>
      <c r="C238" s="6">
        <v>8</v>
      </c>
      <c r="D238" s="6">
        <v>7</v>
      </c>
      <c r="E238" s="6">
        <v>5092</v>
      </c>
      <c r="F238" s="6">
        <f t="shared" si="15"/>
        <v>5226</v>
      </c>
      <c r="G238" s="6">
        <v>126</v>
      </c>
      <c r="H238">
        <f t="shared" ref="H238:H250" si="16">G237-G238</f>
        <v>32</v>
      </c>
      <c r="K238" s="77"/>
    </row>
    <row r="239" spans="1:13" x14ac:dyDescent="0.25">
      <c r="A239" s="67">
        <v>44463</v>
      </c>
      <c r="B239" s="6">
        <v>3</v>
      </c>
      <c r="C239" s="6">
        <v>7</v>
      </c>
      <c r="D239" s="6">
        <v>4</v>
      </c>
      <c r="E239" s="6">
        <v>5112</v>
      </c>
      <c r="F239" s="6">
        <f t="shared" si="15"/>
        <v>5232</v>
      </c>
      <c r="G239" s="6">
        <v>113</v>
      </c>
      <c r="H239">
        <f t="shared" si="16"/>
        <v>13</v>
      </c>
      <c r="K239" s="77"/>
    </row>
    <row r="240" spans="1:13" x14ac:dyDescent="0.25">
      <c r="A240" s="67">
        <v>44464</v>
      </c>
      <c r="B240" s="6">
        <v>1</v>
      </c>
      <c r="C240" s="6">
        <v>7</v>
      </c>
      <c r="D240" s="6">
        <v>1</v>
      </c>
      <c r="E240" s="6">
        <v>5148</v>
      </c>
      <c r="F240" s="6">
        <f t="shared" si="15"/>
        <v>5252</v>
      </c>
      <c r="G240" s="6">
        <v>97</v>
      </c>
      <c r="H240">
        <f t="shared" si="16"/>
        <v>16</v>
      </c>
      <c r="K240" s="77"/>
    </row>
    <row r="241" spans="1:13" x14ac:dyDescent="0.25">
      <c r="A241" s="67">
        <v>44465</v>
      </c>
      <c r="B241" s="6">
        <v>1</v>
      </c>
      <c r="C241" s="6">
        <v>8</v>
      </c>
      <c r="D241" s="6">
        <v>0</v>
      </c>
      <c r="E241" s="6">
        <v>5148</v>
      </c>
      <c r="F241" s="6">
        <f t="shared" si="15"/>
        <v>5313</v>
      </c>
      <c r="G241" s="6">
        <v>157</v>
      </c>
      <c r="H241">
        <f t="shared" si="16"/>
        <v>-60</v>
      </c>
      <c r="K241" s="77"/>
    </row>
    <row r="242" spans="1:13" x14ac:dyDescent="0.25">
      <c r="A242" s="67">
        <v>44466</v>
      </c>
      <c r="B242" s="6">
        <v>5</v>
      </c>
      <c r="C242" s="6">
        <v>12</v>
      </c>
      <c r="D242" s="6">
        <v>1</v>
      </c>
      <c r="E242" s="6">
        <v>5162</v>
      </c>
      <c r="F242" s="6">
        <f t="shared" si="15"/>
        <v>5316</v>
      </c>
      <c r="G242" s="6">
        <v>142</v>
      </c>
      <c r="H242">
        <f t="shared" si="16"/>
        <v>15</v>
      </c>
      <c r="K242" s="77"/>
    </row>
    <row r="243" spans="1:13" x14ac:dyDescent="0.25">
      <c r="A243" s="67">
        <v>44467</v>
      </c>
      <c r="B243" s="6">
        <v>2</v>
      </c>
      <c r="C243" s="6">
        <v>12</v>
      </c>
      <c r="D243" s="6">
        <v>2</v>
      </c>
      <c r="E243" s="6">
        <v>5176</v>
      </c>
      <c r="F243" s="6">
        <f t="shared" si="15"/>
        <v>5394</v>
      </c>
      <c r="G243" s="6">
        <v>206</v>
      </c>
      <c r="H243">
        <f t="shared" si="16"/>
        <v>-64</v>
      </c>
    </row>
    <row r="244" spans="1:13" x14ac:dyDescent="0.25">
      <c r="A244" s="67">
        <v>44468</v>
      </c>
      <c r="B244" s="6">
        <v>0</v>
      </c>
      <c r="C244" s="6">
        <v>11</v>
      </c>
      <c r="D244" s="6">
        <v>1</v>
      </c>
      <c r="E244" s="6">
        <v>5186</v>
      </c>
      <c r="F244" s="6">
        <f t="shared" si="15"/>
        <v>5465</v>
      </c>
      <c r="G244" s="6">
        <v>268</v>
      </c>
      <c r="H244">
        <f t="shared" si="16"/>
        <v>-62</v>
      </c>
    </row>
    <row r="245" spans="1:13" x14ac:dyDescent="0.25">
      <c r="A245" s="67">
        <v>44469</v>
      </c>
      <c r="B245" s="6">
        <v>0</v>
      </c>
      <c r="C245" s="6">
        <v>10</v>
      </c>
      <c r="D245" s="6">
        <v>1</v>
      </c>
      <c r="E245" s="6">
        <v>5195</v>
      </c>
      <c r="F245" s="6">
        <f t="shared" si="15"/>
        <v>5501</v>
      </c>
      <c r="G245" s="6">
        <v>296</v>
      </c>
      <c r="H245">
        <f t="shared" si="16"/>
        <v>-28</v>
      </c>
      <c r="J245" s="77"/>
    </row>
    <row r="246" spans="1:13" x14ac:dyDescent="0.25">
      <c r="A246" s="67">
        <v>44470</v>
      </c>
      <c r="B246" s="6">
        <v>3</v>
      </c>
      <c r="C246" s="6">
        <v>9</v>
      </c>
      <c r="D246" s="6">
        <v>4</v>
      </c>
      <c r="E246" s="6">
        <v>5198</v>
      </c>
      <c r="F246" s="6">
        <f t="shared" si="15"/>
        <v>5573</v>
      </c>
      <c r="G246" s="6">
        <v>366</v>
      </c>
      <c r="H246">
        <f t="shared" si="16"/>
        <v>-70</v>
      </c>
      <c r="J246" s="77"/>
    </row>
    <row r="247" spans="1:13" x14ac:dyDescent="0.25">
      <c r="A247" s="67">
        <v>44471</v>
      </c>
      <c r="B247" s="6">
        <v>2</v>
      </c>
      <c r="C247" s="6">
        <v>8</v>
      </c>
      <c r="D247" s="6">
        <v>3</v>
      </c>
      <c r="E247" s="6">
        <v>5205</v>
      </c>
      <c r="F247" s="6">
        <f t="shared" si="15"/>
        <v>5618</v>
      </c>
      <c r="G247" s="6">
        <v>405</v>
      </c>
      <c r="H247">
        <f t="shared" si="16"/>
        <v>-39</v>
      </c>
      <c r="J247" s="77"/>
    </row>
    <row r="248" spans="1:13" x14ac:dyDescent="0.25">
      <c r="A248" s="67">
        <v>44472</v>
      </c>
      <c r="B248" s="6">
        <v>1</v>
      </c>
      <c r="C248" s="6">
        <v>7</v>
      </c>
      <c r="D248" s="6">
        <v>2</v>
      </c>
      <c r="E248" s="6">
        <v>5206</v>
      </c>
      <c r="F248" s="6">
        <f t="shared" si="15"/>
        <v>5618</v>
      </c>
      <c r="G248" s="6">
        <v>405</v>
      </c>
      <c r="H248">
        <f t="shared" si="16"/>
        <v>0</v>
      </c>
    </row>
    <row r="249" spans="1:13" x14ac:dyDescent="0.25">
      <c r="A249" s="67">
        <v>44473</v>
      </c>
      <c r="B249" s="6">
        <v>3</v>
      </c>
      <c r="C249" s="6">
        <f t="shared" ref="C249:C286" si="17">C248+B249-D249</f>
        <v>10</v>
      </c>
      <c r="D249" s="6">
        <v>0</v>
      </c>
      <c r="E249" s="6">
        <v>5212</v>
      </c>
      <c r="F249" s="6">
        <f t="shared" si="15"/>
        <v>5636</v>
      </c>
      <c r="G249" s="6">
        <v>414</v>
      </c>
      <c r="H249">
        <f t="shared" si="16"/>
        <v>-9</v>
      </c>
    </row>
    <row r="250" spans="1:13" x14ac:dyDescent="0.25">
      <c r="A250" s="67">
        <v>44474</v>
      </c>
      <c r="B250" s="6">
        <v>0</v>
      </c>
      <c r="C250" s="6">
        <f t="shared" si="17"/>
        <v>7</v>
      </c>
      <c r="D250" s="6">
        <v>3</v>
      </c>
      <c r="E250" s="6">
        <v>5223</v>
      </c>
      <c r="F250" s="6">
        <f t="shared" si="15"/>
        <v>5693</v>
      </c>
      <c r="G250" s="6">
        <v>463</v>
      </c>
      <c r="H250">
        <f t="shared" si="16"/>
        <v>-49</v>
      </c>
      <c r="M250" s="81"/>
    </row>
    <row r="251" spans="1:13" x14ac:dyDescent="0.25">
      <c r="A251" s="67">
        <v>44475</v>
      </c>
      <c r="B251" s="6">
        <v>2</v>
      </c>
      <c r="C251" s="6">
        <f t="shared" si="17"/>
        <v>9</v>
      </c>
      <c r="D251" s="6">
        <v>0</v>
      </c>
      <c r="E251" s="6">
        <v>5224</v>
      </c>
      <c r="F251" s="6">
        <f t="shared" si="15"/>
        <v>5731</v>
      </c>
      <c r="G251" s="6">
        <v>498</v>
      </c>
      <c r="H251">
        <f t="shared" ref="H251:H278" si="18">G250-G251</f>
        <v>-35</v>
      </c>
    </row>
    <row r="252" spans="1:13" x14ac:dyDescent="0.25">
      <c r="A252" s="67">
        <v>44476</v>
      </c>
      <c r="B252" s="6">
        <v>2</v>
      </c>
      <c r="C252" s="6">
        <f t="shared" si="17"/>
        <v>7</v>
      </c>
      <c r="D252" s="6">
        <v>4</v>
      </c>
      <c r="E252" s="6">
        <v>5229</v>
      </c>
      <c r="F252" s="6">
        <f t="shared" si="15"/>
        <v>5786</v>
      </c>
      <c r="G252" s="6">
        <v>550</v>
      </c>
      <c r="H252">
        <f t="shared" si="18"/>
        <v>-52</v>
      </c>
    </row>
    <row r="253" spans="1:13" x14ac:dyDescent="0.25">
      <c r="A253" s="67">
        <v>44477</v>
      </c>
      <c r="B253" s="6">
        <v>1</v>
      </c>
      <c r="C253" s="6">
        <f t="shared" si="17"/>
        <v>7</v>
      </c>
      <c r="D253" s="6">
        <v>1</v>
      </c>
      <c r="E253" s="6">
        <v>5237</v>
      </c>
      <c r="F253" s="6">
        <f t="shared" si="15"/>
        <v>5809</v>
      </c>
      <c r="G253" s="6">
        <v>565</v>
      </c>
      <c r="H253">
        <f t="shared" si="18"/>
        <v>-15</v>
      </c>
    </row>
    <row r="254" spans="1:13" x14ac:dyDescent="0.25">
      <c r="A254" s="67">
        <v>44478</v>
      </c>
      <c r="B254" s="6">
        <v>3</v>
      </c>
      <c r="C254" s="6">
        <f t="shared" si="17"/>
        <v>10</v>
      </c>
      <c r="D254" s="6">
        <v>0</v>
      </c>
      <c r="E254" s="6">
        <v>5311</v>
      </c>
      <c r="F254" s="6">
        <f t="shared" si="15"/>
        <v>5822</v>
      </c>
      <c r="G254" s="6">
        <v>501</v>
      </c>
      <c r="H254">
        <f t="shared" si="18"/>
        <v>64</v>
      </c>
    </row>
    <row r="255" spans="1:13" x14ac:dyDescent="0.25">
      <c r="A255" s="67">
        <v>44479</v>
      </c>
      <c r="B255" s="6">
        <v>0</v>
      </c>
      <c r="C255" s="6">
        <f t="shared" si="17"/>
        <v>9</v>
      </c>
      <c r="D255" s="6">
        <v>1</v>
      </c>
      <c r="E255" s="6">
        <v>5311</v>
      </c>
      <c r="F255" s="6">
        <f t="shared" si="15"/>
        <v>5823</v>
      </c>
      <c r="G255" s="6">
        <v>503</v>
      </c>
      <c r="H255">
        <f t="shared" si="18"/>
        <v>-2</v>
      </c>
    </row>
    <row r="256" spans="1:13" x14ac:dyDescent="0.25">
      <c r="A256" s="67">
        <v>44480</v>
      </c>
      <c r="B256" s="6">
        <v>1</v>
      </c>
      <c r="C256" s="6">
        <f t="shared" si="17"/>
        <v>10</v>
      </c>
      <c r="D256" s="6">
        <v>0</v>
      </c>
      <c r="E256" s="6">
        <v>5319</v>
      </c>
      <c r="F256" s="6">
        <f t="shared" ref="F256:F286" si="19">C256+E256+G256</f>
        <v>5824</v>
      </c>
      <c r="G256" s="6">
        <v>495</v>
      </c>
      <c r="H256">
        <f t="shared" si="18"/>
        <v>8</v>
      </c>
    </row>
    <row r="257" spans="1:13" x14ac:dyDescent="0.25">
      <c r="A257" s="67">
        <v>44481</v>
      </c>
      <c r="B257" s="6">
        <v>0</v>
      </c>
      <c r="C257" s="6">
        <f t="shared" si="17"/>
        <v>8</v>
      </c>
      <c r="D257" s="6">
        <v>2</v>
      </c>
      <c r="E257" s="6">
        <v>5393</v>
      </c>
      <c r="F257" s="6">
        <f t="shared" si="19"/>
        <v>5833</v>
      </c>
      <c r="G257" s="6">
        <v>432</v>
      </c>
      <c r="H257">
        <f t="shared" si="18"/>
        <v>63</v>
      </c>
    </row>
    <row r="258" spans="1:13" x14ac:dyDescent="0.25">
      <c r="A258" s="67">
        <v>44482</v>
      </c>
      <c r="B258" s="6">
        <v>1</v>
      </c>
      <c r="C258" s="6">
        <f t="shared" si="17"/>
        <v>7</v>
      </c>
      <c r="D258" s="6">
        <v>2</v>
      </c>
      <c r="E258" s="6">
        <v>5393</v>
      </c>
      <c r="F258" s="6">
        <f t="shared" si="19"/>
        <v>5833</v>
      </c>
      <c r="G258" s="6">
        <v>433</v>
      </c>
      <c r="H258">
        <f t="shared" si="18"/>
        <v>-1</v>
      </c>
    </row>
    <row r="259" spans="1:13" x14ac:dyDescent="0.25">
      <c r="A259" s="67">
        <v>44483</v>
      </c>
      <c r="B259" s="6">
        <v>2</v>
      </c>
      <c r="C259" s="6">
        <f t="shared" si="17"/>
        <v>8</v>
      </c>
      <c r="D259" s="6">
        <v>1</v>
      </c>
      <c r="E259" s="6">
        <v>5393</v>
      </c>
      <c r="F259" s="6">
        <f t="shared" si="19"/>
        <v>5835</v>
      </c>
      <c r="G259" s="6">
        <v>434</v>
      </c>
      <c r="H259">
        <f t="shared" si="18"/>
        <v>-1</v>
      </c>
    </row>
    <row r="260" spans="1:13" x14ac:dyDescent="0.25">
      <c r="A260" s="67">
        <v>44484</v>
      </c>
      <c r="B260" s="6">
        <v>0</v>
      </c>
      <c r="C260" s="6">
        <f t="shared" si="17"/>
        <v>7</v>
      </c>
      <c r="D260" s="6">
        <v>1</v>
      </c>
      <c r="E260" s="6">
        <v>5393</v>
      </c>
      <c r="F260" s="6">
        <f t="shared" si="19"/>
        <v>5835</v>
      </c>
      <c r="G260" s="6">
        <v>435</v>
      </c>
      <c r="H260">
        <f t="shared" si="18"/>
        <v>-1</v>
      </c>
    </row>
    <row r="261" spans="1:13" x14ac:dyDescent="0.25">
      <c r="A261" s="67">
        <v>44485</v>
      </c>
      <c r="B261" s="6">
        <v>2</v>
      </c>
      <c r="C261" s="6">
        <f t="shared" si="17"/>
        <v>8</v>
      </c>
      <c r="D261" s="6">
        <v>1</v>
      </c>
      <c r="E261" s="6">
        <v>5616</v>
      </c>
      <c r="F261" s="6">
        <f t="shared" si="19"/>
        <v>5838</v>
      </c>
      <c r="G261" s="6">
        <v>214</v>
      </c>
      <c r="H261">
        <f t="shared" si="18"/>
        <v>221</v>
      </c>
    </row>
    <row r="262" spans="1:13" x14ac:dyDescent="0.25">
      <c r="A262" s="67">
        <v>44486</v>
      </c>
      <c r="B262" s="6">
        <v>1</v>
      </c>
      <c r="C262" s="6">
        <f t="shared" si="17"/>
        <v>8</v>
      </c>
      <c r="D262" s="6">
        <v>1</v>
      </c>
      <c r="E262" s="6">
        <v>5617</v>
      </c>
      <c r="F262" s="6">
        <f t="shared" si="19"/>
        <v>5838</v>
      </c>
      <c r="G262" s="6">
        <v>213</v>
      </c>
      <c r="H262">
        <f t="shared" si="18"/>
        <v>1</v>
      </c>
    </row>
    <row r="263" spans="1:13" x14ac:dyDescent="0.25">
      <c r="A263" s="67">
        <v>44487</v>
      </c>
      <c r="B263" s="6">
        <v>3</v>
      </c>
      <c r="C263" s="6">
        <f t="shared" si="17"/>
        <v>11</v>
      </c>
      <c r="D263" s="6">
        <v>0</v>
      </c>
      <c r="E263" s="6">
        <v>5686</v>
      </c>
      <c r="F263" s="6">
        <f t="shared" si="19"/>
        <v>5841</v>
      </c>
      <c r="G263" s="6">
        <v>144</v>
      </c>
      <c r="H263">
        <f t="shared" si="18"/>
        <v>69</v>
      </c>
    </row>
    <row r="264" spans="1:13" x14ac:dyDescent="0.25">
      <c r="A264" s="67">
        <v>44488</v>
      </c>
      <c r="B264" s="6">
        <v>0</v>
      </c>
      <c r="C264" s="6">
        <f t="shared" si="17"/>
        <v>10</v>
      </c>
      <c r="D264" s="6">
        <v>1</v>
      </c>
      <c r="E264" s="6">
        <v>5714</v>
      </c>
      <c r="F264" s="6">
        <f t="shared" si="19"/>
        <v>5843</v>
      </c>
      <c r="G264" s="6">
        <v>119</v>
      </c>
      <c r="H264">
        <f t="shared" si="18"/>
        <v>25</v>
      </c>
    </row>
    <row r="265" spans="1:13" x14ac:dyDescent="0.25">
      <c r="A265" s="67">
        <v>44489</v>
      </c>
      <c r="B265" s="6">
        <v>0</v>
      </c>
      <c r="C265" s="6">
        <f t="shared" si="17"/>
        <v>8</v>
      </c>
      <c r="D265" s="6">
        <v>2</v>
      </c>
      <c r="E265" s="6">
        <v>5759</v>
      </c>
      <c r="F265" s="6">
        <f t="shared" si="19"/>
        <v>5840</v>
      </c>
      <c r="G265" s="6">
        <v>73</v>
      </c>
      <c r="H265">
        <f t="shared" si="18"/>
        <v>46</v>
      </c>
      <c r="M265" s="81"/>
    </row>
    <row r="266" spans="1:13" x14ac:dyDescent="0.25">
      <c r="A266" s="67">
        <v>44490</v>
      </c>
      <c r="B266" s="6">
        <v>15</v>
      </c>
      <c r="C266" s="6">
        <f t="shared" si="17"/>
        <v>19</v>
      </c>
      <c r="D266" s="6">
        <v>4</v>
      </c>
      <c r="E266" s="6">
        <v>5790</v>
      </c>
      <c r="F266" s="6">
        <f t="shared" si="19"/>
        <v>5855</v>
      </c>
      <c r="G266" s="6">
        <v>46</v>
      </c>
      <c r="H266">
        <f t="shared" si="18"/>
        <v>27</v>
      </c>
    </row>
    <row r="267" spans="1:13" x14ac:dyDescent="0.25">
      <c r="A267" s="67">
        <v>44491</v>
      </c>
      <c r="B267" s="6">
        <v>1</v>
      </c>
      <c r="C267" s="6">
        <f t="shared" si="17"/>
        <v>5</v>
      </c>
      <c r="D267" s="6">
        <v>15</v>
      </c>
      <c r="E267" s="6">
        <v>5805</v>
      </c>
      <c r="F267" s="6">
        <f t="shared" si="19"/>
        <v>5858</v>
      </c>
      <c r="G267" s="6">
        <v>48</v>
      </c>
      <c r="H267">
        <f t="shared" si="18"/>
        <v>-2</v>
      </c>
    </row>
    <row r="268" spans="1:13" x14ac:dyDescent="0.25">
      <c r="A268" s="67">
        <v>44492</v>
      </c>
      <c r="B268" s="6">
        <v>0</v>
      </c>
      <c r="C268" s="6">
        <f t="shared" si="17"/>
        <v>4</v>
      </c>
      <c r="D268" s="6">
        <v>1</v>
      </c>
      <c r="E268" s="6">
        <v>5834</v>
      </c>
      <c r="F268" s="6">
        <f t="shared" si="19"/>
        <v>5856</v>
      </c>
      <c r="G268" s="6">
        <v>18</v>
      </c>
      <c r="H268">
        <f t="shared" si="18"/>
        <v>30</v>
      </c>
    </row>
    <row r="269" spans="1:13" x14ac:dyDescent="0.25">
      <c r="A269" s="67">
        <v>44493</v>
      </c>
      <c r="B269" s="6">
        <v>0</v>
      </c>
      <c r="C269" s="6">
        <f t="shared" si="17"/>
        <v>3</v>
      </c>
      <c r="D269" s="6">
        <v>1</v>
      </c>
      <c r="E269" s="6">
        <v>5835</v>
      </c>
      <c r="F269" s="6">
        <f t="shared" si="19"/>
        <v>5856</v>
      </c>
      <c r="G269" s="6">
        <v>18</v>
      </c>
      <c r="H269">
        <f t="shared" si="18"/>
        <v>0</v>
      </c>
    </row>
    <row r="270" spans="1:13" x14ac:dyDescent="0.25">
      <c r="A270" s="67">
        <v>44494</v>
      </c>
      <c r="B270" s="6">
        <v>2</v>
      </c>
      <c r="C270" s="6">
        <f t="shared" si="17"/>
        <v>5</v>
      </c>
      <c r="D270" s="6">
        <v>0</v>
      </c>
      <c r="E270" s="6">
        <v>5841</v>
      </c>
      <c r="F270" s="6">
        <f t="shared" si="19"/>
        <v>5858</v>
      </c>
      <c r="G270" s="6">
        <v>12</v>
      </c>
      <c r="H270">
        <f t="shared" si="18"/>
        <v>6</v>
      </c>
      <c r="M270" s="81"/>
    </row>
    <row r="271" spans="1:13" x14ac:dyDescent="0.25">
      <c r="A271" s="67">
        <v>44495</v>
      </c>
      <c r="B271" s="6">
        <v>1</v>
      </c>
      <c r="C271" s="6">
        <f t="shared" si="17"/>
        <v>5</v>
      </c>
      <c r="D271" s="6">
        <v>1</v>
      </c>
      <c r="E271" s="6">
        <v>5847</v>
      </c>
      <c r="F271" s="6">
        <f t="shared" si="19"/>
        <v>5861</v>
      </c>
      <c r="G271" s="6">
        <v>9</v>
      </c>
      <c r="H271">
        <f t="shared" si="18"/>
        <v>3</v>
      </c>
    </row>
    <row r="272" spans="1:13" x14ac:dyDescent="0.25">
      <c r="A272" s="67">
        <v>44496</v>
      </c>
      <c r="B272" s="6">
        <v>0</v>
      </c>
      <c r="C272" s="6">
        <f t="shared" si="17"/>
        <v>5</v>
      </c>
      <c r="D272" s="6">
        <v>0</v>
      </c>
      <c r="E272" s="6">
        <v>5847</v>
      </c>
      <c r="F272" s="6">
        <f t="shared" si="19"/>
        <v>5862</v>
      </c>
      <c r="G272" s="6">
        <v>10</v>
      </c>
      <c r="H272">
        <f t="shared" si="18"/>
        <v>-1</v>
      </c>
      <c r="M272" s="81"/>
    </row>
    <row r="273" spans="1:8" x14ac:dyDescent="0.25">
      <c r="A273" s="67">
        <v>44497</v>
      </c>
      <c r="B273" s="6">
        <v>0</v>
      </c>
      <c r="C273" s="6">
        <f t="shared" si="17"/>
        <v>5</v>
      </c>
      <c r="D273" s="6">
        <v>0</v>
      </c>
      <c r="E273" s="6">
        <v>5848</v>
      </c>
      <c r="F273" s="6">
        <f t="shared" si="19"/>
        <v>5868</v>
      </c>
      <c r="G273" s="6">
        <v>15</v>
      </c>
      <c r="H273">
        <f t="shared" si="18"/>
        <v>-5</v>
      </c>
    </row>
    <row r="274" spans="1:8" x14ac:dyDescent="0.25">
      <c r="A274" s="67">
        <v>44498</v>
      </c>
      <c r="B274" s="6">
        <v>0</v>
      </c>
      <c r="C274" s="6">
        <f t="shared" si="17"/>
        <v>0</v>
      </c>
      <c r="D274" s="6">
        <v>5</v>
      </c>
      <c r="E274" s="6">
        <v>5851</v>
      </c>
      <c r="F274" s="6">
        <f t="shared" si="19"/>
        <v>5870</v>
      </c>
      <c r="G274" s="6">
        <v>19</v>
      </c>
      <c r="H274">
        <f t="shared" si="18"/>
        <v>-4</v>
      </c>
    </row>
    <row r="275" spans="1:8" x14ac:dyDescent="0.25">
      <c r="A275" s="67">
        <v>44499</v>
      </c>
      <c r="B275" s="6">
        <v>0</v>
      </c>
      <c r="C275" s="6">
        <f t="shared" si="17"/>
        <v>0</v>
      </c>
      <c r="D275" s="6">
        <v>0</v>
      </c>
      <c r="E275" s="6">
        <v>5851</v>
      </c>
      <c r="F275" s="6">
        <f t="shared" si="19"/>
        <v>5870</v>
      </c>
      <c r="G275" s="6">
        <v>19</v>
      </c>
      <c r="H275">
        <f t="shared" si="18"/>
        <v>0</v>
      </c>
    </row>
    <row r="276" spans="1:8" x14ac:dyDescent="0.25">
      <c r="A276" s="67">
        <v>44500</v>
      </c>
      <c r="B276" s="6">
        <v>1</v>
      </c>
      <c r="C276" s="6">
        <f t="shared" si="17"/>
        <v>1</v>
      </c>
      <c r="D276" s="6">
        <v>0</v>
      </c>
      <c r="E276" s="6">
        <v>5850</v>
      </c>
      <c r="F276" s="6">
        <f t="shared" si="19"/>
        <v>5870</v>
      </c>
      <c r="G276" s="6">
        <v>19</v>
      </c>
      <c r="H276">
        <f t="shared" si="18"/>
        <v>0</v>
      </c>
    </row>
    <row r="277" spans="1:8" x14ac:dyDescent="0.25">
      <c r="A277" s="67">
        <v>44501</v>
      </c>
      <c r="B277" s="6">
        <v>1</v>
      </c>
      <c r="C277" s="6">
        <f t="shared" si="17"/>
        <v>2</v>
      </c>
      <c r="D277" s="6">
        <v>0</v>
      </c>
      <c r="E277" s="6">
        <v>5851</v>
      </c>
      <c r="F277" s="6">
        <f t="shared" si="19"/>
        <v>5874</v>
      </c>
      <c r="G277" s="6">
        <v>21</v>
      </c>
      <c r="H277">
        <f t="shared" si="18"/>
        <v>-2</v>
      </c>
    </row>
    <row r="278" spans="1:8" x14ac:dyDescent="0.25">
      <c r="A278" s="67">
        <v>44502</v>
      </c>
      <c r="B278" s="6">
        <v>0</v>
      </c>
      <c r="C278" s="6">
        <f t="shared" si="17"/>
        <v>2</v>
      </c>
      <c r="D278" s="6">
        <v>0</v>
      </c>
      <c r="E278" s="6">
        <v>5850</v>
      </c>
      <c r="F278" s="6">
        <f t="shared" si="19"/>
        <v>5876</v>
      </c>
      <c r="G278" s="6">
        <v>24</v>
      </c>
      <c r="H278">
        <f t="shared" si="18"/>
        <v>-3</v>
      </c>
    </row>
    <row r="279" spans="1:8" x14ac:dyDescent="0.25">
      <c r="A279" s="67">
        <v>44503</v>
      </c>
      <c r="B279" s="6">
        <v>2</v>
      </c>
      <c r="C279" s="6">
        <f t="shared" si="17"/>
        <v>4</v>
      </c>
      <c r="D279" s="6">
        <v>0</v>
      </c>
      <c r="E279" s="6">
        <v>5850</v>
      </c>
      <c r="F279" s="6">
        <f t="shared" si="19"/>
        <v>5880</v>
      </c>
      <c r="G279" s="6">
        <v>26</v>
      </c>
      <c r="H279">
        <f t="shared" ref="H279:H344" si="20">G278-G279</f>
        <v>-2</v>
      </c>
    </row>
    <row r="280" spans="1:8" x14ac:dyDescent="0.25">
      <c r="A280" s="67">
        <v>44504</v>
      </c>
      <c r="B280" s="6">
        <v>0</v>
      </c>
      <c r="C280" s="6">
        <f t="shared" si="17"/>
        <v>2</v>
      </c>
      <c r="D280" s="6">
        <v>2</v>
      </c>
      <c r="E280" s="6">
        <v>5854</v>
      </c>
      <c r="F280" s="6">
        <f t="shared" si="19"/>
        <v>5880</v>
      </c>
      <c r="G280" s="6">
        <v>24</v>
      </c>
      <c r="H280">
        <f t="shared" si="20"/>
        <v>2</v>
      </c>
    </row>
    <row r="281" spans="1:8" x14ac:dyDescent="0.25">
      <c r="A281" s="67">
        <v>44505</v>
      </c>
      <c r="B281" s="6">
        <v>1</v>
      </c>
      <c r="C281" s="6">
        <f t="shared" si="17"/>
        <v>3</v>
      </c>
      <c r="D281" s="6">
        <v>0</v>
      </c>
      <c r="E281" s="6">
        <v>5855</v>
      </c>
      <c r="F281" s="6">
        <f t="shared" si="19"/>
        <v>5880</v>
      </c>
      <c r="G281" s="6">
        <v>22</v>
      </c>
      <c r="H281">
        <f t="shared" si="20"/>
        <v>2</v>
      </c>
    </row>
    <row r="282" spans="1:8" x14ac:dyDescent="0.25">
      <c r="A282" s="67">
        <v>44506</v>
      </c>
      <c r="B282" s="6">
        <v>1</v>
      </c>
      <c r="C282" s="6">
        <f t="shared" si="17"/>
        <v>4</v>
      </c>
      <c r="D282" s="6">
        <v>0</v>
      </c>
      <c r="E282" s="6">
        <v>5855</v>
      </c>
      <c r="F282" s="6">
        <f t="shared" si="19"/>
        <v>5881</v>
      </c>
      <c r="G282" s="6">
        <v>22</v>
      </c>
      <c r="H282">
        <f t="shared" si="20"/>
        <v>0</v>
      </c>
    </row>
    <row r="283" spans="1:8" x14ac:dyDescent="0.25">
      <c r="A283" s="67">
        <v>44507</v>
      </c>
      <c r="B283" s="6">
        <v>0</v>
      </c>
      <c r="C283" s="6">
        <f t="shared" si="17"/>
        <v>4</v>
      </c>
      <c r="D283" s="6">
        <v>0</v>
      </c>
      <c r="E283" s="6">
        <v>5855</v>
      </c>
      <c r="F283" s="6">
        <f t="shared" si="19"/>
        <v>5881</v>
      </c>
      <c r="G283" s="6">
        <v>22</v>
      </c>
      <c r="H283">
        <f t="shared" si="20"/>
        <v>0</v>
      </c>
    </row>
    <row r="284" spans="1:8" x14ac:dyDescent="0.25">
      <c r="A284" s="67">
        <v>44508</v>
      </c>
      <c r="B284" s="6">
        <v>2</v>
      </c>
      <c r="C284" s="6">
        <f t="shared" si="17"/>
        <v>5</v>
      </c>
      <c r="D284" s="6">
        <v>1</v>
      </c>
      <c r="E284" s="6">
        <v>5857</v>
      </c>
      <c r="F284" s="6">
        <f t="shared" si="19"/>
        <v>5884</v>
      </c>
      <c r="G284" s="6">
        <v>22</v>
      </c>
      <c r="H284">
        <f t="shared" si="20"/>
        <v>0</v>
      </c>
    </row>
    <row r="285" spans="1:8" x14ac:dyDescent="0.25">
      <c r="A285" s="67">
        <v>44509</v>
      </c>
      <c r="B285" s="6">
        <v>0</v>
      </c>
      <c r="C285" s="6">
        <f t="shared" si="17"/>
        <v>5</v>
      </c>
      <c r="D285" s="6">
        <v>0</v>
      </c>
      <c r="E285" s="6">
        <v>5858</v>
      </c>
      <c r="F285" s="6">
        <f t="shared" si="19"/>
        <v>5888</v>
      </c>
      <c r="G285" s="6">
        <v>25</v>
      </c>
      <c r="H285">
        <f t="shared" si="20"/>
        <v>-3</v>
      </c>
    </row>
    <row r="286" spans="1:8" x14ac:dyDescent="0.25">
      <c r="A286" s="67">
        <v>44510</v>
      </c>
      <c r="B286" s="6">
        <v>0</v>
      </c>
      <c r="C286" s="6">
        <f t="shared" si="17"/>
        <v>4</v>
      </c>
      <c r="D286" s="6">
        <v>1</v>
      </c>
      <c r="E286" s="6">
        <v>5864</v>
      </c>
      <c r="F286" s="6">
        <f t="shared" si="19"/>
        <v>5887</v>
      </c>
      <c r="G286" s="6">
        <v>19</v>
      </c>
      <c r="H286">
        <f t="shared" si="20"/>
        <v>6</v>
      </c>
    </row>
    <row r="287" spans="1:8" x14ac:dyDescent="0.25">
      <c r="A287" s="67">
        <v>44511</v>
      </c>
      <c r="B287" s="6">
        <v>1</v>
      </c>
      <c r="C287" s="6">
        <f t="shared" ref="C287" si="21">C286+B287-D287</f>
        <v>5</v>
      </c>
      <c r="D287" s="6">
        <v>0</v>
      </c>
      <c r="E287" s="6">
        <v>5864</v>
      </c>
      <c r="F287" s="6">
        <f t="shared" ref="F287" si="22">C287+E287+G287</f>
        <v>5889</v>
      </c>
      <c r="G287" s="6">
        <v>20</v>
      </c>
      <c r="H287">
        <f t="shared" si="20"/>
        <v>-1</v>
      </c>
    </row>
    <row r="288" spans="1:8" x14ac:dyDescent="0.25">
      <c r="A288" s="67">
        <v>44512</v>
      </c>
      <c r="B288" s="6">
        <v>0</v>
      </c>
      <c r="C288" s="6">
        <f t="shared" ref="C288" si="23">C287+B288-D288</f>
        <v>5</v>
      </c>
      <c r="D288" s="6">
        <v>0</v>
      </c>
      <c r="E288" s="6">
        <v>5864</v>
      </c>
      <c r="F288" s="6">
        <f t="shared" ref="F288" si="24">C288+E288+G288</f>
        <v>5889</v>
      </c>
      <c r="G288" s="6">
        <v>20</v>
      </c>
      <c r="H288">
        <f t="shared" si="20"/>
        <v>0</v>
      </c>
    </row>
    <row r="289" spans="1:13" x14ac:dyDescent="0.25">
      <c r="A289" s="67">
        <v>44513</v>
      </c>
      <c r="B289" s="6">
        <v>1</v>
      </c>
      <c r="C289" s="6">
        <f t="shared" ref="C289" si="25">C288+B289-D289</f>
        <v>6</v>
      </c>
      <c r="D289" s="6">
        <v>0</v>
      </c>
      <c r="E289" s="6">
        <v>5867</v>
      </c>
      <c r="F289" s="6">
        <f t="shared" ref="F289:F292" si="26">C289+E289+G289</f>
        <v>5889</v>
      </c>
      <c r="G289" s="6">
        <v>16</v>
      </c>
      <c r="H289">
        <f t="shared" si="20"/>
        <v>4</v>
      </c>
    </row>
    <row r="290" spans="1:13" x14ac:dyDescent="0.25">
      <c r="A290" s="67">
        <v>44514</v>
      </c>
      <c r="B290" s="6">
        <v>0</v>
      </c>
      <c r="C290" s="6">
        <f t="shared" ref="C290" si="27">C289+B290-D290</f>
        <v>6</v>
      </c>
      <c r="D290" s="6">
        <v>0</v>
      </c>
      <c r="E290" s="6">
        <v>5872</v>
      </c>
      <c r="F290" s="6">
        <f t="shared" si="26"/>
        <v>5891</v>
      </c>
      <c r="G290" s="6">
        <v>13</v>
      </c>
      <c r="H290">
        <f t="shared" si="20"/>
        <v>3</v>
      </c>
    </row>
    <row r="291" spans="1:13" x14ac:dyDescent="0.25">
      <c r="A291" s="67">
        <v>44515</v>
      </c>
      <c r="B291" s="6">
        <v>0</v>
      </c>
      <c r="C291" s="6">
        <f t="shared" ref="C291:C292" si="28">C290+B291-D291</f>
        <v>6</v>
      </c>
      <c r="D291" s="6">
        <v>0</v>
      </c>
      <c r="E291" s="6">
        <v>5872</v>
      </c>
      <c r="F291" s="6">
        <f t="shared" si="26"/>
        <v>5891</v>
      </c>
      <c r="G291" s="6">
        <v>13</v>
      </c>
      <c r="H291">
        <f t="shared" si="20"/>
        <v>0</v>
      </c>
    </row>
    <row r="292" spans="1:13" x14ac:dyDescent="0.25">
      <c r="A292" s="67">
        <v>44516</v>
      </c>
      <c r="B292" s="6">
        <v>0</v>
      </c>
      <c r="C292" s="6">
        <f t="shared" si="28"/>
        <v>6</v>
      </c>
      <c r="D292" s="6">
        <v>0</v>
      </c>
      <c r="E292" s="6">
        <v>5872</v>
      </c>
      <c r="F292" s="6">
        <f t="shared" si="26"/>
        <v>5891</v>
      </c>
      <c r="G292" s="6">
        <v>13</v>
      </c>
      <c r="H292">
        <f t="shared" si="20"/>
        <v>0</v>
      </c>
    </row>
    <row r="293" spans="1:13" x14ac:dyDescent="0.25">
      <c r="A293" s="67">
        <v>44517</v>
      </c>
      <c r="B293" s="6">
        <v>1</v>
      </c>
      <c r="C293" s="6">
        <f t="shared" ref="C293" si="29">C292+B293-D293</f>
        <v>4</v>
      </c>
      <c r="D293" s="6">
        <v>3</v>
      </c>
      <c r="E293" s="6">
        <v>5880</v>
      </c>
      <c r="F293" s="6">
        <f t="shared" ref="F293" si="30">C293+E293+G293</f>
        <v>5898</v>
      </c>
      <c r="G293" s="6">
        <v>14</v>
      </c>
      <c r="H293">
        <f t="shared" si="20"/>
        <v>-1</v>
      </c>
    </row>
    <row r="294" spans="1:13" x14ac:dyDescent="0.25">
      <c r="A294" s="67">
        <v>44518</v>
      </c>
      <c r="B294" s="6">
        <v>0</v>
      </c>
      <c r="C294" s="6">
        <f t="shared" ref="C294" si="31">C293+B294-D294</f>
        <v>4</v>
      </c>
      <c r="D294" s="6">
        <v>0</v>
      </c>
      <c r="E294" s="6">
        <v>5879</v>
      </c>
      <c r="F294" s="6">
        <f t="shared" ref="F294" si="32">C294+E294+G294</f>
        <v>5897</v>
      </c>
      <c r="G294" s="6">
        <v>14</v>
      </c>
      <c r="H294">
        <f t="shared" si="20"/>
        <v>0</v>
      </c>
    </row>
    <row r="295" spans="1:13" x14ac:dyDescent="0.25">
      <c r="A295" s="67">
        <v>44519</v>
      </c>
      <c r="B295" s="6">
        <v>0</v>
      </c>
      <c r="C295" s="6">
        <f t="shared" ref="C295" si="33">C294+B295-D295</f>
        <v>4</v>
      </c>
      <c r="D295" s="6">
        <v>0</v>
      </c>
      <c r="E295" s="6">
        <v>5879</v>
      </c>
      <c r="F295" s="6">
        <f t="shared" ref="F295" si="34">C295+E295+G295</f>
        <v>5897</v>
      </c>
      <c r="G295" s="6">
        <v>14</v>
      </c>
      <c r="H295">
        <f t="shared" si="20"/>
        <v>0</v>
      </c>
    </row>
    <row r="296" spans="1:13" x14ac:dyDescent="0.25">
      <c r="A296" s="67">
        <v>44520</v>
      </c>
      <c r="B296" s="6">
        <v>0</v>
      </c>
      <c r="C296" s="6">
        <f t="shared" ref="C296" si="35">C295+B296-D296</f>
        <v>4</v>
      </c>
      <c r="D296" s="6">
        <v>0</v>
      </c>
      <c r="E296" s="6">
        <v>5879</v>
      </c>
      <c r="F296" s="6">
        <f t="shared" ref="F296" si="36">C296+E296+G296</f>
        <v>5897</v>
      </c>
      <c r="G296" s="6">
        <v>14</v>
      </c>
      <c r="H296">
        <f t="shared" si="20"/>
        <v>0</v>
      </c>
    </row>
    <row r="297" spans="1:13" x14ac:dyDescent="0.25">
      <c r="A297" s="67">
        <v>44521</v>
      </c>
      <c r="B297" s="6">
        <v>0</v>
      </c>
      <c r="C297" s="6">
        <f t="shared" ref="C297" si="37">C296+B297-D297</f>
        <v>4</v>
      </c>
      <c r="D297" s="6">
        <v>0</v>
      </c>
      <c r="E297" s="6">
        <v>5879</v>
      </c>
      <c r="F297" s="6">
        <f t="shared" ref="F297" si="38">C297+E297+G297</f>
        <v>5897</v>
      </c>
      <c r="G297" s="6">
        <v>14</v>
      </c>
      <c r="H297">
        <f t="shared" si="20"/>
        <v>0</v>
      </c>
    </row>
    <row r="298" spans="1:13" x14ac:dyDescent="0.25">
      <c r="A298" s="67">
        <v>44522</v>
      </c>
      <c r="B298" s="6">
        <v>1</v>
      </c>
      <c r="C298" s="6">
        <f t="shared" ref="C298" si="39">C297+B298-D298</f>
        <v>3</v>
      </c>
      <c r="D298" s="6">
        <v>2</v>
      </c>
      <c r="E298" s="6">
        <v>5884</v>
      </c>
      <c r="F298" s="6">
        <f t="shared" ref="F298" si="40">C298+E298+G298</f>
        <v>5897</v>
      </c>
      <c r="G298" s="6">
        <v>10</v>
      </c>
      <c r="H298">
        <f t="shared" si="20"/>
        <v>4</v>
      </c>
      <c r="M298" s="81"/>
    </row>
    <row r="299" spans="1:13" x14ac:dyDescent="0.25">
      <c r="A299" s="67">
        <v>44523</v>
      </c>
      <c r="B299" s="6">
        <v>0</v>
      </c>
      <c r="C299" s="6">
        <f t="shared" ref="C299" si="41">C298+B299-D299</f>
        <v>2</v>
      </c>
      <c r="D299" s="6">
        <v>1</v>
      </c>
      <c r="E299" s="6">
        <v>5886</v>
      </c>
      <c r="F299" s="6">
        <f t="shared" ref="F299" si="42">C299+E299+G299</f>
        <v>5897</v>
      </c>
      <c r="G299" s="6">
        <v>9</v>
      </c>
      <c r="H299">
        <f t="shared" si="20"/>
        <v>1</v>
      </c>
    </row>
    <row r="300" spans="1:13" x14ac:dyDescent="0.25">
      <c r="A300" s="67">
        <v>44524</v>
      </c>
      <c r="B300" s="6">
        <v>0</v>
      </c>
      <c r="C300" s="6">
        <f t="shared" ref="C300" si="43">C299+B300-D300</f>
        <v>2</v>
      </c>
      <c r="D300" s="6">
        <v>0</v>
      </c>
      <c r="E300" s="6">
        <v>5886</v>
      </c>
      <c r="F300" s="6">
        <f t="shared" ref="F300" si="44">C300+E300+G300</f>
        <v>5917</v>
      </c>
      <c r="G300" s="6">
        <v>29</v>
      </c>
      <c r="H300">
        <f t="shared" si="20"/>
        <v>-20</v>
      </c>
    </row>
    <row r="301" spans="1:13" x14ac:dyDescent="0.25">
      <c r="A301" s="67">
        <v>44525</v>
      </c>
      <c r="B301" s="6">
        <v>0</v>
      </c>
      <c r="C301" s="6">
        <f t="shared" ref="C301" si="45">C300+B301-D301</f>
        <v>2</v>
      </c>
      <c r="D301" s="6">
        <v>0</v>
      </c>
      <c r="E301" s="6">
        <v>5887</v>
      </c>
      <c r="F301" s="6">
        <f t="shared" ref="F301" si="46">C301+E301+G301</f>
        <v>5920</v>
      </c>
      <c r="G301" s="6">
        <v>31</v>
      </c>
      <c r="H301">
        <f t="shared" si="20"/>
        <v>-2</v>
      </c>
    </row>
    <row r="302" spans="1:13" x14ac:dyDescent="0.25">
      <c r="A302" s="67">
        <v>44526</v>
      </c>
      <c r="B302" s="6">
        <v>0</v>
      </c>
      <c r="C302" s="6">
        <f t="shared" ref="C302" si="47">C301+B302-D302</f>
        <v>1</v>
      </c>
      <c r="D302" s="6">
        <v>1</v>
      </c>
      <c r="E302" s="6">
        <v>5888</v>
      </c>
      <c r="F302" s="6">
        <f t="shared" ref="F302" si="48">C302+E302+G302</f>
        <v>5927</v>
      </c>
      <c r="G302" s="6">
        <v>38</v>
      </c>
      <c r="H302">
        <f t="shared" si="20"/>
        <v>-7</v>
      </c>
    </row>
    <row r="303" spans="1:13" x14ac:dyDescent="0.25">
      <c r="A303" s="67">
        <v>44527</v>
      </c>
      <c r="B303" s="6">
        <v>0</v>
      </c>
      <c r="C303" s="6">
        <f t="shared" ref="C303" si="49">C302+B303-D303</f>
        <v>1</v>
      </c>
      <c r="D303" s="6">
        <v>0</v>
      </c>
      <c r="E303" s="6">
        <v>5888</v>
      </c>
      <c r="F303" s="6">
        <f t="shared" ref="F303" si="50">C303+E303+G303</f>
        <v>5931</v>
      </c>
      <c r="G303" s="6">
        <v>42</v>
      </c>
      <c r="H303">
        <f t="shared" si="20"/>
        <v>-4</v>
      </c>
    </row>
    <row r="304" spans="1:13" x14ac:dyDescent="0.25">
      <c r="A304" s="67">
        <v>44528</v>
      </c>
      <c r="B304" s="6">
        <v>0</v>
      </c>
      <c r="C304" s="6">
        <f t="shared" ref="C304" si="51">C303+B304-D304</f>
        <v>1</v>
      </c>
      <c r="D304" s="6">
        <v>0</v>
      </c>
      <c r="E304" s="6">
        <v>5888</v>
      </c>
      <c r="F304" s="6">
        <f t="shared" ref="F304" si="52">C304+E304+G304</f>
        <v>5931</v>
      </c>
      <c r="G304" s="6">
        <v>42</v>
      </c>
      <c r="H304">
        <f t="shared" si="20"/>
        <v>0</v>
      </c>
      <c r="M304" s="81"/>
    </row>
    <row r="305" spans="1:14" x14ac:dyDescent="0.25">
      <c r="A305" s="67">
        <v>44529</v>
      </c>
      <c r="B305" s="6">
        <v>1</v>
      </c>
      <c r="C305" s="6">
        <f t="shared" ref="C305" si="53">C304+B305-D305</f>
        <v>2</v>
      </c>
      <c r="D305" s="6">
        <v>0</v>
      </c>
      <c r="E305" s="6">
        <v>5889</v>
      </c>
      <c r="F305" s="6">
        <f t="shared" ref="F305" si="54">C305+E305+G305</f>
        <v>5931</v>
      </c>
      <c r="G305" s="6">
        <v>40</v>
      </c>
      <c r="H305">
        <f t="shared" si="20"/>
        <v>2</v>
      </c>
    </row>
    <row r="306" spans="1:14" x14ac:dyDescent="0.25">
      <c r="A306" s="67">
        <v>44530</v>
      </c>
      <c r="B306" s="6">
        <v>0</v>
      </c>
      <c r="C306" s="6">
        <f t="shared" ref="C306" si="55">C305+B306-D306</f>
        <v>2</v>
      </c>
      <c r="D306" s="6">
        <v>0</v>
      </c>
      <c r="E306" s="6">
        <v>5889</v>
      </c>
      <c r="F306" s="6">
        <f t="shared" ref="F306" si="56">C306+E306+G306</f>
        <v>5931</v>
      </c>
      <c r="G306" s="6">
        <v>40</v>
      </c>
      <c r="H306">
        <f t="shared" si="20"/>
        <v>0</v>
      </c>
    </row>
    <row r="307" spans="1:14" x14ac:dyDescent="0.25">
      <c r="A307" s="67">
        <v>44531</v>
      </c>
      <c r="B307" s="6">
        <v>2</v>
      </c>
      <c r="C307" s="6">
        <f t="shared" ref="C307" si="57">C306+B307-D307</f>
        <v>4</v>
      </c>
      <c r="D307" s="6">
        <v>0</v>
      </c>
      <c r="E307" s="6">
        <v>5892</v>
      </c>
      <c r="F307" s="6">
        <f t="shared" ref="F307" si="58">C307+E307+G307</f>
        <v>5931</v>
      </c>
      <c r="G307" s="6">
        <v>35</v>
      </c>
      <c r="H307">
        <f t="shared" si="20"/>
        <v>5</v>
      </c>
    </row>
    <row r="308" spans="1:14" x14ac:dyDescent="0.25">
      <c r="A308" s="67">
        <v>44532</v>
      </c>
      <c r="B308" s="6">
        <v>0</v>
      </c>
      <c r="C308" s="6">
        <f t="shared" ref="C308" si="59">C307+B308-D308</f>
        <v>4</v>
      </c>
      <c r="D308" s="6">
        <v>0</v>
      </c>
      <c r="E308" s="6">
        <v>5892</v>
      </c>
      <c r="F308" s="6">
        <f t="shared" ref="F308" si="60">C308+E308+G308</f>
        <v>5937</v>
      </c>
      <c r="G308" s="6">
        <v>41</v>
      </c>
      <c r="H308">
        <f t="shared" si="20"/>
        <v>-6</v>
      </c>
      <c r="M308" s="81"/>
      <c r="N308" s="81"/>
    </row>
    <row r="309" spans="1:14" x14ac:dyDescent="0.25">
      <c r="A309" s="67">
        <v>44533</v>
      </c>
      <c r="B309" s="6">
        <v>0</v>
      </c>
      <c r="C309" s="6">
        <f t="shared" ref="C309" si="61">C308+B309-D309</f>
        <v>4</v>
      </c>
      <c r="D309" s="6">
        <v>0</v>
      </c>
      <c r="E309" s="6">
        <v>5891</v>
      </c>
      <c r="F309" s="6">
        <f t="shared" ref="F309" si="62">C309+E309+G309</f>
        <v>5936</v>
      </c>
      <c r="G309" s="6">
        <v>41</v>
      </c>
      <c r="H309">
        <f t="shared" si="20"/>
        <v>0</v>
      </c>
    </row>
    <row r="310" spans="1:14" x14ac:dyDescent="0.25">
      <c r="A310" s="67">
        <v>44534</v>
      </c>
      <c r="B310" s="6">
        <v>0</v>
      </c>
      <c r="C310" s="6">
        <f t="shared" ref="C310" si="63">C309+B310-D310</f>
        <v>4</v>
      </c>
      <c r="D310" s="6">
        <v>0</v>
      </c>
      <c r="E310" s="6">
        <v>5891</v>
      </c>
      <c r="F310" s="6">
        <f t="shared" ref="F310" si="64">C310+E310+G310</f>
        <v>5936</v>
      </c>
      <c r="G310" s="6">
        <v>41</v>
      </c>
      <c r="H310">
        <f t="shared" si="20"/>
        <v>0</v>
      </c>
      <c r="M310" s="81"/>
      <c r="N310" s="81"/>
    </row>
    <row r="311" spans="1:14" x14ac:dyDescent="0.25">
      <c r="A311" s="67">
        <v>44535</v>
      </c>
      <c r="B311" s="6">
        <v>0</v>
      </c>
      <c r="C311" s="6">
        <f t="shared" ref="C311" si="65">C310+B311-D311</f>
        <v>4</v>
      </c>
      <c r="D311" s="6">
        <v>0</v>
      </c>
      <c r="E311" s="6">
        <v>5891</v>
      </c>
      <c r="F311" s="6">
        <f t="shared" ref="F311" si="66">C311+E311+G311</f>
        <v>5936</v>
      </c>
      <c r="G311" s="6">
        <v>41</v>
      </c>
      <c r="H311">
        <f t="shared" si="20"/>
        <v>0</v>
      </c>
      <c r="M311" s="81"/>
      <c r="N311" s="81"/>
    </row>
    <row r="312" spans="1:14" x14ac:dyDescent="0.25">
      <c r="A312" s="67">
        <v>44536</v>
      </c>
      <c r="B312" s="6">
        <v>2</v>
      </c>
      <c r="C312" s="6">
        <f t="shared" ref="C312" si="67">C311+B312-D312</f>
        <v>6</v>
      </c>
      <c r="D312" s="6">
        <v>0</v>
      </c>
      <c r="E312" s="6">
        <v>5889</v>
      </c>
      <c r="F312" s="6">
        <f t="shared" ref="F312" si="68">C312+E312+G312</f>
        <v>5943</v>
      </c>
      <c r="G312" s="6">
        <v>48</v>
      </c>
      <c r="H312">
        <f t="shared" si="20"/>
        <v>-7</v>
      </c>
    </row>
    <row r="313" spans="1:14" x14ac:dyDescent="0.25">
      <c r="A313" s="67">
        <v>44537</v>
      </c>
      <c r="B313" s="6">
        <v>0</v>
      </c>
      <c r="C313" s="6">
        <f t="shared" ref="C313" si="69">C312+B313-D313</f>
        <v>6</v>
      </c>
      <c r="D313" s="6">
        <v>0</v>
      </c>
      <c r="E313" s="6">
        <v>5889</v>
      </c>
      <c r="F313" s="6">
        <f t="shared" ref="F313" si="70">C313+E313+G313</f>
        <v>5943</v>
      </c>
      <c r="G313" s="6">
        <v>48</v>
      </c>
      <c r="H313">
        <f t="shared" si="20"/>
        <v>0</v>
      </c>
      <c r="N313" s="81"/>
    </row>
    <row r="314" spans="1:14" x14ac:dyDescent="0.25">
      <c r="A314" s="67">
        <v>44538</v>
      </c>
      <c r="B314" s="6">
        <v>2</v>
      </c>
      <c r="C314" s="6">
        <f t="shared" ref="C314" si="71">C313+B314-D314</f>
        <v>6</v>
      </c>
      <c r="D314" s="6">
        <v>2</v>
      </c>
      <c r="E314" s="6">
        <v>5910</v>
      </c>
      <c r="F314" s="6">
        <f t="shared" ref="F314" si="72">C314+E314+G314</f>
        <v>5945</v>
      </c>
      <c r="G314" s="6">
        <v>29</v>
      </c>
      <c r="H314">
        <f t="shared" si="20"/>
        <v>19</v>
      </c>
      <c r="N314" s="81"/>
    </row>
    <row r="315" spans="1:14" x14ac:dyDescent="0.25">
      <c r="A315" s="67">
        <v>44539</v>
      </c>
      <c r="B315" s="6">
        <v>0</v>
      </c>
      <c r="C315" s="6">
        <f t="shared" ref="C315" si="73">C314+B315-D315</f>
        <v>4</v>
      </c>
      <c r="D315" s="6">
        <v>2</v>
      </c>
      <c r="E315" s="6">
        <v>5914</v>
      </c>
      <c r="F315" s="6">
        <f t="shared" ref="F315" si="74">C315+E315+G315</f>
        <v>5944</v>
      </c>
      <c r="G315" s="6">
        <v>26</v>
      </c>
      <c r="H315">
        <f t="shared" si="20"/>
        <v>3</v>
      </c>
      <c r="M315" s="81"/>
      <c r="N315" s="81"/>
    </row>
    <row r="316" spans="1:14" x14ac:dyDescent="0.25">
      <c r="A316" s="67">
        <v>44540</v>
      </c>
      <c r="B316" s="6">
        <v>0</v>
      </c>
      <c r="C316" s="6">
        <f t="shared" ref="C316" si="75">C315+B316-D316</f>
        <v>3</v>
      </c>
      <c r="D316" s="6">
        <v>1</v>
      </c>
      <c r="E316" s="6">
        <v>5922</v>
      </c>
      <c r="F316" s="6">
        <f t="shared" ref="F316" si="76">C316+E316+G316</f>
        <v>5944</v>
      </c>
      <c r="G316" s="6">
        <v>19</v>
      </c>
      <c r="H316">
        <f t="shared" si="20"/>
        <v>7</v>
      </c>
    </row>
    <row r="317" spans="1:14" x14ac:dyDescent="0.25">
      <c r="A317" s="67">
        <v>44541</v>
      </c>
      <c r="B317" s="6">
        <v>0</v>
      </c>
      <c r="C317" s="6">
        <f t="shared" ref="C317" si="77">C316+B317-D317</f>
        <v>2</v>
      </c>
      <c r="D317" s="6">
        <v>1</v>
      </c>
      <c r="E317" s="6">
        <v>5926</v>
      </c>
      <c r="F317" s="6">
        <f t="shared" ref="F317" si="78">C317+E317+G317</f>
        <v>5944</v>
      </c>
      <c r="G317" s="6">
        <v>16</v>
      </c>
      <c r="H317">
        <f t="shared" si="20"/>
        <v>3</v>
      </c>
    </row>
    <row r="318" spans="1:14" x14ac:dyDescent="0.25">
      <c r="A318" s="67">
        <v>44542</v>
      </c>
      <c r="B318" s="6">
        <v>0</v>
      </c>
      <c r="C318" s="6">
        <f t="shared" ref="C318" si="79">C317+B318-D318</f>
        <v>2</v>
      </c>
      <c r="D318" s="6">
        <v>0</v>
      </c>
      <c r="E318" s="6">
        <v>5924</v>
      </c>
      <c r="F318" s="6">
        <f t="shared" ref="F318" si="80">C318+E318+G318</f>
        <v>5947</v>
      </c>
      <c r="G318" s="6">
        <v>21</v>
      </c>
      <c r="H318">
        <f t="shared" si="20"/>
        <v>-5</v>
      </c>
      <c r="L318" s="81"/>
      <c r="M318" s="81"/>
      <c r="N318" s="81"/>
    </row>
    <row r="319" spans="1:14" x14ac:dyDescent="0.25">
      <c r="A319" s="67">
        <v>44543</v>
      </c>
      <c r="B319" s="6">
        <v>0</v>
      </c>
      <c r="C319" s="6">
        <f t="shared" ref="C319" si="81">C318+B319-D319</f>
        <v>2</v>
      </c>
      <c r="D319" s="6">
        <v>0</v>
      </c>
      <c r="E319" s="6">
        <v>5924</v>
      </c>
      <c r="F319" s="6">
        <f t="shared" ref="F319" si="82">C319+E319+G319</f>
        <v>5951</v>
      </c>
      <c r="G319" s="6">
        <v>25</v>
      </c>
      <c r="H319">
        <f t="shared" si="20"/>
        <v>-4</v>
      </c>
    </row>
    <row r="320" spans="1:14" x14ac:dyDescent="0.25">
      <c r="A320" s="67">
        <v>44544</v>
      </c>
      <c r="B320" s="6">
        <v>1</v>
      </c>
      <c r="C320" s="6">
        <f t="shared" ref="C320" si="83">C319+B320-D320</f>
        <v>2</v>
      </c>
      <c r="D320" s="6">
        <v>1</v>
      </c>
      <c r="E320" s="6">
        <v>5926</v>
      </c>
      <c r="F320" s="6">
        <f t="shared" ref="F320:F332" si="84">C320+E320+G320</f>
        <v>5956</v>
      </c>
      <c r="G320" s="6">
        <v>28</v>
      </c>
      <c r="H320">
        <f t="shared" si="20"/>
        <v>-3</v>
      </c>
    </row>
    <row r="321" spans="1:13" x14ac:dyDescent="0.25">
      <c r="A321" s="67">
        <v>44545</v>
      </c>
      <c r="B321" s="6">
        <v>0</v>
      </c>
      <c r="C321" s="6">
        <f t="shared" ref="C321" si="85">C320+B321-D321</f>
        <v>2</v>
      </c>
      <c r="D321" s="6">
        <v>0</v>
      </c>
      <c r="E321" s="6">
        <v>5926</v>
      </c>
      <c r="F321" s="6">
        <f t="shared" si="84"/>
        <v>5956</v>
      </c>
      <c r="G321" s="6">
        <v>28</v>
      </c>
      <c r="H321">
        <f t="shared" si="20"/>
        <v>0</v>
      </c>
    </row>
    <row r="322" spans="1:13" x14ac:dyDescent="0.25">
      <c r="A322" s="67">
        <v>44546</v>
      </c>
      <c r="B322" s="6">
        <v>1</v>
      </c>
      <c r="C322" s="6">
        <f t="shared" ref="C322" si="86">C321+B322-D322</f>
        <v>3</v>
      </c>
      <c r="D322" s="6">
        <v>0</v>
      </c>
      <c r="E322" s="6">
        <v>5929</v>
      </c>
      <c r="F322" s="6">
        <f t="shared" si="84"/>
        <v>5960</v>
      </c>
      <c r="G322" s="6">
        <v>28</v>
      </c>
      <c r="H322">
        <f t="shared" si="20"/>
        <v>0</v>
      </c>
      <c r="M322" s="81"/>
    </row>
    <row r="323" spans="1:13" x14ac:dyDescent="0.25">
      <c r="A323" s="67">
        <v>44547</v>
      </c>
      <c r="B323" s="6">
        <v>1</v>
      </c>
      <c r="C323" s="6">
        <f t="shared" ref="C323" si="87">C322+B323-D323</f>
        <v>3</v>
      </c>
      <c r="D323" s="6">
        <v>1</v>
      </c>
      <c r="E323" s="6">
        <v>5930</v>
      </c>
      <c r="F323" s="6">
        <f t="shared" si="84"/>
        <v>5961</v>
      </c>
      <c r="G323" s="6">
        <v>28</v>
      </c>
      <c r="H323">
        <f t="shared" si="20"/>
        <v>0</v>
      </c>
      <c r="M323" s="81"/>
    </row>
    <row r="324" spans="1:13" x14ac:dyDescent="0.25">
      <c r="A324" s="67">
        <v>44548</v>
      </c>
      <c r="B324" s="6">
        <v>0</v>
      </c>
      <c r="C324" s="6">
        <f t="shared" ref="C324" si="88">C323+B324-D324</f>
        <v>3</v>
      </c>
      <c r="D324" s="6">
        <v>0</v>
      </c>
      <c r="E324" s="6">
        <v>5930</v>
      </c>
      <c r="F324" s="6">
        <f t="shared" si="84"/>
        <v>5961</v>
      </c>
      <c r="G324" s="6">
        <v>28</v>
      </c>
      <c r="H324">
        <f t="shared" si="20"/>
        <v>0</v>
      </c>
    </row>
    <row r="325" spans="1:13" x14ac:dyDescent="0.25">
      <c r="A325" s="67">
        <v>44549</v>
      </c>
      <c r="B325" s="6">
        <v>0</v>
      </c>
      <c r="C325" s="6">
        <f t="shared" ref="C325" si="89">C324+B325-D325</f>
        <v>3</v>
      </c>
      <c r="D325" s="6">
        <v>0</v>
      </c>
      <c r="E325" s="6">
        <v>5930</v>
      </c>
      <c r="F325" s="6">
        <f t="shared" si="84"/>
        <v>5961</v>
      </c>
      <c r="G325" s="6">
        <v>28</v>
      </c>
      <c r="H325">
        <f t="shared" si="20"/>
        <v>0</v>
      </c>
      <c r="M325" s="81"/>
    </row>
    <row r="326" spans="1:13" x14ac:dyDescent="0.25">
      <c r="A326" s="67">
        <v>44550</v>
      </c>
      <c r="B326" s="6">
        <v>0</v>
      </c>
      <c r="C326" s="6">
        <f t="shared" ref="C326" si="90">C325+B326-D326</f>
        <v>3</v>
      </c>
      <c r="D326" s="6">
        <v>0</v>
      </c>
      <c r="E326" s="6">
        <v>5937</v>
      </c>
      <c r="F326" s="6">
        <f t="shared" si="84"/>
        <v>5967</v>
      </c>
      <c r="G326" s="6">
        <v>27</v>
      </c>
      <c r="H326">
        <f t="shared" si="20"/>
        <v>1</v>
      </c>
      <c r="M326" s="81"/>
    </row>
    <row r="327" spans="1:13" x14ac:dyDescent="0.25">
      <c r="A327" s="67">
        <v>44551</v>
      </c>
      <c r="B327" s="6">
        <v>0</v>
      </c>
      <c r="C327" s="6">
        <f t="shared" ref="C327" si="91">C326+B327-D327</f>
        <v>3</v>
      </c>
      <c r="D327" s="6">
        <v>0</v>
      </c>
      <c r="E327" s="6">
        <v>5937</v>
      </c>
      <c r="F327" s="6">
        <f t="shared" si="84"/>
        <v>5967</v>
      </c>
      <c r="G327" s="6">
        <v>27</v>
      </c>
      <c r="H327">
        <f t="shared" si="20"/>
        <v>0</v>
      </c>
    </row>
    <row r="328" spans="1:13" x14ac:dyDescent="0.25">
      <c r="A328" s="67">
        <v>44552</v>
      </c>
      <c r="B328" s="6">
        <v>0</v>
      </c>
      <c r="C328" s="6">
        <v>0</v>
      </c>
      <c r="D328" s="6">
        <v>0</v>
      </c>
      <c r="E328" s="6">
        <v>5940</v>
      </c>
      <c r="F328" s="6">
        <f t="shared" si="84"/>
        <v>5971</v>
      </c>
      <c r="G328" s="6">
        <v>31</v>
      </c>
      <c r="H328">
        <f t="shared" si="20"/>
        <v>-4</v>
      </c>
      <c r="M328" s="81"/>
    </row>
    <row r="329" spans="1:13" x14ac:dyDescent="0.25">
      <c r="A329" s="67">
        <v>44553</v>
      </c>
      <c r="B329" s="6">
        <v>0</v>
      </c>
      <c r="C329" s="6">
        <v>0</v>
      </c>
      <c r="D329" s="6">
        <v>0</v>
      </c>
      <c r="E329" s="6">
        <v>5940</v>
      </c>
      <c r="F329" s="6">
        <f t="shared" si="84"/>
        <v>5971</v>
      </c>
      <c r="G329" s="6">
        <v>31</v>
      </c>
      <c r="H329">
        <f t="shared" si="20"/>
        <v>0</v>
      </c>
      <c r="M329" s="81"/>
    </row>
    <row r="330" spans="1:13" x14ac:dyDescent="0.25">
      <c r="A330" s="67">
        <v>44554</v>
      </c>
      <c r="B330" s="6">
        <v>0</v>
      </c>
      <c r="C330" s="6">
        <v>0</v>
      </c>
      <c r="D330" s="6">
        <v>0</v>
      </c>
      <c r="E330" s="6">
        <v>5940</v>
      </c>
      <c r="F330" s="6">
        <f t="shared" si="84"/>
        <v>5982</v>
      </c>
      <c r="G330" s="6">
        <v>42</v>
      </c>
      <c r="H330">
        <f t="shared" si="20"/>
        <v>-11</v>
      </c>
    </row>
    <row r="331" spans="1:13" x14ac:dyDescent="0.25">
      <c r="A331" s="67">
        <v>44555</v>
      </c>
      <c r="B331" s="6">
        <v>0</v>
      </c>
      <c r="C331" s="6">
        <v>0</v>
      </c>
      <c r="D331" s="6">
        <v>0</v>
      </c>
      <c r="E331" s="6">
        <v>5940</v>
      </c>
      <c r="F331" s="6">
        <f t="shared" si="84"/>
        <v>5982</v>
      </c>
      <c r="G331" s="6">
        <v>42</v>
      </c>
      <c r="H331">
        <f t="shared" si="20"/>
        <v>0</v>
      </c>
    </row>
    <row r="332" spans="1:13" x14ac:dyDescent="0.25">
      <c r="A332" s="67">
        <v>44556</v>
      </c>
      <c r="B332" s="6">
        <v>0</v>
      </c>
      <c r="C332" s="6">
        <v>0</v>
      </c>
      <c r="D332" s="6">
        <v>0</v>
      </c>
      <c r="E332" s="6">
        <v>5945</v>
      </c>
      <c r="F332" s="6">
        <f t="shared" si="84"/>
        <v>5982</v>
      </c>
      <c r="G332" s="6">
        <v>37</v>
      </c>
      <c r="H332">
        <f t="shared" si="20"/>
        <v>5</v>
      </c>
    </row>
    <row r="333" spans="1:13" x14ac:dyDescent="0.25">
      <c r="A333" s="67">
        <v>44557</v>
      </c>
      <c r="B333" s="6">
        <v>0</v>
      </c>
      <c r="C333" s="6">
        <v>0</v>
      </c>
      <c r="D333" s="6">
        <v>0</v>
      </c>
      <c r="E333" s="6">
        <v>5953</v>
      </c>
      <c r="F333" s="6">
        <f t="shared" ref="F333" si="92">C333+E333+G333</f>
        <v>5990</v>
      </c>
      <c r="G333" s="6">
        <v>37</v>
      </c>
      <c r="H333">
        <f t="shared" si="20"/>
        <v>0</v>
      </c>
      <c r="M333" s="81"/>
    </row>
    <row r="334" spans="1:13" x14ac:dyDescent="0.25">
      <c r="A334" s="67">
        <v>44558</v>
      </c>
      <c r="B334" s="6">
        <v>0</v>
      </c>
      <c r="C334" s="6">
        <v>0</v>
      </c>
      <c r="D334" s="6">
        <v>0</v>
      </c>
      <c r="E334" s="6">
        <v>5953</v>
      </c>
      <c r="F334" s="6">
        <f t="shared" ref="F334" si="93">C334+E334+G334</f>
        <v>5990</v>
      </c>
      <c r="G334" s="6">
        <v>37</v>
      </c>
      <c r="H334">
        <f t="shared" si="20"/>
        <v>0</v>
      </c>
    </row>
    <row r="335" spans="1:13" x14ac:dyDescent="0.25">
      <c r="A335" s="67">
        <v>44559</v>
      </c>
      <c r="B335" s="6">
        <v>0</v>
      </c>
      <c r="C335" s="6">
        <v>0</v>
      </c>
      <c r="D335" s="6">
        <v>0</v>
      </c>
      <c r="E335" s="6">
        <v>5953</v>
      </c>
      <c r="F335" s="6">
        <f t="shared" ref="F335" si="94">C335+E335+G335</f>
        <v>5990</v>
      </c>
      <c r="G335" s="6">
        <v>37</v>
      </c>
      <c r="H335">
        <f t="shared" si="20"/>
        <v>0</v>
      </c>
    </row>
    <row r="336" spans="1:13" x14ac:dyDescent="0.25">
      <c r="A336" s="67">
        <v>44560</v>
      </c>
      <c r="B336" s="6">
        <v>0</v>
      </c>
      <c r="C336" s="6">
        <v>0</v>
      </c>
      <c r="D336" s="6">
        <v>0</v>
      </c>
      <c r="E336" s="6">
        <v>5956</v>
      </c>
      <c r="F336" s="6">
        <f t="shared" ref="F336" si="95">C336+E336+G336</f>
        <v>5988</v>
      </c>
      <c r="G336" s="6">
        <v>32</v>
      </c>
      <c r="H336">
        <f t="shared" si="20"/>
        <v>5</v>
      </c>
      <c r="M336" s="81"/>
    </row>
    <row r="337" spans="1:12" x14ac:dyDescent="0.25">
      <c r="A337" s="67">
        <v>44561</v>
      </c>
      <c r="B337" s="6">
        <v>1</v>
      </c>
      <c r="C337" s="6">
        <v>1</v>
      </c>
      <c r="D337" s="6">
        <v>0</v>
      </c>
      <c r="E337" s="6">
        <v>5956</v>
      </c>
      <c r="F337" s="6">
        <f t="shared" ref="F337" si="96">C337+E337+G337</f>
        <v>5989</v>
      </c>
      <c r="G337" s="6">
        <v>32</v>
      </c>
      <c r="H337">
        <f t="shared" si="20"/>
        <v>0</v>
      </c>
    </row>
    <row r="338" spans="1:12" x14ac:dyDescent="0.25">
      <c r="A338" s="67">
        <v>44562</v>
      </c>
      <c r="B338" s="6">
        <v>0</v>
      </c>
      <c r="C338" s="6">
        <v>1</v>
      </c>
      <c r="D338" s="6">
        <v>0</v>
      </c>
      <c r="E338" s="6">
        <v>5956</v>
      </c>
      <c r="F338" s="6">
        <f t="shared" ref="F338" si="97">C338+E338+G338</f>
        <v>5989</v>
      </c>
      <c r="G338" s="6">
        <v>32</v>
      </c>
      <c r="H338">
        <f t="shared" si="20"/>
        <v>0</v>
      </c>
    </row>
    <row r="339" spans="1:12" x14ac:dyDescent="0.25">
      <c r="A339" s="67">
        <v>44563</v>
      </c>
      <c r="B339" s="6">
        <v>0</v>
      </c>
      <c r="C339" s="6">
        <v>1</v>
      </c>
      <c r="D339" s="6">
        <v>0</v>
      </c>
      <c r="E339" s="6">
        <v>5956</v>
      </c>
      <c r="F339" s="6">
        <f t="shared" ref="F339" si="98">C339+E339+G339</f>
        <v>5989</v>
      </c>
      <c r="G339" s="6">
        <v>32</v>
      </c>
      <c r="H339">
        <f t="shared" si="20"/>
        <v>0</v>
      </c>
      <c r="L339" s="81"/>
    </row>
    <row r="340" spans="1:12" x14ac:dyDescent="0.25">
      <c r="A340" s="67">
        <v>44564</v>
      </c>
      <c r="B340" s="6">
        <v>2</v>
      </c>
      <c r="C340" s="6">
        <f t="shared" ref="C340:C343" si="99">C339+B340-D340</f>
        <v>3</v>
      </c>
      <c r="D340" s="6">
        <v>0</v>
      </c>
      <c r="E340" s="6">
        <v>5961</v>
      </c>
      <c r="F340" s="6">
        <f t="shared" ref="F340" si="100">C340+E340+G340</f>
        <v>5990</v>
      </c>
      <c r="G340" s="6">
        <v>26</v>
      </c>
      <c r="H340">
        <f t="shared" si="20"/>
        <v>6</v>
      </c>
    </row>
    <row r="341" spans="1:12" x14ac:dyDescent="0.25">
      <c r="A341" s="67">
        <v>44565</v>
      </c>
      <c r="B341" s="6">
        <v>0</v>
      </c>
      <c r="C341" s="6">
        <f t="shared" si="99"/>
        <v>1</v>
      </c>
      <c r="D341" s="6">
        <v>2</v>
      </c>
      <c r="E341" s="6">
        <v>5966</v>
      </c>
      <c r="F341" s="6">
        <f t="shared" ref="F341" si="101">C341+E341+G341</f>
        <v>5988</v>
      </c>
      <c r="G341" s="6">
        <v>21</v>
      </c>
      <c r="H341">
        <f t="shared" si="20"/>
        <v>5</v>
      </c>
    </row>
    <row r="342" spans="1:12" x14ac:dyDescent="0.25">
      <c r="A342" s="67">
        <v>44566</v>
      </c>
      <c r="B342" s="6">
        <v>0</v>
      </c>
      <c r="C342" s="6">
        <f t="shared" si="99"/>
        <v>1</v>
      </c>
      <c r="D342" s="6">
        <v>0</v>
      </c>
      <c r="E342" s="6">
        <v>5966</v>
      </c>
      <c r="F342" s="6">
        <f t="shared" ref="F342" si="102">C342+E342+G342</f>
        <v>5989</v>
      </c>
      <c r="G342" s="6">
        <v>22</v>
      </c>
      <c r="H342">
        <f t="shared" si="20"/>
        <v>-1</v>
      </c>
    </row>
    <row r="343" spans="1:12" x14ac:dyDescent="0.25">
      <c r="A343" s="67">
        <v>44567</v>
      </c>
      <c r="B343" s="6">
        <v>0</v>
      </c>
      <c r="C343" s="6">
        <f t="shared" si="99"/>
        <v>0</v>
      </c>
      <c r="D343" s="6">
        <v>1</v>
      </c>
      <c r="E343" s="6">
        <v>5967</v>
      </c>
      <c r="F343" s="6">
        <f t="shared" ref="F343:F344" si="103">C343+E343+G343</f>
        <v>6028</v>
      </c>
      <c r="G343" s="6">
        <v>61</v>
      </c>
      <c r="H343">
        <f t="shared" si="20"/>
        <v>-39</v>
      </c>
    </row>
    <row r="344" spans="1:12" x14ac:dyDescent="0.25">
      <c r="A344" s="67">
        <v>44568</v>
      </c>
      <c r="B344" s="6">
        <v>0</v>
      </c>
      <c r="C344" s="6">
        <f t="shared" ref="C344:C370" si="104">C343+B344-D344</f>
        <v>0</v>
      </c>
      <c r="D344" s="6">
        <v>0</v>
      </c>
      <c r="E344" s="6">
        <v>5976</v>
      </c>
      <c r="F344" s="6">
        <f t="shared" si="103"/>
        <v>6235</v>
      </c>
      <c r="G344" s="6">
        <v>259</v>
      </c>
      <c r="H344">
        <f t="shared" si="20"/>
        <v>-198</v>
      </c>
    </row>
    <row r="345" spans="1:12" x14ac:dyDescent="0.25">
      <c r="A345" s="67">
        <v>44569</v>
      </c>
      <c r="B345" s="6">
        <v>3</v>
      </c>
      <c r="C345" s="6">
        <f t="shared" si="104"/>
        <v>3</v>
      </c>
      <c r="D345" s="6">
        <v>0</v>
      </c>
      <c r="E345" s="6">
        <v>5976</v>
      </c>
      <c r="F345" s="6">
        <f t="shared" ref="F345" si="105">C345+E345+G345</f>
        <v>6554</v>
      </c>
      <c r="G345" s="6">
        <v>575</v>
      </c>
      <c r="H345">
        <f>G344-G345</f>
        <v>-316</v>
      </c>
    </row>
    <row r="346" spans="1:12" x14ac:dyDescent="0.25">
      <c r="A346" s="67">
        <v>44570</v>
      </c>
      <c r="B346" s="6">
        <v>0</v>
      </c>
      <c r="C346" s="6">
        <f t="shared" si="104"/>
        <v>3</v>
      </c>
      <c r="D346" s="6">
        <v>0</v>
      </c>
      <c r="E346" s="6">
        <v>5976</v>
      </c>
      <c r="F346" s="6">
        <f t="shared" ref="F346" si="106">C346+E346+G346</f>
        <v>6554</v>
      </c>
      <c r="G346" s="6">
        <v>575</v>
      </c>
      <c r="H346">
        <f t="shared" ref="H346:H381" si="107">G345-G346</f>
        <v>0</v>
      </c>
    </row>
    <row r="347" spans="1:12" x14ac:dyDescent="0.25">
      <c r="A347" s="67">
        <v>44571</v>
      </c>
      <c r="B347" s="6">
        <v>0</v>
      </c>
      <c r="C347" s="6">
        <f t="shared" si="104"/>
        <v>3</v>
      </c>
      <c r="D347" s="6">
        <v>0</v>
      </c>
      <c r="E347" s="6">
        <v>5985</v>
      </c>
      <c r="F347" s="6">
        <f t="shared" ref="F347:F348" si="108">C347+E347+G347</f>
        <v>6629</v>
      </c>
      <c r="G347" s="6">
        <v>641</v>
      </c>
      <c r="H347">
        <f t="shared" si="107"/>
        <v>-66</v>
      </c>
    </row>
    <row r="348" spans="1:12" x14ac:dyDescent="0.25">
      <c r="A348" s="67">
        <v>44572</v>
      </c>
      <c r="B348" s="6">
        <v>0</v>
      </c>
      <c r="C348" s="6">
        <f t="shared" si="104"/>
        <v>3</v>
      </c>
      <c r="D348" s="6">
        <v>0</v>
      </c>
      <c r="E348" s="6">
        <v>5985</v>
      </c>
      <c r="F348" s="6">
        <f t="shared" si="108"/>
        <v>6679</v>
      </c>
      <c r="G348" s="6">
        <v>691</v>
      </c>
      <c r="H348">
        <f t="shared" si="107"/>
        <v>-50</v>
      </c>
      <c r="L348" s="81"/>
    </row>
    <row r="349" spans="1:12" x14ac:dyDescent="0.25">
      <c r="A349" s="67">
        <v>44573</v>
      </c>
      <c r="B349" s="6">
        <v>0</v>
      </c>
      <c r="C349" s="6">
        <f t="shared" si="104"/>
        <v>3</v>
      </c>
      <c r="D349" s="6">
        <v>0</v>
      </c>
      <c r="E349" s="6">
        <v>5985</v>
      </c>
      <c r="F349" s="6">
        <f t="shared" ref="F349" si="109">C349+E349+G349</f>
        <v>6702</v>
      </c>
      <c r="G349" s="6">
        <v>714</v>
      </c>
      <c r="H349">
        <f t="shared" si="107"/>
        <v>-23</v>
      </c>
    </row>
    <row r="350" spans="1:12" x14ac:dyDescent="0.25">
      <c r="A350" s="67">
        <v>44574</v>
      </c>
      <c r="B350" s="6">
        <v>1</v>
      </c>
      <c r="C350" s="6">
        <f t="shared" si="104"/>
        <v>4</v>
      </c>
      <c r="D350" s="6">
        <v>0</v>
      </c>
      <c r="E350" s="6">
        <v>5985</v>
      </c>
      <c r="F350" s="6">
        <f t="shared" ref="F350" si="110">C350+E350+G350</f>
        <v>6789</v>
      </c>
      <c r="G350" s="6">
        <v>800</v>
      </c>
      <c r="H350">
        <f t="shared" si="107"/>
        <v>-86</v>
      </c>
    </row>
    <row r="351" spans="1:12" x14ac:dyDescent="0.25">
      <c r="A351" s="67">
        <v>44575</v>
      </c>
      <c r="B351" s="6">
        <v>1</v>
      </c>
      <c r="C351" s="6">
        <f t="shared" si="104"/>
        <v>5</v>
      </c>
      <c r="D351" s="6">
        <v>0</v>
      </c>
      <c r="E351" s="6">
        <v>5985</v>
      </c>
      <c r="F351" s="6">
        <f t="shared" ref="F351" si="111">C351+E351+G351</f>
        <v>6812</v>
      </c>
      <c r="G351" s="6">
        <v>822</v>
      </c>
      <c r="H351">
        <f t="shared" si="107"/>
        <v>-22</v>
      </c>
      <c r="L351" s="81"/>
    </row>
    <row r="352" spans="1:12" x14ac:dyDescent="0.25">
      <c r="A352" s="67">
        <v>44576</v>
      </c>
      <c r="B352" s="6">
        <v>0</v>
      </c>
      <c r="C352" s="6">
        <f t="shared" si="104"/>
        <v>4</v>
      </c>
      <c r="D352" s="6">
        <v>1</v>
      </c>
      <c r="E352" s="6">
        <v>5986</v>
      </c>
      <c r="F352" s="6">
        <f t="shared" ref="F352" si="112">C352+E352+G352</f>
        <v>6840</v>
      </c>
      <c r="G352" s="6">
        <v>850</v>
      </c>
      <c r="H352">
        <f t="shared" si="107"/>
        <v>-28</v>
      </c>
    </row>
    <row r="353" spans="1:13" x14ac:dyDescent="0.25">
      <c r="A353" s="67">
        <v>44577</v>
      </c>
      <c r="B353" s="6">
        <v>0</v>
      </c>
      <c r="C353" s="6">
        <f t="shared" si="104"/>
        <v>4</v>
      </c>
      <c r="D353" s="6">
        <v>0</v>
      </c>
      <c r="E353" s="6">
        <v>5986</v>
      </c>
      <c r="F353" s="6">
        <f t="shared" ref="F353" si="113">C353+E353+G353</f>
        <v>6840</v>
      </c>
      <c r="G353" s="6">
        <v>850</v>
      </c>
      <c r="H353">
        <f t="shared" si="107"/>
        <v>0</v>
      </c>
    </row>
    <row r="354" spans="1:13" x14ac:dyDescent="0.25">
      <c r="A354" s="67">
        <v>44578</v>
      </c>
      <c r="B354" s="6">
        <v>0</v>
      </c>
      <c r="C354" s="6">
        <f t="shared" si="104"/>
        <v>3</v>
      </c>
      <c r="D354" s="6">
        <v>1</v>
      </c>
      <c r="E354" s="6">
        <v>5988</v>
      </c>
      <c r="F354" s="6">
        <f t="shared" ref="F354" si="114">C354+E354+G354</f>
        <v>6874</v>
      </c>
      <c r="G354" s="6">
        <v>883</v>
      </c>
      <c r="H354">
        <f t="shared" si="107"/>
        <v>-33</v>
      </c>
    </row>
    <row r="355" spans="1:13" x14ac:dyDescent="0.25">
      <c r="A355" s="67">
        <v>44579</v>
      </c>
      <c r="B355" s="6">
        <v>0</v>
      </c>
      <c r="C355" s="6">
        <f t="shared" si="104"/>
        <v>3</v>
      </c>
      <c r="D355" s="6">
        <v>0</v>
      </c>
      <c r="E355" s="6">
        <v>5989</v>
      </c>
      <c r="F355" s="6">
        <f t="shared" ref="F355" si="115">C355+E355+G355</f>
        <v>6875</v>
      </c>
      <c r="G355" s="6">
        <v>883</v>
      </c>
      <c r="H355">
        <f t="shared" si="107"/>
        <v>0</v>
      </c>
    </row>
    <row r="356" spans="1:13" x14ac:dyDescent="0.25">
      <c r="A356" s="67">
        <v>44580</v>
      </c>
      <c r="B356" s="6">
        <v>0</v>
      </c>
      <c r="C356" s="6">
        <f t="shared" si="104"/>
        <v>0</v>
      </c>
      <c r="D356" s="6">
        <v>3</v>
      </c>
      <c r="E356" s="6">
        <v>6008</v>
      </c>
      <c r="F356" s="6">
        <f t="shared" ref="F356" si="116">C356+E356+G356</f>
        <v>6878</v>
      </c>
      <c r="G356" s="6">
        <v>870</v>
      </c>
      <c r="H356">
        <f t="shared" si="107"/>
        <v>13</v>
      </c>
    </row>
    <row r="357" spans="1:13" x14ac:dyDescent="0.25">
      <c r="A357" s="67">
        <v>44581</v>
      </c>
      <c r="B357" s="6">
        <v>0</v>
      </c>
      <c r="C357" s="6">
        <f t="shared" si="104"/>
        <v>0</v>
      </c>
      <c r="D357" s="6">
        <v>0</v>
      </c>
      <c r="E357" s="6">
        <v>6082</v>
      </c>
      <c r="F357" s="6">
        <f t="shared" ref="F357" si="117">C357+E357+G357</f>
        <v>6904</v>
      </c>
      <c r="G357" s="6">
        <v>822</v>
      </c>
      <c r="H357">
        <f t="shared" si="107"/>
        <v>48</v>
      </c>
    </row>
    <row r="358" spans="1:13" x14ac:dyDescent="0.25">
      <c r="A358" s="67">
        <v>44582</v>
      </c>
      <c r="B358" s="6">
        <v>0</v>
      </c>
      <c r="C358" s="6">
        <f t="shared" si="104"/>
        <v>0</v>
      </c>
      <c r="D358" s="6">
        <v>0</v>
      </c>
      <c r="E358" s="6">
        <v>6429</v>
      </c>
      <c r="F358" s="6">
        <f t="shared" ref="F358" si="118">C358+E358+G358</f>
        <v>6924</v>
      </c>
      <c r="G358" s="6">
        <v>495</v>
      </c>
      <c r="H358">
        <f t="shared" si="107"/>
        <v>327</v>
      </c>
    </row>
    <row r="359" spans="1:13" x14ac:dyDescent="0.25">
      <c r="A359" s="67">
        <v>44583</v>
      </c>
      <c r="B359" s="6">
        <v>0</v>
      </c>
      <c r="C359" s="6">
        <f t="shared" si="104"/>
        <v>0</v>
      </c>
      <c r="D359" s="6">
        <v>0</v>
      </c>
      <c r="E359" s="6">
        <v>6632</v>
      </c>
      <c r="F359" s="6">
        <f t="shared" ref="F359" si="119">C359+E359+G359</f>
        <v>6973</v>
      </c>
      <c r="G359" s="6">
        <v>341</v>
      </c>
      <c r="H359">
        <f t="shared" si="107"/>
        <v>154</v>
      </c>
    </row>
    <row r="360" spans="1:13" x14ac:dyDescent="0.25">
      <c r="A360" s="67">
        <v>44584</v>
      </c>
      <c r="B360" s="6">
        <v>0</v>
      </c>
      <c r="C360" s="6">
        <f t="shared" si="104"/>
        <v>0</v>
      </c>
      <c r="D360" s="6">
        <v>0</v>
      </c>
      <c r="E360" s="6">
        <v>6632</v>
      </c>
      <c r="F360" s="6">
        <f t="shared" ref="F360" si="120">C360+E360+G360</f>
        <v>6973</v>
      </c>
      <c r="G360" s="6">
        <v>341</v>
      </c>
      <c r="H360">
        <f t="shared" si="107"/>
        <v>0</v>
      </c>
    </row>
    <row r="361" spans="1:13" x14ac:dyDescent="0.25">
      <c r="A361" s="67">
        <v>44585</v>
      </c>
      <c r="B361" s="6">
        <v>0</v>
      </c>
      <c r="C361" s="6">
        <f t="shared" si="104"/>
        <v>0</v>
      </c>
      <c r="D361" s="6">
        <v>0</v>
      </c>
      <c r="E361" s="6">
        <v>6672</v>
      </c>
      <c r="F361" s="6">
        <f t="shared" ref="F361" si="121">C361+E361+G361</f>
        <v>6980</v>
      </c>
      <c r="G361" s="6">
        <v>308</v>
      </c>
      <c r="H361">
        <f t="shared" si="107"/>
        <v>33</v>
      </c>
    </row>
    <row r="362" spans="1:13" x14ac:dyDescent="0.25">
      <c r="A362" s="67">
        <v>44586</v>
      </c>
      <c r="B362" s="6">
        <v>0</v>
      </c>
      <c r="C362" s="6">
        <f t="shared" si="104"/>
        <v>0</v>
      </c>
      <c r="D362" s="6">
        <v>0</v>
      </c>
      <c r="E362" s="6">
        <v>6800</v>
      </c>
      <c r="F362" s="6">
        <f t="shared" ref="F362" si="122">C362+E362+G362</f>
        <v>7023</v>
      </c>
      <c r="G362" s="6">
        <v>223</v>
      </c>
      <c r="H362">
        <f t="shared" si="107"/>
        <v>85</v>
      </c>
    </row>
    <row r="363" spans="1:13" x14ac:dyDescent="0.25">
      <c r="A363" s="67">
        <v>44587</v>
      </c>
      <c r="B363" s="6">
        <v>0</v>
      </c>
      <c r="C363" s="6">
        <f t="shared" si="104"/>
        <v>0</v>
      </c>
      <c r="D363" s="6">
        <v>0</v>
      </c>
      <c r="E363" s="6">
        <v>6807</v>
      </c>
      <c r="F363" s="6">
        <f t="shared" ref="F363" si="123">C363+E363+G363</f>
        <v>7031</v>
      </c>
      <c r="G363" s="6">
        <v>224</v>
      </c>
      <c r="H363">
        <f t="shared" si="107"/>
        <v>-1</v>
      </c>
    </row>
    <row r="364" spans="1:13" x14ac:dyDescent="0.25">
      <c r="A364" s="67">
        <v>44588</v>
      </c>
      <c r="B364" s="6">
        <v>0</v>
      </c>
      <c r="C364" s="6">
        <f t="shared" si="104"/>
        <v>0</v>
      </c>
      <c r="D364" s="6">
        <v>0</v>
      </c>
      <c r="E364" s="6">
        <v>6821</v>
      </c>
      <c r="F364" s="6">
        <f t="shared" ref="F364" si="124">C364+E364+G364</f>
        <v>7030</v>
      </c>
      <c r="G364" s="6">
        <v>209</v>
      </c>
      <c r="H364">
        <f t="shared" si="107"/>
        <v>15</v>
      </c>
    </row>
    <row r="365" spans="1:13" x14ac:dyDescent="0.25">
      <c r="A365" s="67">
        <v>44589</v>
      </c>
      <c r="B365" s="6">
        <v>0</v>
      </c>
      <c r="C365" s="6">
        <f t="shared" si="104"/>
        <v>0</v>
      </c>
      <c r="D365" s="6">
        <v>0</v>
      </c>
      <c r="E365" s="6">
        <v>6828</v>
      </c>
      <c r="F365" s="6">
        <f t="shared" ref="F365" si="125">C365+E365+G365</f>
        <v>7029</v>
      </c>
      <c r="G365" s="6">
        <v>201</v>
      </c>
      <c r="H365">
        <f t="shared" si="107"/>
        <v>8</v>
      </c>
      <c r="M365" s="81"/>
    </row>
    <row r="366" spans="1:13" x14ac:dyDescent="0.25">
      <c r="A366" s="67">
        <v>44590</v>
      </c>
      <c r="B366" s="6">
        <v>0</v>
      </c>
      <c r="C366" s="6">
        <f t="shared" si="104"/>
        <v>0</v>
      </c>
      <c r="D366" s="6">
        <v>0</v>
      </c>
      <c r="E366" s="6">
        <v>6834</v>
      </c>
      <c r="F366" s="6">
        <f t="shared" ref="F366" si="126">C366+E366+G366</f>
        <v>7029</v>
      </c>
      <c r="G366" s="6">
        <v>195</v>
      </c>
      <c r="H366">
        <f t="shared" si="107"/>
        <v>6</v>
      </c>
    </row>
    <row r="367" spans="1:13" x14ac:dyDescent="0.25">
      <c r="A367" s="67">
        <v>44591</v>
      </c>
      <c r="B367" s="6">
        <v>0</v>
      </c>
      <c r="C367" s="6">
        <f t="shared" si="104"/>
        <v>0</v>
      </c>
      <c r="D367" s="6">
        <v>0</v>
      </c>
      <c r="E367" s="6">
        <v>6834</v>
      </c>
      <c r="F367" s="6">
        <f t="shared" ref="F367" si="127">C367+E367+G367</f>
        <v>7029</v>
      </c>
      <c r="G367" s="6">
        <v>195</v>
      </c>
      <c r="H367">
        <f t="shared" si="107"/>
        <v>0</v>
      </c>
    </row>
    <row r="368" spans="1:13" x14ac:dyDescent="0.25">
      <c r="A368" s="67">
        <v>44592</v>
      </c>
      <c r="B368" s="6">
        <v>0</v>
      </c>
      <c r="C368" s="6">
        <f t="shared" si="104"/>
        <v>0</v>
      </c>
      <c r="D368" s="6">
        <v>0</v>
      </c>
      <c r="E368" s="6">
        <v>6869</v>
      </c>
      <c r="F368" s="6">
        <f t="shared" ref="F368" si="128">C368+E368+G368</f>
        <v>7037</v>
      </c>
      <c r="G368" s="6">
        <v>168</v>
      </c>
      <c r="H368">
        <f t="shared" si="107"/>
        <v>27</v>
      </c>
    </row>
    <row r="369" spans="1:10" x14ac:dyDescent="0.25">
      <c r="A369" s="67">
        <v>44593</v>
      </c>
      <c r="B369" s="6">
        <v>1</v>
      </c>
      <c r="C369" s="6">
        <f t="shared" si="104"/>
        <v>1</v>
      </c>
      <c r="D369" s="6">
        <v>0</v>
      </c>
      <c r="E369" s="6">
        <v>6871</v>
      </c>
      <c r="F369" s="6">
        <f t="shared" ref="F369" si="129">C369+E369+G369</f>
        <v>7043</v>
      </c>
      <c r="G369" s="6">
        <v>171</v>
      </c>
      <c r="H369">
        <f t="shared" si="107"/>
        <v>-3</v>
      </c>
    </row>
    <row r="370" spans="1:10" x14ac:dyDescent="0.25">
      <c r="A370" s="67">
        <v>44594</v>
      </c>
      <c r="B370" s="6">
        <v>1</v>
      </c>
      <c r="C370" s="6">
        <f t="shared" si="104"/>
        <v>1</v>
      </c>
      <c r="D370" s="6">
        <v>1</v>
      </c>
      <c r="E370" s="6">
        <v>6896</v>
      </c>
      <c r="F370" s="6">
        <f t="shared" ref="F370" si="130">C370+E370+G370</f>
        <v>7045</v>
      </c>
      <c r="G370" s="6">
        <v>148</v>
      </c>
      <c r="H370">
        <f t="shared" si="107"/>
        <v>23</v>
      </c>
    </row>
    <row r="371" spans="1:10" x14ac:dyDescent="0.25">
      <c r="A371" s="67">
        <v>44595</v>
      </c>
      <c r="B371" s="6">
        <v>1</v>
      </c>
      <c r="C371" s="6">
        <f t="shared" ref="C371" si="131">C370+B371-D371</f>
        <v>2</v>
      </c>
      <c r="D371" s="6">
        <v>0</v>
      </c>
      <c r="E371" s="6">
        <v>6897</v>
      </c>
      <c r="F371" s="6">
        <f t="shared" ref="F371" si="132">C371+E371+G371</f>
        <v>7050</v>
      </c>
      <c r="G371" s="6">
        <v>151</v>
      </c>
      <c r="H371">
        <f t="shared" si="107"/>
        <v>-3</v>
      </c>
    </row>
    <row r="372" spans="1:10" x14ac:dyDescent="0.25">
      <c r="A372" s="67">
        <v>44596</v>
      </c>
      <c r="B372" s="6">
        <v>3</v>
      </c>
      <c r="C372" s="6">
        <f t="shared" ref="C372" si="133">C371+B372-D372</f>
        <v>5</v>
      </c>
      <c r="D372" s="6">
        <v>0</v>
      </c>
      <c r="E372" s="6">
        <v>6965</v>
      </c>
      <c r="F372" s="6">
        <f t="shared" ref="F372" si="134">C372+E372+G372</f>
        <v>7056</v>
      </c>
      <c r="G372" s="6">
        <v>86</v>
      </c>
      <c r="H372">
        <f t="shared" si="107"/>
        <v>65</v>
      </c>
    </row>
    <row r="373" spans="1:10" x14ac:dyDescent="0.25">
      <c r="A373" s="67">
        <v>44597</v>
      </c>
      <c r="B373" s="6">
        <v>2</v>
      </c>
      <c r="C373" s="6">
        <f t="shared" ref="C373" si="135">C372+B373-D373</f>
        <v>4</v>
      </c>
      <c r="D373" s="6">
        <v>3</v>
      </c>
      <c r="E373" s="6">
        <v>6964</v>
      </c>
      <c r="F373" s="6">
        <f t="shared" ref="F373:F380" si="136">C373+E373+G373</f>
        <v>7053</v>
      </c>
      <c r="G373" s="6">
        <v>85</v>
      </c>
      <c r="H373">
        <f t="shared" si="107"/>
        <v>1</v>
      </c>
    </row>
    <row r="374" spans="1:10" x14ac:dyDescent="0.25">
      <c r="A374" s="67">
        <v>44598</v>
      </c>
      <c r="B374" s="6">
        <v>2</v>
      </c>
      <c r="C374" s="6">
        <f t="shared" ref="C374" si="137">C373+B374-D374</f>
        <v>5</v>
      </c>
      <c r="D374" s="6">
        <v>1</v>
      </c>
      <c r="E374" s="6">
        <v>6963</v>
      </c>
      <c r="F374" s="6">
        <f t="shared" si="136"/>
        <v>7057</v>
      </c>
      <c r="G374" s="6">
        <v>89</v>
      </c>
      <c r="H374">
        <f t="shared" si="107"/>
        <v>-4</v>
      </c>
    </row>
    <row r="375" spans="1:10" x14ac:dyDescent="0.25">
      <c r="A375" s="67">
        <v>44599</v>
      </c>
      <c r="B375" s="6">
        <v>8</v>
      </c>
      <c r="C375" s="6">
        <f t="shared" ref="C375" si="138">C374+B375-D375</f>
        <v>10</v>
      </c>
      <c r="D375" s="6">
        <v>3</v>
      </c>
      <c r="E375" s="6">
        <v>7021</v>
      </c>
      <c r="F375" s="6">
        <f t="shared" si="136"/>
        <v>7082</v>
      </c>
      <c r="G375" s="6">
        <v>51</v>
      </c>
      <c r="H375">
        <f t="shared" si="107"/>
        <v>38</v>
      </c>
    </row>
    <row r="376" spans="1:10" x14ac:dyDescent="0.25">
      <c r="A376" s="67">
        <v>44600</v>
      </c>
      <c r="B376" s="6">
        <v>5</v>
      </c>
      <c r="C376" s="6">
        <f t="shared" ref="C376" si="139">C375+B376-D376</f>
        <v>14</v>
      </c>
      <c r="D376" s="6">
        <v>1</v>
      </c>
      <c r="E376" s="6">
        <v>7021</v>
      </c>
      <c r="F376" s="6">
        <f t="shared" si="136"/>
        <v>7091</v>
      </c>
      <c r="G376" s="6">
        <v>56</v>
      </c>
      <c r="H376">
        <f t="shared" si="107"/>
        <v>-5</v>
      </c>
    </row>
    <row r="377" spans="1:10" x14ac:dyDescent="0.25">
      <c r="A377" s="67">
        <v>44601</v>
      </c>
      <c r="B377" s="6">
        <v>3</v>
      </c>
      <c r="C377" s="6">
        <f t="shared" ref="C377:C378" si="140">C376+B377-D377</f>
        <v>8</v>
      </c>
      <c r="D377" s="6">
        <v>9</v>
      </c>
      <c r="E377" s="6">
        <v>7022</v>
      </c>
      <c r="F377" s="6">
        <f t="shared" si="136"/>
        <v>7099</v>
      </c>
      <c r="G377" s="6">
        <v>69</v>
      </c>
      <c r="H377">
        <f t="shared" si="107"/>
        <v>-13</v>
      </c>
    </row>
    <row r="378" spans="1:10" x14ac:dyDescent="0.25">
      <c r="A378" s="67">
        <v>44602</v>
      </c>
      <c r="B378" s="6">
        <v>3</v>
      </c>
      <c r="C378" s="6">
        <f t="shared" si="140"/>
        <v>9</v>
      </c>
      <c r="D378" s="6">
        <v>2</v>
      </c>
      <c r="E378" s="6">
        <v>7022</v>
      </c>
      <c r="F378" s="6">
        <f t="shared" si="136"/>
        <v>7100</v>
      </c>
      <c r="G378" s="6">
        <v>69</v>
      </c>
      <c r="H378">
        <f t="shared" si="107"/>
        <v>0</v>
      </c>
    </row>
    <row r="379" spans="1:10" x14ac:dyDescent="0.25">
      <c r="A379" s="67">
        <v>44603</v>
      </c>
      <c r="B379" s="6">
        <v>0</v>
      </c>
      <c r="C379" s="6">
        <f t="shared" ref="C379" si="141">C378+B379-D379</f>
        <v>9</v>
      </c>
      <c r="D379" s="6">
        <v>0</v>
      </c>
      <c r="E379" s="6">
        <v>7022</v>
      </c>
      <c r="F379" s="6">
        <f t="shared" si="136"/>
        <v>7100</v>
      </c>
      <c r="G379" s="6">
        <v>69</v>
      </c>
      <c r="H379">
        <f t="shared" si="107"/>
        <v>0</v>
      </c>
      <c r="I379" s="88"/>
      <c r="J379" s="89"/>
    </row>
    <row r="380" spans="1:10" x14ac:dyDescent="0.25">
      <c r="A380" s="67">
        <v>44604</v>
      </c>
      <c r="B380" s="6">
        <v>20</v>
      </c>
      <c r="C380" s="6">
        <f t="shared" ref="C380" si="142">C379+B380-D380</f>
        <v>22</v>
      </c>
      <c r="D380" s="6">
        <v>7</v>
      </c>
      <c r="E380" s="6">
        <v>7019</v>
      </c>
      <c r="F380" s="6">
        <f t="shared" si="136"/>
        <v>7289</v>
      </c>
      <c r="G380" s="6">
        <v>248</v>
      </c>
      <c r="H380">
        <f t="shared" si="107"/>
        <v>-179</v>
      </c>
      <c r="I380" s="90"/>
      <c r="J380" s="89"/>
    </row>
    <row r="381" spans="1:10" x14ac:dyDescent="0.25">
      <c r="A381" s="67">
        <v>44605</v>
      </c>
      <c r="B381" s="6">
        <v>5</v>
      </c>
      <c r="C381" s="6">
        <f t="shared" ref="C381" si="143">C380+B381-D381</f>
        <v>22</v>
      </c>
      <c r="D381" s="6">
        <v>5</v>
      </c>
      <c r="E381" s="6">
        <v>7019</v>
      </c>
      <c r="F381" s="6">
        <f t="shared" ref="F381" si="144">C381+E381+G381</f>
        <v>7290</v>
      </c>
      <c r="G381" s="6">
        <v>249</v>
      </c>
      <c r="H381">
        <f t="shared" si="107"/>
        <v>-1</v>
      </c>
      <c r="I381" s="91"/>
      <c r="J381" s="92"/>
    </row>
    <row r="382" spans="1:10" x14ac:dyDescent="0.25">
      <c r="A382" s="67">
        <v>44606</v>
      </c>
      <c r="B382" s="6">
        <v>28</v>
      </c>
      <c r="C382" s="6">
        <f t="shared" ref="C382" si="145">C381+B382-D382</f>
        <v>36</v>
      </c>
      <c r="D382" s="6">
        <v>14</v>
      </c>
      <c r="E382" s="6">
        <v>7053</v>
      </c>
      <c r="F382" s="6">
        <f t="shared" ref="F382" si="146">C382+E382+G382</f>
        <v>7346</v>
      </c>
      <c r="G382" s="6">
        <v>257</v>
      </c>
    </row>
    <row r="383" spans="1:10" x14ac:dyDescent="0.25">
      <c r="A383" s="67">
        <v>44607</v>
      </c>
      <c r="B383" s="6">
        <v>14</v>
      </c>
      <c r="C383" s="6">
        <f t="shared" ref="C383" si="147">C382+B383-D383</f>
        <v>36</v>
      </c>
      <c r="D383" s="6">
        <v>14</v>
      </c>
      <c r="E383" s="6">
        <v>7104</v>
      </c>
      <c r="F383" s="6">
        <f t="shared" ref="F383" si="148">C383+E383+G383</f>
        <v>7356</v>
      </c>
      <c r="G383" s="6">
        <v>216</v>
      </c>
    </row>
    <row r="384" spans="1:10" x14ac:dyDescent="0.25">
      <c r="A384" s="67">
        <v>44608</v>
      </c>
      <c r="B384" s="6">
        <v>25</v>
      </c>
      <c r="C384" s="6">
        <f t="shared" ref="C384" si="149">C383+B384-D384</f>
        <v>47</v>
      </c>
      <c r="D384" s="6">
        <v>14</v>
      </c>
      <c r="E384" s="6">
        <v>7104</v>
      </c>
      <c r="F384" s="6">
        <f t="shared" ref="F384" si="150">C384+E384+G384</f>
        <v>7368</v>
      </c>
      <c r="G384" s="6">
        <v>217</v>
      </c>
    </row>
    <row r="385" spans="1:12" x14ac:dyDescent="0.25">
      <c r="A385" s="67">
        <v>44609</v>
      </c>
      <c r="B385" s="6">
        <v>32</v>
      </c>
      <c r="C385" s="6">
        <f t="shared" ref="C385" si="151">C384+B385-D385</f>
        <v>51</v>
      </c>
      <c r="D385" s="6">
        <v>28</v>
      </c>
      <c r="E385" s="6">
        <v>7180</v>
      </c>
      <c r="F385" s="6">
        <f t="shared" ref="F385" si="152">C385+E385+G385</f>
        <v>7407</v>
      </c>
      <c r="G385" s="6">
        <v>176</v>
      </c>
    </row>
    <row r="386" spans="1:12" x14ac:dyDescent="0.25">
      <c r="A386" s="67">
        <v>44610</v>
      </c>
      <c r="B386" s="6">
        <v>21</v>
      </c>
      <c r="C386" s="6">
        <f t="shared" ref="C386" si="153">C385+B386-D386</f>
        <v>51</v>
      </c>
      <c r="D386" s="6">
        <v>21</v>
      </c>
      <c r="E386" s="6">
        <v>7179</v>
      </c>
      <c r="F386" s="6">
        <f t="shared" ref="F386" si="154">C386+E386+G386</f>
        <v>7409</v>
      </c>
      <c r="G386" s="6">
        <v>179</v>
      </c>
    </row>
    <row r="387" spans="1:12" x14ac:dyDescent="0.25">
      <c r="A387" s="67">
        <v>44611</v>
      </c>
      <c r="B387" s="6">
        <v>22</v>
      </c>
      <c r="C387" s="6">
        <f t="shared" ref="C387" si="155">C386+B387-D387</f>
        <v>47</v>
      </c>
      <c r="D387" s="6">
        <v>26</v>
      </c>
      <c r="E387" s="6">
        <v>7180</v>
      </c>
      <c r="F387" s="6">
        <f t="shared" ref="F387" si="156">C387+E387+G387</f>
        <v>7422</v>
      </c>
      <c r="G387" s="6">
        <v>195</v>
      </c>
    </row>
    <row r="388" spans="1:12" x14ac:dyDescent="0.25">
      <c r="A388" s="67">
        <v>44612</v>
      </c>
      <c r="B388" s="6">
        <v>15</v>
      </c>
      <c r="C388" s="6">
        <f t="shared" ref="C388" si="157">C387+B388-D388</f>
        <v>42</v>
      </c>
      <c r="D388" s="6">
        <v>20</v>
      </c>
      <c r="E388" s="6">
        <v>7181</v>
      </c>
      <c r="F388" s="6">
        <f t="shared" ref="F388" si="158">C388+E388+G388</f>
        <v>7410</v>
      </c>
      <c r="G388" s="6">
        <v>187</v>
      </c>
    </row>
    <row r="389" spans="1:12" x14ac:dyDescent="0.25">
      <c r="A389" s="67">
        <v>44613</v>
      </c>
      <c r="B389" s="6">
        <v>0</v>
      </c>
      <c r="C389" s="6">
        <f t="shared" ref="C389" si="159">C388+B389-D389</f>
        <v>42</v>
      </c>
      <c r="D389" s="6">
        <v>0</v>
      </c>
      <c r="E389" s="6">
        <v>7181</v>
      </c>
      <c r="F389" s="6">
        <f t="shared" ref="F389" si="160">C389+E389+G389</f>
        <v>7410</v>
      </c>
      <c r="G389" s="6">
        <v>187</v>
      </c>
      <c r="L389" s="81"/>
    </row>
    <row r="390" spans="1:12" x14ac:dyDescent="0.25">
      <c r="A390" s="67">
        <v>44614</v>
      </c>
      <c r="B390" s="6">
        <v>45</v>
      </c>
      <c r="C390" s="6">
        <f t="shared" ref="C390" si="161">C389+B390-D390</f>
        <v>69</v>
      </c>
      <c r="D390" s="6">
        <v>18</v>
      </c>
      <c r="E390" s="6">
        <v>7205</v>
      </c>
      <c r="F390" s="6">
        <f t="shared" ref="F390" si="162">C390+E390+G390</f>
        <v>7438</v>
      </c>
      <c r="G390" s="6">
        <v>164</v>
      </c>
    </row>
    <row r="391" spans="1:12" x14ac:dyDescent="0.25">
      <c r="A391" s="67">
        <v>44615</v>
      </c>
      <c r="B391" s="6">
        <v>27</v>
      </c>
      <c r="C391" s="6">
        <f t="shared" ref="C391" si="163">C390+B391-D391</f>
        <v>56</v>
      </c>
      <c r="D391" s="6">
        <v>40</v>
      </c>
      <c r="E391" s="6">
        <v>7212</v>
      </c>
      <c r="F391" s="6">
        <f t="shared" ref="F391" si="164">C391+E391+G391</f>
        <v>7450</v>
      </c>
      <c r="G391" s="6">
        <v>182</v>
      </c>
      <c r="I391" s="88"/>
      <c r="J391" s="89"/>
      <c r="L391" s="81"/>
    </row>
    <row r="392" spans="1:12" x14ac:dyDescent="0.25">
      <c r="A392" s="67">
        <v>44616</v>
      </c>
      <c r="B392" s="6">
        <v>25</v>
      </c>
      <c r="C392" s="6">
        <f t="shared" ref="C392" si="165">C391+B392-D392</f>
        <v>74</v>
      </c>
      <c r="D392" s="6">
        <v>7</v>
      </c>
      <c r="E392" s="6">
        <v>7214</v>
      </c>
      <c r="F392" s="6">
        <f t="shared" ref="F392" si="166">C392+E392+G392</f>
        <v>7472</v>
      </c>
      <c r="G392" s="6">
        <v>184</v>
      </c>
      <c r="I392" s="88"/>
      <c r="J392" s="89"/>
      <c r="K392" s="81"/>
      <c r="L392" s="81"/>
    </row>
    <row r="393" spans="1:12" x14ac:dyDescent="0.25">
      <c r="A393" s="67">
        <v>44617</v>
      </c>
      <c r="B393" s="6">
        <v>21</v>
      </c>
      <c r="C393" s="6">
        <f t="shared" ref="C393" si="167">C392+B393-D393</f>
        <v>79</v>
      </c>
      <c r="D393" s="6">
        <v>16</v>
      </c>
      <c r="E393" s="6">
        <v>7223</v>
      </c>
      <c r="F393" s="6">
        <f t="shared" ref="F393" si="168">C393+E393+G393</f>
        <v>7470</v>
      </c>
      <c r="G393" s="6">
        <v>168</v>
      </c>
      <c r="I393" s="90"/>
      <c r="J393" s="89"/>
      <c r="K393" s="81"/>
      <c r="L393" s="81"/>
    </row>
    <row r="394" spans="1:12" x14ac:dyDescent="0.25">
      <c r="A394" s="67">
        <v>44618</v>
      </c>
      <c r="B394" s="6">
        <v>7</v>
      </c>
      <c r="C394" s="6">
        <f t="shared" ref="C394" si="169">C393+B394-D394</f>
        <v>63</v>
      </c>
      <c r="D394" s="6">
        <v>23</v>
      </c>
      <c r="E394" s="6">
        <v>7242</v>
      </c>
      <c r="F394" s="6">
        <f t="shared" ref="F394" si="170">C394+E394+G394</f>
        <v>7452</v>
      </c>
      <c r="G394" s="6">
        <v>147</v>
      </c>
      <c r="I394" s="91"/>
      <c r="J394" s="92"/>
    </row>
    <row r="395" spans="1:12" x14ac:dyDescent="0.25">
      <c r="A395" s="67">
        <v>44619</v>
      </c>
      <c r="B395" s="6">
        <v>7</v>
      </c>
      <c r="C395" s="6">
        <f t="shared" ref="C395" si="171">C394+B395-D395</f>
        <v>64</v>
      </c>
      <c r="D395" s="6">
        <v>6</v>
      </c>
      <c r="E395" s="6">
        <v>7249</v>
      </c>
      <c r="F395" s="6">
        <f t="shared" ref="F395" si="172">C395+E395+G395</f>
        <v>7470</v>
      </c>
      <c r="G395" s="6">
        <v>157</v>
      </c>
      <c r="I395" s="91"/>
      <c r="J395" s="92"/>
    </row>
    <row r="396" spans="1:12" x14ac:dyDescent="0.25">
      <c r="A396" s="67">
        <v>44620</v>
      </c>
      <c r="B396" s="6">
        <v>9</v>
      </c>
      <c r="C396" s="6">
        <f t="shared" ref="C396" si="173">C395+B396-D396</f>
        <v>44</v>
      </c>
      <c r="D396" s="6">
        <v>29</v>
      </c>
      <c r="E396" s="6">
        <v>7265</v>
      </c>
      <c r="F396" s="6">
        <f t="shared" ref="F396" si="174">C396+E396+G396</f>
        <v>7473</v>
      </c>
      <c r="G396" s="6">
        <v>164</v>
      </c>
      <c r="I396" s="91"/>
      <c r="J396" s="92"/>
    </row>
    <row r="397" spans="1:12" x14ac:dyDescent="0.25">
      <c r="A397" s="67">
        <v>44621</v>
      </c>
      <c r="B397" s="6">
        <v>23</v>
      </c>
      <c r="C397" s="6">
        <f t="shared" ref="C397" si="175">C396+B397-D397</f>
        <v>43</v>
      </c>
      <c r="D397" s="6">
        <v>24</v>
      </c>
      <c r="E397" s="6">
        <v>7292</v>
      </c>
      <c r="F397" s="6">
        <f t="shared" ref="F397" si="176">C397+E397+G397</f>
        <v>7487</v>
      </c>
      <c r="G397" s="6">
        <v>152</v>
      </c>
      <c r="I397" s="94"/>
      <c r="J397" s="95"/>
    </row>
    <row r="398" spans="1:12" x14ac:dyDescent="0.25">
      <c r="A398" s="67">
        <v>44622</v>
      </c>
      <c r="B398" s="6">
        <v>18</v>
      </c>
      <c r="C398" s="6">
        <f t="shared" ref="C398" si="177">C397+B398-D398</f>
        <v>57</v>
      </c>
      <c r="D398" s="6">
        <v>4</v>
      </c>
      <c r="E398" s="6">
        <v>7310</v>
      </c>
      <c r="F398" s="6">
        <f t="shared" ref="F398" si="178">C398+E398+G398</f>
        <v>7492</v>
      </c>
      <c r="G398" s="6">
        <v>125</v>
      </c>
      <c r="I398" s="91"/>
      <c r="J398" s="92"/>
    </row>
    <row r="399" spans="1:12" x14ac:dyDescent="0.25">
      <c r="A399" s="67">
        <v>44623</v>
      </c>
      <c r="B399" s="6">
        <v>0</v>
      </c>
      <c r="C399" s="6">
        <f t="shared" ref="C399" si="179">C398+B399-D399</f>
        <v>57</v>
      </c>
      <c r="D399" s="6">
        <v>0</v>
      </c>
      <c r="E399" s="6">
        <v>7310</v>
      </c>
      <c r="F399" s="6">
        <f t="shared" ref="F399" si="180">C399+E399+G399</f>
        <v>7493</v>
      </c>
      <c r="G399" s="6">
        <v>126</v>
      </c>
      <c r="I399" s="94"/>
      <c r="J399" s="95"/>
    </row>
    <row r="400" spans="1:12" x14ac:dyDescent="0.25">
      <c r="A400" s="67">
        <v>44624</v>
      </c>
      <c r="B400" s="6">
        <v>0</v>
      </c>
      <c r="C400" s="6">
        <f t="shared" ref="C400" si="181">C399+B400-D400</f>
        <v>57</v>
      </c>
      <c r="D400" s="6">
        <v>0</v>
      </c>
      <c r="E400" s="6">
        <v>7310</v>
      </c>
      <c r="F400" s="6">
        <f t="shared" ref="F400" si="182">C400+E400+G400</f>
        <v>7494</v>
      </c>
      <c r="G400" s="6">
        <v>127</v>
      </c>
    </row>
    <row r="401" spans="1:11" x14ac:dyDescent="0.25">
      <c r="A401" s="67">
        <v>44625</v>
      </c>
      <c r="B401" s="6">
        <v>0</v>
      </c>
      <c r="C401" s="6">
        <f t="shared" ref="C401" si="183">C400+B401-D401</f>
        <v>57</v>
      </c>
      <c r="D401" s="6">
        <v>0</v>
      </c>
      <c r="E401" s="6">
        <v>7310</v>
      </c>
      <c r="F401" s="6">
        <f t="shared" ref="F401" si="184">C401+E401+G401</f>
        <v>7495</v>
      </c>
      <c r="G401" s="6">
        <v>128</v>
      </c>
    </row>
    <row r="402" spans="1:11" x14ac:dyDescent="0.25">
      <c r="A402" s="67">
        <v>44626</v>
      </c>
      <c r="B402" s="6">
        <v>0</v>
      </c>
      <c r="C402" s="6">
        <f t="shared" ref="C402" si="185">C401+B402-D402</f>
        <v>57</v>
      </c>
      <c r="D402" s="6">
        <v>0</v>
      </c>
      <c r="E402" s="6">
        <v>7310</v>
      </c>
      <c r="F402" s="6">
        <f t="shared" ref="F402" si="186">C402+E402+G402</f>
        <v>7496</v>
      </c>
      <c r="G402" s="6">
        <v>129</v>
      </c>
    </row>
    <row r="403" spans="1:11" x14ac:dyDescent="0.25">
      <c r="A403" s="67">
        <v>44627</v>
      </c>
      <c r="B403" s="6">
        <v>0</v>
      </c>
      <c r="C403" s="6">
        <f t="shared" ref="C403" si="187">C402+B403-D403</f>
        <v>57</v>
      </c>
      <c r="D403" s="6">
        <v>0</v>
      </c>
      <c r="E403" s="6">
        <v>7310</v>
      </c>
      <c r="F403" s="6">
        <f t="shared" ref="F403" si="188">C403+E403+G403</f>
        <v>7497</v>
      </c>
      <c r="G403" s="6">
        <v>130</v>
      </c>
    </row>
    <row r="404" spans="1:11" x14ac:dyDescent="0.25">
      <c r="A404" s="67">
        <v>44628</v>
      </c>
      <c r="B404" s="6">
        <v>0</v>
      </c>
      <c r="C404" s="6">
        <f t="shared" ref="C404" si="189">C403+B404-D404</f>
        <v>57</v>
      </c>
      <c r="D404" s="6">
        <v>0</v>
      </c>
      <c r="E404" s="6">
        <v>7310</v>
      </c>
      <c r="F404" s="6">
        <f t="shared" ref="F404" si="190">C404+E404+G404</f>
        <v>7498</v>
      </c>
      <c r="G404" s="6">
        <v>131</v>
      </c>
    </row>
    <row r="405" spans="1:11" x14ac:dyDescent="0.25">
      <c r="A405" s="67">
        <v>44629</v>
      </c>
      <c r="B405" s="6">
        <v>0</v>
      </c>
      <c r="C405" s="6">
        <f t="shared" ref="C405" si="191">C404+B405-D405</f>
        <v>57</v>
      </c>
      <c r="D405" s="6">
        <v>0</v>
      </c>
      <c r="E405" s="6">
        <v>7310</v>
      </c>
      <c r="F405" s="6">
        <f t="shared" ref="F405" si="192">C405+E405+G405</f>
        <v>7499</v>
      </c>
      <c r="G405" s="6">
        <v>132</v>
      </c>
    </row>
    <row r="406" spans="1:11" x14ac:dyDescent="0.25">
      <c r="A406" s="67">
        <v>44630</v>
      </c>
      <c r="B406" s="6">
        <v>0</v>
      </c>
      <c r="C406" s="6">
        <f t="shared" ref="C406" si="193">C405+B406-D406</f>
        <v>57</v>
      </c>
      <c r="D406" s="6">
        <v>0</v>
      </c>
      <c r="E406" s="6">
        <v>7310</v>
      </c>
      <c r="F406" s="6">
        <f t="shared" ref="F406" si="194">C406+E406+G406</f>
        <v>7500</v>
      </c>
      <c r="G406" s="6">
        <v>133</v>
      </c>
      <c r="I406" s="88"/>
      <c r="J406" s="88"/>
      <c r="K406" s="89"/>
    </row>
    <row r="407" spans="1:11" x14ac:dyDescent="0.25">
      <c r="A407" s="67">
        <v>44631</v>
      </c>
      <c r="B407" s="6">
        <v>0</v>
      </c>
      <c r="C407" s="6">
        <f t="shared" ref="C407" si="195">C406+B407-D407</f>
        <v>57</v>
      </c>
      <c r="D407" s="6">
        <v>0</v>
      </c>
      <c r="E407" s="6">
        <v>7310</v>
      </c>
      <c r="F407" s="6">
        <f t="shared" ref="F407" si="196">C407+E407+G407</f>
        <v>7501</v>
      </c>
      <c r="G407" s="6">
        <v>134</v>
      </c>
      <c r="I407" s="90"/>
      <c r="J407" s="90"/>
      <c r="K407" s="89"/>
    </row>
    <row r="408" spans="1:11" x14ac:dyDescent="0.25">
      <c r="A408" s="67">
        <v>44632</v>
      </c>
      <c r="B408" s="6">
        <v>0</v>
      </c>
      <c r="C408" s="6">
        <f t="shared" ref="C408" si="197">C407+B408-D408</f>
        <v>57</v>
      </c>
      <c r="D408" s="6">
        <v>0</v>
      </c>
      <c r="E408" s="6">
        <v>7310</v>
      </c>
      <c r="F408" s="6">
        <f t="shared" ref="F408" si="198">C408+E408+G408</f>
        <v>7502</v>
      </c>
      <c r="G408" s="6">
        <v>135</v>
      </c>
      <c r="I408" s="88"/>
      <c r="J408" s="89"/>
      <c r="K408" s="92"/>
    </row>
    <row r="409" spans="1:11" x14ac:dyDescent="0.25">
      <c r="A409" s="67">
        <v>44633</v>
      </c>
      <c r="B409" s="6">
        <v>0</v>
      </c>
      <c r="C409" s="6">
        <f t="shared" ref="C409" si="199">C408+B409-D409</f>
        <v>57</v>
      </c>
      <c r="D409" s="6">
        <v>0</v>
      </c>
      <c r="E409" s="6">
        <v>7310</v>
      </c>
      <c r="F409" s="6">
        <f t="shared" ref="F409" si="200">C409+E409+G409</f>
        <v>7503</v>
      </c>
      <c r="G409" s="6">
        <v>136</v>
      </c>
      <c r="I409" s="90"/>
      <c r="J409" s="89"/>
      <c r="K409" s="92"/>
    </row>
    <row r="410" spans="1:11" x14ac:dyDescent="0.25">
      <c r="A410" s="67">
        <v>44634</v>
      </c>
      <c r="B410" s="6">
        <v>0</v>
      </c>
      <c r="C410" s="6">
        <f t="shared" ref="C410" si="201">C409+B410-D410</f>
        <v>57</v>
      </c>
      <c r="D410" s="6">
        <v>0</v>
      </c>
      <c r="E410" s="6">
        <v>7310</v>
      </c>
      <c r="F410" s="6">
        <f t="shared" ref="F410" si="202">C410+E410+G410</f>
        <v>7504</v>
      </c>
      <c r="G410" s="6">
        <v>137</v>
      </c>
      <c r="I410" s="88"/>
      <c r="J410" s="89"/>
      <c r="K410" s="92"/>
    </row>
    <row r="411" spans="1:11" x14ac:dyDescent="0.25">
      <c r="A411" s="67">
        <v>44635</v>
      </c>
      <c r="B411" s="6">
        <v>5</v>
      </c>
      <c r="C411" s="6">
        <f t="shared" ref="C411" si="203">C410+B411-D411</f>
        <v>8</v>
      </c>
      <c r="D411" s="6">
        <v>54</v>
      </c>
      <c r="E411" s="6">
        <v>7425</v>
      </c>
      <c r="F411" s="6">
        <f t="shared" ref="F411" si="204">C411+E411+G411</f>
        <v>7468</v>
      </c>
      <c r="G411" s="6">
        <v>35</v>
      </c>
      <c r="I411" s="88"/>
      <c r="J411" s="89"/>
      <c r="K411" s="95"/>
    </row>
    <row r="412" spans="1:11" x14ac:dyDescent="0.25">
      <c r="A412" s="67">
        <v>44636</v>
      </c>
      <c r="B412" s="6">
        <v>1</v>
      </c>
      <c r="C412" s="6">
        <f t="shared" ref="C412" si="205">C411+B412-D412</f>
        <v>6</v>
      </c>
      <c r="D412" s="6">
        <v>3</v>
      </c>
      <c r="E412" s="6">
        <v>7394</v>
      </c>
      <c r="F412" s="6">
        <f t="shared" ref="F412" si="206">C412+E412+G412</f>
        <v>7433</v>
      </c>
      <c r="G412" s="6">
        <v>33</v>
      </c>
      <c r="I412" s="90"/>
      <c r="J412" s="89"/>
    </row>
    <row r="413" spans="1:11" x14ac:dyDescent="0.25">
      <c r="A413" s="67">
        <v>44637</v>
      </c>
      <c r="B413" s="6">
        <v>1</v>
      </c>
      <c r="C413" s="6">
        <f t="shared" ref="C413" si="207">C412+B413-D413</f>
        <v>4</v>
      </c>
      <c r="D413" s="6">
        <v>3</v>
      </c>
      <c r="E413" s="6">
        <v>7387</v>
      </c>
      <c r="F413" s="6">
        <f t="shared" ref="F413" si="208">C413+E413+G413</f>
        <v>7419</v>
      </c>
      <c r="G413" s="6">
        <v>28</v>
      </c>
      <c r="I413" s="91"/>
      <c r="J413" s="92"/>
    </row>
    <row r="414" spans="1:11" x14ac:dyDescent="0.25">
      <c r="A414" s="67">
        <v>44638</v>
      </c>
      <c r="B414" s="6">
        <v>0</v>
      </c>
      <c r="C414" s="6">
        <f t="shared" ref="C414" si="209">C413+B414-D414</f>
        <v>3</v>
      </c>
      <c r="D414" s="6">
        <v>1</v>
      </c>
      <c r="E414" s="6">
        <v>7388</v>
      </c>
      <c r="F414" s="6">
        <f t="shared" ref="F414" si="210">C414+E414+G414</f>
        <v>7414</v>
      </c>
      <c r="G414" s="6">
        <v>23</v>
      </c>
      <c r="I414" s="91"/>
      <c r="J414" s="92"/>
    </row>
    <row r="415" spans="1:11" x14ac:dyDescent="0.25">
      <c r="A415" s="67">
        <v>44639</v>
      </c>
      <c r="B415" s="6">
        <v>0</v>
      </c>
      <c r="C415" s="6">
        <f t="shared" ref="C415" si="211">C414+B415-D415</f>
        <v>2</v>
      </c>
      <c r="D415" s="6">
        <v>1</v>
      </c>
      <c r="E415" s="6">
        <v>7381</v>
      </c>
      <c r="F415" s="6">
        <f t="shared" ref="F415" si="212">C415+E415+G415</f>
        <v>7405</v>
      </c>
      <c r="G415" s="6">
        <v>22</v>
      </c>
      <c r="I415" s="91"/>
      <c r="J415" s="92"/>
    </row>
    <row r="416" spans="1:11" x14ac:dyDescent="0.25">
      <c r="A416" s="67">
        <v>44640</v>
      </c>
      <c r="B416" s="6">
        <v>0</v>
      </c>
      <c r="C416" s="6">
        <f t="shared" ref="C416" si="213">C415+B416-D416</f>
        <v>2</v>
      </c>
      <c r="D416" s="6">
        <v>0</v>
      </c>
      <c r="E416" s="6">
        <v>7379</v>
      </c>
      <c r="F416" s="6">
        <f t="shared" ref="F416" si="214">C416+E416+G416</f>
        <v>7401</v>
      </c>
      <c r="G416" s="6">
        <v>20</v>
      </c>
      <c r="I416" s="94"/>
      <c r="J416" s="95"/>
    </row>
    <row r="417" spans="1:11" x14ac:dyDescent="0.25">
      <c r="A417" s="67">
        <v>44641</v>
      </c>
      <c r="B417" s="6">
        <v>2</v>
      </c>
      <c r="C417" s="6">
        <f t="shared" ref="C417" si="215">C416+B417-D417</f>
        <v>2</v>
      </c>
      <c r="D417" s="6">
        <v>2</v>
      </c>
      <c r="E417" s="6">
        <v>7372</v>
      </c>
      <c r="F417" s="6">
        <f t="shared" ref="F417" si="216">C417+E417+G417</f>
        <v>7396</v>
      </c>
      <c r="G417" s="6">
        <v>22</v>
      </c>
      <c r="I417" s="91"/>
      <c r="J417" s="95"/>
    </row>
    <row r="418" spans="1:11" x14ac:dyDescent="0.25">
      <c r="A418" s="67">
        <v>44642</v>
      </c>
      <c r="B418" s="6">
        <v>0</v>
      </c>
      <c r="C418" s="6">
        <f t="shared" ref="C418" si="217">C417+B418-D418</f>
        <v>1</v>
      </c>
      <c r="D418" s="6">
        <v>1</v>
      </c>
      <c r="E418" s="6">
        <v>7374</v>
      </c>
      <c r="F418" s="6">
        <f t="shared" ref="F418" si="218">C418+E418+G418</f>
        <v>7396</v>
      </c>
      <c r="G418" s="6">
        <v>21</v>
      </c>
      <c r="I418" s="88"/>
      <c r="J418" s="89"/>
    </row>
    <row r="419" spans="1:11" x14ac:dyDescent="0.25">
      <c r="A419" s="67">
        <v>44643</v>
      </c>
      <c r="B419" s="6">
        <v>0</v>
      </c>
      <c r="C419" s="6">
        <f t="shared" ref="C419" si="219">C418+B419-D419</f>
        <v>0</v>
      </c>
      <c r="D419" s="6">
        <v>1</v>
      </c>
      <c r="E419" s="6">
        <v>7378</v>
      </c>
      <c r="F419" s="6">
        <f t="shared" ref="F419" si="220">C419+E419+G419</f>
        <v>7392</v>
      </c>
      <c r="G419" s="6">
        <v>14</v>
      </c>
      <c r="I419" s="88"/>
      <c r="J419" s="89"/>
    </row>
    <row r="420" spans="1:11" x14ac:dyDescent="0.25">
      <c r="A420" s="67">
        <v>44644</v>
      </c>
      <c r="B420" s="6">
        <v>1</v>
      </c>
      <c r="C420" s="6">
        <f t="shared" ref="C420" si="221">C419+B420-D420</f>
        <v>1</v>
      </c>
      <c r="D420" s="6">
        <v>0</v>
      </c>
      <c r="E420" s="6">
        <v>7376</v>
      </c>
      <c r="F420" s="6">
        <f t="shared" ref="F420" si="222">C420+E420+G420</f>
        <v>7391</v>
      </c>
      <c r="G420" s="6">
        <v>14</v>
      </c>
      <c r="I420" s="90"/>
      <c r="J420" s="89"/>
    </row>
    <row r="421" spans="1:11" x14ac:dyDescent="0.25">
      <c r="A421" s="67">
        <v>44645</v>
      </c>
      <c r="B421" s="6">
        <v>2</v>
      </c>
      <c r="C421" s="6">
        <f t="shared" ref="C421" si="223">C420+B421-D421</f>
        <v>2</v>
      </c>
      <c r="D421" s="6">
        <v>1</v>
      </c>
      <c r="E421" s="6">
        <v>7376</v>
      </c>
      <c r="F421" s="6">
        <f t="shared" ref="F421" si="224">C421+E421+G421</f>
        <v>7389</v>
      </c>
      <c r="G421" s="6">
        <v>11</v>
      </c>
      <c r="I421" s="88"/>
      <c r="J421" s="89"/>
    </row>
    <row r="422" spans="1:11" x14ac:dyDescent="0.25">
      <c r="A422" s="67">
        <v>44646</v>
      </c>
      <c r="B422" s="6">
        <v>1</v>
      </c>
      <c r="C422" s="6">
        <f t="shared" ref="C422" si="225">C421+B422-D422</f>
        <v>3</v>
      </c>
      <c r="D422" s="6">
        <v>0</v>
      </c>
      <c r="E422" s="6">
        <v>7376</v>
      </c>
      <c r="F422" s="6">
        <f t="shared" ref="F422" si="226">C422+E422+G422</f>
        <v>7392</v>
      </c>
      <c r="G422" s="6">
        <v>13</v>
      </c>
      <c r="I422" s="88"/>
      <c r="J422" s="89"/>
    </row>
    <row r="423" spans="1:11" x14ac:dyDescent="0.25">
      <c r="A423" s="67">
        <v>44647</v>
      </c>
      <c r="B423" s="6">
        <v>0</v>
      </c>
      <c r="C423" s="6">
        <f t="shared" ref="C423" si="227">C422+B423-D423</f>
        <v>1</v>
      </c>
      <c r="D423" s="6">
        <v>2</v>
      </c>
      <c r="E423" s="6">
        <v>7376</v>
      </c>
      <c r="F423" s="6">
        <f t="shared" ref="F423" si="228">C423+E423+G423</f>
        <v>7389</v>
      </c>
      <c r="G423" s="6">
        <v>12</v>
      </c>
      <c r="I423" s="88"/>
      <c r="J423" s="89"/>
    </row>
    <row r="424" spans="1:11" x14ac:dyDescent="0.25">
      <c r="A424" s="67">
        <v>44648</v>
      </c>
      <c r="B424" s="6">
        <v>0</v>
      </c>
      <c r="C424" s="6">
        <f t="shared" ref="C424" si="229">C423+B424-D424</f>
        <v>1</v>
      </c>
      <c r="D424" s="6">
        <v>0</v>
      </c>
      <c r="E424" s="6">
        <v>7377</v>
      </c>
      <c r="F424" s="6">
        <f t="shared" ref="F424" si="230">C424+E424+G424</f>
        <v>7388</v>
      </c>
      <c r="G424" s="6">
        <v>10</v>
      </c>
      <c r="I424" s="90"/>
      <c r="J424" s="89"/>
    </row>
    <row r="425" spans="1:11" x14ac:dyDescent="0.25">
      <c r="A425" s="67">
        <v>44649</v>
      </c>
      <c r="B425" s="6">
        <v>1</v>
      </c>
      <c r="C425" s="6">
        <f t="shared" ref="C425" si="231">C424+B425-D425</f>
        <v>2</v>
      </c>
      <c r="D425" s="6">
        <v>0</v>
      </c>
      <c r="E425" s="6">
        <v>7382</v>
      </c>
      <c r="F425" s="6">
        <f t="shared" ref="F425" si="232">C425+E425+G425</f>
        <v>7389</v>
      </c>
      <c r="G425" s="6">
        <v>5</v>
      </c>
      <c r="I425" s="88"/>
      <c r="J425" s="88"/>
      <c r="K425" s="89"/>
    </row>
    <row r="426" spans="1:11" x14ac:dyDescent="0.25">
      <c r="A426" s="67">
        <v>44650</v>
      </c>
      <c r="B426" s="6">
        <v>0</v>
      </c>
      <c r="C426" s="6">
        <f t="shared" ref="C426" si="233">C425+B426-D426</f>
        <v>1</v>
      </c>
      <c r="D426" s="6">
        <v>1</v>
      </c>
      <c r="E426" s="6">
        <v>7380</v>
      </c>
      <c r="F426" s="6">
        <f t="shared" ref="F426" si="234">C426+E426+G426</f>
        <v>7388</v>
      </c>
      <c r="G426" s="6">
        <v>7</v>
      </c>
      <c r="I426" s="90"/>
      <c r="J426" s="90"/>
      <c r="K426" s="89"/>
    </row>
    <row r="427" spans="1:11" x14ac:dyDescent="0.25">
      <c r="A427" s="67">
        <v>44651</v>
      </c>
      <c r="B427" s="6">
        <v>0</v>
      </c>
      <c r="C427" s="6">
        <f t="shared" ref="C427" si="235">C426+B427-D427</f>
        <v>0</v>
      </c>
      <c r="D427" s="6">
        <v>1</v>
      </c>
      <c r="E427" s="6">
        <v>7385</v>
      </c>
      <c r="F427" s="6">
        <f t="shared" ref="F427" si="236">C427+E427+G427</f>
        <v>7388</v>
      </c>
      <c r="G427" s="6">
        <v>3</v>
      </c>
      <c r="I427" s="91"/>
      <c r="J427" s="91"/>
      <c r="K427" s="92"/>
    </row>
    <row r="428" spans="1:11" x14ac:dyDescent="0.25">
      <c r="A428" s="67">
        <v>44652</v>
      </c>
      <c r="B428" s="6">
        <v>0</v>
      </c>
      <c r="C428" s="6">
        <f t="shared" ref="C428" si="237">C427+B428-D428</f>
        <v>0</v>
      </c>
      <c r="D428" s="6">
        <v>0</v>
      </c>
      <c r="E428" s="6">
        <v>7385</v>
      </c>
      <c r="F428" s="6">
        <f t="shared" ref="F428" si="238">C428+E428+G428</f>
        <v>7388</v>
      </c>
      <c r="G428" s="6">
        <v>3</v>
      </c>
      <c r="I428" s="88"/>
      <c r="J428" s="89"/>
      <c r="K428" s="92"/>
    </row>
    <row r="429" spans="1:11" x14ac:dyDescent="0.25">
      <c r="A429" s="67">
        <v>44653</v>
      </c>
      <c r="B429" s="6">
        <v>2</v>
      </c>
      <c r="C429" s="6">
        <f t="shared" ref="C429" si="239">C428+B429-D429</f>
        <v>2</v>
      </c>
      <c r="D429" s="6">
        <v>0</v>
      </c>
      <c r="E429" s="6">
        <v>7385</v>
      </c>
      <c r="F429" s="6">
        <f t="shared" ref="F429" si="240">C429+E429+G429</f>
        <v>7392</v>
      </c>
      <c r="G429" s="6">
        <v>5</v>
      </c>
      <c r="I429" s="88"/>
      <c r="J429" s="89"/>
      <c r="K429" s="92"/>
    </row>
    <row r="430" spans="1:11" x14ac:dyDescent="0.25">
      <c r="A430" s="67">
        <v>44654</v>
      </c>
      <c r="B430" s="6">
        <v>0</v>
      </c>
      <c r="C430" s="6">
        <f t="shared" ref="C430" si="241">C429+B430-D430</f>
        <v>2</v>
      </c>
      <c r="D430" s="6">
        <v>0</v>
      </c>
      <c r="E430" s="6">
        <v>7385</v>
      </c>
      <c r="F430" s="6">
        <f t="shared" ref="F430" si="242">C430+E430+G430</f>
        <v>7392</v>
      </c>
      <c r="G430" s="6">
        <v>5</v>
      </c>
      <c r="I430" s="96"/>
      <c r="J430" s="97"/>
      <c r="K430" s="95"/>
    </row>
    <row r="431" spans="1:11" x14ac:dyDescent="0.25">
      <c r="A431" s="67">
        <v>44655</v>
      </c>
      <c r="B431" s="6">
        <v>1</v>
      </c>
      <c r="C431" s="6">
        <f t="shared" ref="C431" si="243">C430+B431-D431</f>
        <v>3</v>
      </c>
      <c r="D431" s="6">
        <v>0</v>
      </c>
      <c r="E431" s="6">
        <v>7385</v>
      </c>
      <c r="F431" s="6">
        <f t="shared" ref="F431" si="244">C431+E431+G431</f>
        <v>7393</v>
      </c>
      <c r="G431" s="6">
        <v>5</v>
      </c>
      <c r="I431" s="88"/>
      <c r="J431" s="89"/>
    </row>
    <row r="432" spans="1:11" x14ac:dyDescent="0.25">
      <c r="A432" s="67">
        <v>44656</v>
      </c>
      <c r="B432" s="6">
        <v>1</v>
      </c>
      <c r="C432" s="6">
        <f t="shared" ref="C432" si="245">C431+B432-D432</f>
        <v>3</v>
      </c>
      <c r="D432" s="6">
        <v>1</v>
      </c>
      <c r="E432" s="6">
        <v>7383</v>
      </c>
      <c r="F432" s="6">
        <f t="shared" ref="F432" si="246">C432+E432+G432</f>
        <v>7392</v>
      </c>
      <c r="G432" s="6">
        <v>6</v>
      </c>
      <c r="I432" s="90"/>
      <c r="J432" s="89"/>
    </row>
    <row r="433" spans="1:11" x14ac:dyDescent="0.25">
      <c r="A433" s="67">
        <v>44657</v>
      </c>
      <c r="B433" s="6">
        <v>1</v>
      </c>
      <c r="C433" s="6">
        <f t="shared" ref="C433" si="247">C432+B433-D433</f>
        <v>3</v>
      </c>
      <c r="D433" s="6">
        <v>1</v>
      </c>
      <c r="E433" s="6">
        <v>7384</v>
      </c>
      <c r="F433" s="6">
        <f t="shared" ref="F433" si="248">C433+E433+G433</f>
        <v>7392</v>
      </c>
      <c r="G433" s="6">
        <v>5</v>
      </c>
      <c r="I433" s="91"/>
      <c r="J433" s="92"/>
    </row>
    <row r="434" spans="1:11" x14ac:dyDescent="0.25">
      <c r="A434" s="67">
        <v>44658</v>
      </c>
      <c r="B434" s="6">
        <v>0</v>
      </c>
      <c r="C434" s="6">
        <f t="shared" ref="C434" si="249">C433+B434-D434</f>
        <v>1</v>
      </c>
      <c r="D434" s="6">
        <v>2</v>
      </c>
      <c r="E434" s="6">
        <v>7386</v>
      </c>
      <c r="F434" s="6">
        <f t="shared" ref="F434" si="250">C434+E434+G434</f>
        <v>7393</v>
      </c>
      <c r="G434" s="6">
        <v>6</v>
      </c>
      <c r="I434" s="88"/>
      <c r="J434" s="89"/>
    </row>
    <row r="435" spans="1:11" x14ac:dyDescent="0.25">
      <c r="A435" s="67">
        <v>44659</v>
      </c>
      <c r="B435" s="6">
        <v>1</v>
      </c>
      <c r="C435" s="6">
        <f t="shared" ref="C435" si="251">C434+B435-D435</f>
        <v>1</v>
      </c>
      <c r="D435" s="6">
        <v>1</v>
      </c>
      <c r="E435" s="6">
        <v>7387</v>
      </c>
      <c r="F435" s="6">
        <f t="shared" ref="F435" si="252">C435+E435+G435</f>
        <v>7394</v>
      </c>
      <c r="G435" s="6">
        <v>6</v>
      </c>
      <c r="I435" s="90"/>
      <c r="J435" s="89"/>
    </row>
    <row r="436" spans="1:11" x14ac:dyDescent="0.25">
      <c r="A436" s="67">
        <v>44660</v>
      </c>
      <c r="B436" s="6">
        <v>0</v>
      </c>
      <c r="C436" s="6">
        <f t="shared" ref="C436" si="253">C435+B436-D436</f>
        <v>0</v>
      </c>
      <c r="D436" s="6">
        <v>1</v>
      </c>
      <c r="E436" s="6">
        <v>7389</v>
      </c>
      <c r="F436" s="6">
        <f t="shared" ref="F436" si="254">C436+E436+G436</f>
        <v>7394</v>
      </c>
      <c r="G436" s="6">
        <v>5</v>
      </c>
      <c r="I436" s="88"/>
      <c r="J436" s="89"/>
    </row>
    <row r="437" spans="1:11" x14ac:dyDescent="0.25">
      <c r="A437" s="67">
        <v>44661</v>
      </c>
      <c r="B437" s="6">
        <v>0</v>
      </c>
      <c r="C437" s="6">
        <f t="shared" ref="C437" si="255">C436+B437-D437</f>
        <v>0</v>
      </c>
      <c r="D437" s="6">
        <v>0</v>
      </c>
      <c r="E437" s="6">
        <v>7389</v>
      </c>
      <c r="F437" s="6">
        <f t="shared" ref="F437" si="256">C437+E437+G437</f>
        <v>7394</v>
      </c>
      <c r="G437" s="6">
        <v>5</v>
      </c>
      <c r="I437" s="88"/>
      <c r="J437" s="89"/>
    </row>
    <row r="438" spans="1:11" x14ac:dyDescent="0.25">
      <c r="A438" s="67">
        <v>44662</v>
      </c>
      <c r="B438" s="6">
        <v>0</v>
      </c>
      <c r="C438" s="6">
        <f t="shared" ref="C438" si="257">C437+B438-D438</f>
        <v>0</v>
      </c>
      <c r="D438" s="6">
        <v>0</v>
      </c>
      <c r="E438" s="6">
        <v>7389</v>
      </c>
      <c r="F438" s="6">
        <f t="shared" ref="F438" si="258">C438+E438+G438</f>
        <v>7394</v>
      </c>
      <c r="G438" s="6">
        <v>5</v>
      </c>
      <c r="I438" s="90"/>
      <c r="J438" s="88"/>
      <c r="K438" s="89"/>
    </row>
    <row r="439" spans="1:11" x14ac:dyDescent="0.25">
      <c r="A439" s="67">
        <v>44663</v>
      </c>
      <c r="B439" s="6">
        <v>0</v>
      </c>
      <c r="C439" s="6">
        <f t="shared" ref="C439" si="259">C438+B439-D439</f>
        <v>0</v>
      </c>
      <c r="D439" s="6">
        <v>0</v>
      </c>
      <c r="E439" s="6">
        <v>7387</v>
      </c>
      <c r="F439" s="6">
        <f t="shared" ref="F439" si="260">C439+E439+G439</f>
        <v>7391</v>
      </c>
      <c r="G439" s="6">
        <v>4</v>
      </c>
      <c r="I439" s="91"/>
      <c r="J439" s="90"/>
      <c r="K439" s="89"/>
    </row>
    <row r="440" spans="1:11" x14ac:dyDescent="0.25">
      <c r="A440" s="67">
        <v>44664</v>
      </c>
      <c r="B440" s="6">
        <v>0</v>
      </c>
      <c r="C440" s="6">
        <f t="shared" ref="C440" si="261">C439+B440-D440</f>
        <v>0</v>
      </c>
      <c r="D440" s="6">
        <v>0</v>
      </c>
      <c r="E440" s="6">
        <v>7387</v>
      </c>
      <c r="F440" s="6">
        <f t="shared" ref="F440" si="262">C440+E440+G440</f>
        <v>7391</v>
      </c>
      <c r="G440" s="6">
        <v>4</v>
      </c>
      <c r="I440" s="91"/>
      <c r="J440" s="91"/>
      <c r="K440" s="92"/>
    </row>
    <row r="441" spans="1:11" x14ac:dyDescent="0.25">
      <c r="A441" s="67">
        <v>44665</v>
      </c>
      <c r="B441" s="6">
        <v>0</v>
      </c>
      <c r="C441" s="6">
        <f t="shared" ref="C441" si="263">C440+B441-D441</f>
        <v>0</v>
      </c>
      <c r="D441" s="6">
        <v>0</v>
      </c>
      <c r="E441" s="6">
        <v>7388</v>
      </c>
      <c r="F441" s="6">
        <f t="shared" ref="F441" si="264">C441+E441+G441</f>
        <v>7391</v>
      </c>
      <c r="G441" s="6">
        <v>3</v>
      </c>
      <c r="I441" s="88"/>
      <c r="J441" s="89"/>
      <c r="K441" s="92"/>
    </row>
    <row r="442" spans="1:11" x14ac:dyDescent="0.25">
      <c r="A442" s="67">
        <v>44666</v>
      </c>
      <c r="B442" s="6">
        <v>0</v>
      </c>
      <c r="C442" s="6">
        <f t="shared" ref="C442" si="265">C441+B442-D442</f>
        <v>0</v>
      </c>
      <c r="D442" s="6">
        <v>0</v>
      </c>
      <c r="E442" s="6">
        <v>7389</v>
      </c>
      <c r="F442" s="6">
        <f t="shared" ref="F442" si="266">C442+E442+G442</f>
        <v>7434</v>
      </c>
      <c r="G442" s="6">
        <v>45</v>
      </c>
      <c r="I442" s="88"/>
      <c r="J442" s="89"/>
      <c r="K442" s="95"/>
    </row>
    <row r="443" spans="1:11" x14ac:dyDescent="0.25">
      <c r="A443" s="67">
        <v>44667</v>
      </c>
      <c r="B443" s="6">
        <v>0</v>
      </c>
      <c r="C443" s="6">
        <f t="shared" ref="C443" si="267">C442+B443-D443</f>
        <v>0</v>
      </c>
      <c r="D443" s="6">
        <v>0</v>
      </c>
      <c r="E443" s="6">
        <v>7390</v>
      </c>
      <c r="F443" s="6">
        <f t="shared" ref="F443" si="268">C443+E443+G443</f>
        <v>7434</v>
      </c>
      <c r="G443" s="6">
        <v>44</v>
      </c>
      <c r="I443" s="88"/>
      <c r="J443" s="89"/>
    </row>
    <row r="444" spans="1:11" x14ac:dyDescent="0.25">
      <c r="A444" s="67">
        <v>44668</v>
      </c>
      <c r="B444" s="6">
        <v>0</v>
      </c>
      <c r="C444" s="6">
        <f t="shared" ref="C444" si="269">C443+B444-D444</f>
        <v>0</v>
      </c>
      <c r="D444" s="6">
        <v>0</v>
      </c>
      <c r="E444" s="6">
        <v>7389</v>
      </c>
      <c r="F444" s="6">
        <f t="shared" ref="F444" si="270">C444+E444+G444</f>
        <v>7434</v>
      </c>
      <c r="G444" s="6">
        <v>45</v>
      </c>
      <c r="I444" s="88"/>
      <c r="J444" s="89"/>
    </row>
    <row r="445" spans="1:11" x14ac:dyDescent="0.25">
      <c r="A445" s="67">
        <v>44669</v>
      </c>
      <c r="B445" s="6">
        <v>0</v>
      </c>
      <c r="C445" s="6">
        <f t="shared" ref="C445" si="271">C444+B445-D445</f>
        <v>0</v>
      </c>
      <c r="D445" s="6">
        <v>0</v>
      </c>
      <c r="E445" s="6">
        <v>7389</v>
      </c>
      <c r="F445" s="6">
        <f t="shared" ref="F445" si="272">C445+E445+G445</f>
        <v>7434</v>
      </c>
      <c r="G445" s="6">
        <v>45</v>
      </c>
      <c r="I445" s="90"/>
      <c r="J445" s="89"/>
    </row>
    <row r="446" spans="1:11" x14ac:dyDescent="0.25">
      <c r="A446" s="67">
        <v>44670</v>
      </c>
      <c r="B446" s="6">
        <v>0</v>
      </c>
      <c r="C446" s="6">
        <f t="shared" ref="C446" si="273">C445+B446-D446</f>
        <v>0</v>
      </c>
      <c r="D446" s="6">
        <v>0</v>
      </c>
      <c r="E446" s="6">
        <v>7388</v>
      </c>
      <c r="F446" s="6">
        <f t="shared" ref="F446" si="274">C446+E446+G446</f>
        <v>7434</v>
      </c>
      <c r="G446" s="6">
        <v>46</v>
      </c>
      <c r="I446" s="88"/>
      <c r="J446" s="89"/>
    </row>
    <row r="447" spans="1:11" x14ac:dyDescent="0.25">
      <c r="A447" s="67">
        <v>44671</v>
      </c>
      <c r="B447" s="6">
        <v>0</v>
      </c>
      <c r="C447" s="6">
        <f t="shared" ref="C447" si="275">C446+B447-D447</f>
        <v>0</v>
      </c>
      <c r="D447" s="6">
        <v>0</v>
      </c>
      <c r="E447" s="6">
        <v>7388</v>
      </c>
      <c r="F447" s="6">
        <f t="shared" ref="F447" si="276">C447+E447+G447</f>
        <v>7434</v>
      </c>
      <c r="G447" s="6">
        <v>46</v>
      </c>
      <c r="I447" s="88"/>
      <c r="J447" s="89"/>
    </row>
    <row r="448" spans="1:11" x14ac:dyDescent="0.25">
      <c r="A448" s="67">
        <v>44672</v>
      </c>
      <c r="B448" s="6">
        <v>1</v>
      </c>
      <c r="C448" s="6">
        <f t="shared" ref="C448" si="277">C447+B448-D448</f>
        <v>1</v>
      </c>
      <c r="D448" s="6">
        <v>0</v>
      </c>
      <c r="E448" s="6">
        <v>7389</v>
      </c>
      <c r="F448" s="6">
        <f t="shared" ref="F448" si="278">C448+E448+G448</f>
        <v>7473</v>
      </c>
      <c r="G448" s="6">
        <v>83</v>
      </c>
    </row>
    <row r="449" spans="1:11" x14ac:dyDescent="0.25">
      <c r="A449" s="67">
        <v>44673</v>
      </c>
      <c r="B449" s="6">
        <v>0</v>
      </c>
      <c r="C449" s="6">
        <f t="shared" ref="C449" si="279">C448+B449-D449</f>
        <v>0</v>
      </c>
      <c r="D449" s="6">
        <v>1</v>
      </c>
      <c r="E449" s="6">
        <v>7390</v>
      </c>
      <c r="F449" s="6">
        <f t="shared" ref="F449" si="280">C449+E449+G449</f>
        <v>7479</v>
      </c>
      <c r="G449" s="6">
        <v>89</v>
      </c>
    </row>
    <row r="450" spans="1:11" x14ac:dyDescent="0.25">
      <c r="A450" s="67">
        <v>44674</v>
      </c>
      <c r="B450" s="6">
        <v>0</v>
      </c>
      <c r="C450" s="6">
        <f t="shared" ref="C450" si="281">C449+B450-D450</f>
        <v>0</v>
      </c>
      <c r="D450" s="6">
        <v>0</v>
      </c>
      <c r="E450" s="6">
        <v>7391</v>
      </c>
      <c r="F450" s="6">
        <f t="shared" ref="F450" si="282">C450+E450+G450</f>
        <v>7479</v>
      </c>
      <c r="G450" s="6">
        <v>88</v>
      </c>
    </row>
    <row r="451" spans="1:11" x14ac:dyDescent="0.25">
      <c r="A451" s="67">
        <v>44675</v>
      </c>
      <c r="B451" s="6">
        <v>1</v>
      </c>
      <c r="C451" s="6">
        <f t="shared" ref="C451" si="283">C450+B451-D451</f>
        <v>1</v>
      </c>
      <c r="D451" s="6">
        <v>0</v>
      </c>
      <c r="E451" s="6">
        <v>7391</v>
      </c>
      <c r="F451" s="6">
        <f t="shared" ref="F451" si="284">C451+E451+G451</f>
        <v>7479</v>
      </c>
      <c r="G451" s="6">
        <v>87</v>
      </c>
    </row>
    <row r="452" spans="1:11" x14ac:dyDescent="0.25">
      <c r="A452" s="67">
        <v>44676</v>
      </c>
      <c r="B452" s="6">
        <v>0</v>
      </c>
      <c r="C452" s="6">
        <f t="shared" ref="C452" si="285">C451+B452-D452</f>
        <v>1</v>
      </c>
      <c r="D452" s="6">
        <v>0</v>
      </c>
      <c r="E452" s="6">
        <v>7401</v>
      </c>
      <c r="F452" s="6">
        <f t="shared" ref="F452" si="286">C452+E452+G452</f>
        <v>7479</v>
      </c>
      <c r="G452" s="6">
        <v>77</v>
      </c>
    </row>
    <row r="453" spans="1:11" x14ac:dyDescent="0.25">
      <c r="A453" s="67">
        <v>44677</v>
      </c>
      <c r="B453" s="6">
        <v>0</v>
      </c>
      <c r="C453" s="6">
        <f t="shared" ref="C453" si="287">C452+B453-D453</f>
        <v>0</v>
      </c>
      <c r="D453" s="6">
        <v>1</v>
      </c>
      <c r="E453" s="6">
        <v>7412</v>
      </c>
      <c r="F453" s="6">
        <f t="shared" ref="F453" si="288">C453+E453+G453</f>
        <v>7479</v>
      </c>
      <c r="G453" s="6">
        <v>67</v>
      </c>
    </row>
    <row r="454" spans="1:11" x14ac:dyDescent="0.25">
      <c r="A454" s="67">
        <v>44678</v>
      </c>
      <c r="B454" s="6">
        <v>0</v>
      </c>
      <c r="C454" s="6">
        <f t="shared" ref="C454" si="289">C453+B454-D454</f>
        <v>0</v>
      </c>
      <c r="D454" s="6">
        <v>0</v>
      </c>
      <c r="E454" s="6">
        <v>7425</v>
      </c>
      <c r="F454" s="6">
        <f t="shared" ref="F454" si="290">C454+E454+G454</f>
        <v>7499</v>
      </c>
      <c r="G454" s="6">
        <v>74</v>
      </c>
      <c r="K454" s="82"/>
    </row>
    <row r="455" spans="1:11" x14ac:dyDescent="0.25">
      <c r="A455" s="67">
        <v>44679</v>
      </c>
      <c r="B455" s="6">
        <v>4</v>
      </c>
      <c r="C455" s="6">
        <f t="shared" ref="C455" si="291">C454+B455-D455</f>
        <v>4</v>
      </c>
      <c r="D455" s="6">
        <v>0</v>
      </c>
      <c r="E455" s="6">
        <v>7434</v>
      </c>
      <c r="F455" s="6">
        <f t="shared" ref="F455" si="292">C455+E455+G455</f>
        <v>7511</v>
      </c>
      <c r="G455" s="6">
        <v>73</v>
      </c>
      <c r="K455" s="98"/>
    </row>
    <row r="456" spans="1:11" x14ac:dyDescent="0.25">
      <c r="A456" s="67">
        <v>44680</v>
      </c>
      <c r="B456" s="6">
        <v>0</v>
      </c>
      <c r="C456" s="6">
        <f t="shared" ref="C456" si="293">C455+B456-D456</f>
        <v>4</v>
      </c>
      <c r="D456" s="6">
        <v>0</v>
      </c>
      <c r="E456" s="6">
        <v>7434</v>
      </c>
      <c r="F456" s="6">
        <f t="shared" ref="F456" si="294">C456+E456+G456</f>
        <v>7511</v>
      </c>
      <c r="G456" s="6">
        <v>73</v>
      </c>
      <c r="K456" s="85"/>
    </row>
    <row r="457" spans="1:11" x14ac:dyDescent="0.25">
      <c r="A457" s="67">
        <v>44681</v>
      </c>
      <c r="B457" s="6">
        <v>0</v>
      </c>
      <c r="C457" s="6">
        <f t="shared" ref="C457" si="295">C456+B457-D457</f>
        <v>0</v>
      </c>
      <c r="D457" s="6">
        <v>4</v>
      </c>
      <c r="E457" s="6">
        <v>7440</v>
      </c>
      <c r="F457" s="6">
        <f t="shared" ref="F457" si="296">C457+E457+G457</f>
        <v>7513</v>
      </c>
      <c r="G457" s="6">
        <v>73</v>
      </c>
      <c r="K457" s="85"/>
    </row>
    <row r="458" spans="1:11" x14ac:dyDescent="0.25">
      <c r="A458" s="67">
        <v>44682</v>
      </c>
      <c r="B458" s="6">
        <v>0</v>
      </c>
      <c r="C458" s="6">
        <f t="shared" ref="C458" si="297">C457+B458-D458</f>
        <v>0</v>
      </c>
      <c r="D458" s="6">
        <v>0</v>
      </c>
      <c r="E458" s="6">
        <v>7439</v>
      </c>
      <c r="F458" s="6">
        <f t="shared" ref="F458" si="298">C458+E458+G458</f>
        <v>7512</v>
      </c>
      <c r="G458" s="6">
        <v>73</v>
      </c>
      <c r="K458" s="87"/>
    </row>
    <row r="459" spans="1:11" x14ac:dyDescent="0.25">
      <c r="A459" s="67">
        <v>44683</v>
      </c>
      <c r="B459" s="6">
        <v>0</v>
      </c>
      <c r="C459" s="6">
        <f t="shared" ref="C459" si="299">C458+B459-D459</f>
        <v>0</v>
      </c>
      <c r="D459" s="6">
        <v>0</v>
      </c>
      <c r="E459" s="6">
        <v>7448</v>
      </c>
      <c r="F459" s="6">
        <f t="shared" ref="F459" si="300">C459+E459+G459</f>
        <v>7512</v>
      </c>
      <c r="G459" s="6">
        <v>64</v>
      </c>
    </row>
    <row r="460" spans="1:11" x14ac:dyDescent="0.25">
      <c r="A460" s="67">
        <v>44684</v>
      </c>
      <c r="B460" s="6">
        <v>0</v>
      </c>
      <c r="C460" s="6">
        <f t="shared" ref="C460" si="301">C459+B460-D460</f>
        <v>0</v>
      </c>
      <c r="D460" s="6">
        <v>0</v>
      </c>
      <c r="E460" s="6">
        <v>7463</v>
      </c>
      <c r="F460" s="6">
        <f t="shared" ref="F460" si="302">C460+E460+G460</f>
        <v>7512</v>
      </c>
      <c r="G460" s="6">
        <v>49</v>
      </c>
    </row>
    <row r="461" spans="1:11" x14ac:dyDescent="0.25">
      <c r="A461" s="67">
        <v>44685</v>
      </c>
      <c r="B461" s="6">
        <v>1</v>
      </c>
      <c r="C461" s="6">
        <f t="shared" ref="C461:C463" si="303">C460+B461-D461</f>
        <v>1</v>
      </c>
      <c r="D461" s="6">
        <v>0</v>
      </c>
      <c r="E461" s="6">
        <v>7472</v>
      </c>
      <c r="F461" s="6">
        <f t="shared" ref="F461" si="304">C461+E461+G461</f>
        <v>7513</v>
      </c>
      <c r="G461" s="6">
        <v>40</v>
      </c>
    </row>
    <row r="462" spans="1:11" x14ac:dyDescent="0.25">
      <c r="A462" s="67">
        <v>44686</v>
      </c>
      <c r="B462" s="6">
        <v>0</v>
      </c>
      <c r="C462" s="6">
        <f t="shared" si="303"/>
        <v>1</v>
      </c>
      <c r="D462" s="6">
        <v>0</v>
      </c>
      <c r="E462" s="6">
        <v>7472</v>
      </c>
      <c r="F462" s="6">
        <f t="shared" ref="F462" si="305">C462+E462+G462</f>
        <v>7513</v>
      </c>
      <c r="G462" s="6">
        <v>40</v>
      </c>
    </row>
    <row r="463" spans="1:11" x14ac:dyDescent="0.25">
      <c r="A463" s="67">
        <v>44687</v>
      </c>
      <c r="B463" s="6">
        <v>0</v>
      </c>
      <c r="C463" s="6">
        <f t="shared" si="303"/>
        <v>0</v>
      </c>
      <c r="D463" s="6">
        <v>1</v>
      </c>
      <c r="E463" s="6">
        <v>7482</v>
      </c>
      <c r="F463" s="6">
        <f t="shared" ref="F463" si="306">C463+E463+G463</f>
        <v>7512</v>
      </c>
      <c r="G463" s="6">
        <v>30</v>
      </c>
    </row>
    <row r="464" spans="1:11" x14ac:dyDescent="0.25">
      <c r="A464" s="67">
        <v>44688</v>
      </c>
      <c r="B464" s="6">
        <v>2</v>
      </c>
      <c r="C464" s="6">
        <f t="shared" ref="C464" si="307">C463+B464-D464</f>
        <v>2</v>
      </c>
      <c r="D464" s="6">
        <v>0</v>
      </c>
      <c r="E464" s="6">
        <v>7481</v>
      </c>
      <c r="F464" s="6">
        <f t="shared" ref="F464" si="308">C464+E464+G464</f>
        <v>7514</v>
      </c>
      <c r="G464" s="6">
        <v>31</v>
      </c>
    </row>
    <row r="465" spans="1:7" x14ac:dyDescent="0.25">
      <c r="A465" s="67">
        <v>44689</v>
      </c>
      <c r="B465" s="6">
        <v>0</v>
      </c>
      <c r="C465" s="6">
        <f t="shared" ref="C465" si="309">C464+B465-D465</f>
        <v>1</v>
      </c>
      <c r="D465" s="6">
        <v>1</v>
      </c>
      <c r="E465" s="6">
        <v>7481</v>
      </c>
      <c r="F465" s="6">
        <f t="shared" ref="F465" si="310">C465+E465+G465</f>
        <v>7513</v>
      </c>
      <c r="G465" s="6">
        <v>31</v>
      </c>
    </row>
    <row r="466" spans="1:7" x14ac:dyDescent="0.25">
      <c r="A466" s="67">
        <v>44690</v>
      </c>
      <c r="B466" s="6">
        <v>0</v>
      </c>
      <c r="C466" s="6">
        <f t="shared" ref="C466" si="311">C465+B466-D466</f>
        <v>1</v>
      </c>
      <c r="D466" s="6">
        <v>0</v>
      </c>
      <c r="E466" s="6">
        <v>7491</v>
      </c>
      <c r="F466" s="6">
        <f t="shared" ref="F466" si="312">C466+E466+G466</f>
        <v>7512</v>
      </c>
      <c r="G466" s="6">
        <v>20</v>
      </c>
    </row>
    <row r="467" spans="1:7" x14ac:dyDescent="0.25">
      <c r="A467" s="67">
        <v>44691</v>
      </c>
      <c r="B467" s="6">
        <v>0</v>
      </c>
      <c r="C467" s="6">
        <f t="shared" ref="C467" si="313">C466+B467-D467</f>
        <v>1</v>
      </c>
      <c r="D467" s="6">
        <v>0</v>
      </c>
      <c r="E467" s="6">
        <v>7502</v>
      </c>
      <c r="F467" s="6">
        <f t="shared" ref="F467" si="314">C467+E467+G467</f>
        <v>7513</v>
      </c>
      <c r="G467" s="6">
        <v>10</v>
      </c>
    </row>
    <row r="468" spans="1:7" x14ac:dyDescent="0.25">
      <c r="A468" s="67">
        <v>44692</v>
      </c>
      <c r="B468" s="6">
        <v>1</v>
      </c>
      <c r="C468" s="6">
        <f t="shared" ref="C468" si="315">C467+B468-D468</f>
        <v>2</v>
      </c>
      <c r="D468" s="6">
        <v>0</v>
      </c>
      <c r="E468" s="6">
        <v>7505</v>
      </c>
      <c r="F468" s="6">
        <f t="shared" ref="F468" si="316">C468+E468+G468</f>
        <v>7532</v>
      </c>
      <c r="G468" s="6">
        <v>25</v>
      </c>
    </row>
    <row r="469" spans="1:7" x14ac:dyDescent="0.25">
      <c r="A469" s="67">
        <v>44693</v>
      </c>
      <c r="B469" s="6">
        <v>0</v>
      </c>
      <c r="C469" s="6">
        <f t="shared" ref="C469" si="317">C468+B469-D469</f>
        <v>2</v>
      </c>
      <c r="D469" s="6">
        <v>0</v>
      </c>
      <c r="E469" s="6">
        <v>7510</v>
      </c>
      <c r="F469" s="6">
        <f t="shared" ref="F469" si="318">C469+E469+G469</f>
        <v>7537</v>
      </c>
      <c r="G469" s="6">
        <v>25</v>
      </c>
    </row>
    <row r="470" spans="1:7" x14ac:dyDescent="0.25">
      <c r="A470" s="67">
        <v>44694</v>
      </c>
      <c r="B470" s="6">
        <v>0</v>
      </c>
      <c r="C470" s="6">
        <f t="shared" ref="C470" si="319">C469+B470-D470</f>
        <v>1</v>
      </c>
      <c r="D470" s="6">
        <v>1</v>
      </c>
      <c r="E470" s="6">
        <v>7511</v>
      </c>
      <c r="F470" s="6">
        <f t="shared" ref="F470" si="320">C470+E470+G470</f>
        <v>7561</v>
      </c>
      <c r="G470" s="6">
        <v>49</v>
      </c>
    </row>
    <row r="471" spans="1:7" x14ac:dyDescent="0.25">
      <c r="A471" s="67">
        <v>44695</v>
      </c>
      <c r="B471" s="6">
        <v>0</v>
      </c>
      <c r="C471" s="6">
        <f t="shared" ref="C471" si="321">C470+B471-D471</f>
        <v>1</v>
      </c>
      <c r="D471" s="6">
        <v>0</v>
      </c>
      <c r="E471" s="6">
        <v>7511</v>
      </c>
      <c r="F471" s="6">
        <f t="shared" ref="F471" si="322">C471+E471+G471</f>
        <v>7562</v>
      </c>
      <c r="G471" s="6">
        <v>50</v>
      </c>
    </row>
    <row r="472" spans="1:7" x14ac:dyDescent="0.25">
      <c r="A472" s="67">
        <v>44696</v>
      </c>
      <c r="B472" s="6">
        <v>1</v>
      </c>
      <c r="C472" s="6">
        <f t="shared" ref="C472" si="323">C471+B472-D472</f>
        <v>1</v>
      </c>
      <c r="D472" s="6">
        <v>1</v>
      </c>
      <c r="E472" s="6">
        <v>7511</v>
      </c>
      <c r="F472" s="6">
        <f t="shared" ref="F472" si="324">C472+E472+G472</f>
        <v>7561</v>
      </c>
      <c r="G472" s="6">
        <v>49</v>
      </c>
    </row>
    <row r="473" spans="1:7" x14ac:dyDescent="0.25">
      <c r="A473" s="67">
        <v>44697</v>
      </c>
      <c r="B473" s="6">
        <v>0</v>
      </c>
      <c r="C473" s="6">
        <f t="shared" ref="C473" si="325">C472+B473-D473</f>
        <v>1</v>
      </c>
      <c r="D473" s="6">
        <v>0</v>
      </c>
      <c r="E473" s="6">
        <v>7510</v>
      </c>
      <c r="F473" s="6">
        <f t="shared" ref="F473" si="326">C473+E473+G473</f>
        <v>7560</v>
      </c>
      <c r="G473" s="6">
        <v>49</v>
      </c>
    </row>
    <row r="474" spans="1:7" x14ac:dyDescent="0.25">
      <c r="A474" s="67">
        <v>44698</v>
      </c>
      <c r="B474" s="6">
        <v>1</v>
      </c>
      <c r="C474" s="6">
        <f t="shared" ref="C474" si="327">C473+B474-D474</f>
        <v>2</v>
      </c>
      <c r="D474" s="6">
        <v>0</v>
      </c>
      <c r="E474" s="6">
        <v>7510</v>
      </c>
      <c r="F474" s="6">
        <f t="shared" ref="F474" si="328">C474+E474+G474</f>
        <v>7566</v>
      </c>
      <c r="G474" s="6">
        <v>54</v>
      </c>
    </row>
    <row r="475" spans="1:7" x14ac:dyDescent="0.25">
      <c r="A475" s="67">
        <v>44699</v>
      </c>
      <c r="B475" s="6">
        <v>0</v>
      </c>
      <c r="C475" s="6">
        <f t="shared" ref="C475" si="329">C474+B475-D475</f>
        <v>2</v>
      </c>
      <c r="D475" s="6">
        <v>0</v>
      </c>
      <c r="E475" s="6">
        <v>7510</v>
      </c>
      <c r="F475" s="6">
        <f t="shared" ref="F475" si="330">C475+E475+G475</f>
        <v>7582</v>
      </c>
      <c r="G475" s="6">
        <v>70</v>
      </c>
    </row>
    <row r="476" spans="1:7" x14ac:dyDescent="0.25">
      <c r="A476" s="67">
        <v>44700</v>
      </c>
      <c r="B476" s="6">
        <v>1</v>
      </c>
      <c r="C476" s="6">
        <f t="shared" ref="C476" si="331">C475+B476-D476</f>
        <v>2</v>
      </c>
      <c r="D476" s="6">
        <v>1</v>
      </c>
      <c r="E476" s="6">
        <v>7511</v>
      </c>
      <c r="F476" s="6">
        <f t="shared" ref="F476" si="332">C476+E476+G476</f>
        <v>7589</v>
      </c>
      <c r="G476" s="6">
        <v>76</v>
      </c>
    </row>
    <row r="477" spans="1:7" x14ac:dyDescent="0.25">
      <c r="A477" s="67">
        <v>44701</v>
      </c>
      <c r="B477" s="6">
        <v>0</v>
      </c>
      <c r="C477" s="6">
        <f t="shared" ref="C477" si="333">C476+B477-D477</f>
        <v>2</v>
      </c>
      <c r="D477" s="6">
        <v>0</v>
      </c>
      <c r="E477" s="6">
        <v>7510</v>
      </c>
      <c r="F477" s="6">
        <f t="shared" ref="F477" si="334">C477+E477+G477</f>
        <v>7589</v>
      </c>
      <c r="G477" s="6">
        <v>77</v>
      </c>
    </row>
    <row r="478" spans="1:7" x14ac:dyDescent="0.25">
      <c r="A478" s="67">
        <v>44702</v>
      </c>
      <c r="B478" s="6">
        <v>0</v>
      </c>
      <c r="C478" s="6">
        <f t="shared" ref="C478" si="335">C477+B478-D478</f>
        <v>2</v>
      </c>
      <c r="D478" s="6">
        <v>0</v>
      </c>
      <c r="E478" s="6">
        <v>7511</v>
      </c>
      <c r="F478" s="6">
        <f t="shared" ref="F478" si="336">C478+E478+G478</f>
        <v>7607</v>
      </c>
      <c r="G478" s="6">
        <v>94</v>
      </c>
    </row>
    <row r="479" spans="1:7" x14ac:dyDescent="0.25">
      <c r="A479" s="67">
        <v>44703</v>
      </c>
      <c r="B479" s="6">
        <v>0</v>
      </c>
      <c r="C479" s="6">
        <f t="shared" ref="C479" si="337">C478+B479-D479</f>
        <v>1</v>
      </c>
      <c r="D479" s="6">
        <v>1</v>
      </c>
      <c r="E479" s="6">
        <v>7511</v>
      </c>
      <c r="F479" s="6">
        <f t="shared" ref="F479" si="338">C479+E479+G479</f>
        <v>7606</v>
      </c>
      <c r="G479" s="6">
        <v>94</v>
      </c>
    </row>
    <row r="480" spans="1:7" x14ac:dyDescent="0.25">
      <c r="A480" s="67">
        <v>44704</v>
      </c>
      <c r="B480" s="6">
        <v>1</v>
      </c>
      <c r="C480" s="6">
        <f t="shared" ref="C480" si="339">C479+B480-D480</f>
        <v>2</v>
      </c>
      <c r="D480" s="6">
        <v>0</v>
      </c>
      <c r="E480" s="6">
        <v>7519</v>
      </c>
      <c r="F480" s="6">
        <f t="shared" ref="F480" si="340">C480+E480+G480</f>
        <v>7606</v>
      </c>
      <c r="G480" s="6">
        <v>85</v>
      </c>
    </row>
    <row r="481" spans="1:7" x14ac:dyDescent="0.25">
      <c r="A481" s="67">
        <v>44705</v>
      </c>
      <c r="B481" s="6">
        <v>0</v>
      </c>
      <c r="C481" s="6">
        <f t="shared" ref="C481" si="341">C480+B481-D481</f>
        <v>2</v>
      </c>
      <c r="D481" s="6">
        <v>0</v>
      </c>
      <c r="E481" s="6">
        <v>7524</v>
      </c>
      <c r="F481" s="6">
        <f t="shared" ref="F481" si="342">C481+E481+G481</f>
        <v>7621</v>
      </c>
      <c r="G481" s="6">
        <v>95</v>
      </c>
    </row>
    <row r="482" spans="1:7" x14ac:dyDescent="0.25">
      <c r="A482" s="67">
        <v>44706</v>
      </c>
      <c r="B482" s="6">
        <v>0</v>
      </c>
      <c r="C482" s="6">
        <f t="shared" ref="C482" si="343">C481+B482-D482</f>
        <v>2</v>
      </c>
      <c r="D482" s="6">
        <v>0</v>
      </c>
      <c r="E482" s="6">
        <v>7533</v>
      </c>
      <c r="F482" s="6">
        <f t="shared" ref="F482" si="344">C482+E482+G482</f>
        <v>7627</v>
      </c>
      <c r="G482" s="6">
        <v>92</v>
      </c>
    </row>
    <row r="483" spans="1:7" x14ac:dyDescent="0.25">
      <c r="A483" s="67">
        <v>44707</v>
      </c>
      <c r="B483" s="6">
        <v>0</v>
      </c>
      <c r="C483" s="6">
        <f t="shared" ref="C483" si="345">C482+B483-D483</f>
        <v>2</v>
      </c>
      <c r="D483" s="6">
        <v>0</v>
      </c>
      <c r="E483" s="6">
        <v>7548</v>
      </c>
      <c r="F483" s="6">
        <f t="shared" ref="F483" si="346">C483+E483+G483</f>
        <v>7642</v>
      </c>
      <c r="G483" s="6">
        <v>92</v>
      </c>
    </row>
    <row r="484" spans="1:7" x14ac:dyDescent="0.25">
      <c r="A484" s="67">
        <v>44708</v>
      </c>
      <c r="B484" s="6">
        <v>0</v>
      </c>
      <c r="C484" s="6">
        <f t="shared" ref="C484" si="347">C483+B484-D484</f>
        <v>2</v>
      </c>
      <c r="D484" s="6">
        <v>0</v>
      </c>
      <c r="E484" s="6">
        <v>7558</v>
      </c>
      <c r="F484" s="6">
        <f t="shared" ref="F484" si="348">C484+E484+G484</f>
        <v>7642</v>
      </c>
      <c r="G484" s="6">
        <v>82</v>
      </c>
    </row>
    <row r="485" spans="1:7" x14ac:dyDescent="0.25">
      <c r="A485" s="67">
        <v>44709</v>
      </c>
      <c r="B485" s="6">
        <v>3</v>
      </c>
      <c r="C485" s="6">
        <f t="shared" ref="C485" si="349">C484+B485-D485</f>
        <v>5</v>
      </c>
      <c r="D485" s="6">
        <v>0</v>
      </c>
      <c r="E485" s="6">
        <v>7558</v>
      </c>
      <c r="F485" s="6">
        <f t="shared" ref="F485" si="350">C485+E485+G485</f>
        <v>7646</v>
      </c>
      <c r="G485" s="6">
        <v>83</v>
      </c>
    </row>
    <row r="486" spans="1:7" x14ac:dyDescent="0.25">
      <c r="A486" s="67">
        <v>44710</v>
      </c>
      <c r="B486" s="6">
        <v>0</v>
      </c>
      <c r="C486" s="6">
        <f t="shared" ref="C486" si="351">C485+B486-D486</f>
        <v>5</v>
      </c>
      <c r="D486" s="6">
        <v>0</v>
      </c>
      <c r="E486" s="6">
        <v>7557</v>
      </c>
      <c r="F486" s="6">
        <f t="shared" ref="F486" si="352">C486+E486+G486</f>
        <v>7645</v>
      </c>
      <c r="G486" s="6">
        <v>83</v>
      </c>
    </row>
    <row r="487" spans="1:7" x14ac:dyDescent="0.25">
      <c r="A487" s="67">
        <v>44711</v>
      </c>
      <c r="B487" s="6">
        <v>0</v>
      </c>
      <c r="C487" s="6">
        <f t="shared" ref="C487" si="353">C486+B487-D487</f>
        <v>3</v>
      </c>
      <c r="D487" s="6">
        <v>2</v>
      </c>
      <c r="E487" s="6">
        <v>7559</v>
      </c>
      <c r="F487" s="6">
        <f t="shared" ref="F487" si="354">C487+E487+G487</f>
        <v>7652</v>
      </c>
      <c r="G487" s="6">
        <v>90</v>
      </c>
    </row>
    <row r="488" spans="1:7" x14ac:dyDescent="0.25">
      <c r="A488" s="67">
        <v>44712</v>
      </c>
      <c r="B488" s="6">
        <v>1</v>
      </c>
      <c r="C488" s="6">
        <f t="shared" ref="C488" si="355">C487+B488-D488</f>
        <v>1</v>
      </c>
      <c r="D488" s="6">
        <v>3</v>
      </c>
      <c r="E488" s="6">
        <v>7577</v>
      </c>
      <c r="F488" s="6">
        <f t="shared" ref="F488" si="356">C488+E488+G488</f>
        <v>7654</v>
      </c>
      <c r="G488" s="6">
        <v>76</v>
      </c>
    </row>
    <row r="489" spans="1:7" x14ac:dyDescent="0.25">
      <c r="A489" s="67">
        <v>44713</v>
      </c>
      <c r="B489" s="6">
        <v>1</v>
      </c>
      <c r="C489" s="6">
        <f t="shared" ref="C489" si="357">C488+B489-D489</f>
        <v>1</v>
      </c>
      <c r="D489" s="6">
        <v>1</v>
      </c>
      <c r="E489" s="6">
        <v>7582</v>
      </c>
      <c r="F489" s="6">
        <f t="shared" ref="F489" si="358">C489+E489+G489</f>
        <v>7659</v>
      </c>
      <c r="G489" s="6">
        <v>76</v>
      </c>
    </row>
    <row r="490" spans="1:7" x14ac:dyDescent="0.25">
      <c r="A490" s="67">
        <v>44714</v>
      </c>
      <c r="B490" s="6">
        <v>1</v>
      </c>
      <c r="C490" s="6">
        <f t="shared" ref="C490" si="359">C489+B490-D490</f>
        <v>2</v>
      </c>
      <c r="D490" s="6">
        <v>0</v>
      </c>
      <c r="E490" s="6">
        <v>7585</v>
      </c>
      <c r="F490" s="6">
        <f t="shared" ref="F490" si="360">C490+E490+G490</f>
        <v>7660</v>
      </c>
      <c r="G490" s="6">
        <v>73</v>
      </c>
    </row>
    <row r="491" spans="1:7" x14ac:dyDescent="0.25">
      <c r="A491" s="67">
        <v>44715</v>
      </c>
      <c r="B491" s="6">
        <v>0</v>
      </c>
      <c r="C491" s="6">
        <f t="shared" ref="C491" si="361">C490+B491-D491</f>
        <v>1</v>
      </c>
      <c r="D491" s="6">
        <v>1</v>
      </c>
      <c r="E491" s="6">
        <v>7599</v>
      </c>
      <c r="F491" s="6">
        <f t="shared" ref="F491" si="362">C491+E491+G491</f>
        <v>7661</v>
      </c>
      <c r="G491" s="6">
        <v>61</v>
      </c>
    </row>
    <row r="492" spans="1:7" x14ac:dyDescent="0.25">
      <c r="A492" s="67">
        <v>44716</v>
      </c>
      <c r="B492" s="6">
        <v>2</v>
      </c>
      <c r="C492" s="6">
        <f t="shared" ref="C492" si="363">C491+B492-D492</f>
        <v>2</v>
      </c>
      <c r="D492" s="6">
        <v>1</v>
      </c>
      <c r="E492" s="6">
        <v>7605</v>
      </c>
      <c r="F492" s="6">
        <f t="shared" ref="F492" si="364">C492+E492+G492</f>
        <v>7664</v>
      </c>
      <c r="G492" s="6">
        <v>57</v>
      </c>
    </row>
    <row r="493" spans="1:7" x14ac:dyDescent="0.25">
      <c r="A493" s="67">
        <v>44717</v>
      </c>
      <c r="B493" s="6">
        <v>0</v>
      </c>
      <c r="C493" s="6">
        <f t="shared" ref="C493" si="365">C492+B493-D493</f>
        <v>2</v>
      </c>
      <c r="D493" s="6">
        <v>0</v>
      </c>
      <c r="E493" s="6">
        <v>7605</v>
      </c>
      <c r="F493" s="6">
        <f t="shared" ref="F493" si="366">C493+E493+G493</f>
        <v>7664</v>
      </c>
      <c r="G493" s="6">
        <v>57</v>
      </c>
    </row>
    <row r="494" spans="1:7" x14ac:dyDescent="0.25">
      <c r="A494" s="67">
        <v>44718</v>
      </c>
      <c r="B494" s="6">
        <v>0</v>
      </c>
      <c r="C494" s="6">
        <f t="shared" ref="C494" si="367">C493+B494-D494</f>
        <v>2</v>
      </c>
      <c r="D494" s="6">
        <v>0</v>
      </c>
      <c r="E494" s="6">
        <v>7621</v>
      </c>
      <c r="F494" s="6">
        <f t="shared" ref="F494" si="368">C494+E494+G494</f>
        <v>7666</v>
      </c>
      <c r="G494" s="6">
        <v>43</v>
      </c>
    </row>
    <row r="495" spans="1:7" x14ac:dyDescent="0.25">
      <c r="A495" s="67">
        <v>44719</v>
      </c>
      <c r="B495" s="6">
        <v>1</v>
      </c>
      <c r="C495" s="6">
        <f t="shared" ref="C495" si="369">C494+B495-D495</f>
        <v>1</v>
      </c>
      <c r="D495" s="6">
        <v>2</v>
      </c>
      <c r="E495" s="6">
        <v>7635</v>
      </c>
      <c r="F495" s="6">
        <f t="shared" ref="F495" si="370">C495+E495+G495</f>
        <v>7669</v>
      </c>
      <c r="G495" s="6">
        <v>33</v>
      </c>
    </row>
    <row r="496" spans="1:7" x14ac:dyDescent="0.25">
      <c r="A496" s="67">
        <v>44720</v>
      </c>
      <c r="B496" s="6">
        <v>0</v>
      </c>
      <c r="C496" s="6">
        <f t="shared" ref="C496" si="371">C495+B496-D496</f>
        <v>1</v>
      </c>
      <c r="D496" s="6">
        <v>0</v>
      </c>
      <c r="E496" s="6">
        <v>7643</v>
      </c>
      <c r="F496" s="6">
        <f t="shared" ref="F496" si="372">C496+E496+G496</f>
        <v>7668</v>
      </c>
      <c r="G496" s="6">
        <v>24</v>
      </c>
    </row>
    <row r="497" spans="1:7" x14ac:dyDescent="0.25">
      <c r="A497" s="67">
        <v>44721</v>
      </c>
      <c r="B497" s="6">
        <v>0</v>
      </c>
      <c r="C497" s="6">
        <f t="shared" ref="C497" si="373">C496+B497-D497</f>
        <v>0</v>
      </c>
      <c r="D497" s="6">
        <v>1</v>
      </c>
      <c r="E497" s="6">
        <v>7644</v>
      </c>
      <c r="F497" s="6">
        <f t="shared" ref="F497" si="374">C497+E497+G497</f>
        <v>7669</v>
      </c>
      <c r="G497" s="6">
        <v>25</v>
      </c>
    </row>
    <row r="498" spans="1:7" x14ac:dyDescent="0.25">
      <c r="A498" s="67">
        <v>44722</v>
      </c>
      <c r="B498" s="6">
        <v>0</v>
      </c>
      <c r="C498" s="6">
        <f t="shared" ref="C498" si="375">C497+B498-D498</f>
        <v>0</v>
      </c>
      <c r="D498" s="6">
        <v>0</v>
      </c>
      <c r="E498" s="6">
        <v>7645</v>
      </c>
      <c r="F498" s="6">
        <f t="shared" ref="F498" si="376">C498+E498+G498</f>
        <v>7669</v>
      </c>
      <c r="G498" s="6">
        <v>24</v>
      </c>
    </row>
    <row r="499" spans="1:7" x14ac:dyDescent="0.25">
      <c r="A499" s="67">
        <v>44723</v>
      </c>
      <c r="B499" s="6">
        <v>0</v>
      </c>
      <c r="C499" s="6">
        <f t="shared" ref="C499" si="377">C498+B499-D499</f>
        <v>0</v>
      </c>
      <c r="D499" s="6">
        <v>0</v>
      </c>
      <c r="E499" s="6">
        <v>7646</v>
      </c>
      <c r="F499" s="6">
        <f t="shared" ref="F499" si="378">C499+E499+G499</f>
        <v>7672</v>
      </c>
      <c r="G499" s="6">
        <v>26</v>
      </c>
    </row>
    <row r="500" spans="1:7" x14ac:dyDescent="0.25">
      <c r="A500" s="67">
        <v>44724</v>
      </c>
      <c r="B500" s="6">
        <v>0</v>
      </c>
      <c r="C500" s="6">
        <f t="shared" ref="C500" si="379">C499+B500-D500</f>
        <v>0</v>
      </c>
      <c r="D500" s="6">
        <v>0</v>
      </c>
      <c r="E500" s="6">
        <v>7646</v>
      </c>
      <c r="F500" s="6">
        <f t="shared" ref="F500:F503" si="380">C500+E500+G500</f>
        <v>7672</v>
      </c>
      <c r="G500" s="6">
        <v>26</v>
      </c>
    </row>
    <row r="501" spans="1:7" x14ac:dyDescent="0.25">
      <c r="A501" s="67">
        <v>44725</v>
      </c>
      <c r="B501" s="6">
        <v>0</v>
      </c>
      <c r="C501" s="6">
        <f t="shared" ref="C501" si="381">C500+B501-D501</f>
        <v>0</v>
      </c>
      <c r="D501" s="6">
        <v>0</v>
      </c>
      <c r="E501" s="6">
        <v>7655</v>
      </c>
      <c r="F501" s="6">
        <f t="shared" si="380"/>
        <v>7673</v>
      </c>
      <c r="G501" s="6">
        <v>18</v>
      </c>
    </row>
    <row r="502" spans="1:7" x14ac:dyDescent="0.25">
      <c r="A502" s="67">
        <v>44726</v>
      </c>
      <c r="B502" s="6">
        <v>0</v>
      </c>
      <c r="C502" s="6">
        <f t="shared" ref="C502" si="382">C501+B502-D502</f>
        <v>0</v>
      </c>
      <c r="D502" s="6">
        <v>0</v>
      </c>
      <c r="E502" s="6">
        <v>7662</v>
      </c>
      <c r="F502" s="6">
        <f t="shared" si="380"/>
        <v>7675</v>
      </c>
      <c r="G502" s="6">
        <v>13</v>
      </c>
    </row>
    <row r="503" spans="1:7" x14ac:dyDescent="0.25">
      <c r="A503" s="67">
        <v>44727</v>
      </c>
      <c r="B503" s="6">
        <v>0</v>
      </c>
      <c r="C503" s="6">
        <f t="shared" ref="C503" si="383">C502+B503-D503</f>
        <v>0</v>
      </c>
      <c r="D503" s="6">
        <v>0</v>
      </c>
      <c r="E503" s="6">
        <v>7661</v>
      </c>
      <c r="F503" s="6">
        <f t="shared" si="380"/>
        <v>7674</v>
      </c>
      <c r="G503" s="6">
        <v>13</v>
      </c>
    </row>
    <row r="504" spans="1:7" x14ac:dyDescent="0.25">
      <c r="A504" s="67">
        <v>44728</v>
      </c>
      <c r="B504" s="6">
        <v>0</v>
      </c>
      <c r="C504" s="6">
        <f t="shared" ref="C504" si="384">C503+B504-D504</f>
        <v>0</v>
      </c>
      <c r="D504" s="6">
        <v>0</v>
      </c>
      <c r="E504" s="6">
        <v>7660</v>
      </c>
      <c r="F504" s="6">
        <f t="shared" ref="F504" si="385">C504+E504+G504</f>
        <v>7673</v>
      </c>
      <c r="G504" s="6">
        <v>13</v>
      </c>
    </row>
    <row r="505" spans="1:7" x14ac:dyDescent="0.25">
      <c r="A505" s="67">
        <v>44729</v>
      </c>
      <c r="B505" s="6">
        <v>0</v>
      </c>
      <c r="C505" s="6">
        <f t="shared" ref="C505" si="386">C504+B505-D505</f>
        <v>0</v>
      </c>
      <c r="D505" s="6">
        <v>0</v>
      </c>
      <c r="E505" s="6">
        <v>7662</v>
      </c>
      <c r="F505" s="6">
        <f t="shared" ref="F505" si="387">C505+E505+G505</f>
        <v>7673</v>
      </c>
      <c r="G505" s="6">
        <v>11</v>
      </c>
    </row>
    <row r="506" spans="1:7" x14ac:dyDescent="0.25">
      <c r="A506" s="67">
        <v>44730</v>
      </c>
      <c r="B506" s="6">
        <v>0</v>
      </c>
      <c r="C506" s="6">
        <f t="shared" ref="C506" si="388">C505+B506-D506</f>
        <v>0</v>
      </c>
      <c r="D506" s="6">
        <v>0</v>
      </c>
      <c r="E506" s="6">
        <v>7661</v>
      </c>
      <c r="F506" s="6">
        <f t="shared" ref="F506" si="389">C506+E506+G506</f>
        <v>7672</v>
      </c>
      <c r="G506" s="6">
        <v>11</v>
      </c>
    </row>
    <row r="507" spans="1:7" x14ac:dyDescent="0.25">
      <c r="A507" s="67">
        <v>44731</v>
      </c>
      <c r="B507" s="6">
        <v>0</v>
      </c>
      <c r="C507" s="6">
        <f t="shared" ref="C507" si="390">C506+B507-D507</f>
        <v>0</v>
      </c>
      <c r="D507" s="6">
        <v>0</v>
      </c>
      <c r="E507" s="6">
        <v>7661</v>
      </c>
      <c r="F507" s="6">
        <f t="shared" ref="F507" si="391">C507+E507+G507</f>
        <v>7672</v>
      </c>
      <c r="G507" s="6">
        <v>11</v>
      </c>
    </row>
    <row r="508" spans="1:7" x14ac:dyDescent="0.25">
      <c r="A508" s="67">
        <v>44732</v>
      </c>
      <c r="B508" s="6">
        <v>0</v>
      </c>
      <c r="C508" s="6">
        <f t="shared" ref="C508" si="392">C507+B508-D508</f>
        <v>0</v>
      </c>
      <c r="D508" s="6">
        <v>0</v>
      </c>
      <c r="E508" s="6">
        <v>7663</v>
      </c>
      <c r="F508" s="6">
        <f t="shared" ref="F508" si="393">C508+E508+G508</f>
        <v>7672</v>
      </c>
      <c r="G508" s="6">
        <v>9</v>
      </c>
    </row>
    <row r="509" spans="1:7" x14ac:dyDescent="0.25">
      <c r="A509" s="67">
        <v>44733</v>
      </c>
      <c r="B509" s="6">
        <v>0</v>
      </c>
      <c r="C509" s="6">
        <f t="shared" ref="C509" si="394">C508+B509-D509</f>
        <v>0</v>
      </c>
      <c r="D509" s="6">
        <v>0</v>
      </c>
      <c r="E509" s="6">
        <v>7665</v>
      </c>
      <c r="F509" s="6">
        <f t="shared" ref="F509" si="395">C509+E509+G509</f>
        <v>7683</v>
      </c>
      <c r="G509" s="6">
        <v>18</v>
      </c>
    </row>
    <row r="510" spans="1:7" x14ac:dyDescent="0.25">
      <c r="A510" s="67">
        <v>44734</v>
      </c>
      <c r="B510" s="6">
        <v>0</v>
      </c>
      <c r="C510" s="6">
        <f t="shared" ref="C510" si="396">C509+B510-D510</f>
        <v>0</v>
      </c>
      <c r="D510" s="6">
        <v>0</v>
      </c>
      <c r="E510" s="6">
        <v>7665</v>
      </c>
      <c r="F510" s="6">
        <f t="shared" ref="F510" si="397">C510+E510+G510</f>
        <v>7695</v>
      </c>
      <c r="G510" s="6">
        <v>30</v>
      </c>
    </row>
    <row r="511" spans="1:7" x14ac:dyDescent="0.25">
      <c r="A511" s="67">
        <v>44735</v>
      </c>
      <c r="B511" s="6">
        <v>0</v>
      </c>
      <c r="C511" s="6">
        <f t="shared" ref="C511" si="398">C510+B511-D511</f>
        <v>0</v>
      </c>
      <c r="D511" s="6">
        <v>0</v>
      </c>
      <c r="E511" s="6">
        <v>7666</v>
      </c>
      <c r="F511" s="6">
        <f t="shared" ref="F511" si="399">C511+E511+G511</f>
        <v>7703</v>
      </c>
      <c r="G511" s="6">
        <v>37</v>
      </c>
    </row>
    <row r="512" spans="1:7" x14ac:dyDescent="0.25">
      <c r="A512" s="67">
        <v>44736</v>
      </c>
      <c r="B512" s="6">
        <v>0</v>
      </c>
      <c r="C512" s="6">
        <f t="shared" ref="C512" si="400">C511+B512-D512</f>
        <v>0</v>
      </c>
      <c r="D512" s="6">
        <v>0</v>
      </c>
      <c r="E512" s="6">
        <v>7667</v>
      </c>
      <c r="F512" s="6">
        <f t="shared" ref="F512" si="401">C512+E512+G512</f>
        <v>7703</v>
      </c>
      <c r="G512" s="6">
        <v>36</v>
      </c>
    </row>
    <row r="513" spans="1:7" x14ac:dyDescent="0.25">
      <c r="A513" s="67">
        <v>44737</v>
      </c>
      <c r="B513" s="6">
        <v>1</v>
      </c>
      <c r="C513" s="6">
        <f t="shared" ref="C513" si="402">C512+B513-D513</f>
        <v>1</v>
      </c>
      <c r="D513" s="6">
        <v>0</v>
      </c>
      <c r="E513" s="6">
        <v>7667</v>
      </c>
      <c r="F513" s="6">
        <f t="shared" ref="F513" si="403">C513+E513+G513</f>
        <v>7704</v>
      </c>
      <c r="G513" s="6">
        <v>36</v>
      </c>
    </row>
    <row r="514" spans="1:7" x14ac:dyDescent="0.25">
      <c r="A514" s="67">
        <v>44738</v>
      </c>
      <c r="B514" s="6">
        <v>0</v>
      </c>
      <c r="C514" s="6">
        <f t="shared" ref="C514" si="404">C513+B514-D514</f>
        <v>1</v>
      </c>
      <c r="D514" s="6">
        <v>0</v>
      </c>
      <c r="E514" s="6">
        <v>7667</v>
      </c>
      <c r="F514" s="6">
        <f t="shared" ref="F514" si="405">C514+E514+G514</f>
        <v>7704</v>
      </c>
      <c r="G514" s="6">
        <v>36</v>
      </c>
    </row>
    <row r="515" spans="1:7" x14ac:dyDescent="0.25">
      <c r="A515" s="67">
        <v>44739</v>
      </c>
      <c r="B515" s="6">
        <v>0</v>
      </c>
      <c r="C515" s="6">
        <f t="shared" ref="C515" si="406">C514+B515-D515</f>
        <v>1</v>
      </c>
      <c r="D515" s="6">
        <v>0</v>
      </c>
      <c r="E515" s="6">
        <v>7671</v>
      </c>
      <c r="F515" s="6">
        <f t="shared" ref="F515" si="407">C515+E515+G515</f>
        <v>7711</v>
      </c>
      <c r="G515" s="6">
        <v>39</v>
      </c>
    </row>
    <row r="516" spans="1:7" x14ac:dyDescent="0.25">
      <c r="A516" s="67">
        <v>44740</v>
      </c>
      <c r="B516" s="6">
        <v>0</v>
      </c>
      <c r="C516" s="6">
        <f t="shared" ref="C516" si="408">C515+B516-D516</f>
        <v>1</v>
      </c>
      <c r="D516" s="6">
        <v>0</v>
      </c>
      <c r="E516" s="6">
        <v>7671</v>
      </c>
      <c r="F516" s="6">
        <f t="shared" ref="F516" si="409">C516+E516+G516</f>
        <v>7711</v>
      </c>
      <c r="G516" s="6">
        <v>39</v>
      </c>
    </row>
    <row r="517" spans="1:7" x14ac:dyDescent="0.25">
      <c r="A517" s="67">
        <v>44741</v>
      </c>
      <c r="B517" s="6">
        <v>0</v>
      </c>
      <c r="C517" s="6">
        <f t="shared" ref="C517" si="410">C516+B517-D517</f>
        <v>1</v>
      </c>
      <c r="D517" s="6">
        <v>0</v>
      </c>
      <c r="E517" s="6">
        <v>7671</v>
      </c>
      <c r="F517" s="6">
        <f t="shared" ref="F517" si="411">C517+E517+G517</f>
        <v>7711</v>
      </c>
      <c r="G517" s="6">
        <v>39</v>
      </c>
    </row>
    <row r="518" spans="1:7" x14ac:dyDescent="0.25">
      <c r="A518" s="67">
        <v>44742</v>
      </c>
      <c r="B518" s="6">
        <v>0</v>
      </c>
      <c r="C518" s="6">
        <f t="shared" ref="C518" si="412">C517+B518-D518</f>
        <v>1</v>
      </c>
      <c r="D518" s="6">
        <v>0</v>
      </c>
      <c r="E518" s="6">
        <v>7671</v>
      </c>
      <c r="F518" s="6">
        <f t="shared" ref="F518" si="413">C518+E518+G518</f>
        <v>7715</v>
      </c>
      <c r="G518" s="6">
        <v>43</v>
      </c>
    </row>
    <row r="519" spans="1:7" x14ac:dyDescent="0.25">
      <c r="A519" s="67">
        <v>44743</v>
      </c>
      <c r="B519" s="6">
        <v>1</v>
      </c>
      <c r="C519" s="6">
        <f t="shared" ref="C519" si="414">C518+B519-D519</f>
        <v>2</v>
      </c>
      <c r="D519" s="6">
        <v>0</v>
      </c>
      <c r="E519" s="6">
        <v>7671</v>
      </c>
      <c r="F519" s="6">
        <f t="shared" ref="F519" si="415">C519+E519+G519</f>
        <v>7720</v>
      </c>
      <c r="G519" s="6">
        <v>47</v>
      </c>
    </row>
    <row r="520" spans="1:7" x14ac:dyDescent="0.25">
      <c r="A520" s="67">
        <v>44744</v>
      </c>
      <c r="B520" s="6">
        <v>0</v>
      </c>
      <c r="C520" s="6">
        <f t="shared" ref="C520" si="416">C519+B520-D520</f>
        <v>2</v>
      </c>
      <c r="D520" s="6">
        <v>0</v>
      </c>
      <c r="E520" s="6">
        <v>7670</v>
      </c>
      <c r="F520" s="6">
        <f t="shared" ref="F520" si="417">C520+E520+G520</f>
        <v>7726</v>
      </c>
      <c r="G520" s="6">
        <v>54</v>
      </c>
    </row>
    <row r="521" spans="1:7" x14ac:dyDescent="0.25">
      <c r="A521" s="67">
        <v>44745</v>
      </c>
      <c r="B521" s="6">
        <v>0</v>
      </c>
      <c r="C521" s="6">
        <f t="shared" ref="C521" si="418">C520+B521-D521</f>
        <v>2</v>
      </c>
      <c r="D521" s="6">
        <v>0</v>
      </c>
      <c r="E521" s="6">
        <v>7670</v>
      </c>
      <c r="F521" s="6">
        <f t="shared" ref="F521" si="419">C521+E521+G521</f>
        <v>7726</v>
      </c>
      <c r="G521" s="6">
        <v>54</v>
      </c>
    </row>
    <row r="522" spans="1:7" x14ac:dyDescent="0.25">
      <c r="A522" s="67">
        <v>44746</v>
      </c>
      <c r="B522" s="6">
        <v>0</v>
      </c>
      <c r="C522" s="6">
        <f t="shared" ref="C522" si="420">C521+B522-D522</f>
        <v>2</v>
      </c>
      <c r="D522" s="6">
        <v>0</v>
      </c>
      <c r="E522" s="6">
        <v>7670</v>
      </c>
      <c r="F522" s="6">
        <f t="shared" ref="F522" si="421">C522+E522+G522</f>
        <v>7725</v>
      </c>
      <c r="G522" s="6">
        <v>53</v>
      </c>
    </row>
    <row r="523" spans="1:7" x14ac:dyDescent="0.25">
      <c r="A523" s="67">
        <v>44747</v>
      </c>
      <c r="B523" s="6">
        <v>0</v>
      </c>
      <c r="C523" s="6">
        <f t="shared" ref="C523" si="422">C522+B523-D523</f>
        <v>2</v>
      </c>
      <c r="D523" s="6">
        <v>0</v>
      </c>
      <c r="E523" s="6">
        <v>7681</v>
      </c>
      <c r="F523" s="6">
        <f t="shared" ref="F523" si="423">C523+E523+G523</f>
        <v>7732</v>
      </c>
      <c r="G523" s="6">
        <v>49</v>
      </c>
    </row>
    <row r="524" spans="1:7" x14ac:dyDescent="0.25">
      <c r="A524" s="67">
        <v>44748</v>
      </c>
      <c r="B524" s="6">
        <v>1</v>
      </c>
      <c r="C524" s="6">
        <f t="shared" ref="C524" si="424">C523+B524-D524</f>
        <v>1</v>
      </c>
      <c r="D524" s="6">
        <v>2</v>
      </c>
      <c r="E524" s="6">
        <v>7693</v>
      </c>
      <c r="F524" s="6">
        <f t="shared" ref="F524" si="425">C524+E524+G524</f>
        <v>7737</v>
      </c>
      <c r="G524" s="6">
        <v>43</v>
      </c>
    </row>
    <row r="525" spans="1:7" x14ac:dyDescent="0.25">
      <c r="A525" s="67">
        <v>44749</v>
      </c>
      <c r="B525" s="6">
        <v>0</v>
      </c>
      <c r="C525" s="6">
        <f t="shared" ref="C525" si="426">C524+B525-D525</f>
        <v>1</v>
      </c>
      <c r="D525" s="6">
        <v>0</v>
      </c>
      <c r="E525" s="6">
        <v>7701</v>
      </c>
      <c r="F525" s="6">
        <f t="shared" ref="F525" si="427">C525+E525+G525</f>
        <v>7737</v>
      </c>
      <c r="G525" s="6">
        <v>35</v>
      </c>
    </row>
    <row r="526" spans="1:7" x14ac:dyDescent="0.25">
      <c r="A526" s="67">
        <v>44750</v>
      </c>
      <c r="B526" s="6">
        <v>0</v>
      </c>
      <c r="C526" s="6">
        <f t="shared" ref="C526" si="428">C525+B526-D526</f>
        <v>1</v>
      </c>
      <c r="D526" s="6">
        <v>0</v>
      </c>
      <c r="E526" s="6">
        <v>7701</v>
      </c>
      <c r="F526" s="6">
        <f t="shared" ref="F526" si="429">C526+E526+G526</f>
        <v>7737</v>
      </c>
      <c r="G526" s="6">
        <v>35</v>
      </c>
    </row>
    <row r="527" spans="1:7" x14ac:dyDescent="0.25">
      <c r="A527" s="67">
        <v>44751</v>
      </c>
      <c r="B527" s="6">
        <v>1</v>
      </c>
      <c r="C527" s="6">
        <f t="shared" ref="C527" si="430">C526+B527-D527</f>
        <v>1</v>
      </c>
      <c r="D527" s="6">
        <v>1</v>
      </c>
      <c r="E527" s="6">
        <v>7702</v>
      </c>
      <c r="F527" s="6">
        <f t="shared" ref="F527" si="431">C527+E527+G527</f>
        <v>7738</v>
      </c>
      <c r="G527" s="6">
        <v>35</v>
      </c>
    </row>
    <row r="528" spans="1:7" x14ac:dyDescent="0.25">
      <c r="A528" s="67">
        <v>44752</v>
      </c>
      <c r="B528" s="6">
        <v>0</v>
      </c>
      <c r="C528" s="6">
        <f t="shared" ref="C528" si="432">C527+B528-D528</f>
        <v>1</v>
      </c>
      <c r="D528" s="6">
        <v>0</v>
      </c>
      <c r="E528" s="6">
        <v>7702</v>
      </c>
      <c r="F528" s="6">
        <f t="shared" ref="F528" si="433">C528+E528+G528</f>
        <v>7737</v>
      </c>
      <c r="G528" s="6">
        <v>34</v>
      </c>
    </row>
    <row r="529" spans="1:7" x14ac:dyDescent="0.25">
      <c r="A529" s="67">
        <v>44753</v>
      </c>
      <c r="B529" s="6">
        <v>0</v>
      </c>
      <c r="C529" s="6">
        <f t="shared" ref="C529" si="434">C528+B529-D529</f>
        <v>1</v>
      </c>
      <c r="D529" s="6">
        <v>0</v>
      </c>
      <c r="E529" s="6">
        <v>7711</v>
      </c>
      <c r="F529" s="6">
        <f t="shared" ref="F529" si="435">C529+E529+G529</f>
        <v>7739</v>
      </c>
      <c r="G529" s="6">
        <v>27</v>
      </c>
    </row>
    <row r="530" spans="1:7" x14ac:dyDescent="0.25">
      <c r="A530" s="67">
        <v>44754</v>
      </c>
      <c r="B530" s="6">
        <v>0</v>
      </c>
      <c r="C530" s="6">
        <f t="shared" ref="C530" si="436">C529+B530-D530</f>
        <v>1</v>
      </c>
      <c r="D530" s="6">
        <v>0</v>
      </c>
      <c r="E530" s="6">
        <v>7719</v>
      </c>
      <c r="F530" s="6">
        <f t="shared" ref="F530" si="437">C530+E530+G530</f>
        <v>7740</v>
      </c>
      <c r="G530" s="6">
        <v>20</v>
      </c>
    </row>
    <row r="531" spans="1:7" x14ac:dyDescent="0.25">
      <c r="A531" s="67">
        <v>44755</v>
      </c>
      <c r="B531" s="6">
        <v>0</v>
      </c>
      <c r="C531" s="6">
        <f t="shared" ref="C531" si="438">C530+B531-D531</f>
        <v>1</v>
      </c>
      <c r="D531" s="6">
        <v>0</v>
      </c>
      <c r="E531" s="6">
        <v>7723</v>
      </c>
      <c r="F531" s="6">
        <f t="shared" ref="F531" si="439">C531+E531+G531</f>
        <v>7741</v>
      </c>
      <c r="G531" s="6">
        <v>17</v>
      </c>
    </row>
    <row r="532" spans="1:7" x14ac:dyDescent="0.25">
      <c r="A532" s="67">
        <v>44756</v>
      </c>
      <c r="B532" s="6">
        <v>1</v>
      </c>
      <c r="C532" s="6">
        <f t="shared" ref="C532" si="440">C531+B532-D532</f>
        <v>2</v>
      </c>
      <c r="D532" s="6">
        <v>0</v>
      </c>
      <c r="E532" s="6">
        <v>7723</v>
      </c>
      <c r="F532" s="6">
        <f t="shared" ref="F532" si="441">C532+E532+G532</f>
        <v>7741</v>
      </c>
      <c r="G532" s="6">
        <v>16</v>
      </c>
    </row>
    <row r="533" spans="1:7" x14ac:dyDescent="0.25">
      <c r="A533" s="67">
        <v>44757</v>
      </c>
      <c r="B533" s="6">
        <v>0</v>
      </c>
      <c r="C533" s="6">
        <f t="shared" ref="C533" si="442">C532+B533-D533</f>
        <v>1</v>
      </c>
      <c r="D533" s="6">
        <v>1</v>
      </c>
      <c r="E533" s="6">
        <v>7725</v>
      </c>
      <c r="F533" s="6">
        <f t="shared" ref="F533" si="443">C533+E533+G533</f>
        <v>7741</v>
      </c>
      <c r="G533" s="6">
        <v>15</v>
      </c>
    </row>
    <row r="534" spans="1:7" x14ac:dyDescent="0.25">
      <c r="A534" s="67">
        <v>44758</v>
      </c>
      <c r="B534" s="6">
        <v>0</v>
      </c>
      <c r="C534" s="6">
        <f t="shared" ref="C534" si="444">C533+B534-D534</f>
        <v>1</v>
      </c>
      <c r="D534" s="6">
        <v>0</v>
      </c>
      <c r="E534" s="6">
        <v>7725</v>
      </c>
      <c r="F534" s="6">
        <f t="shared" ref="F534" si="445">C534+E534+G534</f>
        <v>7745</v>
      </c>
      <c r="G534" s="6">
        <v>19</v>
      </c>
    </row>
    <row r="535" spans="1:7" x14ac:dyDescent="0.25">
      <c r="A535" s="67">
        <v>44759</v>
      </c>
      <c r="B535" s="6">
        <v>0</v>
      </c>
      <c r="C535" s="6">
        <f t="shared" ref="C535" si="446">C534+B535-D535</f>
        <v>1</v>
      </c>
      <c r="D535" s="6">
        <v>0</v>
      </c>
      <c r="E535" s="6">
        <v>7725</v>
      </c>
      <c r="F535" s="6">
        <f t="shared" ref="F535" si="447">C535+E535+G535</f>
        <v>7745</v>
      </c>
      <c r="G535" s="6">
        <v>19</v>
      </c>
    </row>
    <row r="536" spans="1:7" x14ac:dyDescent="0.25">
      <c r="A536" s="67">
        <v>44760</v>
      </c>
      <c r="B536" s="6">
        <v>0</v>
      </c>
      <c r="C536" s="6">
        <f t="shared" ref="C536" si="448">C535+B536-D536</f>
        <v>1</v>
      </c>
      <c r="D536" s="6">
        <v>0</v>
      </c>
      <c r="E536" s="6">
        <v>7732</v>
      </c>
      <c r="F536" s="6">
        <f t="shared" ref="F536" si="449">C536+E536+G536</f>
        <v>7745</v>
      </c>
      <c r="G536" s="6">
        <v>12</v>
      </c>
    </row>
    <row r="537" spans="1:7" x14ac:dyDescent="0.25">
      <c r="A537" s="67">
        <v>44761</v>
      </c>
      <c r="B537" s="6">
        <v>0</v>
      </c>
      <c r="C537" s="6">
        <f t="shared" ref="C537" si="450">C536+B537-D537</f>
        <v>1</v>
      </c>
      <c r="D537" s="6">
        <v>0</v>
      </c>
      <c r="E537" s="6">
        <v>7732</v>
      </c>
      <c r="F537" s="6">
        <f t="shared" ref="F537" si="451">C537+E537+G537</f>
        <v>7752</v>
      </c>
      <c r="G537" s="6">
        <v>19</v>
      </c>
    </row>
    <row r="538" spans="1:7" x14ac:dyDescent="0.25">
      <c r="A538" s="67">
        <v>44762</v>
      </c>
      <c r="B538" s="6">
        <v>0</v>
      </c>
      <c r="C538" s="6">
        <f t="shared" ref="C538" si="452">C537+B538-D538</f>
        <v>1</v>
      </c>
      <c r="D538" s="6">
        <v>0</v>
      </c>
      <c r="E538" s="6">
        <v>7735</v>
      </c>
      <c r="F538" s="6">
        <f t="shared" ref="F538" si="453">C538+E538+G538</f>
        <v>7755</v>
      </c>
      <c r="G538" s="6">
        <v>19</v>
      </c>
    </row>
    <row r="539" spans="1:7" x14ac:dyDescent="0.25">
      <c r="A539" s="67">
        <v>44763</v>
      </c>
      <c r="B539" s="6">
        <v>0</v>
      </c>
      <c r="C539" s="6">
        <f t="shared" ref="C539" si="454">C538+B539-D539</f>
        <v>0</v>
      </c>
      <c r="D539" s="6">
        <v>1</v>
      </c>
      <c r="E539" s="6">
        <v>7735</v>
      </c>
      <c r="F539" s="6">
        <f t="shared" ref="F539" si="455">C539+E539+G539</f>
        <v>7760</v>
      </c>
      <c r="G539" s="6">
        <v>25</v>
      </c>
    </row>
    <row r="540" spans="1:7" x14ac:dyDescent="0.25">
      <c r="A540" s="67">
        <v>44764</v>
      </c>
      <c r="B540" s="6">
        <v>0</v>
      </c>
      <c r="C540" s="6">
        <f t="shared" ref="C540" si="456">C539+B540-D540</f>
        <v>0</v>
      </c>
      <c r="D540" s="6">
        <v>0</v>
      </c>
      <c r="E540" s="6">
        <v>7735</v>
      </c>
      <c r="F540" s="6">
        <f t="shared" ref="F540" si="457">C540+E540+G540</f>
        <v>7760</v>
      </c>
      <c r="G540" s="6">
        <v>25</v>
      </c>
    </row>
    <row r="541" spans="1:7" x14ac:dyDescent="0.25">
      <c r="A541" s="67">
        <v>44765</v>
      </c>
      <c r="B541" s="6">
        <v>0</v>
      </c>
      <c r="C541" s="6">
        <f t="shared" ref="C541" si="458">C540+B541-D541</f>
        <v>0</v>
      </c>
      <c r="D541" s="6">
        <v>0</v>
      </c>
      <c r="E541" s="6">
        <v>7735</v>
      </c>
      <c r="F541" s="6">
        <f t="shared" ref="F541" si="459">C541+E541+G541</f>
        <v>7760</v>
      </c>
      <c r="G541" s="6">
        <v>25</v>
      </c>
    </row>
    <row r="542" spans="1:7" x14ac:dyDescent="0.25">
      <c r="A542" s="67">
        <v>44766</v>
      </c>
      <c r="B542" s="6">
        <v>0</v>
      </c>
      <c r="C542" s="6">
        <f t="shared" ref="C542" si="460">C541+B542-D542</f>
        <v>0</v>
      </c>
      <c r="D542" s="6">
        <v>0</v>
      </c>
      <c r="E542" s="6">
        <v>7735</v>
      </c>
      <c r="F542" s="6">
        <f t="shared" ref="F542" si="461">C542+E542+G542</f>
        <v>7762</v>
      </c>
      <c r="G542" s="6">
        <v>27</v>
      </c>
    </row>
    <row r="543" spans="1:7" x14ac:dyDescent="0.25">
      <c r="A543" s="67">
        <v>44767</v>
      </c>
      <c r="B543" s="6">
        <v>0</v>
      </c>
      <c r="C543" s="6">
        <f t="shared" ref="C543" si="462">C542+B543-D543</f>
        <v>0</v>
      </c>
      <c r="D543" s="6">
        <v>0</v>
      </c>
      <c r="E543" s="6">
        <v>7738</v>
      </c>
      <c r="F543" s="6">
        <f t="shared" ref="F543" si="463">C543+E543+G543</f>
        <v>7766</v>
      </c>
      <c r="G543" s="6">
        <v>28</v>
      </c>
    </row>
    <row r="544" spans="1:7" x14ac:dyDescent="0.25">
      <c r="A544" s="67">
        <v>44768</v>
      </c>
      <c r="B544" s="6">
        <v>0</v>
      </c>
      <c r="C544" s="6">
        <f t="shared" ref="C544" si="464">C543+B544-D544</f>
        <v>0</v>
      </c>
      <c r="D544" s="6">
        <v>0</v>
      </c>
      <c r="E544" s="6">
        <v>7738</v>
      </c>
      <c r="F544" s="6">
        <f t="shared" ref="F544" si="465">C544+E544+G544</f>
        <v>7768</v>
      </c>
      <c r="G544" s="6">
        <v>30</v>
      </c>
    </row>
    <row r="545" spans="1:7" x14ac:dyDescent="0.25">
      <c r="A545" s="67">
        <v>44769</v>
      </c>
      <c r="B545" s="6">
        <v>0</v>
      </c>
      <c r="C545" s="6">
        <f t="shared" ref="C545" si="466">C544+B545-D545</f>
        <v>0</v>
      </c>
      <c r="D545" s="6">
        <v>0</v>
      </c>
      <c r="E545" s="6">
        <v>7739</v>
      </c>
      <c r="F545" s="6">
        <f t="shared" ref="F545" si="467">C545+E545+G545</f>
        <v>7771</v>
      </c>
      <c r="G545" s="6">
        <v>32</v>
      </c>
    </row>
    <row r="546" spans="1:7" x14ac:dyDescent="0.25">
      <c r="A546" s="67">
        <v>44770</v>
      </c>
      <c r="B546" s="6">
        <v>0</v>
      </c>
      <c r="C546" s="6">
        <f t="shared" ref="C546" si="468">C545+B546-D546</f>
        <v>0</v>
      </c>
      <c r="D546" s="6">
        <v>0</v>
      </c>
      <c r="E546" s="6">
        <v>7741</v>
      </c>
      <c r="F546" s="6">
        <f t="shared" ref="F546" si="469">C546+E546+G546</f>
        <v>7772</v>
      </c>
      <c r="G546" s="6">
        <v>31</v>
      </c>
    </row>
    <row r="547" spans="1:7" x14ac:dyDescent="0.25">
      <c r="A547" s="67">
        <v>44771</v>
      </c>
      <c r="B547" s="6">
        <v>0</v>
      </c>
      <c r="C547" s="6">
        <f t="shared" ref="C547" si="470">C546+B547-D547</f>
        <v>0</v>
      </c>
      <c r="D547" s="6">
        <v>0</v>
      </c>
      <c r="E547" s="6">
        <v>7741</v>
      </c>
      <c r="F547" s="6">
        <f t="shared" ref="F547" si="471">C547+E547+G547</f>
        <v>7772</v>
      </c>
      <c r="G547" s="6">
        <v>31</v>
      </c>
    </row>
    <row r="548" spans="1:7" x14ac:dyDescent="0.25">
      <c r="A548" s="67">
        <v>44772</v>
      </c>
      <c r="B548" s="6">
        <v>0</v>
      </c>
      <c r="C548" s="6">
        <f t="shared" ref="C548" si="472">C547+B548-D548</f>
        <v>0</v>
      </c>
      <c r="D548" s="6">
        <v>0</v>
      </c>
      <c r="E548" s="6">
        <v>7744</v>
      </c>
      <c r="F548" s="6">
        <f t="shared" ref="F548" si="473">C548+E548+G548</f>
        <v>7773</v>
      </c>
      <c r="G548" s="6">
        <v>29</v>
      </c>
    </row>
    <row r="549" spans="1:7" x14ac:dyDescent="0.25">
      <c r="A549" s="67">
        <v>44773</v>
      </c>
      <c r="B549" s="6">
        <v>0</v>
      </c>
      <c r="C549" s="6">
        <f t="shared" ref="C549" si="474">C548+B549-D549</f>
        <v>0</v>
      </c>
      <c r="D549" s="6">
        <v>0</v>
      </c>
      <c r="E549" s="6">
        <v>7744</v>
      </c>
      <c r="F549" s="6">
        <f t="shared" ref="F549" si="475">C549+E549+G549</f>
        <v>7773</v>
      </c>
      <c r="G549" s="6">
        <v>29</v>
      </c>
    </row>
    <row r="550" spans="1:7" x14ac:dyDescent="0.25">
      <c r="A550" s="67">
        <v>44774</v>
      </c>
      <c r="B550" s="6">
        <v>0</v>
      </c>
      <c r="C550" s="6">
        <f t="shared" ref="C550" si="476">C549+B550-D550</f>
        <v>0</v>
      </c>
      <c r="D550" s="6">
        <v>0</v>
      </c>
      <c r="E550" s="6">
        <v>7744</v>
      </c>
      <c r="F550" s="6">
        <f t="shared" ref="F550" si="477">C550+E550+G550</f>
        <v>7776</v>
      </c>
      <c r="G550" s="6">
        <v>32</v>
      </c>
    </row>
    <row r="551" spans="1:7" x14ac:dyDescent="0.25">
      <c r="A551" s="67">
        <v>44775</v>
      </c>
      <c r="B551" s="6">
        <v>0</v>
      </c>
      <c r="C551" s="6">
        <f t="shared" ref="C551" si="478">C550+B551-D551</f>
        <v>0</v>
      </c>
      <c r="D551" s="6">
        <v>0</v>
      </c>
      <c r="E551" s="6">
        <v>7753</v>
      </c>
      <c r="F551" s="6">
        <f t="shared" ref="F551" si="479">C551+E551+G551</f>
        <v>7776</v>
      </c>
      <c r="G551" s="6">
        <v>23</v>
      </c>
    </row>
    <row r="552" spans="1:7" x14ac:dyDescent="0.25">
      <c r="A552" s="67">
        <v>44776</v>
      </c>
      <c r="B552" s="6">
        <v>0</v>
      </c>
      <c r="C552" s="6">
        <f t="shared" ref="C552" si="480">C551+B552-D552</f>
        <v>0</v>
      </c>
      <c r="D552" s="6">
        <v>0</v>
      </c>
      <c r="E552" s="6">
        <v>7755</v>
      </c>
      <c r="F552" s="6">
        <f t="shared" ref="F552" si="481">C552+E552+G552</f>
        <v>7776</v>
      </c>
      <c r="G552" s="6">
        <v>21</v>
      </c>
    </row>
    <row r="553" spans="1:7" x14ac:dyDescent="0.25">
      <c r="A553" s="67">
        <v>44777</v>
      </c>
      <c r="B553" s="6">
        <v>0</v>
      </c>
      <c r="C553" s="6">
        <f t="shared" ref="C553" si="482">C552+B553-D553</f>
        <v>0</v>
      </c>
      <c r="D553" s="6">
        <v>0</v>
      </c>
      <c r="E553" s="6">
        <v>7761</v>
      </c>
      <c r="F553" s="6">
        <f t="shared" ref="F553" si="483">C553+E553+G553</f>
        <v>7778</v>
      </c>
      <c r="G553" s="6">
        <v>17</v>
      </c>
    </row>
    <row r="554" spans="1:7" x14ac:dyDescent="0.25">
      <c r="A554" s="67">
        <v>44778</v>
      </c>
      <c r="B554" s="6">
        <v>1</v>
      </c>
      <c r="C554" s="6">
        <f t="shared" ref="C554" si="484">C553+B554-D554</f>
        <v>1</v>
      </c>
      <c r="D554" s="6">
        <v>0</v>
      </c>
      <c r="E554" s="6">
        <v>7761</v>
      </c>
      <c r="F554" s="6">
        <f t="shared" ref="F554" si="485">C554+E554+G554</f>
        <v>7779</v>
      </c>
      <c r="G554" s="6">
        <v>17</v>
      </c>
    </row>
    <row r="555" spans="1:7" x14ac:dyDescent="0.25">
      <c r="A555" s="67">
        <v>44779</v>
      </c>
      <c r="B555" s="6">
        <v>0</v>
      </c>
      <c r="C555" s="6">
        <f t="shared" ref="C555" si="486">C554+B555-D555</f>
        <v>1</v>
      </c>
      <c r="D555" s="6">
        <v>0</v>
      </c>
      <c r="E555" s="6">
        <v>7763</v>
      </c>
      <c r="F555" s="6">
        <f t="shared" ref="F555" si="487">C555+E555+G555</f>
        <v>7779</v>
      </c>
      <c r="G555" s="6">
        <v>15</v>
      </c>
    </row>
    <row r="556" spans="1:7" x14ac:dyDescent="0.25">
      <c r="A556" s="67">
        <v>44780</v>
      </c>
      <c r="B556" s="6">
        <v>0</v>
      </c>
      <c r="C556" s="6">
        <f t="shared" ref="C556" si="488">C555+B556-D556</f>
        <v>1</v>
      </c>
      <c r="D556" s="6">
        <v>0</v>
      </c>
      <c r="E556" s="6">
        <v>7763</v>
      </c>
      <c r="F556" s="6">
        <f t="shared" ref="F556" si="489">C556+E556+G556</f>
        <v>7779</v>
      </c>
      <c r="G556" s="6">
        <v>15</v>
      </c>
    </row>
    <row r="557" spans="1:7" x14ac:dyDescent="0.25">
      <c r="A557" s="67">
        <v>44781</v>
      </c>
      <c r="B557" s="6">
        <v>1</v>
      </c>
      <c r="C557" s="6">
        <f t="shared" ref="C557" si="490">C556+B557-D557</f>
        <v>1</v>
      </c>
      <c r="D557" s="6">
        <v>1</v>
      </c>
      <c r="E557" s="6">
        <v>7767</v>
      </c>
      <c r="F557" s="6">
        <f t="shared" ref="F557" si="491">C557+E557+G557</f>
        <v>7789</v>
      </c>
      <c r="G557" s="6">
        <v>21</v>
      </c>
    </row>
    <row r="558" spans="1:7" x14ac:dyDescent="0.25">
      <c r="A558" s="67">
        <v>44782</v>
      </c>
      <c r="B558" s="6">
        <v>1</v>
      </c>
      <c r="C558" s="6">
        <f t="shared" ref="C558" si="492">C557+B558-D558</f>
        <v>1</v>
      </c>
      <c r="D558" s="6">
        <v>1</v>
      </c>
      <c r="E558" s="6">
        <v>7769</v>
      </c>
      <c r="F558" s="6">
        <f t="shared" ref="F558" si="493">C558+E558+G558</f>
        <v>7789</v>
      </c>
      <c r="G558" s="6">
        <v>19</v>
      </c>
    </row>
    <row r="559" spans="1:7" x14ac:dyDescent="0.25">
      <c r="A559" s="67">
        <v>44783</v>
      </c>
      <c r="B559" s="6">
        <v>0</v>
      </c>
      <c r="C559" s="6">
        <f t="shared" ref="C559" si="494">C558+B559-D559</f>
        <v>0</v>
      </c>
      <c r="D559" s="6">
        <v>1</v>
      </c>
      <c r="E559" s="6">
        <v>7773</v>
      </c>
      <c r="F559" s="6">
        <f t="shared" ref="F559" si="495">C559+E559+G559</f>
        <v>7788</v>
      </c>
      <c r="G559" s="6">
        <v>15</v>
      </c>
    </row>
    <row r="560" spans="1:7" x14ac:dyDescent="0.25">
      <c r="A560" s="67">
        <v>44784</v>
      </c>
      <c r="B560" s="6">
        <v>0</v>
      </c>
      <c r="C560" s="6">
        <f t="shared" ref="C560" si="496">C559+B560-D560</f>
        <v>0</v>
      </c>
      <c r="D560" s="6">
        <v>0</v>
      </c>
      <c r="E560" s="6">
        <v>7773</v>
      </c>
      <c r="F560" s="6">
        <f t="shared" ref="F560" si="497">C560+E560+G560</f>
        <v>7788</v>
      </c>
      <c r="G560" s="6">
        <v>15</v>
      </c>
    </row>
    <row r="561" spans="1:7" x14ac:dyDescent="0.25">
      <c r="A561" s="67">
        <v>44785</v>
      </c>
      <c r="B561" s="6">
        <v>1</v>
      </c>
      <c r="C561" s="6">
        <f t="shared" ref="C561" si="498">C560+B561-D561</f>
        <v>1</v>
      </c>
      <c r="D561" s="6">
        <v>0</v>
      </c>
      <c r="E561" s="6">
        <v>7773</v>
      </c>
      <c r="F561" s="6">
        <f t="shared" ref="F561" si="499">C561+E561+G561</f>
        <v>7789</v>
      </c>
      <c r="G561" s="6">
        <v>15</v>
      </c>
    </row>
    <row r="562" spans="1:7" x14ac:dyDescent="0.25">
      <c r="A562" s="67">
        <v>44786</v>
      </c>
      <c r="B562" s="6">
        <v>1</v>
      </c>
      <c r="C562" s="6">
        <f t="shared" ref="C562" si="500">C561+B562-D562</f>
        <v>2</v>
      </c>
      <c r="D562" s="6">
        <v>0</v>
      </c>
      <c r="E562" s="6">
        <v>7773</v>
      </c>
      <c r="F562" s="6">
        <f t="shared" ref="F562" si="501">C562+E562+G562</f>
        <v>7791</v>
      </c>
      <c r="G562" s="6">
        <v>16</v>
      </c>
    </row>
    <row r="563" spans="1:7" x14ac:dyDescent="0.25">
      <c r="A563" s="67">
        <v>44787</v>
      </c>
      <c r="B563" s="6">
        <v>0</v>
      </c>
      <c r="C563" s="6">
        <f t="shared" ref="C563" si="502">C562+B563-D563</f>
        <v>2</v>
      </c>
      <c r="D563" s="6">
        <v>0</v>
      </c>
      <c r="E563" s="6">
        <v>7772</v>
      </c>
      <c r="F563" s="6">
        <f t="shared" ref="F563" si="503">C563+E563+G563</f>
        <v>7792</v>
      </c>
      <c r="G563" s="6">
        <v>18</v>
      </c>
    </row>
    <row r="564" spans="1:7" x14ac:dyDescent="0.25">
      <c r="A564" s="67">
        <v>44788</v>
      </c>
      <c r="B564" s="6">
        <v>0</v>
      </c>
      <c r="C564" s="6">
        <f t="shared" ref="C564" si="504">C563+B564-D564</f>
        <v>2</v>
      </c>
      <c r="D564" s="6">
        <v>0</v>
      </c>
      <c r="E564" s="6">
        <v>7775</v>
      </c>
      <c r="F564" s="6">
        <f t="shared" ref="F564" si="505">C564+E564+G564</f>
        <v>7790</v>
      </c>
      <c r="G564" s="6">
        <v>13</v>
      </c>
    </row>
    <row r="565" spans="1:7" x14ac:dyDescent="0.25">
      <c r="A565" s="67">
        <v>44789</v>
      </c>
      <c r="B565" s="6">
        <v>0</v>
      </c>
      <c r="C565" s="6">
        <f t="shared" ref="C565" si="506">C564+B565-D565</f>
        <v>1</v>
      </c>
      <c r="D565" s="6">
        <v>1</v>
      </c>
      <c r="E565" s="6">
        <v>7776</v>
      </c>
      <c r="F565" s="6">
        <f t="shared" ref="F565" si="507">C565+E565+G565</f>
        <v>7790</v>
      </c>
      <c r="G565" s="6">
        <v>13</v>
      </c>
    </row>
    <row r="566" spans="1:7" x14ac:dyDescent="0.25">
      <c r="A566" s="67">
        <v>44790</v>
      </c>
      <c r="B566" s="6">
        <v>0</v>
      </c>
      <c r="C566" s="6">
        <f t="shared" ref="C566" si="508">C565+B566-D566</f>
        <v>1</v>
      </c>
      <c r="D566" s="6">
        <v>0</v>
      </c>
      <c r="E566" s="6">
        <v>7778</v>
      </c>
      <c r="F566" s="6">
        <f t="shared" ref="F566" si="509">C566+E566+G566</f>
        <v>7790</v>
      </c>
      <c r="G566" s="6">
        <v>11</v>
      </c>
    </row>
    <row r="567" spans="1:7" x14ac:dyDescent="0.25">
      <c r="A567" s="67">
        <v>44791</v>
      </c>
      <c r="B567" s="6">
        <v>0</v>
      </c>
      <c r="C567" s="6">
        <f t="shared" ref="C567" si="510">C566+B567-D567</f>
        <v>1</v>
      </c>
      <c r="D567" s="6">
        <v>0</v>
      </c>
      <c r="E567" s="6">
        <v>7778</v>
      </c>
      <c r="F567" s="6">
        <f t="shared" ref="F567" si="511">C567+E567+G567</f>
        <v>7790</v>
      </c>
      <c r="G567" s="6">
        <v>11</v>
      </c>
    </row>
    <row r="568" spans="1:7" x14ac:dyDescent="0.25">
      <c r="A568" s="67">
        <v>44792</v>
      </c>
      <c r="B568" s="6">
        <v>1</v>
      </c>
      <c r="C568" s="6">
        <f t="shared" ref="C568" si="512">C567+B568-D568</f>
        <v>1</v>
      </c>
      <c r="D568" s="6">
        <v>1</v>
      </c>
      <c r="E568" s="6">
        <v>7778</v>
      </c>
      <c r="F568" s="6">
        <f t="shared" ref="F568" si="513">C568+E568+G568</f>
        <v>7791</v>
      </c>
      <c r="G568" s="6">
        <v>12</v>
      </c>
    </row>
    <row r="569" spans="1:7" x14ac:dyDescent="0.25">
      <c r="A569" s="67">
        <v>44793</v>
      </c>
      <c r="B569" s="6">
        <v>0</v>
      </c>
      <c r="C569" s="6">
        <f t="shared" ref="C569" si="514">C568+B569-D569</f>
        <v>1</v>
      </c>
      <c r="D569" s="6">
        <v>0</v>
      </c>
      <c r="E569" s="6">
        <v>7778</v>
      </c>
      <c r="F569" s="6">
        <f t="shared" ref="F569" si="515">C569+E569+G569</f>
        <v>7791</v>
      </c>
      <c r="G569" s="6">
        <v>12</v>
      </c>
    </row>
    <row r="570" spans="1:7" x14ac:dyDescent="0.25">
      <c r="A570" s="67">
        <v>44794</v>
      </c>
      <c r="B570" s="6">
        <v>0</v>
      </c>
      <c r="C570" s="6">
        <f t="shared" ref="C570" si="516">C569+B570-D570</f>
        <v>1</v>
      </c>
      <c r="D570" s="6">
        <v>0</v>
      </c>
      <c r="E570" s="6">
        <v>7780</v>
      </c>
      <c r="F570" s="6">
        <f t="shared" ref="F570" si="517">C570+E570+G570</f>
        <v>7791</v>
      </c>
      <c r="G570" s="6">
        <v>10</v>
      </c>
    </row>
    <row r="571" spans="1:7" x14ac:dyDescent="0.25">
      <c r="A571" s="67">
        <v>44795</v>
      </c>
      <c r="B571" s="6">
        <v>0</v>
      </c>
      <c r="C571" s="6">
        <f t="shared" ref="C571" si="518">C570+B571-D571</f>
        <v>0</v>
      </c>
      <c r="D571" s="6">
        <v>1</v>
      </c>
      <c r="E571" s="6">
        <v>7787</v>
      </c>
      <c r="F571" s="6">
        <f t="shared" ref="F571" si="519">C571+E571+G571</f>
        <v>7789</v>
      </c>
      <c r="G571" s="6">
        <v>2</v>
      </c>
    </row>
    <row r="572" spans="1:7" x14ac:dyDescent="0.25">
      <c r="A572" s="67">
        <v>44796</v>
      </c>
      <c r="B572" s="6">
        <v>0</v>
      </c>
      <c r="C572" s="6">
        <f t="shared" ref="C572:C577" si="520">C571+B572-D572</f>
        <v>0</v>
      </c>
      <c r="D572" s="6">
        <v>0</v>
      </c>
      <c r="E572" s="6">
        <v>7787</v>
      </c>
      <c r="F572" s="6">
        <f t="shared" ref="F572:F577" si="521">C572+E572+G572</f>
        <v>7792</v>
      </c>
      <c r="G572" s="6">
        <v>5</v>
      </c>
    </row>
    <row r="573" spans="1:7" x14ac:dyDescent="0.25">
      <c r="A573" s="67">
        <v>44797</v>
      </c>
      <c r="B573" s="6">
        <v>0</v>
      </c>
      <c r="C573" s="6">
        <f t="shared" si="520"/>
        <v>0</v>
      </c>
      <c r="D573" s="6">
        <v>0</v>
      </c>
      <c r="E573" s="6">
        <v>7787</v>
      </c>
      <c r="F573" s="6">
        <f t="shared" si="521"/>
        <v>7794</v>
      </c>
      <c r="G573" s="6">
        <v>7</v>
      </c>
    </row>
    <row r="574" spans="1:7" x14ac:dyDescent="0.25">
      <c r="A574" s="67">
        <v>44798</v>
      </c>
      <c r="B574" s="6">
        <v>0</v>
      </c>
      <c r="C574" s="6">
        <f t="shared" si="520"/>
        <v>0</v>
      </c>
      <c r="D574" s="6">
        <v>0</v>
      </c>
      <c r="E574" s="6">
        <v>7786</v>
      </c>
      <c r="F574" s="6">
        <f t="shared" si="521"/>
        <v>7793</v>
      </c>
      <c r="G574" s="6">
        <v>7</v>
      </c>
    </row>
    <row r="575" spans="1:7" x14ac:dyDescent="0.25">
      <c r="A575" s="67">
        <v>44799</v>
      </c>
      <c r="B575" s="6">
        <v>0</v>
      </c>
      <c r="C575" s="6">
        <f t="shared" si="520"/>
        <v>0</v>
      </c>
      <c r="D575" s="6">
        <v>0</v>
      </c>
      <c r="E575" s="6">
        <v>7787</v>
      </c>
      <c r="F575" s="6">
        <f t="shared" si="521"/>
        <v>7796</v>
      </c>
      <c r="G575" s="6">
        <v>9</v>
      </c>
    </row>
    <row r="576" spans="1:7" x14ac:dyDescent="0.25">
      <c r="A576" s="67">
        <v>44800</v>
      </c>
      <c r="B576" s="6">
        <v>0</v>
      </c>
      <c r="C576" s="6">
        <f t="shared" si="520"/>
        <v>0</v>
      </c>
      <c r="D576" s="6">
        <v>0</v>
      </c>
      <c r="E576" s="6">
        <v>7787</v>
      </c>
      <c r="F576" s="6">
        <f t="shared" si="521"/>
        <v>7803</v>
      </c>
      <c r="G576" s="6">
        <v>16</v>
      </c>
    </row>
    <row r="577" spans="1:7" x14ac:dyDescent="0.25">
      <c r="A577" s="67">
        <v>44801</v>
      </c>
      <c r="B577" s="6">
        <v>0</v>
      </c>
      <c r="C577" s="6">
        <f t="shared" si="520"/>
        <v>0</v>
      </c>
      <c r="D577" s="6">
        <v>0</v>
      </c>
      <c r="E577" s="6">
        <v>7787</v>
      </c>
      <c r="F577" s="6">
        <f t="shared" si="521"/>
        <v>7803</v>
      </c>
      <c r="G577" s="6">
        <v>16</v>
      </c>
    </row>
    <row r="578" spans="1:7" x14ac:dyDescent="0.25">
      <c r="A578" s="67">
        <v>44802</v>
      </c>
      <c r="B578" s="6">
        <v>1</v>
      </c>
      <c r="C578" s="6">
        <f t="shared" ref="C578" si="522">C577+B578-D578</f>
        <v>1</v>
      </c>
      <c r="D578" s="6">
        <v>0</v>
      </c>
      <c r="E578" s="6">
        <v>7787</v>
      </c>
      <c r="F578" s="6">
        <f t="shared" ref="F578" si="523">C578+E578+G578</f>
        <v>7804</v>
      </c>
      <c r="G578" s="6">
        <v>16</v>
      </c>
    </row>
    <row r="579" spans="1:7" x14ac:dyDescent="0.25">
      <c r="A579" s="67">
        <v>44803</v>
      </c>
      <c r="B579" s="6">
        <v>0</v>
      </c>
      <c r="C579" s="6">
        <f t="shared" ref="C579" si="524">C578+B579-D579</f>
        <v>1</v>
      </c>
      <c r="D579" s="6">
        <v>0</v>
      </c>
      <c r="E579" s="6">
        <v>7788</v>
      </c>
      <c r="F579" s="6">
        <f t="shared" ref="F579" si="525">C579+E579+G579</f>
        <v>7804</v>
      </c>
      <c r="G579" s="6">
        <v>15</v>
      </c>
    </row>
    <row r="580" spans="1:7" x14ac:dyDescent="0.25">
      <c r="A580" s="67">
        <v>44804</v>
      </c>
      <c r="B580" s="6">
        <v>2</v>
      </c>
      <c r="C580" s="6">
        <f t="shared" ref="C580" si="526">C579+B580-D580</f>
        <v>2</v>
      </c>
      <c r="D580" s="6">
        <v>1</v>
      </c>
      <c r="E580" s="6">
        <v>7787</v>
      </c>
      <c r="F580" s="6">
        <f t="shared" ref="F580" si="527">C580+E580+G580</f>
        <v>7806</v>
      </c>
      <c r="G580" s="6">
        <v>17</v>
      </c>
    </row>
    <row r="581" spans="1:7" x14ac:dyDescent="0.25">
      <c r="A581" s="67">
        <v>44805</v>
      </c>
      <c r="B581" s="6">
        <v>1</v>
      </c>
      <c r="C581" s="6">
        <f t="shared" ref="C581" si="528">C580+B581-D581</f>
        <v>2</v>
      </c>
      <c r="D581" s="6">
        <v>1</v>
      </c>
      <c r="E581" s="6">
        <v>7787</v>
      </c>
      <c r="F581" s="6">
        <f t="shared" ref="F581" si="529">C581+E581+G581</f>
        <v>7811</v>
      </c>
      <c r="G581" s="6">
        <v>22</v>
      </c>
    </row>
    <row r="582" spans="1:7" x14ac:dyDescent="0.25">
      <c r="A582" s="67">
        <v>44806</v>
      </c>
      <c r="B582" s="6">
        <v>1</v>
      </c>
      <c r="C582" s="6">
        <f t="shared" ref="C582" si="530">C581+B582-D582</f>
        <v>2</v>
      </c>
      <c r="D582" s="6">
        <v>1</v>
      </c>
      <c r="E582" s="6">
        <v>7787</v>
      </c>
      <c r="F582" s="6">
        <f t="shared" ref="F582" si="531">C582+E582+G582</f>
        <v>7817</v>
      </c>
      <c r="G582" s="6">
        <v>28</v>
      </c>
    </row>
    <row r="583" spans="1:7" x14ac:dyDescent="0.25">
      <c r="A583" s="67">
        <v>44807</v>
      </c>
      <c r="B583" s="6">
        <v>0</v>
      </c>
      <c r="C583" s="6">
        <f t="shared" ref="C583" si="532">C582+B583-D583</f>
        <v>2</v>
      </c>
      <c r="D583" s="6">
        <v>0</v>
      </c>
      <c r="E583" s="6">
        <v>7787</v>
      </c>
      <c r="F583" s="6">
        <f t="shared" ref="F583" si="533">C583+E583+G583</f>
        <v>7817</v>
      </c>
      <c r="G583" s="6">
        <v>28</v>
      </c>
    </row>
    <row r="584" spans="1:7" x14ac:dyDescent="0.25">
      <c r="A584" s="67">
        <v>44808</v>
      </c>
      <c r="B584" s="6">
        <v>1</v>
      </c>
      <c r="C584" s="6">
        <f t="shared" ref="C584" si="534">C583+B584-D584</f>
        <v>3</v>
      </c>
      <c r="D584" s="6">
        <v>0</v>
      </c>
      <c r="E584" s="6">
        <v>7785</v>
      </c>
      <c r="F584" s="6">
        <f t="shared" ref="F584" si="535">C584+E584+G584</f>
        <v>7816</v>
      </c>
      <c r="G584" s="6">
        <v>28</v>
      </c>
    </row>
    <row r="585" spans="1:7" x14ac:dyDescent="0.25">
      <c r="A585" s="67">
        <v>44809</v>
      </c>
      <c r="B585" s="6">
        <v>0</v>
      </c>
      <c r="C585" s="6">
        <f t="shared" ref="C585" si="536">C584+B585-D585</f>
        <v>3</v>
      </c>
      <c r="D585" s="6">
        <v>0</v>
      </c>
      <c r="E585" s="6">
        <v>7786</v>
      </c>
      <c r="F585" s="6">
        <f t="shared" ref="F585" si="537">C585+E585+G585</f>
        <v>7821</v>
      </c>
      <c r="G585" s="6">
        <v>32</v>
      </c>
    </row>
    <row r="586" spans="1:7" x14ac:dyDescent="0.25">
      <c r="A586" s="67">
        <v>44810</v>
      </c>
      <c r="B586" s="6">
        <v>5</v>
      </c>
      <c r="C586" s="6">
        <f t="shared" ref="C586" si="538">C585+B586-D586</f>
        <v>7</v>
      </c>
      <c r="D586" s="6">
        <v>1</v>
      </c>
      <c r="E586" s="6">
        <v>7788</v>
      </c>
      <c r="F586" s="6">
        <f t="shared" ref="F586" si="539">C586+E586+G586</f>
        <v>7827</v>
      </c>
      <c r="G586" s="6">
        <v>32</v>
      </c>
    </row>
    <row r="587" spans="1:7" x14ac:dyDescent="0.25">
      <c r="A587" s="67">
        <v>44811</v>
      </c>
      <c r="B587" s="6">
        <v>0</v>
      </c>
      <c r="C587" s="6">
        <f t="shared" ref="C587" si="540">C586+B587-D587</f>
        <v>6</v>
      </c>
      <c r="D587" s="6">
        <v>1</v>
      </c>
      <c r="E587" s="6">
        <v>7790</v>
      </c>
      <c r="F587" s="6">
        <f t="shared" ref="F587" si="541">C587+E587+G587</f>
        <v>7830</v>
      </c>
      <c r="G587" s="6">
        <v>34</v>
      </c>
    </row>
    <row r="588" spans="1:7" x14ac:dyDescent="0.25">
      <c r="A588" s="67">
        <v>44812</v>
      </c>
      <c r="B588" s="6">
        <v>0</v>
      </c>
      <c r="C588" s="6">
        <f t="shared" ref="C588" si="542">C587+B588-D588</f>
        <v>2</v>
      </c>
      <c r="D588" s="6">
        <v>4</v>
      </c>
      <c r="E588" s="6">
        <v>7790</v>
      </c>
      <c r="F588" s="6">
        <f t="shared" ref="F588" si="543">C588+E588+G588</f>
        <v>7837</v>
      </c>
      <c r="G588" s="6">
        <v>45</v>
      </c>
    </row>
    <row r="589" spans="1:7" x14ac:dyDescent="0.25">
      <c r="A589" s="67">
        <v>44813</v>
      </c>
      <c r="B589" s="6">
        <v>0</v>
      </c>
      <c r="C589" s="6">
        <f t="shared" ref="C589" si="544">C588+B589-D589</f>
        <v>2</v>
      </c>
      <c r="D589" s="6">
        <v>0</v>
      </c>
      <c r="E589" s="6">
        <v>7799</v>
      </c>
      <c r="F589" s="6">
        <f t="shared" ref="F589" si="545">C589+E589+G589</f>
        <v>7833</v>
      </c>
      <c r="G589" s="6">
        <v>32</v>
      </c>
    </row>
    <row r="590" spans="1:7" x14ac:dyDescent="0.25">
      <c r="A590" s="67">
        <v>44814</v>
      </c>
      <c r="B590" s="6">
        <v>0</v>
      </c>
      <c r="C590" s="6">
        <f t="shared" ref="C590" si="546">C589+B590-D590</f>
        <v>2</v>
      </c>
      <c r="D590" s="6">
        <v>0</v>
      </c>
      <c r="E590" s="6">
        <v>7798</v>
      </c>
      <c r="F590" s="6">
        <f t="shared" ref="F590" si="547">C590+E590+G590</f>
        <v>7831</v>
      </c>
      <c r="G590" s="6">
        <v>31</v>
      </c>
    </row>
    <row r="591" spans="1:7" x14ac:dyDescent="0.25">
      <c r="A591" s="67">
        <v>44815</v>
      </c>
      <c r="B591" s="6">
        <v>0</v>
      </c>
      <c r="C591" s="6">
        <f t="shared" ref="C591" si="548">C590+B591-D591</f>
        <v>2</v>
      </c>
      <c r="D591" s="6">
        <v>0</v>
      </c>
      <c r="E591" s="6">
        <v>7798</v>
      </c>
      <c r="F591" s="6">
        <f t="shared" ref="F591" si="549">C591+E591+G591</f>
        <v>7831</v>
      </c>
      <c r="G591" s="6">
        <v>31</v>
      </c>
    </row>
    <row r="592" spans="1:7" x14ac:dyDescent="0.25">
      <c r="A592" s="67">
        <v>44816</v>
      </c>
      <c r="B592" s="6">
        <v>4</v>
      </c>
      <c r="C592" s="6">
        <f t="shared" ref="C592" si="550">C591+B592-D592</f>
        <v>6</v>
      </c>
      <c r="D592" s="6">
        <v>0</v>
      </c>
      <c r="E592" s="6">
        <v>7802</v>
      </c>
      <c r="F592" s="6">
        <f t="shared" ref="F592" si="551">C592+E592+G592</f>
        <v>7835</v>
      </c>
      <c r="G592" s="6">
        <v>27</v>
      </c>
    </row>
    <row r="593" spans="1:7" x14ac:dyDescent="0.25">
      <c r="A593" s="67">
        <v>44817</v>
      </c>
      <c r="B593" s="6">
        <v>1</v>
      </c>
      <c r="C593" s="6">
        <f t="shared" ref="C593" si="552">C592+B593-D593</f>
        <v>5</v>
      </c>
      <c r="D593" s="6">
        <v>2</v>
      </c>
      <c r="E593" s="6">
        <v>7803</v>
      </c>
      <c r="F593" s="6">
        <f t="shared" ref="F593" si="553">C593+E593+G593</f>
        <v>7836</v>
      </c>
      <c r="G593" s="6">
        <v>28</v>
      </c>
    </row>
    <row r="594" spans="1:7" x14ac:dyDescent="0.25">
      <c r="A594" s="67">
        <v>44818</v>
      </c>
      <c r="B594" s="6">
        <v>0</v>
      </c>
      <c r="C594" s="6">
        <f t="shared" ref="C594" si="554">C593+B594-D594</f>
        <v>5</v>
      </c>
      <c r="D594" s="6">
        <v>0</v>
      </c>
      <c r="E594" s="6">
        <v>7802</v>
      </c>
      <c r="F594" s="6">
        <f t="shared" ref="F594" si="555">C594+E594+G594</f>
        <v>7834</v>
      </c>
      <c r="G594" s="6">
        <v>27</v>
      </c>
    </row>
    <row r="595" spans="1:7" x14ac:dyDescent="0.25">
      <c r="A595" s="67">
        <v>44819</v>
      </c>
      <c r="B595" s="6">
        <v>0</v>
      </c>
      <c r="C595" s="6">
        <f t="shared" ref="C595" si="556">C594+B595-D595</f>
        <v>3</v>
      </c>
      <c r="D595" s="6">
        <v>2</v>
      </c>
      <c r="E595" s="6">
        <v>7809</v>
      </c>
      <c r="F595" s="6">
        <f t="shared" ref="F595" si="557">C595+E595+G595</f>
        <v>7833</v>
      </c>
      <c r="G595" s="6">
        <v>21</v>
      </c>
    </row>
    <row r="596" spans="1:7" x14ac:dyDescent="0.25">
      <c r="A596" s="67">
        <v>44820</v>
      </c>
      <c r="B596" s="6">
        <v>0</v>
      </c>
      <c r="C596" s="6">
        <f t="shared" ref="C596" si="558">C595+B596-D596</f>
        <v>2</v>
      </c>
      <c r="D596" s="6">
        <v>1</v>
      </c>
      <c r="E596" s="6">
        <v>7809</v>
      </c>
      <c r="F596" s="6">
        <f t="shared" ref="F596" si="559">C596+E596+G596</f>
        <v>7832</v>
      </c>
      <c r="G596" s="6">
        <v>21</v>
      </c>
    </row>
    <row r="597" spans="1:7" x14ac:dyDescent="0.25">
      <c r="A597" s="67">
        <v>44821</v>
      </c>
      <c r="B597" s="6">
        <v>0</v>
      </c>
      <c r="C597" s="6">
        <f t="shared" ref="C597" si="560">C596+B597-D597</f>
        <v>2</v>
      </c>
      <c r="D597" s="6">
        <v>0</v>
      </c>
      <c r="E597" s="6">
        <v>7809</v>
      </c>
      <c r="F597" s="6">
        <f t="shared" ref="F597" si="561">C597+E597+G597</f>
        <v>7832</v>
      </c>
      <c r="G597" s="6">
        <v>21</v>
      </c>
    </row>
    <row r="598" spans="1:7" x14ac:dyDescent="0.25">
      <c r="A598" s="67">
        <v>44822</v>
      </c>
      <c r="B598" s="6">
        <v>0</v>
      </c>
      <c r="C598" s="6">
        <f t="shared" ref="C598" si="562">C597+B598-D598</f>
        <v>2</v>
      </c>
      <c r="D598" s="6">
        <v>0</v>
      </c>
      <c r="E598" s="6">
        <v>7810</v>
      </c>
      <c r="F598" s="6">
        <f t="shared" ref="F598" si="563">C598+E598+G598</f>
        <v>7832</v>
      </c>
      <c r="G598" s="6">
        <v>20</v>
      </c>
    </row>
    <row r="599" spans="1:7" x14ac:dyDescent="0.25">
      <c r="A599" s="67">
        <v>44823</v>
      </c>
      <c r="B599" s="6">
        <v>0</v>
      </c>
      <c r="C599" s="6">
        <f t="shared" ref="C599" si="564">C598+B599-D599</f>
        <v>2</v>
      </c>
      <c r="D599" s="6">
        <v>0</v>
      </c>
      <c r="E599" s="6">
        <v>7816</v>
      </c>
      <c r="F599" s="6">
        <f t="shared" ref="F599" si="565">C599+E599+G599</f>
        <v>7833</v>
      </c>
      <c r="G599" s="6">
        <v>15</v>
      </c>
    </row>
    <row r="600" spans="1:7" x14ac:dyDescent="0.25">
      <c r="A600" s="67">
        <v>44824</v>
      </c>
      <c r="B600" s="6">
        <v>0</v>
      </c>
      <c r="C600" s="6">
        <f t="shared" ref="C600" si="566">C599+B600-D600</f>
        <v>2</v>
      </c>
      <c r="D600" s="6">
        <v>0</v>
      </c>
      <c r="E600" s="6">
        <v>7818</v>
      </c>
      <c r="F600" s="6">
        <f t="shared" ref="F600" si="567">C600+E600+G600</f>
        <v>7833</v>
      </c>
      <c r="G600" s="6">
        <v>13</v>
      </c>
    </row>
    <row r="601" spans="1:7" x14ac:dyDescent="0.25">
      <c r="A601" s="67">
        <v>44825</v>
      </c>
      <c r="B601" s="6">
        <v>0</v>
      </c>
      <c r="C601" s="6">
        <f t="shared" ref="C601" si="568">C600+B601-D601</f>
        <v>2</v>
      </c>
      <c r="D601" s="6">
        <v>0</v>
      </c>
      <c r="E601" s="6">
        <v>7825</v>
      </c>
      <c r="F601" s="6">
        <f t="shared" ref="F601" si="569">C601+E601+G601</f>
        <v>7836</v>
      </c>
      <c r="G601" s="6">
        <v>9</v>
      </c>
    </row>
    <row r="602" spans="1:7" x14ac:dyDescent="0.25">
      <c r="A602" s="67">
        <v>44826</v>
      </c>
      <c r="B602" s="6">
        <v>1</v>
      </c>
      <c r="C602" s="6">
        <f t="shared" ref="C602" si="570">C601+B602-D602</f>
        <v>3</v>
      </c>
      <c r="D602" s="6">
        <v>0</v>
      </c>
      <c r="E602" s="6">
        <v>7827</v>
      </c>
      <c r="F602" s="6">
        <f t="shared" ref="F602" si="571">C602+E602+G602</f>
        <v>7836</v>
      </c>
      <c r="G602" s="6">
        <v>6</v>
      </c>
    </row>
    <row r="603" spans="1:7" x14ac:dyDescent="0.25">
      <c r="A603" s="67">
        <v>44827</v>
      </c>
      <c r="B603" s="6">
        <v>0</v>
      </c>
      <c r="C603" s="6">
        <f t="shared" ref="C603" si="572">C602+B603-D603</f>
        <v>2</v>
      </c>
      <c r="D603" s="6">
        <v>1</v>
      </c>
      <c r="E603" s="6">
        <v>7826</v>
      </c>
      <c r="F603" s="6">
        <f t="shared" ref="F603" si="573">C603+E603+G603</f>
        <v>7838</v>
      </c>
      <c r="G603" s="6">
        <v>10</v>
      </c>
    </row>
    <row r="604" spans="1:7" x14ac:dyDescent="0.25">
      <c r="A604" s="67">
        <v>44828</v>
      </c>
      <c r="B604" s="6">
        <v>1</v>
      </c>
      <c r="C604" s="6">
        <f t="shared" ref="C604" si="574">C603+B604-D604</f>
        <v>3</v>
      </c>
      <c r="D604" s="6">
        <v>0</v>
      </c>
      <c r="E604" s="6">
        <v>7826</v>
      </c>
      <c r="F604" s="6">
        <f t="shared" ref="F604" si="575">C604+E604+G604</f>
        <v>7839</v>
      </c>
      <c r="G604" s="6">
        <v>10</v>
      </c>
    </row>
    <row r="605" spans="1:7" x14ac:dyDescent="0.25">
      <c r="A605" s="67">
        <v>44829</v>
      </c>
      <c r="B605" s="6">
        <v>0</v>
      </c>
      <c r="C605" s="6">
        <f t="shared" ref="C605" si="576">C604+B605-D605</f>
        <v>3</v>
      </c>
      <c r="D605" s="6">
        <v>0</v>
      </c>
      <c r="E605" s="6">
        <v>7826</v>
      </c>
      <c r="F605" s="6">
        <f t="shared" ref="F605" si="577">C605+E605+G605</f>
        <v>7839</v>
      </c>
      <c r="G605" s="6">
        <v>10</v>
      </c>
    </row>
    <row r="606" spans="1:7" x14ac:dyDescent="0.25">
      <c r="A606" s="67">
        <v>44830</v>
      </c>
      <c r="B606" s="6">
        <v>0</v>
      </c>
      <c r="C606" s="6">
        <f t="shared" ref="C606" si="578">C605+B606-D606</f>
        <v>3</v>
      </c>
      <c r="D606" s="6">
        <v>0</v>
      </c>
      <c r="E606" s="6">
        <v>7826</v>
      </c>
      <c r="F606" s="6">
        <f t="shared" ref="F606" si="579">C606+E606+G606</f>
        <v>7839</v>
      </c>
      <c r="G606" s="6">
        <v>10</v>
      </c>
    </row>
    <row r="607" spans="1:7" x14ac:dyDescent="0.25">
      <c r="A607" s="67">
        <v>44831</v>
      </c>
      <c r="B607" s="6">
        <v>1</v>
      </c>
      <c r="C607" s="6">
        <f t="shared" ref="C607" si="580">C606+B607-D607</f>
        <v>3</v>
      </c>
      <c r="D607" s="6">
        <v>1</v>
      </c>
      <c r="E607" s="6">
        <v>7827</v>
      </c>
      <c r="F607" s="6">
        <f t="shared" ref="F607" si="581">C607+E607+G607</f>
        <v>7846</v>
      </c>
      <c r="G607" s="6">
        <v>16</v>
      </c>
    </row>
    <row r="608" spans="1:7" x14ac:dyDescent="0.25">
      <c r="A608" s="67">
        <v>44832</v>
      </c>
      <c r="B608" s="6">
        <v>0</v>
      </c>
      <c r="C608" s="6">
        <f t="shared" ref="C608" si="582">C607+B608-D608</f>
        <v>3</v>
      </c>
      <c r="D608" s="6">
        <v>0</v>
      </c>
      <c r="E608" s="6">
        <v>7827</v>
      </c>
      <c r="F608" s="6">
        <f t="shared" ref="F608" si="583">C608+E608+G608</f>
        <v>7850</v>
      </c>
      <c r="G608" s="6">
        <v>20</v>
      </c>
    </row>
    <row r="609" spans="1:7" x14ac:dyDescent="0.25">
      <c r="A609" s="67">
        <v>44833</v>
      </c>
      <c r="B609" s="6">
        <v>1</v>
      </c>
      <c r="C609" s="6">
        <f t="shared" ref="C609" si="584">C608+B609-D609</f>
        <v>2</v>
      </c>
      <c r="D609" s="6">
        <v>2</v>
      </c>
      <c r="E609" s="6">
        <v>7829</v>
      </c>
      <c r="F609" s="6">
        <f t="shared" ref="F609" si="585">C609+E609+G609</f>
        <v>7850</v>
      </c>
      <c r="G609" s="6">
        <v>19</v>
      </c>
    </row>
    <row r="610" spans="1:7" x14ac:dyDescent="0.25">
      <c r="A610" s="67">
        <v>44834</v>
      </c>
      <c r="B610" s="6">
        <v>0</v>
      </c>
      <c r="C610" s="6">
        <f t="shared" ref="C610" si="586">C609+B610-D610</f>
        <v>1</v>
      </c>
      <c r="D610" s="6">
        <v>1</v>
      </c>
      <c r="E610" s="6">
        <v>7827</v>
      </c>
      <c r="F610" s="6">
        <f t="shared" ref="F610" si="587">C610+E610+G610</f>
        <v>7847</v>
      </c>
      <c r="G610" s="6">
        <v>19</v>
      </c>
    </row>
    <row r="611" spans="1:7" x14ac:dyDescent="0.25">
      <c r="A611" s="67">
        <v>44835</v>
      </c>
      <c r="B611" s="6">
        <v>0</v>
      </c>
      <c r="C611" s="6">
        <f t="shared" ref="C611" si="588">C610+B611-D611</f>
        <v>1</v>
      </c>
      <c r="D611" s="6">
        <v>0</v>
      </c>
      <c r="E611" s="6">
        <v>7826</v>
      </c>
      <c r="F611" s="6">
        <f t="shared" ref="F611" si="589">C611+E611+G611</f>
        <v>7854</v>
      </c>
      <c r="G611" s="6">
        <v>27</v>
      </c>
    </row>
    <row r="612" spans="1:7" x14ac:dyDescent="0.25">
      <c r="A612" s="67">
        <v>44836</v>
      </c>
      <c r="B612" s="6">
        <v>0</v>
      </c>
      <c r="C612" s="6">
        <f t="shared" ref="C612" si="590">C611+B612-D612</f>
        <v>1</v>
      </c>
      <c r="D612" s="6">
        <v>0</v>
      </c>
      <c r="E612" s="6">
        <v>7826</v>
      </c>
      <c r="F612" s="6">
        <f t="shared" ref="F612" si="591">C612+E612+G612</f>
        <v>7853</v>
      </c>
      <c r="G612" s="6">
        <v>26</v>
      </c>
    </row>
    <row r="613" spans="1:7" x14ac:dyDescent="0.25">
      <c r="A613" s="67">
        <v>44837</v>
      </c>
      <c r="B613" s="6">
        <v>4</v>
      </c>
      <c r="C613" s="6">
        <f t="shared" ref="C613" si="592">C612+B613-D613</f>
        <v>5</v>
      </c>
      <c r="D613" s="6">
        <v>0</v>
      </c>
      <c r="E613" s="6">
        <v>7827</v>
      </c>
      <c r="F613" s="6">
        <f t="shared" ref="F613" si="593">C613+E613+G613</f>
        <v>7877</v>
      </c>
      <c r="G613" s="6">
        <v>45</v>
      </c>
    </row>
    <row r="614" spans="1:7" x14ac:dyDescent="0.25">
      <c r="A614" s="67">
        <v>44838</v>
      </c>
      <c r="B614" s="6">
        <v>0</v>
      </c>
      <c r="C614" s="6">
        <f t="shared" ref="C614" si="594">C613+B614-D614</f>
        <v>5</v>
      </c>
      <c r="D614" s="6">
        <v>0</v>
      </c>
      <c r="E614" s="6">
        <v>7825</v>
      </c>
      <c r="F614" s="6">
        <f t="shared" ref="F614" si="595">C614+E614+G614</f>
        <v>7875</v>
      </c>
      <c r="G614" s="6">
        <v>45</v>
      </c>
    </row>
    <row r="615" spans="1:7" x14ac:dyDescent="0.25">
      <c r="A615" s="67">
        <v>44839</v>
      </c>
      <c r="B615" s="6">
        <v>3</v>
      </c>
      <c r="C615" s="6">
        <f t="shared" ref="C615" si="596">C614+B615-D615</f>
        <v>7</v>
      </c>
      <c r="D615" s="6">
        <v>1</v>
      </c>
      <c r="E615" s="6">
        <v>7827</v>
      </c>
      <c r="F615" s="6">
        <f t="shared" ref="F615" si="597">C615+E615+G615</f>
        <v>7877</v>
      </c>
      <c r="G615" s="6">
        <v>43</v>
      </c>
    </row>
    <row r="616" spans="1:7" x14ac:dyDescent="0.25">
      <c r="A616" s="67">
        <v>44840</v>
      </c>
      <c r="B616" s="6">
        <v>1</v>
      </c>
      <c r="C616" s="6">
        <f t="shared" ref="C616" si="598">C615+B616-D616</f>
        <v>4</v>
      </c>
      <c r="D616" s="6">
        <v>4</v>
      </c>
      <c r="E616" s="6">
        <v>7831</v>
      </c>
      <c r="F616" s="6">
        <f t="shared" ref="F616" si="599">C616+E616+G616</f>
        <v>7906</v>
      </c>
      <c r="G616" s="6">
        <v>71</v>
      </c>
    </row>
    <row r="617" spans="1:7" x14ac:dyDescent="0.25">
      <c r="A617" s="67">
        <v>44841</v>
      </c>
      <c r="B617" s="6">
        <v>0</v>
      </c>
      <c r="C617" s="6">
        <f t="shared" ref="C617" si="600">C616+B617-D617</f>
        <v>4</v>
      </c>
      <c r="D617" s="6">
        <v>0</v>
      </c>
      <c r="E617" s="6">
        <v>7831</v>
      </c>
      <c r="F617" s="6">
        <f t="shared" ref="F617" si="601">C617+E617+G617</f>
        <v>7906</v>
      </c>
      <c r="G617" s="6">
        <v>71</v>
      </c>
    </row>
    <row r="618" spans="1:7" x14ac:dyDescent="0.25">
      <c r="A618" s="67">
        <v>44842</v>
      </c>
      <c r="B618" s="6">
        <v>0</v>
      </c>
      <c r="C618" s="6">
        <f t="shared" ref="C618" si="602">C617+B618-D618</f>
        <v>4</v>
      </c>
      <c r="D618" s="6">
        <v>0</v>
      </c>
      <c r="E618" s="6">
        <v>7831</v>
      </c>
      <c r="F618" s="6">
        <f t="shared" ref="F618" si="603">C618+E618+G618</f>
        <v>7906</v>
      </c>
      <c r="G618" s="6">
        <v>71</v>
      </c>
    </row>
    <row r="619" spans="1:7" x14ac:dyDescent="0.25">
      <c r="A619" s="67">
        <v>44843</v>
      </c>
      <c r="B619" s="6">
        <v>0</v>
      </c>
      <c r="C619" s="6">
        <f t="shared" ref="C619" si="604">C618+B619-D619</f>
        <v>4</v>
      </c>
      <c r="D619" s="6">
        <v>0</v>
      </c>
      <c r="E619" s="6">
        <v>7830</v>
      </c>
      <c r="F619" s="6">
        <f t="shared" ref="F619" si="605">C619+E619+G619</f>
        <v>7905</v>
      </c>
      <c r="G619" s="6">
        <v>71</v>
      </c>
    </row>
    <row r="620" spans="1:7" x14ac:dyDescent="0.25">
      <c r="A620" s="67">
        <v>44844</v>
      </c>
      <c r="B620" s="6">
        <v>3</v>
      </c>
      <c r="C620" s="6">
        <f t="shared" ref="C620" si="606">C619+B620-D620</f>
        <v>4</v>
      </c>
      <c r="D620" s="6">
        <v>3</v>
      </c>
      <c r="E620" s="6">
        <v>7829</v>
      </c>
      <c r="F620" s="6">
        <f t="shared" ref="F620" si="607">C620+E620+G620</f>
        <v>7922</v>
      </c>
      <c r="G620" s="6">
        <v>89</v>
      </c>
    </row>
    <row r="621" spans="1:7" x14ac:dyDescent="0.25">
      <c r="A621" s="67">
        <v>44845</v>
      </c>
      <c r="B621" s="6">
        <v>0</v>
      </c>
      <c r="C621" s="6">
        <f t="shared" ref="C621" si="608">C620+B621-D621</f>
        <v>4</v>
      </c>
      <c r="D621" s="6">
        <v>0</v>
      </c>
      <c r="E621" s="6">
        <v>7836</v>
      </c>
      <c r="F621" s="6">
        <f t="shared" ref="F621" si="609">C621+E621+G621</f>
        <v>7931</v>
      </c>
      <c r="G621" s="6">
        <v>91</v>
      </c>
    </row>
    <row r="622" spans="1:7" x14ac:dyDescent="0.25">
      <c r="A622" s="67">
        <v>44846</v>
      </c>
      <c r="B622" s="6">
        <v>2</v>
      </c>
      <c r="C622" s="6">
        <f t="shared" ref="C622" si="610">C621+B622-D622</f>
        <v>4</v>
      </c>
      <c r="D622" s="6">
        <v>2</v>
      </c>
      <c r="E622" s="6">
        <v>7839</v>
      </c>
      <c r="F622" s="6">
        <f t="shared" ref="F622" si="611">C622+E622+G622</f>
        <v>7947</v>
      </c>
      <c r="G622" s="6">
        <v>104</v>
      </c>
    </row>
    <row r="623" spans="1:7" x14ac:dyDescent="0.25">
      <c r="A623" s="67">
        <v>44847</v>
      </c>
      <c r="B623" s="6">
        <v>0</v>
      </c>
      <c r="C623" s="6">
        <f t="shared" ref="C623" si="612">C622+B623-D623</f>
        <v>3</v>
      </c>
      <c r="D623" s="6">
        <v>1</v>
      </c>
      <c r="E623" s="6">
        <v>7839</v>
      </c>
      <c r="F623" s="6">
        <f t="shared" ref="F623" si="613">C623+E623+G623</f>
        <v>7946</v>
      </c>
      <c r="G623" s="6">
        <v>104</v>
      </c>
    </row>
    <row r="624" spans="1:7" x14ac:dyDescent="0.25">
      <c r="A624" s="67">
        <v>44848</v>
      </c>
      <c r="B624" s="6">
        <v>2</v>
      </c>
      <c r="C624" s="6">
        <f t="shared" ref="C624" si="614">C623+B624-D624</f>
        <v>3</v>
      </c>
      <c r="D624" s="6">
        <v>2</v>
      </c>
      <c r="E624" s="6">
        <v>7846</v>
      </c>
      <c r="F624" s="6">
        <f t="shared" ref="F624" si="615">C624+E624+G624</f>
        <v>7955</v>
      </c>
      <c r="G624" s="6">
        <v>106</v>
      </c>
    </row>
    <row r="625" spans="1:7" x14ac:dyDescent="0.25">
      <c r="A625" s="67">
        <v>44849</v>
      </c>
      <c r="B625" s="6">
        <v>0</v>
      </c>
      <c r="C625" s="6">
        <f t="shared" ref="C625" si="616">C624+B625-D625</f>
        <v>3</v>
      </c>
      <c r="D625" s="6">
        <v>0</v>
      </c>
      <c r="E625" s="6">
        <v>7847</v>
      </c>
      <c r="F625" s="6">
        <f t="shared" ref="F625" si="617">C625+E625+G625</f>
        <v>7960</v>
      </c>
      <c r="G625" s="6">
        <v>110</v>
      </c>
    </row>
    <row r="626" spans="1:7" x14ac:dyDescent="0.25">
      <c r="A626" s="67">
        <v>44850</v>
      </c>
      <c r="B626" s="6">
        <v>0</v>
      </c>
      <c r="C626" s="6">
        <f t="shared" ref="C626" si="618">C625+B626-D626</f>
        <v>3</v>
      </c>
      <c r="D626" s="6">
        <v>0</v>
      </c>
      <c r="E626" s="6">
        <v>7848</v>
      </c>
      <c r="F626" s="6">
        <f t="shared" ref="F626" si="619">C626+E626+G626</f>
        <v>7960</v>
      </c>
      <c r="G626" s="6">
        <v>109</v>
      </c>
    </row>
    <row r="627" spans="1:7" x14ac:dyDescent="0.25">
      <c r="A627" s="67">
        <v>44851</v>
      </c>
      <c r="B627" s="6">
        <v>0</v>
      </c>
      <c r="C627" s="6">
        <f t="shared" ref="C627" si="620">C626+B627-D627</f>
        <v>1</v>
      </c>
      <c r="D627" s="6">
        <v>2</v>
      </c>
      <c r="E627" s="6">
        <v>7875</v>
      </c>
      <c r="F627" s="6">
        <f t="shared" ref="F627" si="621">C627+E627+G627</f>
        <v>7968</v>
      </c>
      <c r="G627" s="6">
        <v>92</v>
      </c>
    </row>
    <row r="628" spans="1:7" x14ac:dyDescent="0.25">
      <c r="A628" s="67">
        <v>44852</v>
      </c>
      <c r="B628" s="6">
        <v>1</v>
      </c>
      <c r="C628" s="6">
        <f t="shared" ref="C628" si="622">C627+B628-D628</f>
        <v>2</v>
      </c>
      <c r="D628" s="6">
        <v>0</v>
      </c>
      <c r="E628" s="6">
        <v>7886</v>
      </c>
      <c r="F628" s="6">
        <f t="shared" ref="F628" si="623">C628+E628+G628</f>
        <v>7967</v>
      </c>
      <c r="G628" s="6">
        <v>79</v>
      </c>
    </row>
    <row r="629" spans="1:7" x14ac:dyDescent="0.25">
      <c r="A629" s="67">
        <v>44853</v>
      </c>
      <c r="B629" s="6">
        <v>4</v>
      </c>
      <c r="C629" s="6">
        <f t="shared" ref="C629" si="624">C628+B629-D629</f>
        <v>6</v>
      </c>
      <c r="D629" s="6">
        <v>0</v>
      </c>
      <c r="E629" s="6">
        <v>7895</v>
      </c>
      <c r="F629" s="6">
        <f t="shared" ref="F629" si="625">C629+E629+G629</f>
        <v>7990</v>
      </c>
      <c r="G629" s="6">
        <v>89</v>
      </c>
    </row>
    <row r="630" spans="1:7" x14ac:dyDescent="0.25">
      <c r="A630" s="67">
        <v>44854</v>
      </c>
      <c r="B630" s="6">
        <v>3</v>
      </c>
      <c r="C630" s="6">
        <f t="shared" ref="C630" si="626">C629+B630-D630</f>
        <v>8</v>
      </c>
      <c r="D630" s="6">
        <v>1</v>
      </c>
      <c r="E630" s="6">
        <v>7898</v>
      </c>
      <c r="F630" s="6">
        <f t="shared" ref="F630" si="627">C630+E630+G630</f>
        <v>8000</v>
      </c>
      <c r="G630" s="6">
        <v>94</v>
      </c>
    </row>
    <row r="631" spans="1:7" x14ac:dyDescent="0.25">
      <c r="A631" s="67">
        <v>44855</v>
      </c>
      <c r="B631" s="6">
        <v>3</v>
      </c>
      <c r="C631" s="6">
        <f t="shared" ref="C631" si="628">C630+B631-D631</f>
        <v>10</v>
      </c>
      <c r="D631" s="6">
        <v>1</v>
      </c>
      <c r="E631" s="6">
        <v>7898</v>
      </c>
      <c r="F631" s="6">
        <f t="shared" ref="F631" si="629">C631+E631+G631</f>
        <v>7995</v>
      </c>
      <c r="G631" s="6">
        <v>87</v>
      </c>
    </row>
    <row r="632" spans="1:7" x14ac:dyDescent="0.25">
      <c r="A632" s="67">
        <v>44856</v>
      </c>
      <c r="B632" s="6">
        <v>3</v>
      </c>
      <c r="C632" s="6">
        <f t="shared" ref="C632" si="630">C631+B632-D632</f>
        <v>6</v>
      </c>
      <c r="D632" s="6">
        <v>7</v>
      </c>
      <c r="E632" s="6">
        <v>7899</v>
      </c>
      <c r="F632" s="6">
        <f t="shared" ref="F632" si="631">C632+E632+G632</f>
        <v>7990</v>
      </c>
      <c r="G632" s="6">
        <v>85</v>
      </c>
    </row>
    <row r="633" spans="1:7" x14ac:dyDescent="0.25">
      <c r="A633" s="67">
        <v>44857</v>
      </c>
      <c r="B633" s="6">
        <v>0</v>
      </c>
      <c r="C633" s="6">
        <f t="shared" ref="C633" si="632">C632+B633-D633</f>
        <v>6</v>
      </c>
      <c r="D633" s="6">
        <v>0</v>
      </c>
      <c r="E633" s="6">
        <v>7900</v>
      </c>
      <c r="F633" s="6">
        <f t="shared" ref="F633" si="633">C633+E633+G633</f>
        <v>7991</v>
      </c>
      <c r="G633" s="6">
        <v>85</v>
      </c>
    </row>
    <row r="634" spans="1:7" x14ac:dyDescent="0.25">
      <c r="A634" s="67">
        <v>44858</v>
      </c>
      <c r="B634" s="6">
        <v>5</v>
      </c>
      <c r="C634" s="6">
        <f t="shared" ref="C634" si="634">C633+B634-D634</f>
        <v>7</v>
      </c>
      <c r="D634" s="6">
        <v>4</v>
      </c>
      <c r="E634" s="6">
        <v>7922</v>
      </c>
      <c r="F634" s="6">
        <f t="shared" ref="F634" si="635">C634+E634+G634</f>
        <v>8004</v>
      </c>
      <c r="G634" s="6">
        <v>75</v>
      </c>
    </row>
    <row r="635" spans="1:7" x14ac:dyDescent="0.25">
      <c r="A635" s="67">
        <v>44859</v>
      </c>
      <c r="B635" s="6">
        <v>3</v>
      </c>
      <c r="C635" s="6">
        <f t="shared" ref="C635" si="636">C634+B635-D635</f>
        <v>8</v>
      </c>
      <c r="D635" s="6">
        <v>2</v>
      </c>
      <c r="E635" s="6">
        <v>7930</v>
      </c>
      <c r="F635" s="6">
        <f t="shared" ref="F635" si="637">C635+E635+G635</f>
        <v>8005</v>
      </c>
      <c r="G635" s="6">
        <v>67</v>
      </c>
    </row>
    <row r="636" spans="1:7" x14ac:dyDescent="0.25">
      <c r="A636" s="67">
        <v>44860</v>
      </c>
      <c r="B636" s="6">
        <v>7</v>
      </c>
      <c r="C636" s="6">
        <f t="shared" ref="C636" si="638">C635+B636-D636</f>
        <v>11</v>
      </c>
      <c r="D636" s="6">
        <v>4</v>
      </c>
      <c r="E636" s="6">
        <v>7944</v>
      </c>
      <c r="F636" s="6">
        <f t="shared" ref="F636" si="639">C636+E636+G636</f>
        <v>8016</v>
      </c>
      <c r="G636" s="6">
        <v>61</v>
      </c>
    </row>
    <row r="637" spans="1:7" x14ac:dyDescent="0.25">
      <c r="A637" s="67">
        <v>44861</v>
      </c>
      <c r="B637" s="6">
        <v>4</v>
      </c>
      <c r="C637" s="6">
        <f t="shared" ref="C637" si="640">C636+B637-D637</f>
        <v>13</v>
      </c>
      <c r="D637" s="6">
        <v>2</v>
      </c>
      <c r="E637" s="6">
        <v>7944</v>
      </c>
      <c r="F637" s="6">
        <f t="shared" ref="F637" si="641">C637+E637+G637</f>
        <v>8065</v>
      </c>
      <c r="G637" s="6">
        <v>108</v>
      </c>
    </row>
    <row r="638" spans="1:7" x14ac:dyDescent="0.25">
      <c r="A638" s="67">
        <v>44862</v>
      </c>
      <c r="B638" s="6">
        <v>1</v>
      </c>
      <c r="C638" s="6">
        <f t="shared" ref="C638" si="642">C637+B638-D638</f>
        <v>12</v>
      </c>
      <c r="D638" s="6">
        <v>2</v>
      </c>
      <c r="E638" s="6">
        <v>7954</v>
      </c>
      <c r="F638" s="6">
        <f t="shared" ref="F638" si="643">C638+E638+G638</f>
        <v>8064</v>
      </c>
      <c r="G638" s="6">
        <v>98</v>
      </c>
    </row>
    <row r="639" spans="1:7" x14ac:dyDescent="0.25">
      <c r="A639" s="67">
        <v>44863</v>
      </c>
      <c r="B639" s="6">
        <v>2</v>
      </c>
      <c r="C639" s="6">
        <f t="shared" ref="C639" si="644">C638+B639-D639</f>
        <v>5</v>
      </c>
      <c r="D639" s="6">
        <v>9</v>
      </c>
      <c r="E639" s="6">
        <v>7955</v>
      </c>
      <c r="F639" s="6">
        <f t="shared" ref="F639" si="645">C639+E639+G639</f>
        <v>8053</v>
      </c>
      <c r="G639" s="6">
        <v>93</v>
      </c>
    </row>
    <row r="640" spans="1:7" x14ac:dyDescent="0.25">
      <c r="A640" s="67">
        <v>44864</v>
      </c>
      <c r="B640" s="6">
        <v>1</v>
      </c>
      <c r="C640" s="6">
        <f t="shared" ref="C640" si="646">C639+B640-D640</f>
        <v>4</v>
      </c>
      <c r="D640" s="6">
        <v>2</v>
      </c>
      <c r="E640" s="6">
        <v>7954</v>
      </c>
      <c r="F640" s="6">
        <f t="shared" ref="F640" si="647">C640+E640+G640</f>
        <v>8051</v>
      </c>
      <c r="G640" s="6">
        <v>93</v>
      </c>
    </row>
    <row r="641" spans="1:7" x14ac:dyDescent="0.25">
      <c r="A641" s="67">
        <v>44865</v>
      </c>
      <c r="B641" s="6">
        <v>14</v>
      </c>
      <c r="C641" s="6">
        <f t="shared" ref="C641" si="648">C640+B641-D641</f>
        <v>17</v>
      </c>
      <c r="D641" s="6">
        <v>1</v>
      </c>
      <c r="E641" s="6">
        <v>7961</v>
      </c>
      <c r="F641" s="6">
        <f t="shared" ref="F641" si="649">C641+E641+G641</f>
        <v>8057</v>
      </c>
      <c r="G641" s="6">
        <v>79</v>
      </c>
    </row>
    <row r="642" spans="1:7" x14ac:dyDescent="0.25">
      <c r="A642" s="67">
        <v>44866</v>
      </c>
      <c r="B642" s="6">
        <v>6</v>
      </c>
      <c r="C642" s="6">
        <f t="shared" ref="C642" si="650">C641+B642-D642</f>
        <v>13</v>
      </c>
      <c r="D642" s="6">
        <v>10</v>
      </c>
      <c r="E642" s="6">
        <v>7960</v>
      </c>
      <c r="F642" s="6">
        <f t="shared" ref="F642" si="651">C642+E642+G642</f>
        <v>8065</v>
      </c>
      <c r="G642" s="6">
        <v>92</v>
      </c>
    </row>
    <row r="643" spans="1:7" x14ac:dyDescent="0.25">
      <c r="A643" s="67">
        <v>44867</v>
      </c>
      <c r="B643" s="6">
        <v>2</v>
      </c>
      <c r="C643" s="6">
        <f t="shared" ref="C643" si="652">C642+B643-D643</f>
        <v>11</v>
      </c>
      <c r="D643" s="6">
        <v>4</v>
      </c>
      <c r="E643" s="6">
        <v>7976</v>
      </c>
      <c r="F643" s="6">
        <f t="shared" ref="F643" si="653">C643+E643+G643</f>
        <v>8063</v>
      </c>
      <c r="G643" s="6">
        <v>76</v>
      </c>
    </row>
    <row r="644" spans="1:7" x14ac:dyDescent="0.25">
      <c r="A644" s="67">
        <v>44868</v>
      </c>
      <c r="B644" s="6">
        <v>16</v>
      </c>
      <c r="C644" s="6">
        <f t="shared" ref="C644" si="654">C643+B644-D644</f>
        <v>24</v>
      </c>
      <c r="D644" s="6">
        <v>3</v>
      </c>
      <c r="E644" s="6">
        <v>7979</v>
      </c>
      <c r="F644" s="6">
        <f t="shared" ref="F644" si="655">C644+E644+G644</f>
        <v>8078</v>
      </c>
      <c r="G644" s="6">
        <v>75</v>
      </c>
    </row>
    <row r="645" spans="1:7" x14ac:dyDescent="0.25">
      <c r="A645" s="67">
        <v>44869</v>
      </c>
      <c r="B645" s="6">
        <v>8</v>
      </c>
      <c r="C645" s="6">
        <f t="shared" ref="C645" si="656">C644+B645-D645</f>
        <v>22</v>
      </c>
      <c r="D645" s="6">
        <v>10</v>
      </c>
      <c r="E645" s="6">
        <v>7977</v>
      </c>
      <c r="F645" s="6">
        <f t="shared" ref="F645" si="657">C645+E645+G645</f>
        <v>8081</v>
      </c>
      <c r="G645" s="6">
        <v>82</v>
      </c>
    </row>
    <row r="646" spans="1:7" x14ac:dyDescent="0.25">
      <c r="A646" s="67">
        <v>44870</v>
      </c>
      <c r="B646" s="6">
        <v>2</v>
      </c>
      <c r="C646" s="6">
        <f t="shared" ref="C646" si="658">C645+B646-D646</f>
        <v>20</v>
      </c>
      <c r="D646" s="6">
        <v>4</v>
      </c>
      <c r="E646" s="6">
        <v>7978</v>
      </c>
      <c r="F646" s="6">
        <f t="shared" ref="F646" si="659">C646+E646+G646</f>
        <v>8087</v>
      </c>
      <c r="G646" s="6">
        <v>89</v>
      </c>
    </row>
    <row r="647" spans="1:7" x14ac:dyDescent="0.25">
      <c r="A647" s="67">
        <v>44871</v>
      </c>
      <c r="B647" s="6">
        <v>0</v>
      </c>
      <c r="C647" s="6">
        <f t="shared" ref="C647" si="660">C646+B647-D647</f>
        <v>18</v>
      </c>
      <c r="D647" s="6">
        <v>2</v>
      </c>
      <c r="E647" s="6">
        <v>7976</v>
      </c>
      <c r="F647" s="6">
        <f t="shared" ref="F647" si="661">C647+E647+G647</f>
        <v>8082</v>
      </c>
      <c r="G647" s="6">
        <v>88</v>
      </c>
    </row>
    <row r="648" spans="1:7" x14ac:dyDescent="0.25">
      <c r="A648" s="67">
        <v>44872</v>
      </c>
      <c r="B648" s="6">
        <v>8</v>
      </c>
      <c r="C648" s="6">
        <f t="shared" ref="C648" si="662">C647+B648-D648</f>
        <v>13</v>
      </c>
      <c r="D648" s="6">
        <v>13</v>
      </c>
      <c r="E648" s="6">
        <v>7988</v>
      </c>
      <c r="F648" s="6">
        <f t="shared" ref="F648" si="663">C648+E648+G648</f>
        <v>8084</v>
      </c>
      <c r="G648" s="6">
        <v>83</v>
      </c>
    </row>
    <row r="649" spans="1:7" x14ac:dyDescent="0.25">
      <c r="A649" s="67">
        <v>44873</v>
      </c>
      <c r="B649" s="6">
        <v>7</v>
      </c>
      <c r="C649" s="6">
        <f t="shared" ref="C649" si="664">C648+B649-D649</f>
        <v>13</v>
      </c>
      <c r="D649" s="6">
        <v>7</v>
      </c>
      <c r="E649" s="6">
        <v>7987</v>
      </c>
      <c r="F649" s="6">
        <f t="shared" ref="F649" si="665">C649+E649+G649</f>
        <v>8103</v>
      </c>
      <c r="G649" s="6">
        <v>103</v>
      </c>
    </row>
    <row r="650" spans="1:7" x14ac:dyDescent="0.25">
      <c r="A650" s="67">
        <v>44874</v>
      </c>
      <c r="B650" s="6">
        <v>7</v>
      </c>
      <c r="C650" s="6">
        <f t="shared" ref="C650" si="666">C649+B650-D650</f>
        <v>18</v>
      </c>
      <c r="D650" s="6">
        <v>2</v>
      </c>
      <c r="E650" s="6">
        <v>7994</v>
      </c>
      <c r="F650" s="6">
        <f t="shared" ref="F650" si="667">C650+E650+G650</f>
        <v>8116</v>
      </c>
      <c r="G650" s="6">
        <v>104</v>
      </c>
    </row>
    <row r="651" spans="1:7" x14ac:dyDescent="0.25">
      <c r="A651" s="67">
        <v>44875</v>
      </c>
      <c r="B651" s="6">
        <v>5</v>
      </c>
      <c r="C651" s="6">
        <f t="shared" ref="C651" si="668">C650+B651-D651</f>
        <v>16</v>
      </c>
      <c r="D651" s="6">
        <v>7</v>
      </c>
      <c r="E651" s="6">
        <v>8033</v>
      </c>
      <c r="F651" s="6">
        <f t="shared" ref="F651" si="669">C651+E651+G651</f>
        <v>8112</v>
      </c>
      <c r="G651" s="6">
        <v>63</v>
      </c>
    </row>
    <row r="652" spans="1:7" x14ac:dyDescent="0.25">
      <c r="A652" s="67">
        <v>44876</v>
      </c>
      <c r="B652" s="6">
        <v>4</v>
      </c>
      <c r="C652" s="6">
        <f t="shared" ref="C652" si="670">C651+B652-D652</f>
        <v>14</v>
      </c>
      <c r="D652" s="6">
        <v>6</v>
      </c>
      <c r="E652" s="6">
        <v>8033</v>
      </c>
      <c r="F652" s="6">
        <f t="shared" ref="F652" si="671">C652+E652+G652</f>
        <v>8105</v>
      </c>
      <c r="G652" s="6">
        <v>58</v>
      </c>
    </row>
    <row r="653" spans="1:7" x14ac:dyDescent="0.25">
      <c r="A653" s="67">
        <v>44877</v>
      </c>
      <c r="B653" s="6">
        <v>6</v>
      </c>
      <c r="C653" s="6">
        <f t="shared" ref="C653" si="672">C652+B653-D653</f>
        <v>11</v>
      </c>
      <c r="D653" s="6">
        <v>9</v>
      </c>
      <c r="E653" s="6">
        <v>8034</v>
      </c>
      <c r="F653" s="6">
        <f t="shared" ref="F653" si="673">C653+E653+G653</f>
        <v>8105</v>
      </c>
      <c r="G653" s="6">
        <v>60</v>
      </c>
    </row>
    <row r="654" spans="1:7" x14ac:dyDescent="0.25">
      <c r="A654" s="67">
        <v>44878</v>
      </c>
      <c r="B654" s="6">
        <v>0</v>
      </c>
      <c r="C654" s="6">
        <f t="shared" ref="C654" si="674">C653+B654-D654</f>
        <v>10</v>
      </c>
      <c r="D654" s="6">
        <v>1</v>
      </c>
      <c r="E654" s="6">
        <v>8031</v>
      </c>
      <c r="F654" s="6">
        <f t="shared" ref="F654" si="675">C654+E654+G654</f>
        <v>8092</v>
      </c>
      <c r="G654" s="6">
        <v>51</v>
      </c>
    </row>
    <row r="655" spans="1:7" x14ac:dyDescent="0.25">
      <c r="A655" s="67">
        <v>44879</v>
      </c>
      <c r="B655" s="6">
        <v>9</v>
      </c>
      <c r="C655" s="6">
        <f t="shared" ref="C655" si="676">C654+B655-D655</f>
        <v>13</v>
      </c>
      <c r="D655" s="6">
        <v>6</v>
      </c>
      <c r="E655" s="6">
        <v>8033</v>
      </c>
      <c r="F655" s="6">
        <f t="shared" ref="F655" si="677">C655+E655+G655</f>
        <v>8090</v>
      </c>
      <c r="G655" s="6">
        <v>44</v>
      </c>
    </row>
    <row r="656" spans="1:7" x14ac:dyDescent="0.25">
      <c r="A656" s="67">
        <v>44880</v>
      </c>
      <c r="B656" s="6">
        <v>1</v>
      </c>
      <c r="C656" s="6">
        <f t="shared" ref="C656" si="678">C655+B656-D656</f>
        <v>10</v>
      </c>
      <c r="D656" s="6">
        <v>4</v>
      </c>
      <c r="E656" s="6">
        <v>8033</v>
      </c>
      <c r="F656" s="6">
        <f t="shared" ref="F656" si="679">C656+E656+G656</f>
        <v>8087</v>
      </c>
      <c r="G656" s="6">
        <v>44</v>
      </c>
    </row>
    <row r="657" spans="1:7" x14ac:dyDescent="0.25">
      <c r="A657" s="67">
        <v>44881</v>
      </c>
      <c r="B657" s="6">
        <v>3</v>
      </c>
      <c r="C657" s="6">
        <f t="shared" ref="C657" si="680">C656+B657-D657</f>
        <v>5</v>
      </c>
      <c r="D657" s="6">
        <v>8</v>
      </c>
      <c r="E657" s="6">
        <v>8035</v>
      </c>
      <c r="F657" s="6">
        <f t="shared" ref="F657" si="681">C657+E657+G657</f>
        <v>8080</v>
      </c>
      <c r="G657" s="6">
        <v>40</v>
      </c>
    </row>
    <row r="658" spans="1:7" x14ac:dyDescent="0.25">
      <c r="A658" s="67">
        <v>44882</v>
      </c>
      <c r="B658" s="6">
        <v>5</v>
      </c>
      <c r="C658" s="6">
        <f t="shared" ref="C658" si="682">C657+B658-D658</f>
        <v>8</v>
      </c>
      <c r="D658" s="6">
        <v>2</v>
      </c>
      <c r="E658" s="6">
        <v>8071</v>
      </c>
      <c r="F658" s="6">
        <f t="shared" ref="F658" si="683">C658+E658+G658</f>
        <v>8106</v>
      </c>
      <c r="G658" s="6">
        <v>27</v>
      </c>
    </row>
    <row r="659" spans="1:7" x14ac:dyDescent="0.25">
      <c r="A659" s="67">
        <v>44883</v>
      </c>
      <c r="B659" s="6">
        <v>5</v>
      </c>
      <c r="C659" s="6">
        <f t="shared" ref="C659" si="684">C658+B659-D659</f>
        <v>11</v>
      </c>
      <c r="D659" s="6">
        <v>2</v>
      </c>
      <c r="E659" s="6">
        <v>8083</v>
      </c>
      <c r="F659" s="6">
        <f t="shared" ref="F659" si="685">C659+E659+G659</f>
        <v>8108</v>
      </c>
      <c r="G659" s="6">
        <v>14</v>
      </c>
    </row>
    <row r="660" spans="1:7" x14ac:dyDescent="0.25">
      <c r="A660" s="67">
        <v>44884</v>
      </c>
      <c r="B660" s="6">
        <v>3</v>
      </c>
      <c r="C660" s="6">
        <f t="shared" ref="C660" si="686">C659+B660-D660</f>
        <v>9</v>
      </c>
      <c r="D660" s="6">
        <v>5</v>
      </c>
      <c r="E660" s="6">
        <v>8084</v>
      </c>
      <c r="F660" s="6">
        <f t="shared" ref="F660" si="687">C660+E660+G660</f>
        <v>8104</v>
      </c>
      <c r="G660" s="6">
        <v>11</v>
      </c>
    </row>
    <row r="661" spans="1:7" x14ac:dyDescent="0.25">
      <c r="A661" s="67">
        <v>44885</v>
      </c>
      <c r="B661" s="6">
        <v>0</v>
      </c>
      <c r="C661" s="6">
        <f t="shared" ref="C661" si="688">C660+B661-D661</f>
        <v>5</v>
      </c>
      <c r="D661" s="6">
        <v>4</v>
      </c>
      <c r="E661" s="6">
        <v>8090</v>
      </c>
      <c r="F661" s="6">
        <f t="shared" ref="F661" si="689">C661+E661+G661</f>
        <v>8103</v>
      </c>
      <c r="G661" s="6">
        <v>8</v>
      </c>
    </row>
    <row r="662" spans="1:7" x14ac:dyDescent="0.25">
      <c r="A662" s="67">
        <v>44886</v>
      </c>
      <c r="B662" s="6">
        <v>1</v>
      </c>
      <c r="C662" s="6">
        <f t="shared" ref="C662" si="690">C661+B662-D662</f>
        <v>5</v>
      </c>
      <c r="D662" s="6">
        <v>1</v>
      </c>
      <c r="E662" s="6">
        <v>8095</v>
      </c>
      <c r="F662" s="6">
        <f t="shared" ref="F662" si="691">C662+E662+G662</f>
        <v>8106</v>
      </c>
      <c r="G662" s="6">
        <v>6</v>
      </c>
    </row>
    <row r="663" spans="1:7" x14ac:dyDescent="0.25">
      <c r="A663" s="67">
        <v>44887</v>
      </c>
      <c r="B663" s="6">
        <v>3</v>
      </c>
      <c r="C663" s="6">
        <f t="shared" ref="C663" si="692">C662+B663-D663</f>
        <v>6</v>
      </c>
      <c r="D663" s="6">
        <v>2</v>
      </c>
      <c r="E663" s="6">
        <v>8095</v>
      </c>
      <c r="F663" s="6">
        <f t="shared" ref="F663" si="693">C663+E663+G663</f>
        <v>8107</v>
      </c>
      <c r="G663" s="6">
        <v>6</v>
      </c>
    </row>
    <row r="664" spans="1:7" x14ac:dyDescent="0.25">
      <c r="A664" s="67">
        <v>44888</v>
      </c>
      <c r="B664" s="6">
        <v>5</v>
      </c>
      <c r="C664" s="6">
        <f t="shared" ref="C664" si="694">C663+B664-D664</f>
        <v>9</v>
      </c>
      <c r="D664" s="6">
        <v>2</v>
      </c>
      <c r="E664" s="6">
        <v>8094</v>
      </c>
      <c r="F664" s="6">
        <f t="shared" ref="F664" si="695">C664+E664+G664</f>
        <v>8112</v>
      </c>
      <c r="G664" s="6">
        <v>9</v>
      </c>
    </row>
    <row r="665" spans="1:7" x14ac:dyDescent="0.25">
      <c r="A665" s="67">
        <v>44889</v>
      </c>
      <c r="B665" s="6">
        <v>5</v>
      </c>
      <c r="C665" s="6">
        <f t="shared" ref="C665" si="696">C664+B665-D665</f>
        <v>9</v>
      </c>
      <c r="D665" s="6">
        <v>5</v>
      </c>
      <c r="E665" s="6">
        <v>8094</v>
      </c>
      <c r="F665" s="6">
        <f t="shared" ref="F665" si="697">C665+E665+G665</f>
        <v>8130</v>
      </c>
      <c r="G665" s="6">
        <v>27</v>
      </c>
    </row>
    <row r="666" spans="1:7" x14ac:dyDescent="0.25">
      <c r="A666" s="67">
        <v>44890</v>
      </c>
      <c r="B666" s="6">
        <v>2</v>
      </c>
      <c r="C666" s="6">
        <f t="shared" ref="C666" si="698">C665+B666-D666</f>
        <v>8</v>
      </c>
      <c r="D666" s="6">
        <v>3</v>
      </c>
      <c r="E666" s="6">
        <v>8095</v>
      </c>
      <c r="F666" s="6">
        <f t="shared" ref="F666" si="699">C666+E666+G666</f>
        <v>8128</v>
      </c>
      <c r="G666" s="6">
        <v>25</v>
      </c>
    </row>
    <row r="667" spans="1:7" x14ac:dyDescent="0.25">
      <c r="A667" s="67">
        <v>44891</v>
      </c>
      <c r="B667" s="6">
        <v>0</v>
      </c>
      <c r="C667" s="6">
        <f t="shared" ref="C667" si="700">C666+B667-D667</f>
        <v>3</v>
      </c>
      <c r="D667" s="6">
        <v>5</v>
      </c>
      <c r="E667" s="6">
        <v>8102</v>
      </c>
      <c r="F667" s="6">
        <f t="shared" ref="F667" si="701">C667+E667+G667</f>
        <v>8123</v>
      </c>
      <c r="G667" s="6">
        <v>18</v>
      </c>
    </row>
    <row r="668" spans="1:7" x14ac:dyDescent="0.25">
      <c r="A668" s="67">
        <v>44892</v>
      </c>
      <c r="B668" s="6">
        <v>1</v>
      </c>
      <c r="C668" s="6">
        <f t="shared" ref="C668" si="702">C667+B668-D668</f>
        <v>3</v>
      </c>
      <c r="D668" s="6">
        <v>1</v>
      </c>
      <c r="E668" s="6">
        <v>8103</v>
      </c>
      <c r="F668" s="6">
        <f t="shared" ref="F668" si="703">C668+E668+G668</f>
        <v>8124</v>
      </c>
      <c r="G668" s="6">
        <v>18</v>
      </c>
    </row>
    <row r="669" spans="1:7" x14ac:dyDescent="0.25">
      <c r="A669" s="67">
        <v>44893</v>
      </c>
      <c r="B669" s="6">
        <v>0</v>
      </c>
      <c r="C669" s="6">
        <f t="shared" ref="C669" si="704">C668+B669-D669</f>
        <v>3</v>
      </c>
      <c r="D669" s="6">
        <v>0</v>
      </c>
      <c r="E669" s="6">
        <v>8103</v>
      </c>
      <c r="F669" s="6">
        <f t="shared" ref="F669" si="705">C669+E669+G669</f>
        <v>8125</v>
      </c>
      <c r="G669" s="6">
        <v>19</v>
      </c>
    </row>
    <row r="670" spans="1:7" x14ac:dyDescent="0.25">
      <c r="A670" s="67">
        <v>44894</v>
      </c>
      <c r="B670" s="6">
        <v>3</v>
      </c>
      <c r="C670" s="6">
        <f t="shared" ref="C670" si="706">C669+B670-D670</f>
        <v>5</v>
      </c>
      <c r="D670" s="6">
        <v>1</v>
      </c>
      <c r="E670" s="6">
        <v>8120</v>
      </c>
      <c r="F670" s="6">
        <f t="shared" ref="F670" si="707">C670+E670+G670</f>
        <v>8135</v>
      </c>
      <c r="G670" s="6">
        <v>10</v>
      </c>
    </row>
    <row r="671" spans="1:7" x14ac:dyDescent="0.25">
      <c r="A671" s="67">
        <v>44895</v>
      </c>
      <c r="B671" s="6">
        <v>0</v>
      </c>
      <c r="C671" s="6">
        <f t="shared" ref="C671" si="708">C670+B671-D671</f>
        <v>3</v>
      </c>
      <c r="D671" s="6">
        <v>2</v>
      </c>
      <c r="E671" s="6">
        <v>8124</v>
      </c>
      <c r="F671" s="6">
        <f t="shared" ref="F671" si="709">C671+E671+G671</f>
        <v>8133</v>
      </c>
      <c r="G671" s="6">
        <v>6</v>
      </c>
    </row>
    <row r="672" spans="1:7" x14ac:dyDescent="0.25">
      <c r="A672" s="67">
        <v>44896</v>
      </c>
      <c r="B672" s="6">
        <v>2</v>
      </c>
      <c r="C672" s="6">
        <f t="shared" ref="C672" si="710">C671+B672-D672</f>
        <v>4</v>
      </c>
      <c r="D672" s="6">
        <v>1</v>
      </c>
      <c r="E672" s="6">
        <v>8125</v>
      </c>
      <c r="F672" s="6">
        <f t="shared" ref="F672" si="711">C672+E672+G672</f>
        <v>8135</v>
      </c>
      <c r="G672" s="6">
        <v>6</v>
      </c>
    </row>
    <row r="673" spans="1:7" x14ac:dyDescent="0.25">
      <c r="A673" s="67">
        <v>44897</v>
      </c>
      <c r="B673" s="6">
        <v>1</v>
      </c>
      <c r="C673" s="6">
        <f t="shared" ref="C673" si="712">C672+B673-D673</f>
        <v>3</v>
      </c>
      <c r="D673" s="6">
        <v>2</v>
      </c>
      <c r="E673" s="6">
        <v>8124</v>
      </c>
      <c r="F673" s="6">
        <f t="shared" ref="F673" si="713">C673+E673+G673</f>
        <v>8135</v>
      </c>
      <c r="G673" s="6">
        <v>8</v>
      </c>
    </row>
    <row r="674" spans="1:7" x14ac:dyDescent="0.25">
      <c r="A674" s="67">
        <v>44898</v>
      </c>
      <c r="B674" s="6">
        <v>3</v>
      </c>
      <c r="C674" s="6">
        <f t="shared" ref="C674" si="714">C673+B674-D674</f>
        <v>6</v>
      </c>
      <c r="D674" s="6">
        <v>0</v>
      </c>
      <c r="E674" s="6">
        <v>8129</v>
      </c>
      <c r="F674" s="6">
        <f t="shared" ref="F674" si="715">C674+E674+G674</f>
        <v>8136</v>
      </c>
      <c r="G674" s="6">
        <v>1</v>
      </c>
    </row>
    <row r="675" spans="1:7" x14ac:dyDescent="0.25">
      <c r="A675" s="67">
        <v>44899</v>
      </c>
      <c r="B675" s="6">
        <v>1</v>
      </c>
      <c r="C675" s="6">
        <f t="shared" ref="C675" si="716">C674+B675-D675</f>
        <v>4</v>
      </c>
      <c r="D675" s="6">
        <v>3</v>
      </c>
      <c r="E675" s="6">
        <v>8129</v>
      </c>
      <c r="F675" s="6">
        <f t="shared" ref="F675" si="717">C675+E675+G675</f>
        <v>8134</v>
      </c>
      <c r="G675" s="6">
        <v>1</v>
      </c>
    </row>
    <row r="676" spans="1:7" x14ac:dyDescent="0.25">
      <c r="A676" s="67">
        <v>44900</v>
      </c>
      <c r="B676" s="6">
        <v>1</v>
      </c>
      <c r="C676" s="6">
        <f t="shared" ref="C676" si="718">C675+B676-D676</f>
        <v>4</v>
      </c>
      <c r="D676" s="6">
        <v>1</v>
      </c>
      <c r="E676" s="6">
        <v>8127</v>
      </c>
      <c r="F676" s="6">
        <f t="shared" ref="F676" si="719">C676+E676+G676</f>
        <v>8132</v>
      </c>
      <c r="G676" s="6">
        <v>1</v>
      </c>
    </row>
    <row r="677" spans="1:7" x14ac:dyDescent="0.25">
      <c r="A677" s="67">
        <v>44901</v>
      </c>
      <c r="B677" s="6">
        <v>0</v>
      </c>
      <c r="C677" s="6">
        <f t="shared" ref="C677" si="720">C676+B677-D677</f>
        <v>4</v>
      </c>
      <c r="D677" s="6">
        <v>0</v>
      </c>
      <c r="E677" s="6">
        <v>8127</v>
      </c>
      <c r="F677" s="6">
        <f t="shared" ref="F677" si="721">C677+E677+G677</f>
        <v>8137</v>
      </c>
      <c r="G677" s="6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TOTAL SUSPEK</vt:lpstr>
      <vt:lpstr>perdesa</vt:lpstr>
      <vt:lpstr>per kecamatan</vt:lpstr>
      <vt:lpstr>Sheet4</vt:lpstr>
      <vt:lpstr>Sheet2</vt:lpstr>
      <vt:lpstr>TOTAL DIRAWAT</vt:lpstr>
      <vt:lpstr>SUSPEK MASUK</vt:lpstr>
      <vt:lpstr>SUSPEK KELUAR</vt:lpstr>
      <vt:lpstr>TOTAL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2021-08-12T07:46:12Z</cp:lastPrinted>
  <dcterms:created xsi:type="dcterms:W3CDTF">2020-03-25T02:32:05Z</dcterms:created>
  <dcterms:modified xsi:type="dcterms:W3CDTF">2022-12-12T01:35:03Z</dcterms:modified>
</cp:coreProperties>
</file>