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I33" i="1"/>
  <c r="I32" i="1"/>
  <c r="I31" i="1"/>
  <c r="I30" i="1"/>
  <c r="K27" i="1"/>
  <c r="J27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B32" i="1"/>
  <c r="B31" i="1"/>
  <c r="B30" i="1"/>
  <c r="D29" i="1"/>
  <c r="F27" i="1"/>
  <c r="E27" i="1"/>
  <c r="C27" i="1"/>
  <c r="F26" i="1"/>
  <c r="E26" i="1"/>
  <c r="C26" i="1"/>
  <c r="F25" i="1"/>
  <c r="E25" i="1"/>
  <c r="C25" i="1"/>
  <c r="F24" i="1"/>
  <c r="E24" i="1"/>
  <c r="C24" i="1"/>
  <c r="F23" i="1"/>
  <c r="E23" i="1"/>
  <c r="C23" i="1"/>
  <c r="F22" i="1"/>
  <c r="E22" i="1"/>
  <c r="C22" i="1"/>
  <c r="F21" i="1"/>
  <c r="E21" i="1"/>
  <c r="C21" i="1"/>
  <c r="F20" i="1"/>
  <c r="E20" i="1"/>
  <c r="C20" i="1"/>
  <c r="F19" i="1"/>
  <c r="E19" i="1"/>
  <c r="C19" i="1"/>
  <c r="F18" i="1"/>
  <c r="E18" i="1"/>
  <c r="C18" i="1"/>
  <c r="F17" i="1"/>
  <c r="E17" i="1"/>
  <c r="C17" i="1"/>
  <c r="F16" i="1"/>
  <c r="E16" i="1"/>
  <c r="C16" i="1"/>
  <c r="F15" i="1"/>
  <c r="E15" i="1"/>
  <c r="C15" i="1"/>
  <c r="F14" i="1"/>
  <c r="E14" i="1"/>
  <c r="C14" i="1"/>
  <c r="F13" i="1"/>
  <c r="E13" i="1"/>
  <c r="C13" i="1"/>
  <c r="F12" i="1"/>
  <c r="E12" i="1"/>
  <c r="C12" i="1"/>
  <c r="F11" i="1"/>
  <c r="E11" i="1"/>
  <c r="C11" i="1"/>
  <c r="F10" i="1"/>
  <c r="E10" i="1"/>
  <c r="C10" i="1"/>
  <c r="F9" i="1"/>
  <c r="E9" i="1"/>
  <c r="E29" i="1" s="1"/>
  <c r="C9" i="1"/>
  <c r="J29" i="1" l="1"/>
  <c r="F29" i="1"/>
  <c r="K29" i="1"/>
  <c r="L29" i="1"/>
  <c r="C29" i="1"/>
  <c r="M29" i="1"/>
</calcChain>
</file>

<file path=xl/sharedStrings.xml><?xml version="1.0" encoding="utf-8"?>
<sst xmlns="http://schemas.openxmlformats.org/spreadsheetml/2006/main" count="59" uniqueCount="34">
  <si>
    <t>NO</t>
  </si>
  <si>
    <t>DESA/KELURAHAN</t>
  </si>
  <si>
    <t>I U D</t>
  </si>
  <si>
    <t>M O P</t>
  </si>
  <si>
    <t>M O W</t>
  </si>
  <si>
    <t>INPLT</t>
  </si>
  <si>
    <t xml:space="preserve"> </t>
  </si>
  <si>
    <t xml:space="preserve">JUMLAH </t>
  </si>
  <si>
    <t>Sumber : UPTD Bapermas dan KB  Kecamatan Demak</t>
  </si>
  <si>
    <t>Lanjutan.</t>
  </si>
  <si>
    <t>SUNTIK</t>
  </si>
  <si>
    <t>P I L</t>
  </si>
  <si>
    <t>KONDOM</t>
  </si>
  <si>
    <t>JUMLAH</t>
  </si>
  <si>
    <t>BANYAKNYA PESERTA KB AKTIF MENURUT ALAT KONTRASEPSI DI KECAMATAN DEMAK TAHUN 2017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</si>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</sst>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\-??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/>
    <xf numFmtId="164" fontId="2" fillId="0" borderId="0" xfId="1" applyNumberFormat="1" applyFont="1" applyFill="1" applyBorder="1" applyAlignment="1" applyProtection="1"/>
    <xf numFmtId="37" fontId="2" fillId="0" borderId="0" xfId="1" applyNumberFormat="1" applyFont="1" applyFill="1" applyBorder="1" applyAlignment="1" applyProtection="1"/>
    <xf numFmtId="0" fontId="2" fillId="0" borderId="3" xfId="0" applyFont="1" applyBorder="1" applyAlignment="1"/>
    <xf numFmtId="3" fontId="2" fillId="0" borderId="3" xfId="1" applyNumberFormat="1" applyFont="1" applyFill="1" applyBorder="1" applyAlignment="1" applyProtection="1"/>
    <xf numFmtId="0" fontId="2" fillId="0" borderId="1" xfId="0" applyFont="1" applyBorder="1" applyAlignment="1">
      <alignment horizontal="right"/>
    </xf>
    <xf numFmtId="3" fontId="2" fillId="0" borderId="0" xfId="0" applyNumberFormat="1" applyFont="1" applyBorder="1" applyAlignment="1"/>
    <xf numFmtId="3" fontId="2" fillId="0" borderId="0" xfId="1" applyNumberFormat="1" applyFont="1" applyFill="1" applyBorder="1" applyAlignment="1" applyProtection="1"/>
    <xf numFmtId="0" fontId="2" fillId="0" borderId="4" xfId="0" applyFont="1" applyBorder="1" applyAlignment="1"/>
    <xf numFmtId="3" fontId="2" fillId="0" borderId="5" xfId="1" applyNumberFormat="1" applyFont="1" applyFill="1" applyBorder="1" applyAlignment="1" applyProtection="1"/>
    <xf numFmtId="0" fontId="3" fillId="0" borderId="0" xfId="0" applyFont="1" applyBorder="1" applyAlignment="1"/>
    <xf numFmtId="0" fontId="2" fillId="0" borderId="6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0" borderId="0" xfId="0" applyFo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7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2016</v>
          </cell>
        </row>
        <row r="32">
          <cell r="H32">
            <v>2015</v>
          </cell>
        </row>
        <row r="33">
          <cell r="H33">
            <v>2014</v>
          </cell>
        </row>
        <row r="34">
          <cell r="H34">
            <v>2013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G1" workbookViewId="0">
      <selection sqref="A1:F2"/>
    </sheetView>
  </sheetViews>
  <sheetFormatPr defaultRowHeight="15" x14ac:dyDescent="0.25"/>
  <cols>
    <col min="1" max="1" width="4.5703125" customWidth="1"/>
    <col min="2" max="2" width="19.85546875" customWidth="1"/>
    <col min="3" max="3" width="16" customWidth="1"/>
    <col min="4" max="4" width="12.28515625" customWidth="1"/>
    <col min="5" max="5" width="14" customWidth="1"/>
    <col min="6" max="6" width="21.85546875" customWidth="1"/>
    <col min="8" max="8" width="8.140625" customWidth="1"/>
    <col min="9" max="9" width="19.5703125" customWidth="1"/>
  </cols>
  <sheetData>
    <row r="1" spans="1:13" x14ac:dyDescent="0.25">
      <c r="A1" s="27" t="s">
        <v>14</v>
      </c>
      <c r="B1" s="28"/>
      <c r="C1" s="28"/>
      <c r="D1" s="28"/>
      <c r="E1" s="28"/>
      <c r="F1" s="28"/>
    </row>
    <row r="2" spans="1:13" x14ac:dyDescent="0.25">
      <c r="A2" s="28"/>
      <c r="B2" s="28"/>
      <c r="C2" s="28"/>
      <c r="D2" s="28"/>
      <c r="E2" s="28"/>
      <c r="F2" s="28"/>
    </row>
    <row r="3" spans="1:13" ht="15.75" thickBot="1" x14ac:dyDescent="0.3">
      <c r="H3" s="22" t="s">
        <v>9</v>
      </c>
      <c r="I3" s="22"/>
      <c r="J3" s="22"/>
      <c r="K3" s="22"/>
      <c r="L3" s="22"/>
      <c r="M3" s="22"/>
    </row>
    <row r="4" spans="1:13" x14ac:dyDescent="0.25">
      <c r="A4" s="1"/>
      <c r="B4" s="1"/>
      <c r="C4" s="2"/>
      <c r="D4" s="2"/>
      <c r="E4" s="2"/>
      <c r="F4" s="2"/>
      <c r="H4" s="1"/>
      <c r="I4" s="1"/>
      <c r="J4" s="2"/>
      <c r="K4" s="2"/>
      <c r="L4" s="2"/>
      <c r="M4" s="2"/>
    </row>
    <row r="5" spans="1:13" x14ac:dyDescent="0.2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  <c r="F5" s="5" t="s">
        <v>5</v>
      </c>
      <c r="H5" s="3" t="s">
        <v>0</v>
      </c>
      <c r="I5" s="4" t="s">
        <v>1</v>
      </c>
      <c r="J5" s="5" t="s">
        <v>10</v>
      </c>
      <c r="K5" s="5" t="s">
        <v>11</v>
      </c>
      <c r="L5" s="6" t="s">
        <v>12</v>
      </c>
      <c r="M5" s="5" t="s">
        <v>13</v>
      </c>
    </row>
    <row r="6" spans="1:13" x14ac:dyDescent="0.25">
      <c r="A6" s="5"/>
      <c r="B6" s="5"/>
      <c r="C6" s="4"/>
      <c r="D6" s="4"/>
      <c r="E6" s="4"/>
      <c r="F6" s="4"/>
      <c r="H6" s="5"/>
      <c r="I6" s="5"/>
      <c r="J6" s="4"/>
      <c r="K6" s="4"/>
      <c r="L6" s="4"/>
      <c r="M6" s="4"/>
    </row>
    <row r="7" spans="1:13" x14ac:dyDescent="0.25">
      <c r="A7" s="25">
        <v>1</v>
      </c>
      <c r="B7" s="25"/>
      <c r="C7" s="7">
        <v>2</v>
      </c>
      <c r="D7" s="7">
        <v>3</v>
      </c>
      <c r="E7" s="7">
        <v>4</v>
      </c>
      <c r="F7" s="7">
        <v>5</v>
      </c>
      <c r="H7" s="26">
        <v>1</v>
      </c>
      <c r="I7" s="26"/>
      <c r="J7" s="23">
        <v>6</v>
      </c>
      <c r="K7" s="23">
        <v>7</v>
      </c>
      <c r="L7" s="23">
        <v>8</v>
      </c>
      <c r="M7" s="23">
        <v>9</v>
      </c>
    </row>
    <row r="8" spans="1:13" x14ac:dyDescent="0.25">
      <c r="A8" s="4"/>
      <c r="B8" s="4"/>
      <c r="C8" s="4"/>
      <c r="D8" s="4"/>
      <c r="E8" s="4"/>
      <c r="F8" s="4"/>
      <c r="H8" s="4"/>
      <c r="I8" s="4"/>
      <c r="J8" s="4"/>
      <c r="K8" s="4"/>
      <c r="L8" s="4"/>
      <c r="M8" s="4"/>
    </row>
    <row r="9" spans="1:13" x14ac:dyDescent="0.25">
      <c r="A9" s="5">
        <v>1</v>
      </c>
      <c r="B9" s="24" t="s">
        <v>15</v>
      </c>
      <c r="C9" s="8">
        <f>60+11</f>
        <v>71</v>
      </c>
      <c r="D9" s="8">
        <v>1</v>
      </c>
      <c r="E9" s="8">
        <f>47+10</f>
        <v>57</v>
      </c>
      <c r="F9" s="8">
        <f>45+4</f>
        <v>49</v>
      </c>
      <c r="H9" s="5">
        <v>1</v>
      </c>
      <c r="I9" s="24" t="s">
        <v>15</v>
      </c>
      <c r="J9" s="14">
        <f>192+435</f>
        <v>627</v>
      </c>
      <c r="K9" s="14">
        <f>10+44</f>
        <v>54</v>
      </c>
      <c r="L9" s="14">
        <f>21+2</f>
        <v>23</v>
      </c>
      <c r="M9" s="14">
        <v>702</v>
      </c>
    </row>
    <row r="10" spans="1:13" x14ac:dyDescent="0.25">
      <c r="A10" s="5">
        <v>2</v>
      </c>
      <c r="B10" s="24" t="s">
        <v>16</v>
      </c>
      <c r="C10" s="8">
        <f>19+3</f>
        <v>22</v>
      </c>
      <c r="D10" s="8">
        <v>0</v>
      </c>
      <c r="E10" s="8">
        <f>20+5</f>
        <v>25</v>
      </c>
      <c r="F10" s="8">
        <f>15+1</f>
        <v>16</v>
      </c>
      <c r="H10" s="5">
        <v>2</v>
      </c>
      <c r="I10" s="24" t="s">
        <v>16</v>
      </c>
      <c r="J10" s="14">
        <f>110+295</f>
        <v>405</v>
      </c>
      <c r="K10" s="14">
        <f>22+25</f>
        <v>47</v>
      </c>
      <c r="L10" s="14">
        <f>3+1</f>
        <v>4</v>
      </c>
      <c r="M10" s="14">
        <v>510</v>
      </c>
    </row>
    <row r="11" spans="1:13" x14ac:dyDescent="0.25">
      <c r="A11" s="5">
        <v>3</v>
      </c>
      <c r="B11" s="24" t="s">
        <v>17</v>
      </c>
      <c r="C11" s="8">
        <f>17+2</f>
        <v>19</v>
      </c>
      <c r="D11" s="8">
        <v>0</v>
      </c>
      <c r="E11" s="8">
        <f>25+3</f>
        <v>28</v>
      </c>
      <c r="F11" s="8">
        <f>34+1</f>
        <v>35</v>
      </c>
      <c r="H11" s="5">
        <v>3</v>
      </c>
      <c r="I11" s="24" t="s">
        <v>17</v>
      </c>
      <c r="J11" s="14">
        <f>259+301</f>
        <v>560</v>
      </c>
      <c r="K11" s="14">
        <f>14+23</f>
        <v>37</v>
      </c>
      <c r="L11" s="14">
        <f>2+1</f>
        <v>3</v>
      </c>
      <c r="M11" s="14">
        <v>1040</v>
      </c>
    </row>
    <row r="12" spans="1:13" x14ac:dyDescent="0.25">
      <c r="A12" s="5">
        <v>4</v>
      </c>
      <c r="B12" s="24" t="s">
        <v>18</v>
      </c>
      <c r="C12" s="8">
        <f>30+4</f>
        <v>34</v>
      </c>
      <c r="D12" s="8">
        <v>0</v>
      </c>
      <c r="E12" s="8">
        <f>35+4</f>
        <v>39</v>
      </c>
      <c r="F12" s="8">
        <f>34+1</f>
        <v>35</v>
      </c>
      <c r="H12" s="5">
        <v>4</v>
      </c>
      <c r="I12" s="24" t="s">
        <v>18</v>
      </c>
      <c r="J12" s="14">
        <f>273+357</f>
        <v>630</v>
      </c>
      <c r="K12" s="14">
        <f>18+25</f>
        <v>43</v>
      </c>
      <c r="L12" s="14">
        <f>2+0</f>
        <v>2</v>
      </c>
      <c r="M12" s="14">
        <v>1006</v>
      </c>
    </row>
    <row r="13" spans="1:13" x14ac:dyDescent="0.25">
      <c r="A13" s="5">
        <v>5</v>
      </c>
      <c r="B13" s="24" t="s">
        <v>19</v>
      </c>
      <c r="C13" s="8">
        <f>116+6</f>
        <v>122</v>
      </c>
      <c r="D13" s="8">
        <v>8</v>
      </c>
      <c r="E13" s="8">
        <f>62+11</f>
        <v>73</v>
      </c>
      <c r="F13" s="8">
        <f>39+1</f>
        <v>40</v>
      </c>
      <c r="H13" s="5">
        <v>5</v>
      </c>
      <c r="I13" s="24" t="s">
        <v>19</v>
      </c>
      <c r="J13" s="14">
        <f>198+140</f>
        <v>338</v>
      </c>
      <c r="K13" s="14">
        <f>96+33</f>
        <v>129</v>
      </c>
      <c r="L13" s="14">
        <f>33+2</f>
        <v>35</v>
      </c>
      <c r="M13" s="14">
        <v>566</v>
      </c>
    </row>
    <row r="14" spans="1:13" x14ac:dyDescent="0.25">
      <c r="A14" s="5">
        <v>6</v>
      </c>
      <c r="B14" s="24" t="s">
        <v>20</v>
      </c>
      <c r="C14" s="8">
        <f>29+14</f>
        <v>43</v>
      </c>
      <c r="D14" s="8">
        <v>1</v>
      </c>
      <c r="E14" s="8">
        <f>14+4</f>
        <v>18</v>
      </c>
      <c r="F14" s="8">
        <f>12+1</f>
        <v>13</v>
      </c>
      <c r="H14" s="5">
        <v>6</v>
      </c>
      <c r="I14" s="24" t="s">
        <v>20</v>
      </c>
      <c r="J14" s="14">
        <f>291+78</f>
        <v>369</v>
      </c>
      <c r="K14" s="14">
        <f>9+62</f>
        <v>71</v>
      </c>
      <c r="L14" s="14">
        <f>13+1</f>
        <v>14</v>
      </c>
      <c r="M14" s="14">
        <v>484</v>
      </c>
    </row>
    <row r="15" spans="1:13" x14ac:dyDescent="0.25">
      <c r="A15" s="5">
        <v>7</v>
      </c>
      <c r="B15" s="24" t="s">
        <v>21</v>
      </c>
      <c r="C15" s="8">
        <f>13+5</f>
        <v>18</v>
      </c>
      <c r="D15" s="8">
        <v>1</v>
      </c>
      <c r="E15" s="8">
        <f>17+4</f>
        <v>21</v>
      </c>
      <c r="F15" s="8">
        <f>26+1</f>
        <v>27</v>
      </c>
      <c r="H15" s="5">
        <v>7</v>
      </c>
      <c r="I15" s="24" t="s">
        <v>21</v>
      </c>
      <c r="J15" s="14">
        <f>150+40</f>
        <v>190</v>
      </c>
      <c r="K15" s="14">
        <f>9+79</f>
        <v>88</v>
      </c>
      <c r="L15" s="14">
        <f>28+1</f>
        <v>29</v>
      </c>
      <c r="M15" s="14">
        <v>279</v>
      </c>
    </row>
    <row r="16" spans="1:13" x14ac:dyDescent="0.25">
      <c r="A16" s="5">
        <v>8</v>
      </c>
      <c r="B16" s="24" t="s">
        <v>22</v>
      </c>
      <c r="C16" s="8">
        <f>15+5</f>
        <v>20</v>
      </c>
      <c r="D16" s="8">
        <v>0</v>
      </c>
      <c r="E16" s="8">
        <f>22+11</f>
        <v>33</v>
      </c>
      <c r="F16" s="8">
        <f>24+3</f>
        <v>27</v>
      </c>
      <c r="H16" s="5">
        <v>8</v>
      </c>
      <c r="I16" s="24" t="s">
        <v>22</v>
      </c>
      <c r="J16" s="14">
        <f>161+276</f>
        <v>437</v>
      </c>
      <c r="K16" s="14">
        <f>47+58</f>
        <v>105</v>
      </c>
      <c r="L16" s="14">
        <f>12+1</f>
        <v>13</v>
      </c>
      <c r="M16" s="14">
        <v>756</v>
      </c>
    </row>
    <row r="17" spans="1:13" x14ac:dyDescent="0.25">
      <c r="A17" s="5">
        <v>9</v>
      </c>
      <c r="B17" s="24" t="s">
        <v>23</v>
      </c>
      <c r="C17" s="8">
        <f>83+13</f>
        <v>96</v>
      </c>
      <c r="D17" s="8">
        <v>1</v>
      </c>
      <c r="E17" s="8">
        <f>87+13</f>
        <v>100</v>
      </c>
      <c r="F17" s="8">
        <f>63+6</f>
        <v>69</v>
      </c>
      <c r="H17" s="5">
        <v>9</v>
      </c>
      <c r="I17" s="24" t="s">
        <v>23</v>
      </c>
      <c r="J17" s="14">
        <f>995+172</f>
        <v>1167</v>
      </c>
      <c r="K17" s="14">
        <f>248+94</f>
        <v>342</v>
      </c>
      <c r="L17" s="14">
        <f>95+15</f>
        <v>110</v>
      </c>
      <c r="M17" s="14">
        <v>2636</v>
      </c>
    </row>
    <row r="18" spans="1:13" x14ac:dyDescent="0.25">
      <c r="A18" s="5">
        <v>10</v>
      </c>
      <c r="B18" s="24" t="s">
        <v>24</v>
      </c>
      <c r="C18" s="8">
        <f>18+8</f>
        <v>26</v>
      </c>
      <c r="D18" s="8">
        <v>1</v>
      </c>
      <c r="E18" s="8">
        <f>24+11</f>
        <v>35</v>
      </c>
      <c r="F18" s="8">
        <f>54+2</f>
        <v>56</v>
      </c>
      <c r="H18" s="5">
        <v>10</v>
      </c>
      <c r="I18" s="24" t="s">
        <v>24</v>
      </c>
      <c r="J18" s="14">
        <f>220+72</f>
        <v>292</v>
      </c>
      <c r="K18" s="14">
        <f>46+15</f>
        <v>61</v>
      </c>
      <c r="L18" s="14">
        <f>4+1</f>
        <v>5</v>
      </c>
      <c r="M18" s="14">
        <v>501</v>
      </c>
    </row>
    <row r="19" spans="1:13" x14ac:dyDescent="0.25">
      <c r="A19" s="5">
        <v>11</v>
      </c>
      <c r="B19" s="24" t="s">
        <v>25</v>
      </c>
      <c r="C19" s="8">
        <f>13+5</f>
        <v>18</v>
      </c>
      <c r="D19" s="8">
        <v>1</v>
      </c>
      <c r="E19" s="8">
        <f>19+7</f>
        <v>26</v>
      </c>
      <c r="F19" s="8">
        <f>39+0</f>
        <v>39</v>
      </c>
      <c r="H19" s="5">
        <v>11</v>
      </c>
      <c r="I19" s="24" t="s">
        <v>25</v>
      </c>
      <c r="J19" s="14">
        <f>136+263</f>
        <v>399</v>
      </c>
      <c r="K19" s="14">
        <f>17+30</f>
        <v>47</v>
      </c>
      <c r="L19" s="14">
        <f>5+2</f>
        <v>7</v>
      </c>
      <c r="M19" s="14">
        <v>606</v>
      </c>
    </row>
    <row r="20" spans="1:13" x14ac:dyDescent="0.25">
      <c r="A20" s="5">
        <v>12</v>
      </c>
      <c r="B20" s="24" t="s">
        <v>26</v>
      </c>
      <c r="C20" s="8">
        <f>11+3</f>
        <v>14</v>
      </c>
      <c r="D20" s="8">
        <v>1</v>
      </c>
      <c r="E20" s="8">
        <f>17+3</f>
        <v>20</v>
      </c>
      <c r="F20" s="8">
        <f>13+0</f>
        <v>13</v>
      </c>
      <c r="H20" s="5">
        <v>12</v>
      </c>
      <c r="I20" s="24" t="s">
        <v>26</v>
      </c>
      <c r="J20" s="14">
        <f>347+274</f>
        <v>621</v>
      </c>
      <c r="K20" s="14">
        <f>58+31</f>
        <v>89</v>
      </c>
      <c r="L20" s="14">
        <f>1+0</f>
        <v>1</v>
      </c>
      <c r="M20" s="14">
        <v>1190</v>
      </c>
    </row>
    <row r="21" spans="1:13" x14ac:dyDescent="0.25">
      <c r="A21" s="5">
        <v>13</v>
      </c>
      <c r="B21" s="24" t="s">
        <v>27</v>
      </c>
      <c r="C21" s="8">
        <f>9+2</f>
        <v>11</v>
      </c>
      <c r="D21" s="8">
        <v>0</v>
      </c>
      <c r="E21" s="8">
        <f>14+3</f>
        <v>17</v>
      </c>
      <c r="F21" s="8">
        <f>9+0</f>
        <v>9</v>
      </c>
      <c r="H21" s="5">
        <v>13</v>
      </c>
      <c r="I21" s="24" t="s">
        <v>27</v>
      </c>
      <c r="J21" s="14">
        <f>308+386</f>
        <v>694</v>
      </c>
      <c r="K21" s="14">
        <f>5+10</f>
        <v>15</v>
      </c>
      <c r="L21" s="14">
        <f>0+0</f>
        <v>0</v>
      </c>
      <c r="M21" s="14">
        <v>1112</v>
      </c>
    </row>
    <row r="22" spans="1:13" x14ac:dyDescent="0.25">
      <c r="A22" s="5">
        <v>14</v>
      </c>
      <c r="B22" s="24" t="s">
        <v>28</v>
      </c>
      <c r="C22" s="8">
        <f>19+6</f>
        <v>25</v>
      </c>
      <c r="D22" s="8">
        <v>0</v>
      </c>
      <c r="E22" s="8">
        <f>47+9</f>
        <v>56</v>
      </c>
      <c r="F22" s="8">
        <f>31+0</f>
        <v>31</v>
      </c>
      <c r="H22" s="5">
        <v>14</v>
      </c>
      <c r="I22" s="24" t="s">
        <v>28</v>
      </c>
      <c r="J22" s="14">
        <f>214+179</f>
        <v>393</v>
      </c>
      <c r="K22" s="14">
        <f>5+22</f>
        <v>27</v>
      </c>
      <c r="L22" s="14">
        <f>6+2</f>
        <v>8</v>
      </c>
      <c r="M22" s="14">
        <v>589</v>
      </c>
    </row>
    <row r="23" spans="1:13" x14ac:dyDescent="0.25">
      <c r="A23" s="5">
        <v>15</v>
      </c>
      <c r="B23" s="24" t="s">
        <v>29</v>
      </c>
      <c r="C23" s="8">
        <f>12+5</f>
        <v>17</v>
      </c>
      <c r="D23" s="9">
        <v>1</v>
      </c>
      <c r="E23" s="8">
        <f>15+3</f>
        <v>18</v>
      </c>
      <c r="F23" s="8">
        <f>26+0</f>
        <v>26</v>
      </c>
      <c r="H23" s="5">
        <v>15</v>
      </c>
      <c r="I23" s="24" t="s">
        <v>29</v>
      </c>
      <c r="J23" s="14">
        <f>308+375</f>
        <v>683</v>
      </c>
      <c r="K23" s="14">
        <f>42+24</f>
        <v>66</v>
      </c>
      <c r="L23" s="14">
        <f>3+1</f>
        <v>4</v>
      </c>
      <c r="M23" s="14">
        <v>1249</v>
      </c>
    </row>
    <row r="24" spans="1:13" x14ac:dyDescent="0.25">
      <c r="A24" s="5">
        <v>16</v>
      </c>
      <c r="B24" s="24" t="s">
        <v>30</v>
      </c>
      <c r="C24" s="8">
        <f>7+3</f>
        <v>10</v>
      </c>
      <c r="D24" s="8">
        <v>0</v>
      </c>
      <c r="E24" s="8">
        <f>8+2</f>
        <v>10</v>
      </c>
      <c r="F24" s="8">
        <f>11+0</f>
        <v>11</v>
      </c>
      <c r="H24" s="5">
        <v>16</v>
      </c>
      <c r="I24" s="24" t="s">
        <v>30</v>
      </c>
      <c r="J24" s="14">
        <f>223+291</f>
        <v>514</v>
      </c>
      <c r="K24" s="14">
        <f>2+14</f>
        <v>16</v>
      </c>
      <c r="L24" s="14">
        <f>1+0</f>
        <v>1</v>
      </c>
      <c r="M24" s="14">
        <v>1034</v>
      </c>
    </row>
    <row r="25" spans="1:13" x14ac:dyDescent="0.25">
      <c r="A25" s="5">
        <v>17</v>
      </c>
      <c r="B25" s="24" t="s">
        <v>31</v>
      </c>
      <c r="C25" s="8">
        <f>21+4</f>
        <v>25</v>
      </c>
      <c r="D25" s="8">
        <v>1</v>
      </c>
      <c r="E25" s="8">
        <f>33+3</f>
        <v>36</v>
      </c>
      <c r="F25" s="8">
        <f>27+0</f>
        <v>27</v>
      </c>
      <c r="H25" s="5">
        <v>17</v>
      </c>
      <c r="I25" s="24" t="s">
        <v>31</v>
      </c>
      <c r="J25" s="14">
        <f>190+328</f>
        <v>518</v>
      </c>
      <c r="K25" s="14">
        <f>3+15</f>
        <v>18</v>
      </c>
      <c r="L25" s="14">
        <f>2+1</f>
        <v>3</v>
      </c>
      <c r="M25" s="14">
        <v>743</v>
      </c>
    </row>
    <row r="26" spans="1:13" x14ac:dyDescent="0.25">
      <c r="A26" s="5">
        <v>18</v>
      </c>
      <c r="B26" s="24" t="s">
        <v>32</v>
      </c>
      <c r="C26" s="8">
        <f>32+7</f>
        <v>39</v>
      </c>
      <c r="D26" s="8">
        <v>1</v>
      </c>
      <c r="E26" s="8">
        <f>21+2</f>
        <v>23</v>
      </c>
      <c r="F26" s="8">
        <f>25+0</f>
        <v>25</v>
      </c>
      <c r="H26" s="5">
        <v>18</v>
      </c>
      <c r="I26" s="24" t="s">
        <v>32</v>
      </c>
      <c r="J26" s="14">
        <f>95+148</f>
        <v>243</v>
      </c>
      <c r="K26" s="14">
        <f>9+14</f>
        <v>23</v>
      </c>
      <c r="L26" s="14">
        <v>0</v>
      </c>
      <c r="M26" s="14">
        <v>617</v>
      </c>
    </row>
    <row r="27" spans="1:13" x14ac:dyDescent="0.25">
      <c r="A27" s="5">
        <v>19</v>
      </c>
      <c r="B27" s="24" t="s">
        <v>33</v>
      </c>
      <c r="C27" s="8">
        <f>14+6</f>
        <v>20</v>
      </c>
      <c r="D27" s="8">
        <v>3</v>
      </c>
      <c r="E27" s="8">
        <f>17+3</f>
        <v>20</v>
      </c>
      <c r="F27" s="8">
        <f>20+0</f>
        <v>20</v>
      </c>
      <c r="H27" s="5">
        <v>19</v>
      </c>
      <c r="I27" s="24" t="s">
        <v>33</v>
      </c>
      <c r="J27" s="14">
        <f>187+285</f>
        <v>472</v>
      </c>
      <c r="K27" s="14">
        <f>4+12</f>
        <v>16</v>
      </c>
      <c r="L27" s="14">
        <v>0</v>
      </c>
      <c r="M27" s="14">
        <v>770</v>
      </c>
    </row>
    <row r="28" spans="1:13" ht="15.75" thickBot="1" x14ac:dyDescent="0.3">
      <c r="A28" s="4"/>
      <c r="B28" s="4"/>
      <c r="C28" s="8" t="s">
        <v>6</v>
      </c>
      <c r="D28" s="8" t="s">
        <v>6</v>
      </c>
      <c r="E28" s="8" t="s">
        <v>6</v>
      </c>
      <c r="F28" s="8" t="s">
        <v>6</v>
      </c>
      <c r="H28" s="4"/>
      <c r="I28" s="4"/>
      <c r="J28" s="14"/>
      <c r="K28" s="14"/>
      <c r="L28" s="14"/>
      <c r="M28" s="14"/>
    </row>
    <row r="29" spans="1:13" ht="15.75" thickBot="1" x14ac:dyDescent="0.3">
      <c r="A29" s="10"/>
      <c r="B29" s="10" t="s">
        <v>7</v>
      </c>
      <c r="C29" s="11">
        <f>SUM(C9:C28)</f>
        <v>650</v>
      </c>
      <c r="D29" s="11">
        <f>SUM(D9:D28)</f>
        <v>21</v>
      </c>
      <c r="E29" s="11">
        <f>SUM(E9:E28)</f>
        <v>655</v>
      </c>
      <c r="F29" s="11">
        <f>SUM(F9:F28)</f>
        <v>568</v>
      </c>
      <c r="H29" s="10"/>
      <c r="I29" s="10" t="s">
        <v>7</v>
      </c>
      <c r="J29" s="11">
        <f>SUM(J9:J27)</f>
        <v>9552</v>
      </c>
      <c r="K29" s="11">
        <f>SUM(K9:K27)</f>
        <v>1294</v>
      </c>
      <c r="L29" s="11">
        <f>SUM(L9:L27)</f>
        <v>262</v>
      </c>
      <c r="M29" s="11">
        <f>SUM(J29:L29)+SUM(C29:F29)</f>
        <v>13002</v>
      </c>
    </row>
    <row r="30" spans="1:13" x14ac:dyDescent="0.25">
      <c r="A30" s="2"/>
      <c r="B30" s="12" t="str">
        <f>+'[1]Bab 1'!$H$31</f>
        <v>Tahun             2016</v>
      </c>
      <c r="C30" s="13">
        <v>1071</v>
      </c>
      <c r="D30" s="13">
        <v>132</v>
      </c>
      <c r="E30" s="13">
        <v>879</v>
      </c>
      <c r="F30" s="13">
        <v>1833</v>
      </c>
      <c r="H30" s="2"/>
      <c r="I30" s="12" t="str">
        <f>+'[1]Bab 1'!$H$31</f>
        <v>Tahun             2016</v>
      </c>
      <c r="J30" s="13">
        <v>10658</v>
      </c>
      <c r="K30" s="13">
        <v>1402</v>
      </c>
      <c r="L30" s="13">
        <v>352</v>
      </c>
      <c r="M30" s="13">
        <v>16327</v>
      </c>
    </row>
    <row r="31" spans="1:13" x14ac:dyDescent="0.25">
      <c r="A31" s="4"/>
      <c r="B31" s="4">
        <f>+'[1]Bab 1'!$H$32</f>
        <v>2015</v>
      </c>
      <c r="C31" s="14">
        <v>1045</v>
      </c>
      <c r="D31" s="14">
        <v>137</v>
      </c>
      <c r="E31" s="14">
        <v>858</v>
      </c>
      <c r="F31" s="14">
        <v>1813</v>
      </c>
      <c r="H31" s="4"/>
      <c r="I31" s="4">
        <f>+'[1]Bab 1'!$H$32</f>
        <v>2015</v>
      </c>
      <c r="J31" s="14">
        <v>15074</v>
      </c>
      <c r="K31" s="14">
        <v>1609</v>
      </c>
      <c r="L31" s="14">
        <v>405</v>
      </c>
      <c r="M31" s="14">
        <v>20941</v>
      </c>
    </row>
    <row r="32" spans="1:13" x14ac:dyDescent="0.25">
      <c r="A32" s="4"/>
      <c r="B32" s="4">
        <f>+'[1]Bab 1'!$H$33</f>
        <v>2014</v>
      </c>
      <c r="C32" s="14">
        <v>944</v>
      </c>
      <c r="D32" s="14">
        <v>136</v>
      </c>
      <c r="E32" s="14">
        <v>764</v>
      </c>
      <c r="F32" s="14">
        <v>1748</v>
      </c>
      <c r="H32" s="4"/>
      <c r="I32" s="4">
        <f>+'[1]Bab 1'!$H$33</f>
        <v>2014</v>
      </c>
      <c r="J32" s="14">
        <v>13819</v>
      </c>
      <c r="K32" s="14">
        <v>1457</v>
      </c>
      <c r="L32" s="14">
        <v>326</v>
      </c>
      <c r="M32" s="14">
        <v>19194</v>
      </c>
    </row>
    <row r="33" spans="1:13" ht="15.75" thickBot="1" x14ac:dyDescent="0.3">
      <c r="A33" s="15"/>
      <c r="B33" s="15">
        <v>2009</v>
      </c>
      <c r="C33" s="16">
        <v>862</v>
      </c>
      <c r="D33" s="16">
        <v>142</v>
      </c>
      <c r="E33" s="16">
        <v>679</v>
      </c>
      <c r="F33" s="16">
        <v>1800</v>
      </c>
      <c r="H33" s="15"/>
      <c r="I33" s="15">
        <f>+'[1]Bab 1'!$H$34</f>
        <v>2013</v>
      </c>
      <c r="J33" s="16">
        <v>12953</v>
      </c>
      <c r="K33" s="16">
        <v>1662</v>
      </c>
      <c r="L33" s="16">
        <v>281</v>
      </c>
      <c r="M33" s="16">
        <v>18379</v>
      </c>
    </row>
    <row r="34" spans="1:13" x14ac:dyDescent="0.25">
      <c r="A34" s="17" t="s">
        <v>8</v>
      </c>
      <c r="B34" s="17"/>
      <c r="C34" s="4"/>
      <c r="D34" s="4"/>
      <c r="E34" s="4"/>
      <c r="F34" s="4"/>
      <c r="H34" s="17" t="str">
        <f>A34</f>
        <v>Sumber : UPTD Bapermas dan KB  Kecamatan Demak</v>
      </c>
      <c r="I34" s="17"/>
      <c r="J34" s="4"/>
      <c r="K34" s="4"/>
      <c r="L34" s="4"/>
      <c r="M34" s="4"/>
    </row>
    <row r="35" spans="1:13" x14ac:dyDescent="0.25">
      <c r="A35" s="18"/>
      <c r="B35" s="18"/>
      <c r="C35" s="18"/>
      <c r="D35" s="18"/>
      <c r="E35" s="18"/>
      <c r="F35" s="18"/>
    </row>
    <row r="36" spans="1:13" x14ac:dyDescent="0.25">
      <c r="A36" s="19"/>
      <c r="B36" s="20"/>
      <c r="C36" s="21"/>
      <c r="D36" s="21"/>
      <c r="E36" s="21"/>
      <c r="F36" s="21"/>
    </row>
    <row r="37" spans="1:13" x14ac:dyDescent="0.25">
      <c r="A37" s="22"/>
      <c r="B37" s="22"/>
      <c r="C37" s="22"/>
      <c r="D37" s="22"/>
      <c r="E37" s="22"/>
      <c r="F37" s="22"/>
    </row>
    <row r="38" spans="1:13" x14ac:dyDescent="0.25">
      <c r="A38" s="22"/>
      <c r="B38" s="22"/>
      <c r="C38" s="22"/>
      <c r="D38" s="22"/>
      <c r="E38" s="22"/>
      <c r="F38" s="22"/>
    </row>
    <row r="39" spans="1:13" x14ac:dyDescent="0.25">
      <c r="A39" s="22"/>
      <c r="B39" s="22"/>
      <c r="C39" s="22"/>
      <c r="D39" s="22"/>
      <c r="E39" s="22"/>
      <c r="F39" s="22"/>
    </row>
  </sheetData>
  <mergeCells count="3">
    <mergeCell ref="A7:B7"/>
    <mergeCell ref="H7:I7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2019-10-28T04:18:36Z</dcterms:created>
  <dcterms:modified xsi:type="dcterms:W3CDTF">2019-10-28T06:55:38Z</dcterms:modified>
</cp:coreProperties>
</file>