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160" firstSheet="1" activeTab="2"/>
  </bookViews>
  <sheets>
    <sheet name="nama pasien" sheetId="6" state="hidden" r:id="rId1"/>
    <sheet name="perdesa" sheetId="1" r:id="rId2"/>
    <sheet name="per kecamatan" sheetId="2" r:id="rId3"/>
  </sheets>
  <definedNames>
    <definedName name="_xlnm._FilterDatabase" localSheetId="1" hidden="1">perdesa!$A$4:$T$260</definedName>
    <definedName name="_xlnm.Print_Area" localSheetId="0">'nama pasien'!$A$244:$R$254</definedName>
    <definedName name="_xlnm.Print_Area" localSheetId="1">perdesa!$A$1:$AB$258</definedName>
    <definedName name="_xlnm.Print_Titles" localSheetId="1">perdesa!$5:$7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8" i="1" l="1"/>
  <c r="A3" i="2"/>
  <c r="P8" i="1"/>
  <c r="D15" i="2" s="1"/>
  <c r="Q8" i="1"/>
  <c r="E15" i="2" s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P27" i="1"/>
  <c r="D10" i="2" s="1"/>
  <c r="Q27" i="1"/>
  <c r="E10" i="2" s="1"/>
  <c r="AE27" i="1"/>
  <c r="AE28" i="1"/>
  <c r="AE29" i="1"/>
  <c r="AE30" i="1"/>
  <c r="AE31" i="1"/>
  <c r="AE32" i="1"/>
  <c r="AE33" i="1"/>
  <c r="O27" i="1"/>
  <c r="C10" i="2" s="1"/>
  <c r="O8" i="1"/>
  <c r="C15" i="2" s="1"/>
  <c r="AG217" i="1"/>
  <c r="AG216" i="1"/>
  <c r="AG215" i="1"/>
  <c r="AG214" i="1"/>
  <c r="AG213" i="1"/>
  <c r="AG212" i="1"/>
  <c r="AG211" i="1"/>
  <c r="AG210" i="1"/>
  <c r="AG209" i="1"/>
  <c r="AG208" i="1"/>
  <c r="AG207" i="1"/>
  <c r="AG206" i="1"/>
  <c r="AG205" i="1"/>
  <c r="AG204" i="1"/>
  <c r="AG203" i="1"/>
  <c r="AG229" i="1"/>
  <c r="AG228" i="1"/>
  <c r="AG227" i="1"/>
  <c r="AG226" i="1"/>
  <c r="AG225" i="1"/>
  <c r="AG224" i="1"/>
  <c r="AG223" i="1"/>
  <c r="AG222" i="1"/>
  <c r="AG221" i="1"/>
  <c r="AG220" i="1"/>
  <c r="AG219" i="1"/>
  <c r="AG218" i="1"/>
  <c r="AG150" i="1"/>
  <c r="AG149" i="1"/>
  <c r="AG148" i="1"/>
  <c r="AG147" i="1"/>
  <c r="AG140" i="1"/>
  <c r="AG139" i="1"/>
  <c r="AG138" i="1"/>
  <c r="AG141" i="1"/>
  <c r="AG143" i="1"/>
  <c r="AG142" i="1"/>
  <c r="AG146" i="1"/>
  <c r="AG145" i="1"/>
  <c r="AG144" i="1"/>
  <c r="AG137" i="1"/>
  <c r="AG136" i="1"/>
  <c r="AG194" i="1"/>
  <c r="AG193" i="1"/>
  <c r="AG192" i="1"/>
  <c r="AG191" i="1"/>
  <c r="AG190" i="1"/>
  <c r="AG189" i="1"/>
  <c r="AG188" i="1"/>
  <c r="AG187" i="1"/>
  <c r="AG186" i="1"/>
  <c r="AG185" i="1"/>
  <c r="AG184" i="1"/>
  <c r="AG183" i="1"/>
  <c r="AG121" i="1"/>
  <c r="AG132" i="1"/>
  <c r="AG131" i="1"/>
  <c r="AG130" i="1"/>
  <c r="AG129" i="1"/>
  <c r="AG128" i="1"/>
  <c r="AG127" i="1"/>
  <c r="AG126" i="1"/>
  <c r="AG125" i="1"/>
  <c r="AG124" i="1"/>
  <c r="AG123" i="1"/>
  <c r="AG122" i="1"/>
  <c r="AG201" i="1"/>
  <c r="AG200" i="1"/>
  <c r="AG199" i="1"/>
  <c r="AG198" i="1"/>
  <c r="AG197" i="1"/>
  <c r="AG196" i="1"/>
  <c r="AG159" i="1"/>
  <c r="AG158" i="1"/>
  <c r="AG157" i="1"/>
  <c r="AG156" i="1"/>
  <c r="AG155" i="1"/>
  <c r="AG154" i="1"/>
  <c r="AG153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134" i="1"/>
  <c r="AG249" i="1"/>
  <c r="AG248" i="1"/>
  <c r="AG247" i="1"/>
  <c r="AG246" i="1"/>
  <c r="AG245" i="1"/>
  <c r="AG244" i="1"/>
  <c r="AG243" i="1"/>
  <c r="AG242" i="1"/>
  <c r="AG241" i="1"/>
  <c r="AG240" i="1"/>
  <c r="AG239" i="1"/>
  <c r="AG255" i="1"/>
  <c r="AG254" i="1"/>
  <c r="AG253" i="1"/>
  <c r="AG252" i="1"/>
  <c r="AG251" i="1"/>
  <c r="AG236" i="1"/>
  <c r="AG235" i="1"/>
  <c r="AG234" i="1"/>
  <c r="AG232" i="1"/>
  <c r="AG23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5" i="1"/>
  <c r="AG64" i="1"/>
  <c r="AG63" i="1"/>
  <c r="AG62" i="1"/>
  <c r="AG8" i="1"/>
  <c r="AG256" i="1"/>
  <c r="AG66" i="1"/>
  <c r="AG61" i="1"/>
  <c r="AG60" i="1"/>
  <c r="AG181" i="1"/>
  <c r="AG180" i="1"/>
  <c r="AG179" i="1"/>
  <c r="AG177" i="1"/>
  <c r="AG176" i="1"/>
  <c r="AG175" i="1"/>
  <c r="AG174" i="1"/>
  <c r="AG173" i="1"/>
  <c r="AG172" i="1"/>
  <c r="AG171" i="1"/>
  <c r="AG170" i="1"/>
  <c r="AG169" i="1"/>
  <c r="AG168" i="1"/>
  <c r="AG167" i="1"/>
  <c r="AG166" i="1"/>
  <c r="AG164" i="1"/>
  <c r="AG161" i="1"/>
  <c r="AG160" i="1"/>
  <c r="AG59" i="1"/>
  <c r="AG182" i="1"/>
  <c r="AG58" i="1"/>
  <c r="AG57" i="1"/>
  <c r="AG56" i="1"/>
  <c r="AG55" i="1"/>
  <c r="AG54" i="1"/>
  <c r="AG53" i="1"/>
  <c r="AG52" i="1"/>
  <c r="AG51" i="1"/>
  <c r="AG50" i="1"/>
  <c r="AG49" i="1"/>
  <c r="AG48" i="1"/>
  <c r="AG43" i="1"/>
  <c r="AG250" i="1"/>
  <c r="AG238" i="1"/>
  <c r="AG237" i="1"/>
  <c r="AG233" i="1"/>
  <c r="AG230" i="1"/>
  <c r="AG202" i="1"/>
  <c r="AG195" i="1"/>
  <c r="AG178" i="1"/>
  <c r="AG165" i="1"/>
  <c r="AG163" i="1"/>
  <c r="AG162" i="1"/>
  <c r="AG152" i="1"/>
  <c r="AG151" i="1"/>
  <c r="AG135" i="1"/>
  <c r="AG133" i="1"/>
  <c r="AG120" i="1"/>
  <c r="AG104" i="1"/>
  <c r="AG81" i="1"/>
  <c r="AG67" i="1"/>
  <c r="AG47" i="1"/>
  <c r="AG46" i="1"/>
  <c r="AG44" i="1"/>
  <c r="AG45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2" i="1"/>
  <c r="AE43" i="1"/>
  <c r="AE42" i="1"/>
  <c r="AE41" i="1"/>
  <c r="AE40" i="1"/>
  <c r="AE39" i="1"/>
  <c r="AE38" i="1"/>
  <c r="AE37" i="1"/>
  <c r="AE36" i="1"/>
  <c r="AE35" i="1"/>
  <c r="AE34" i="1"/>
  <c r="AE375" i="6"/>
  <c r="AE201" i="6"/>
  <c r="AE194" i="6"/>
  <c r="AE188" i="6"/>
  <c r="AE169" i="6"/>
  <c r="AE136" i="6"/>
  <c r="AE134" i="6"/>
  <c r="AE132" i="6"/>
  <c r="AE126" i="6"/>
  <c r="AE124" i="6"/>
  <c r="AE123" i="6"/>
  <c r="AE91" i="6"/>
  <c r="AE90" i="6"/>
  <c r="AE73" i="6"/>
  <c r="AE71" i="6"/>
  <c r="AE64" i="6"/>
  <c r="AE51" i="6"/>
  <c r="AE36" i="6"/>
  <c r="AE181" i="6"/>
  <c r="AE113" i="6"/>
  <c r="AE93" i="6"/>
  <c r="AE92" i="6"/>
  <c r="AE88" i="6"/>
  <c r="AE82" i="6"/>
  <c r="AE80" i="6"/>
  <c r="AE68" i="6"/>
  <c r="AE67" i="6"/>
  <c r="AE61" i="6"/>
  <c r="AE60" i="6"/>
  <c r="AE59" i="6"/>
  <c r="AE58" i="6"/>
  <c r="AE56" i="6"/>
  <c r="AE55" i="6"/>
  <c r="AE54" i="6"/>
  <c r="AE52" i="6"/>
  <c r="AE48" i="6"/>
  <c r="AE47" i="6"/>
  <c r="AE43" i="6"/>
  <c r="AE41" i="6"/>
  <c r="AE39" i="6"/>
  <c r="AE38" i="6"/>
  <c r="AE34" i="6"/>
  <c r="AE33" i="6"/>
  <c r="AE32" i="6"/>
  <c r="AE31" i="6"/>
  <c r="AE30" i="6"/>
  <c r="AE29" i="6"/>
  <c r="AE28" i="6"/>
  <c r="AE27" i="6"/>
  <c r="AE26" i="6"/>
  <c r="AE25" i="6"/>
  <c r="AE24" i="6"/>
  <c r="AE23" i="6"/>
  <c r="AE22" i="6"/>
  <c r="AE21" i="6"/>
  <c r="AE20" i="6"/>
  <c r="AE18" i="6"/>
  <c r="AE17" i="6"/>
  <c r="AE16" i="6"/>
  <c r="AE15" i="6"/>
  <c r="AE14" i="6"/>
  <c r="AE12" i="6"/>
  <c r="AE11" i="6"/>
  <c r="AE10" i="6"/>
  <c r="AE9" i="6"/>
  <c r="AE8" i="6"/>
  <c r="AE7" i="6"/>
  <c r="AE5" i="6"/>
  <c r="AE4" i="6"/>
  <c r="AE363" i="6"/>
  <c r="AE334" i="6"/>
  <c r="AE312" i="6"/>
  <c r="AE242" i="6"/>
  <c r="AE231" i="6"/>
  <c r="AE230" i="6"/>
  <c r="AE206" i="6"/>
  <c r="AE202" i="6"/>
  <c r="AE195" i="6"/>
  <c r="AE193" i="6"/>
  <c r="AE175" i="6"/>
  <c r="AE174" i="6"/>
  <c r="AE173" i="6"/>
  <c r="AE170" i="6"/>
  <c r="AE135" i="6"/>
  <c r="AE131" i="6"/>
  <c r="AE130" i="6"/>
  <c r="AE122" i="6"/>
  <c r="AE116" i="6"/>
  <c r="AE115" i="6"/>
  <c r="AE101" i="6"/>
  <c r="AE100" i="6"/>
  <c r="AE75" i="6"/>
  <c r="AE74" i="6"/>
  <c r="AE35" i="6"/>
  <c r="AE19" i="6"/>
  <c r="AE288" i="6"/>
  <c r="AE287" i="6"/>
  <c r="AE255" i="6"/>
  <c r="AE254" i="6"/>
  <c r="AE252" i="6"/>
  <c r="AE248" i="6"/>
  <c r="AE219" i="6"/>
  <c r="AE216" i="6"/>
  <c r="AE192" i="6"/>
  <c r="AE191" i="6"/>
  <c r="AE185" i="6"/>
  <c r="AE183" i="6"/>
  <c r="AE178" i="6"/>
  <c r="AE167" i="6"/>
  <c r="AE159" i="6"/>
  <c r="AE158" i="6"/>
  <c r="AE157" i="6"/>
  <c r="AE156" i="6"/>
  <c r="AE155" i="6"/>
  <c r="AE146" i="6"/>
  <c r="AE143" i="6"/>
  <c r="AE142" i="6"/>
  <c r="AE141" i="6"/>
  <c r="AE140" i="6"/>
  <c r="AE139" i="6"/>
  <c r="AE121" i="6"/>
  <c r="AE112" i="6"/>
  <c r="AE109" i="6"/>
  <c r="AE95" i="6"/>
  <c r="AE87" i="6"/>
  <c r="AE85" i="6"/>
  <c r="AE83" i="6"/>
  <c r="AE81" i="6"/>
  <c r="AE77" i="6"/>
  <c r="AE57" i="6"/>
  <c r="AE49" i="6"/>
  <c r="AE13" i="6"/>
  <c r="AE377" i="6"/>
  <c r="AE376" i="6"/>
  <c r="AE365" i="6"/>
  <c r="AE357" i="6"/>
  <c r="AE333" i="6"/>
  <c r="AE332" i="6"/>
  <c r="AE331" i="6"/>
  <c r="AE330" i="6"/>
  <c r="AE311" i="6"/>
  <c r="AE241" i="6"/>
  <c r="AE240" i="6"/>
  <c r="AE239" i="6"/>
  <c r="AE238" i="6"/>
  <c r="AE222" i="6"/>
  <c r="AE190" i="6"/>
  <c r="AE69" i="6"/>
  <c r="AE378" i="6"/>
  <c r="AE360" i="6"/>
  <c r="AE359" i="6"/>
  <c r="AE358" i="6"/>
  <c r="AE356" i="6"/>
  <c r="AE355" i="6"/>
  <c r="AE354" i="6"/>
  <c r="AE353" i="6"/>
  <c r="AE352" i="6"/>
  <c r="AE351" i="6"/>
  <c r="AE350" i="6"/>
  <c r="AE349" i="6"/>
  <c r="AE348" i="6"/>
  <c r="AE347" i="6"/>
  <c r="AE346" i="6"/>
  <c r="AE345" i="6"/>
  <c r="AE344" i="6"/>
  <c r="AE343" i="6"/>
  <c r="AE342" i="6"/>
  <c r="AE341" i="6"/>
  <c r="AE340" i="6"/>
  <c r="AE339" i="6"/>
  <c r="AE338" i="6"/>
  <c r="AE337" i="6"/>
  <c r="AE336" i="6"/>
  <c r="AE335" i="6"/>
  <c r="AE310" i="6"/>
  <c r="AE309" i="6"/>
  <c r="AE308" i="6"/>
  <c r="AE307" i="6"/>
  <c r="AE306" i="6"/>
  <c r="AE305" i="6"/>
  <c r="AE304" i="6"/>
  <c r="AE303" i="6"/>
  <c r="AE302" i="6"/>
  <c r="AE301" i="6"/>
  <c r="AE300" i="6"/>
  <c r="AE299" i="6"/>
  <c r="AE298" i="6"/>
  <c r="AE297" i="6"/>
  <c r="AE296" i="6"/>
  <c r="AE295" i="6"/>
  <c r="AE294" i="6"/>
  <c r="AE293" i="6"/>
  <c r="AE292" i="6"/>
  <c r="AE291" i="6"/>
  <c r="AE290" i="6"/>
  <c r="AE289" i="6"/>
  <c r="AE286" i="6"/>
  <c r="AE284" i="6"/>
  <c r="AE283" i="6"/>
  <c r="AE282" i="6"/>
  <c r="AE281" i="6"/>
  <c r="AE280" i="6"/>
  <c r="AE279" i="6"/>
  <c r="AE278" i="6"/>
  <c r="AE277" i="6"/>
  <c r="AE276" i="6"/>
  <c r="AE275" i="6"/>
  <c r="AE274" i="6"/>
  <c r="AE273" i="6"/>
  <c r="AE272" i="6"/>
  <c r="AE271" i="6"/>
  <c r="AE270" i="6"/>
  <c r="AE269" i="6"/>
  <c r="AE268" i="6"/>
  <c r="AE267" i="6"/>
  <c r="AE266" i="6"/>
  <c r="AE265" i="6"/>
  <c r="AE264" i="6"/>
  <c r="AE263" i="6"/>
  <c r="AE262" i="6"/>
  <c r="AE261" i="6"/>
  <c r="AE251" i="6"/>
  <c r="AE250" i="6"/>
  <c r="AE233" i="6"/>
  <c r="AE213" i="6"/>
  <c r="AE207" i="6"/>
  <c r="AE187" i="6"/>
  <c r="AE182" i="6"/>
  <c r="AE180" i="6"/>
  <c r="AE179" i="6"/>
  <c r="AE177" i="6"/>
  <c r="AE171" i="6"/>
  <c r="AE163" i="6"/>
  <c r="AE154" i="6"/>
  <c r="AE153" i="6"/>
  <c r="AE145" i="6"/>
  <c r="AE144" i="6"/>
  <c r="AE129" i="6"/>
  <c r="AE120" i="6"/>
  <c r="AE119" i="6"/>
  <c r="AE118" i="6"/>
  <c r="AE117" i="6"/>
  <c r="AE110" i="6"/>
  <c r="AE108" i="6"/>
  <c r="AE107" i="6"/>
  <c r="AE106" i="6"/>
  <c r="AE98" i="6"/>
  <c r="AE97" i="6"/>
  <c r="AE94" i="6"/>
  <c r="AE89" i="6"/>
  <c r="AE84" i="6"/>
  <c r="AE78" i="6"/>
  <c r="AE76" i="6"/>
  <c r="AE72" i="6"/>
  <c r="AE66" i="6"/>
  <c r="AE63" i="6"/>
  <c r="AE62" i="6"/>
  <c r="AE53" i="6"/>
  <c r="AE50" i="6"/>
  <c r="AE46" i="6"/>
  <c r="AE45" i="6"/>
  <c r="AE44" i="6"/>
  <c r="AE42" i="6"/>
  <c r="AE40" i="6"/>
  <c r="AE37" i="6"/>
  <c r="AE6" i="6"/>
  <c r="AE374" i="6"/>
  <c r="AE373" i="6"/>
  <c r="AE372" i="6"/>
  <c r="AE371" i="6"/>
  <c r="AE370" i="6"/>
  <c r="AE369" i="6"/>
  <c r="AE368" i="6"/>
  <c r="AE367" i="6"/>
  <c r="AE366" i="6"/>
  <c r="AE364" i="6"/>
  <c r="AE362" i="6"/>
  <c r="AE361" i="6"/>
  <c r="AE329" i="6"/>
  <c r="AE328" i="6"/>
  <c r="AE327" i="6"/>
  <c r="AE326" i="6"/>
  <c r="AE325" i="6"/>
  <c r="AE324" i="6"/>
  <c r="AE322" i="6"/>
  <c r="AE321" i="6"/>
  <c r="AE320" i="6"/>
  <c r="AE318" i="6"/>
  <c r="AE317" i="6"/>
  <c r="AE316" i="6"/>
  <c r="AE315" i="6"/>
  <c r="AE314" i="6"/>
  <c r="AE313" i="6"/>
  <c r="AE260" i="6"/>
  <c r="AE259" i="6"/>
  <c r="AE258" i="6"/>
  <c r="AE246" i="6"/>
  <c r="AE245" i="6"/>
  <c r="AE244" i="6"/>
  <c r="AE243" i="6"/>
  <c r="AE237" i="6"/>
  <c r="AE236" i="6"/>
  <c r="AE235" i="6"/>
  <c r="AE234" i="6"/>
  <c r="AE229" i="6"/>
  <c r="AE228" i="6"/>
  <c r="AE227" i="6"/>
  <c r="AE226" i="6"/>
  <c r="AE225" i="6"/>
  <c r="AE224" i="6"/>
  <c r="AE223" i="6"/>
  <c r="AE221" i="6"/>
  <c r="AE205" i="6"/>
  <c r="AE204" i="6"/>
  <c r="AE203" i="6"/>
  <c r="AE200" i="6"/>
  <c r="AE199" i="6"/>
  <c r="AE198" i="6"/>
  <c r="AE197" i="6"/>
  <c r="AE196" i="6"/>
  <c r="AE189" i="6"/>
  <c r="AE186" i="6"/>
  <c r="AE176" i="6"/>
  <c r="AE172" i="6"/>
  <c r="AE168" i="6"/>
  <c r="AE138" i="6"/>
  <c r="AE137" i="6"/>
  <c r="AE133" i="6"/>
  <c r="AE128" i="6"/>
  <c r="AE127" i="6"/>
  <c r="AE114" i="6"/>
  <c r="AE111" i="6"/>
  <c r="AE105" i="6"/>
  <c r="AE104" i="6"/>
  <c r="AE103" i="6"/>
  <c r="AE102" i="6"/>
  <c r="AE99" i="6"/>
  <c r="AE86" i="6"/>
  <c r="AE79" i="6"/>
  <c r="AE70" i="6"/>
  <c r="AE65" i="6"/>
  <c r="AE323" i="6"/>
  <c r="AE319" i="6"/>
  <c r="AE285" i="6"/>
  <c r="AE257" i="6"/>
  <c r="AE256" i="6"/>
  <c r="AE253" i="6"/>
  <c r="AE249" i="6"/>
  <c r="AE247" i="6"/>
  <c r="AE232" i="6"/>
  <c r="AE220" i="6"/>
  <c r="AE218" i="6"/>
  <c r="AE217" i="6"/>
  <c r="AE215" i="6"/>
  <c r="AE214" i="6"/>
  <c r="AE212" i="6"/>
  <c r="AE211" i="6"/>
  <c r="AE210" i="6"/>
  <c r="AE209" i="6"/>
  <c r="AE208" i="6"/>
  <c r="AE184" i="6"/>
  <c r="AE166" i="6"/>
  <c r="AE165" i="6"/>
  <c r="AE164" i="6"/>
  <c r="AE162" i="6"/>
  <c r="AE161" i="6"/>
  <c r="AE160" i="6"/>
  <c r="AE152" i="6"/>
  <c r="AE151" i="6"/>
  <c r="AE150" i="6"/>
  <c r="AE149" i="6"/>
  <c r="AE148" i="6"/>
  <c r="AE147" i="6"/>
  <c r="AE125" i="6"/>
  <c r="AE96" i="6"/>
  <c r="AC258" i="1"/>
  <c r="Z258" i="1"/>
  <c r="P257" i="1"/>
  <c r="D20" i="2" s="1"/>
  <c r="Q257" i="1"/>
  <c r="E20" i="2" s="1"/>
  <c r="O257" i="1"/>
  <c r="C20" i="2" s="1"/>
  <c r="Q44" i="1"/>
  <c r="E13" i="2" s="1"/>
  <c r="Q65" i="1"/>
  <c r="E18" i="2" s="1"/>
  <c r="Q83" i="1"/>
  <c r="E9" i="2" s="1"/>
  <c r="Q100" i="1"/>
  <c r="E19" i="2" s="1"/>
  <c r="Q115" i="1"/>
  <c r="E11" i="2" s="1"/>
  <c r="Q134" i="1"/>
  <c r="E14" i="2" s="1"/>
  <c r="Q155" i="1"/>
  <c r="E6" i="2" s="1"/>
  <c r="Q175" i="1"/>
  <c r="E7" i="2" s="1"/>
  <c r="Q187" i="1"/>
  <c r="E17" i="2" s="1"/>
  <c r="Q203" i="1"/>
  <c r="E16" i="2" s="1"/>
  <c r="Q217" i="1"/>
  <c r="E12" i="2" s="1"/>
  <c r="Q237" i="1"/>
  <c r="E8" i="2" s="1"/>
  <c r="O115" i="1"/>
  <c r="C11" i="2" s="1"/>
  <c r="O155" i="1"/>
  <c r="C6" i="2" s="1"/>
  <c r="O44" i="1"/>
  <c r="O65" i="1"/>
  <c r="C18" i="2" s="1"/>
  <c r="P115" i="1"/>
  <c r="D11" i="2" s="1"/>
  <c r="P237" i="1"/>
  <c r="D8" i="2" s="1"/>
  <c r="O237" i="1"/>
  <c r="C8" i="2" s="1"/>
  <c r="P217" i="1"/>
  <c r="D12" i="2" s="1"/>
  <c r="O217" i="1"/>
  <c r="C12" i="2" s="1"/>
  <c r="P203" i="1"/>
  <c r="D16" i="2" s="1"/>
  <c r="O203" i="1"/>
  <c r="C16" i="2" s="1"/>
  <c r="P187" i="1"/>
  <c r="D17" i="2" s="1"/>
  <c r="O187" i="1"/>
  <c r="C17" i="2" s="1"/>
  <c r="P175" i="1"/>
  <c r="D7" i="2" s="1"/>
  <c r="O175" i="1"/>
  <c r="C7" i="2" s="1"/>
  <c r="P155" i="1"/>
  <c r="D6" i="2" s="1"/>
  <c r="P134" i="1"/>
  <c r="D14" i="2" s="1"/>
  <c r="O134" i="1"/>
  <c r="C14" i="2" s="1"/>
  <c r="P100" i="1"/>
  <c r="D19" i="2" s="1"/>
  <c r="O100" i="1"/>
  <c r="C19" i="2" s="1"/>
  <c r="P83" i="1"/>
  <c r="D9" i="2" s="1"/>
  <c r="O83" i="1"/>
  <c r="C9" i="2" s="1"/>
  <c r="P65" i="1"/>
  <c r="P44" i="1"/>
  <c r="D13" i="2" s="1"/>
  <c r="T203" i="1"/>
  <c r="H16" i="2" s="1"/>
  <c r="T187" i="1"/>
  <c r="H17" i="2" s="1"/>
  <c r="T175" i="1"/>
  <c r="H7" i="2" s="1"/>
  <c r="T155" i="1"/>
  <c r="H6" i="2" s="1"/>
  <c r="T115" i="1"/>
  <c r="H11" i="2" s="1"/>
  <c r="T83" i="1"/>
  <c r="H9" i="2" s="1"/>
  <c r="T27" i="1"/>
  <c r="H10" i="2" s="1"/>
  <c r="S257" i="1"/>
  <c r="G20" i="2" s="1"/>
  <c r="S237" i="1"/>
  <c r="G8" i="2" s="1"/>
  <c r="S217" i="1"/>
  <c r="G12" i="2" s="1"/>
  <c r="S65" i="1"/>
  <c r="G18" i="2" s="1"/>
  <c r="U203" i="1"/>
  <c r="I16" i="2" s="1"/>
  <c r="U187" i="1"/>
  <c r="I17" i="2" s="1"/>
  <c r="U175" i="1"/>
  <c r="I7" i="2" s="1"/>
  <c r="U155" i="1"/>
  <c r="I6" i="2" s="1"/>
  <c r="U115" i="1"/>
  <c r="I11" i="2" s="1"/>
  <c r="U83" i="1"/>
  <c r="I9" i="2" s="1"/>
  <c r="U27" i="1"/>
  <c r="I10" i="2" s="1"/>
  <c r="S100" i="1"/>
  <c r="G19" i="2" s="1"/>
  <c r="S44" i="1"/>
  <c r="G13" i="2" s="1"/>
  <c r="S8" i="1"/>
  <c r="U134" i="1"/>
  <c r="I14" i="2" s="1"/>
  <c r="T134" i="1"/>
  <c r="H14" i="2" s="1"/>
  <c r="T257" i="1"/>
  <c r="H20" i="2" s="1"/>
  <c r="T237" i="1"/>
  <c r="H8" i="2" s="1"/>
  <c r="T217" i="1"/>
  <c r="H12" i="2" s="1"/>
  <c r="T65" i="1"/>
  <c r="H18" i="2" s="1"/>
  <c r="S203" i="1"/>
  <c r="G16" i="2" s="1"/>
  <c r="S187" i="1"/>
  <c r="G17" i="2" s="1"/>
  <c r="S175" i="1"/>
  <c r="G7" i="2" s="1"/>
  <c r="S155" i="1"/>
  <c r="G6" i="2" s="1"/>
  <c r="S115" i="1"/>
  <c r="G11" i="2" s="1"/>
  <c r="S83" i="1"/>
  <c r="G9" i="2" s="1"/>
  <c r="S27" i="1"/>
  <c r="G10" i="2" s="1"/>
  <c r="U257" i="1"/>
  <c r="I20" i="2" s="1"/>
  <c r="U237" i="1"/>
  <c r="I8" i="2" s="1"/>
  <c r="U217" i="1"/>
  <c r="I12" i="2" s="1"/>
  <c r="U65" i="1"/>
  <c r="I18" i="2" s="1"/>
  <c r="T100" i="1"/>
  <c r="H19" i="2" s="1"/>
  <c r="T44" i="1"/>
  <c r="H13" i="2" s="1"/>
  <c r="T8" i="1"/>
  <c r="S134" i="1"/>
  <c r="G14" i="2" s="1"/>
  <c r="U100" i="1"/>
  <c r="I19" i="2" s="1"/>
  <c r="U44" i="1"/>
  <c r="I13" i="2" s="1"/>
  <c r="U8" i="1"/>
  <c r="R237" i="1"/>
  <c r="F8" i="2" s="1"/>
  <c r="R217" i="1"/>
  <c r="F12" i="2" s="1"/>
  <c r="W203" i="1"/>
  <c r="K16" i="2" s="1"/>
  <c r="W187" i="1"/>
  <c r="K17" i="2" s="1"/>
  <c r="W175" i="1"/>
  <c r="K7" i="2" s="1"/>
  <c r="W155" i="1"/>
  <c r="K6" i="2" s="1"/>
  <c r="V134" i="1"/>
  <c r="J14" i="2" s="1"/>
  <c r="W115" i="1"/>
  <c r="K11" i="2" s="1"/>
  <c r="W83" i="1"/>
  <c r="K9" i="2" s="1"/>
  <c r="R65" i="1"/>
  <c r="F18" i="2" s="1"/>
  <c r="W27" i="1"/>
  <c r="K10" i="2" s="1"/>
  <c r="R257" i="1"/>
  <c r="F20" i="2" s="1"/>
  <c r="V203" i="1"/>
  <c r="J16" i="2" s="1"/>
  <c r="V187" i="1"/>
  <c r="J17" i="2" s="1"/>
  <c r="V175" i="1"/>
  <c r="J7" i="2" s="1"/>
  <c r="V155" i="1"/>
  <c r="J6" i="2" s="1"/>
  <c r="R134" i="1"/>
  <c r="F14" i="2" s="1"/>
  <c r="V115" i="1"/>
  <c r="J11" i="2" s="1"/>
  <c r="W100" i="1"/>
  <c r="K19" i="2" s="1"/>
  <c r="V83" i="1"/>
  <c r="J9" i="2" s="1"/>
  <c r="W44" i="1"/>
  <c r="K13" i="2" s="1"/>
  <c r="V27" i="1"/>
  <c r="J10" i="2" s="1"/>
  <c r="W8" i="1"/>
  <c r="K15" i="2" s="1"/>
  <c r="W257" i="1"/>
  <c r="K20" i="2" s="1"/>
  <c r="W237" i="1"/>
  <c r="K8" i="2" s="1"/>
  <c r="W217" i="1"/>
  <c r="K12" i="2" s="1"/>
  <c r="R203" i="1"/>
  <c r="F16" i="2" s="1"/>
  <c r="R187" i="1"/>
  <c r="F17" i="2" s="1"/>
  <c r="R175" i="1"/>
  <c r="F7" i="2" s="1"/>
  <c r="R155" i="1"/>
  <c r="F6" i="2" s="1"/>
  <c r="R115" i="1"/>
  <c r="F11" i="2" s="1"/>
  <c r="V100" i="1"/>
  <c r="J19" i="2" s="1"/>
  <c r="R83" i="1"/>
  <c r="F9" i="2" s="1"/>
  <c r="W65" i="1"/>
  <c r="K18" i="2" s="1"/>
  <c r="V44" i="1"/>
  <c r="J13" i="2" s="1"/>
  <c r="R27" i="1"/>
  <c r="F10" i="2" s="1"/>
  <c r="V8" i="1"/>
  <c r="J15" i="2" s="1"/>
  <c r="V257" i="1"/>
  <c r="J20" i="2" s="1"/>
  <c r="V237" i="1"/>
  <c r="J8" i="2" s="1"/>
  <c r="V217" i="1"/>
  <c r="J12" i="2" s="1"/>
  <c r="W134" i="1"/>
  <c r="K14" i="2" s="1"/>
  <c r="R100" i="1"/>
  <c r="F19" i="2" s="1"/>
  <c r="V65" i="1"/>
  <c r="J18" i="2" s="1"/>
  <c r="R44" i="1"/>
  <c r="F13" i="2" s="1"/>
  <c r="R8" i="1"/>
  <c r="F15" i="2" s="1"/>
  <c r="AA135" i="1"/>
  <c r="AA159" i="1"/>
  <c r="AA191" i="1"/>
  <c r="AA199" i="1"/>
  <c r="AA207" i="1"/>
  <c r="AA215" i="1"/>
  <c r="AA219" i="1"/>
  <c r="AA223" i="1"/>
  <c r="AA227" i="1"/>
  <c r="AA231" i="1"/>
  <c r="AA236" i="1"/>
  <c r="AA238" i="1"/>
  <c r="AA240" i="1"/>
  <c r="AA241" i="1"/>
  <c r="AA242" i="1"/>
  <c r="AA244" i="1"/>
  <c r="AA245" i="1"/>
  <c r="AA246" i="1"/>
  <c r="AA248" i="1"/>
  <c r="AA249" i="1"/>
  <c r="AA252" i="1"/>
  <c r="AA233" i="1"/>
  <c r="AA225" i="1"/>
  <c r="AA209" i="1"/>
  <c r="AA189" i="1"/>
  <c r="AA161" i="1"/>
  <c r="AA228" i="1"/>
  <c r="AA212" i="1"/>
  <c r="AA196" i="1"/>
  <c r="AA229" i="1"/>
  <c r="AA221" i="1"/>
  <c r="AA213" i="1"/>
  <c r="AA197" i="1"/>
  <c r="AA181" i="1"/>
  <c r="AA149" i="1"/>
  <c r="AA255" i="1"/>
  <c r="AA251" i="1"/>
  <c r="AA247" i="1"/>
  <c r="AA243" i="1"/>
  <c r="AA239" i="1"/>
  <c r="AA235" i="1"/>
  <c r="AA250" i="1"/>
  <c r="AA254" i="1"/>
  <c r="AA256" i="1"/>
  <c r="AA253" i="1"/>
  <c r="AA183" i="1"/>
  <c r="AA185" i="1"/>
  <c r="AA187" i="1"/>
  <c r="AB187" i="1" s="1"/>
  <c r="AA193" i="1"/>
  <c r="AA195" i="1"/>
  <c r="AA201" i="1"/>
  <c r="AA205" i="1"/>
  <c r="AA211" i="1"/>
  <c r="AA171" i="1"/>
  <c r="AA173" i="1"/>
  <c r="AA177" i="1"/>
  <c r="AA179" i="1"/>
  <c r="AA125" i="1"/>
  <c r="AA131" i="1"/>
  <c r="AA145" i="1"/>
  <c r="AA147" i="1"/>
  <c r="AA151" i="1"/>
  <c r="AA153" i="1"/>
  <c r="AA157" i="1"/>
  <c r="AA163" i="1"/>
  <c r="AA165" i="1"/>
  <c r="AA167" i="1"/>
  <c r="AA169" i="1"/>
  <c r="AA121" i="1"/>
  <c r="AA133" i="1"/>
  <c r="AA137" i="1"/>
  <c r="AA139" i="1"/>
  <c r="AA141" i="1"/>
  <c r="AA143" i="1"/>
  <c r="AA128" i="1"/>
  <c r="AA130" i="1"/>
  <c r="AA136" i="1"/>
  <c r="AA138" i="1"/>
  <c r="AA142" i="1"/>
  <c r="AA144" i="1"/>
  <c r="AA146" i="1"/>
  <c r="AA26" i="1"/>
  <c r="AA80" i="1"/>
  <c r="AA102" i="1"/>
  <c r="AA104" i="1"/>
  <c r="AA112" i="1"/>
  <c r="AA114" i="1"/>
  <c r="AA118" i="1"/>
  <c r="AA120" i="1"/>
  <c r="AA176" i="1"/>
  <c r="AA150" i="1"/>
  <c r="AA152" i="1"/>
  <c r="AA154" i="1"/>
  <c r="AA158" i="1"/>
  <c r="AA160" i="1"/>
  <c r="AA162" i="1"/>
  <c r="AA166" i="1"/>
  <c r="AA168" i="1"/>
  <c r="AA170" i="1"/>
  <c r="AA174" i="1"/>
  <c r="AA178" i="1"/>
  <c r="AA182" i="1"/>
  <c r="AA184" i="1"/>
  <c r="AA186" i="1"/>
  <c r="AA188" i="1"/>
  <c r="AA190" i="1"/>
  <c r="AA192" i="1"/>
  <c r="AA194" i="1"/>
  <c r="AA198" i="1"/>
  <c r="AA200" i="1"/>
  <c r="AA202" i="1"/>
  <c r="AA204" i="1"/>
  <c r="AA206" i="1"/>
  <c r="AA208" i="1"/>
  <c r="AA210" i="1"/>
  <c r="AA214" i="1"/>
  <c r="AA216" i="1"/>
  <c r="AA218" i="1"/>
  <c r="AA220" i="1"/>
  <c r="AA222" i="1"/>
  <c r="AA224" i="1"/>
  <c r="AA226" i="1"/>
  <c r="AA230" i="1"/>
  <c r="AA232" i="1"/>
  <c r="AA234" i="1"/>
  <c r="AA123" i="1"/>
  <c r="AA75" i="1"/>
  <c r="AA89" i="1"/>
  <c r="AA107" i="1"/>
  <c r="AA113" i="1"/>
  <c r="AA148" i="1"/>
  <c r="AA156" i="1"/>
  <c r="AA164" i="1"/>
  <c r="AA172" i="1"/>
  <c r="AA180" i="1"/>
  <c r="AA30" i="1"/>
  <c r="AA32" i="1"/>
  <c r="AA36" i="1"/>
  <c r="AA38" i="1"/>
  <c r="AA40" i="1"/>
  <c r="AA42" i="1"/>
  <c r="AA44" i="1"/>
  <c r="AB44" i="1" s="1"/>
  <c r="AA46" i="1"/>
  <c r="AA48" i="1"/>
  <c r="AA50" i="1"/>
  <c r="AA52" i="1"/>
  <c r="AA54" i="1"/>
  <c r="AA56" i="1"/>
  <c r="AA58" i="1"/>
  <c r="AA60" i="1"/>
  <c r="AA62" i="1"/>
  <c r="AA64" i="1"/>
  <c r="AA66" i="1"/>
  <c r="AA68" i="1"/>
  <c r="AA70" i="1"/>
  <c r="AA72" i="1"/>
  <c r="AA74" i="1"/>
  <c r="AA84" i="1"/>
  <c r="AA86" i="1"/>
  <c r="AA88" i="1"/>
  <c r="AA90" i="1"/>
  <c r="AA96" i="1"/>
  <c r="AA98" i="1"/>
  <c r="AA106" i="1"/>
  <c r="AA108" i="1"/>
  <c r="AA110" i="1"/>
  <c r="AA116" i="1"/>
  <c r="AA122" i="1"/>
  <c r="AA124" i="1"/>
  <c r="AA126" i="1"/>
  <c r="AA132" i="1"/>
  <c r="AA140" i="1"/>
  <c r="AA93" i="1"/>
  <c r="AA76" i="1"/>
  <c r="AA78" i="1"/>
  <c r="AA82" i="1"/>
  <c r="AA92" i="1"/>
  <c r="AA94" i="1"/>
  <c r="AA91" i="1"/>
  <c r="AA95" i="1"/>
  <c r="AA97" i="1"/>
  <c r="AA99" i="1"/>
  <c r="AA101" i="1"/>
  <c r="AA103" i="1"/>
  <c r="AA105" i="1"/>
  <c r="AA109" i="1"/>
  <c r="AA111" i="1"/>
  <c r="AA117" i="1"/>
  <c r="AA29" i="1"/>
  <c r="AA31" i="1"/>
  <c r="AA37" i="1"/>
  <c r="AA39" i="1"/>
  <c r="AA41" i="1"/>
  <c r="AA43" i="1"/>
  <c r="AA45" i="1"/>
  <c r="AA47" i="1"/>
  <c r="AA49" i="1"/>
  <c r="AA51" i="1"/>
  <c r="AA53" i="1"/>
  <c r="AA55" i="1"/>
  <c r="AA57" i="1"/>
  <c r="AA59" i="1"/>
  <c r="AA61" i="1"/>
  <c r="AA63" i="1"/>
  <c r="AA65" i="1"/>
  <c r="AB65" i="1" s="1"/>
  <c r="AA67" i="1"/>
  <c r="AA69" i="1"/>
  <c r="AA71" i="1"/>
  <c r="AA73" i="1"/>
  <c r="AA77" i="1"/>
  <c r="AA79" i="1"/>
  <c r="AA81" i="1"/>
  <c r="AA83" i="1"/>
  <c r="AB83" i="1" s="1"/>
  <c r="AA85" i="1"/>
  <c r="AA87" i="1"/>
  <c r="AA119" i="1"/>
  <c r="AA127" i="1"/>
  <c r="AA129" i="1"/>
  <c r="AA175" i="1"/>
  <c r="AB175" i="1" s="1"/>
  <c r="AA134" i="1"/>
  <c r="AB134" i="1" s="1"/>
  <c r="X237" i="1"/>
  <c r="L8" i="2" s="1"/>
  <c r="AA237" i="1"/>
  <c r="AB237" i="1" s="1"/>
  <c r="AA203" i="1"/>
  <c r="AB203" i="1" s="1"/>
  <c r="AA155" i="1"/>
  <c r="AB155" i="1" s="1"/>
  <c r="AA115" i="1"/>
  <c r="AB115" i="1" s="1"/>
  <c r="AA217" i="1"/>
  <c r="AB217" i="1" s="1"/>
  <c r="AA24" i="1"/>
  <c r="AA34" i="1"/>
  <c r="AA23" i="1"/>
  <c r="AA20" i="1"/>
  <c r="AA19" i="1"/>
  <c r="AA25" i="1"/>
  <c r="AA22" i="1"/>
  <c r="AA16" i="1"/>
  <c r="AA18" i="1"/>
  <c r="AA17" i="1"/>
  <c r="AA15" i="1"/>
  <c r="AA14" i="1"/>
  <c r="AA13" i="1"/>
  <c r="AA12" i="1"/>
  <c r="AA11" i="1"/>
  <c r="AA10" i="1"/>
  <c r="AA9" i="1"/>
  <c r="X217" i="1"/>
  <c r="L12" i="2" s="1"/>
  <c r="X175" i="1"/>
  <c r="L7" i="2" s="1"/>
  <c r="X100" i="1"/>
  <c r="L19" i="2" s="1"/>
  <c r="X203" i="1"/>
  <c r="L16" i="2" s="1"/>
  <c r="X134" i="1"/>
  <c r="L14" i="2" s="1"/>
  <c r="AA100" i="1"/>
  <c r="AB100" i="1" s="1"/>
  <c r="X187" i="1"/>
  <c r="L17" i="2" s="1"/>
  <c r="X44" i="1"/>
  <c r="L13" i="2" s="1"/>
  <c r="X155" i="1"/>
  <c r="L6" i="2" s="1"/>
  <c r="X65" i="1"/>
  <c r="L18" i="2" s="1"/>
  <c r="X115" i="1"/>
  <c r="L11" i="2" s="1"/>
  <c r="X83" i="1"/>
  <c r="L9" i="2" s="1"/>
  <c r="AA27" i="1"/>
  <c r="AB27" i="1" s="1"/>
  <c r="AA28" i="1"/>
  <c r="AA21" i="1"/>
  <c r="AA8" i="1"/>
  <c r="AB8" i="1" s="1"/>
  <c r="AB258" i="1" s="1"/>
  <c r="AA35" i="1"/>
  <c r="X8" i="1"/>
  <c r="L15" i="2" s="1"/>
  <c r="AA33" i="1"/>
  <c r="X27" i="1"/>
  <c r="L10" i="2" s="1"/>
  <c r="X257" i="1"/>
  <c r="L20" i="2" s="1"/>
  <c r="AA257" i="1"/>
  <c r="O9" i="2" l="1"/>
  <c r="T258" i="1"/>
  <c r="W258" i="1"/>
  <c r="O258" i="1"/>
  <c r="R258" i="1"/>
  <c r="U258" i="1"/>
  <c r="S258" i="1"/>
  <c r="O19" i="2"/>
  <c r="P258" i="1"/>
  <c r="O13" i="2"/>
  <c r="O16" i="2"/>
  <c r="O12" i="2"/>
  <c r="O10" i="2"/>
  <c r="O17" i="2"/>
  <c r="O20" i="2"/>
  <c r="O8" i="2"/>
  <c r="O18" i="2"/>
  <c r="F21" i="2"/>
  <c r="O6" i="2"/>
  <c r="K21" i="2"/>
  <c r="J21" i="2"/>
  <c r="O11" i="2"/>
  <c r="O7" i="2"/>
  <c r="V258" i="1"/>
  <c r="I15" i="2"/>
  <c r="I21" i="2" s="1"/>
  <c r="H15" i="2"/>
  <c r="H21" i="2" s="1"/>
  <c r="G15" i="2"/>
  <c r="D18" i="2"/>
  <c r="D21" i="2" s="1"/>
  <c r="C13" i="2"/>
  <c r="C21" i="2" s="1"/>
  <c r="Q258" i="1"/>
  <c r="O14" i="2"/>
  <c r="AA258" i="1"/>
  <c r="E21" i="2"/>
  <c r="L21" i="2"/>
  <c r="X258" i="1"/>
  <c r="O15" i="2" l="1"/>
  <c r="O21" i="2" s="1"/>
  <c r="G21" i="2"/>
</calcChain>
</file>

<file path=xl/sharedStrings.xml><?xml version="1.0" encoding="utf-8"?>
<sst xmlns="http://schemas.openxmlformats.org/spreadsheetml/2006/main" count="6932" uniqueCount="1938">
  <si>
    <t>KARANGTENGAH</t>
  </si>
  <si>
    <t>NO</t>
  </si>
  <si>
    <t>KECAMATAN</t>
  </si>
  <si>
    <t xml:space="preserve"> DESA</t>
  </si>
  <si>
    <t>Mranggen</t>
  </si>
  <si>
    <t>Mranggen I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</si>
  <si>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</si>
  <si>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</si>
  <si>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</si>
  <si>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</si>
  <si>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</si>
  <si>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</si>
  <si>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</si>
  <si>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</si>
  <si>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</si>
  <si>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</si>
  <si>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</si>
  <si>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</si>
  <si>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</si>
  <si>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</si>
  <si>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Mranggen III</t>
  </si>
  <si>
    <t>By.meneng</t>
  </si>
  <si>
    <t>Kebonbatur</t>
  </si>
  <si>
    <t>Batursari</t>
  </si>
  <si>
    <t>Karangtengah</t>
  </si>
  <si>
    <t>Wonowoso</t>
  </si>
  <si>
    <t>Sampang</t>
  </si>
  <si>
    <t>Pulosari</t>
  </si>
  <si>
    <t>Rejosari</t>
  </si>
  <si>
    <t>Ploso</t>
  </si>
  <si>
    <t>Wonokerto</t>
  </si>
  <si>
    <t>Batu</t>
  </si>
  <si>
    <t>Donorejo</t>
  </si>
  <si>
    <t>Wonoagung</t>
  </si>
  <si>
    <t>Klitih</t>
  </si>
  <si>
    <t>Grogol</t>
  </si>
  <si>
    <t>Pidodo</t>
  </si>
  <si>
    <t>Dukun</t>
  </si>
  <si>
    <t>Wonosalam</t>
  </si>
  <si>
    <t>Wonosalam I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</si>
  <si>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</si>
  <si>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</si>
  <si>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</si>
  <si>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</si>
  <si>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</si>
  <si>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</si>
  <si>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</si>
  <si>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</si>
  <si>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</si>
  <si>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</si>
  <si>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</si>
  <si>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</si>
  <si>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Kalianyar</t>
  </si>
  <si>
    <t>Tlogorejo</t>
  </si>
  <si>
    <t>Tlogodowo</t>
  </si>
  <si>
    <t>Lempuyang</t>
  </si>
  <si>
    <t>Karangrejo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</si>
  <si>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</si>
  <si>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</si>
  <si>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</si>
  <si>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</si>
  <si>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</si>
  <si>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</si>
  <si>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</si>
  <si>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</si>
  <si>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</si>
  <si>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</si>
  <si>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</si>
  <si>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</si>
  <si>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</si>
  <si>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</si>
  <si>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</si>
  <si>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</si>
  <si>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</si>
  <si>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</si>
  <si>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</si>
  <si>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</si>
  <si>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</si>
  <si>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</si>
  <si>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</si>
  <si>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</si>
  <si>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</t>
  </si>
  <si>
    <t>Tuang</t>
  </si>
  <si>
    <t>Wonorejo</t>
  </si>
  <si>
    <t>Ngaluran</t>
  </si>
  <si>
    <t>Kd waru Kdl</t>
  </si>
  <si>
    <t>Kd waru Lor</t>
  </si>
  <si>
    <t>Tugu Lor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</si>
  <si>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</si>
  <si>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</si>
  <si>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</si>
  <si>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</si>
  <si>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</si>
  <si>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</si>
  <si>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</si>
  <si>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</si>
  <si>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</si>
  <si>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</si>
  <si>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</si>
  <si>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</si>
  <si>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</si>
  <si>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</si>
  <si>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</si>
  <si>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</si>
  <si>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</si>
  <si>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</si>
  <si>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Demak I</t>
  </si>
  <si>
    <t>Betokan</t>
  </si>
  <si>
    <t>Kalicilik</t>
  </si>
  <si>
    <t>Kadilangu</t>
  </si>
  <si>
    <t>Singorejo</t>
  </si>
  <si>
    <t>Karangmlati</t>
  </si>
  <si>
    <t>Bintoro</t>
  </si>
  <si>
    <t>Demak II</t>
  </si>
  <si>
    <t>Turirejo</t>
  </si>
  <si>
    <t>Bango</t>
  </si>
  <si>
    <t>Raji</t>
  </si>
  <si>
    <t>Mulyorejo</t>
  </si>
  <si>
    <t>Sedo</t>
  </si>
  <si>
    <t>Bolo</t>
  </si>
  <si>
    <t>Demak III</t>
  </si>
  <si>
    <t>Katonsari</t>
  </si>
  <si>
    <t>Kalikondang</t>
  </si>
  <si>
    <t>Cabean</t>
  </si>
  <si>
    <t>Tempuran</t>
  </si>
  <si>
    <t>Donorojo</t>
  </si>
  <si>
    <t>Mangunjiwan</t>
  </si>
  <si>
    <t>Bonang</t>
  </si>
  <si>
    <t>Bonang I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</si>
  <si>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</si>
  <si>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</si>
  <si>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</si>
  <si>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</si>
  <si>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</si>
  <si>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</si>
  <si>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</si>
  <si>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</si>
  <si>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</si>
  <si>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Bonang II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</si>
  <si>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</si>
  <si>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</si>
  <si>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</si>
  <si>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</si>
  <si>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</si>
  <si>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</si>
  <si>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</si>
  <si>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</si>
  <si>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</si>
  <si>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</si>
  <si>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</si>
  <si>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Guntur I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</si>
  <si>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</si>
  <si>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</si>
  <si>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</si>
  <si>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</si>
  <si>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</si>
  <si>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</si>
  <si>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</si>
  <si>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</si>
  <si>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</si>
  <si>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</si>
  <si>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</si>
  <si>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</si>
  <si>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</si>
  <si>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</si>
  <si>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</si>
  <si>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</si>
  <si>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</si>
  <si>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</si>
  <si>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Kr awen</t>
  </si>
  <si>
    <t>Bumirejo</t>
  </si>
  <si>
    <t>Pundenarum</t>
  </si>
  <si>
    <t>Kuripan</t>
  </si>
  <si>
    <t>Brambang</t>
  </si>
  <si>
    <t>Karangawen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</si>
  <si>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</si>
  <si>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</si>
  <si>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</si>
  <si>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</si>
  <si>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</si>
  <si>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</si>
  <si>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</si>
  <si>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</si>
  <si>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</si>
  <si>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</si>
  <si>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</si>
  <si>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</si>
  <si>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</si>
  <si>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</si>
  <si>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</si>
  <si>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</si>
  <si>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Kedongori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</si>
  <si>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</si>
  <si>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</si>
  <si>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</si>
  <si>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</si>
  <si>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</si>
  <si>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</si>
  <si>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</si>
  <si>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</si>
  <si>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</si>
  <si>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</si>
  <si>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</si>
  <si>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</si>
  <si>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</si>
  <si>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</si>
  <si>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</si>
  <si>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</si>
  <si>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Sayung I</t>
  </si>
  <si>
    <t>Bedono</t>
  </si>
  <si>
    <t>Gemulak</t>
  </si>
  <si>
    <t>Sriwulan</t>
  </si>
  <si>
    <t>Tugu</t>
  </si>
  <si>
    <t>Purwosari</t>
  </si>
  <si>
    <t>Timbulsloko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</si>
  <si>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</si>
  <si>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</si>
  <si>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</si>
  <si>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</si>
  <si>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</si>
  <si>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</si>
  <si>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</si>
  <si>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</si>
  <si>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</si>
  <si>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</si>
  <si>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</si>
  <si>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</si>
  <si>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Wedung I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</si>
  <si>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</si>
  <si>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</si>
  <si>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</si>
  <si>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</si>
  <si>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</si>
  <si>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</si>
  <si>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</si>
  <si>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</si>
  <si>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</si>
  <si>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Wedung II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</si>
  <si>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</si>
  <si>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</si>
  <si>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</si>
  <si>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</si>
  <si>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</si>
  <si>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</si>
  <si>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</si>
  <si>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</si>
  <si>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JUMLAH</t>
  </si>
  <si>
    <t>DATA DESA ENDEMIS /SPORADIS DBD</t>
  </si>
  <si>
    <t>DESA</t>
  </si>
  <si>
    <t>WILAYAH PUSKESMAS</t>
  </si>
  <si>
    <t>1</t>
  </si>
  <si>
    <t xml:space="preserve">Kembangarum </t>
  </si>
  <si>
    <t>2</t>
  </si>
  <si>
    <t>3</t>
  </si>
  <si>
    <t>4</t>
  </si>
  <si>
    <t>Karangsari</t>
  </si>
  <si>
    <t>5</t>
  </si>
  <si>
    <t>Tambakbulusan</t>
  </si>
  <si>
    <t>6</t>
  </si>
  <si>
    <t>7</t>
  </si>
  <si>
    <t>8</t>
  </si>
  <si>
    <t>9</t>
  </si>
  <si>
    <t>10</t>
  </si>
  <si>
    <t>11</t>
  </si>
  <si>
    <t>12</t>
  </si>
  <si>
    <t>13</t>
  </si>
  <si>
    <t>Karanganyar I</t>
  </si>
  <si>
    <t>14</t>
  </si>
  <si>
    <t>15</t>
  </si>
  <si>
    <t>Tuwang</t>
  </si>
  <si>
    <t>16</t>
  </si>
  <si>
    <t>17</t>
  </si>
  <si>
    <t>Karanganyar II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</si>
  <si>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</si>
  <si>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</si>
  <si>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</si>
  <si>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</si>
  <si>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</si>
  <si>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</si>
  <si>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</si>
  <si>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</si>
  <si>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</si>
  <si>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Karangawen I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</si>
  <si>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</si>
  <si>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</si>
  <si>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</si>
  <si>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</si>
  <si>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</si>
  <si>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</si>
  <si>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</si>
  <si>
    <t>PDP</t>
  </si>
  <si>
    <t>ODP</t>
  </si>
  <si>
    <t>Karangrowo</t>
  </si>
  <si>
    <t>Kendaldoyong</t>
  </si>
  <si>
    <t>Kedunguter</t>
  </si>
  <si>
    <t>Karangtowo</t>
  </si>
  <si>
    <t>KedungMutih</t>
  </si>
  <si>
    <t>Kedungkarang</t>
  </si>
  <si>
    <t>Cangkring Rembang</t>
  </si>
  <si>
    <t>Ngemplik Wetan</t>
  </si>
  <si>
    <t xml:space="preserve">MRANGGEN </t>
  </si>
  <si>
    <t>KARANGAWEN</t>
  </si>
  <si>
    <t>DEMAK</t>
  </si>
  <si>
    <t>GUNTUR</t>
  </si>
  <si>
    <t>SAYUNG</t>
  </si>
  <si>
    <t>WONOSALAM</t>
  </si>
  <si>
    <t>KEBONAGUNG</t>
  </si>
  <si>
    <t>DEMPET</t>
  </si>
  <si>
    <t>GAJAH</t>
  </si>
  <si>
    <t>MIJEN</t>
  </si>
  <si>
    <t>KARANGANYAR</t>
  </si>
  <si>
    <t>BONANG</t>
  </si>
  <si>
    <t>WEDUNG</t>
  </si>
  <si>
    <t>TOTAL</t>
  </si>
  <si>
    <t>LUAR WILAYAH</t>
  </si>
  <si>
    <t>Kotakan</t>
  </si>
  <si>
    <t>MENINGGAL</t>
  </si>
  <si>
    <t>KONFIRMASI  YANG DI RAWAT DI DEMAK</t>
  </si>
  <si>
    <t>TGL :</t>
  </si>
  <si>
    <t>,</t>
  </si>
  <si>
    <t>OTG</t>
  </si>
  <si>
    <t>SEMBUH LUAR DAERAH</t>
  </si>
  <si>
    <t>SEMBUH DALAM DAERAH</t>
  </si>
  <si>
    <t>No.</t>
  </si>
  <si>
    <t>TGL UPDATE</t>
  </si>
  <si>
    <t>TANGGAL PELAPORAN</t>
  </si>
  <si>
    <t>PROV</t>
  </si>
  <si>
    <t>KAB/ KOTA DOMISILI</t>
  </si>
  <si>
    <t>NAMA KASUS</t>
  </si>
  <si>
    <t>SEX</t>
  </si>
  <si>
    <t>USIA (TH)</t>
  </si>
  <si>
    <t>NO. TLP</t>
  </si>
  <si>
    <t>PEKERJAAN</t>
  </si>
  <si>
    <t xml:space="preserve"> PETUGAS KESEHATAN (Y/T)</t>
  </si>
  <si>
    <t>RIWAYAT KONTAK / PERJALANAN DARI DAERAH TERJANGKIT</t>
  </si>
  <si>
    <t>WARGA NEGARA</t>
  </si>
  <si>
    <t>TEMPAT TINGGAL DI INDONESIA</t>
  </si>
  <si>
    <t>RAWAT RS (Y/T)</t>
  </si>
  <si>
    <t>NAMA RS</t>
  </si>
  <si>
    <t>TANGGAL RAWAT DI RS</t>
  </si>
  <si>
    <t>KET</t>
  </si>
  <si>
    <t xml:space="preserve">SWAB DIAGNOSA </t>
  </si>
  <si>
    <t>SWAB EVALUASI PENGOBATAN</t>
  </si>
  <si>
    <t>KONDISI</t>
  </si>
  <si>
    <t>KELUHAN</t>
  </si>
  <si>
    <t>TGL MUNCUL GEJALA</t>
  </si>
  <si>
    <t>POSITIF</t>
  </si>
  <si>
    <t>POSISI SEKARANG</t>
  </si>
  <si>
    <t>TGL &amp; HASIL</t>
  </si>
  <si>
    <t>PERTAMA  &amp; HASIL</t>
  </si>
  <si>
    <t>KEDUA &amp; HASIL</t>
  </si>
  <si>
    <t>KETIGA &amp; HASIL</t>
  </si>
  <si>
    <t>HASIL SWAB TERAKHIR</t>
  </si>
  <si>
    <t xml:space="preserve">Jateng </t>
  </si>
  <si>
    <t>SUMASNI</t>
  </si>
  <si>
    <t>P</t>
  </si>
  <si>
    <t>T</t>
  </si>
  <si>
    <t>WNI</t>
  </si>
  <si>
    <t>tegalsari 2/6 rejosari</t>
  </si>
  <si>
    <t>rejosari</t>
  </si>
  <si>
    <t>karangtengah</t>
  </si>
  <si>
    <t>YA</t>
  </si>
  <si>
    <t>RUANG ISOLASI Poned RSUD  SUKA DEMAK</t>
  </si>
  <si>
    <t>COVID Dirawat</t>
  </si>
  <si>
    <t>06/06/2020 Positif</t>
  </si>
  <si>
    <t>DIRAWAT DIDEMAK</t>
  </si>
  <si>
    <t>ULUL KHIKMAH</t>
  </si>
  <si>
    <t>082328217145</t>
  </si>
  <si>
    <t>Tanjunganyar 6/4 gajah</t>
  </si>
  <si>
    <t>RSUD SUKA  Demak</t>
  </si>
  <si>
    <t>covid dirawat</t>
  </si>
  <si>
    <t>masuk RS 08/06/2020</t>
  </si>
  <si>
    <t>POSITIF 12/06/2020</t>
  </si>
  <si>
    <t xml:space="preserve">rujukan dari RS Aisyah kudus </t>
  </si>
  <si>
    <t>MAS'UT</t>
  </si>
  <si>
    <t>082221576065</t>
  </si>
  <si>
    <t>bulusari 4/2 sayung</t>
  </si>
  <si>
    <t>bulusari</t>
  </si>
  <si>
    <t>COVID DIRAWAT</t>
  </si>
  <si>
    <t>masuk RS 06/06/2020</t>
  </si>
  <si>
    <t>Panas 3 hr, lemes, pusing</t>
  </si>
  <si>
    <t>HASIL SWAB 09/06/2020</t>
  </si>
  <si>
    <t>MARYAMAH</t>
  </si>
  <si>
    <t>08970501229</t>
  </si>
  <si>
    <t>Mranggen 1/3</t>
  </si>
  <si>
    <t>MRANGGEN</t>
  </si>
  <si>
    <t>lemas, sesak nafas, batuk</t>
  </si>
  <si>
    <t>SHOLEKAH</t>
  </si>
  <si>
    <t>081225151651</t>
  </si>
  <si>
    <t>Wedung 3/10</t>
  </si>
  <si>
    <t>demam 3 hr, batuk, pilek</t>
  </si>
  <si>
    <t>SULASMI</t>
  </si>
  <si>
    <t>Karangsari RT 03 RW 01</t>
  </si>
  <si>
    <t>masuk RS 30/05/2020</t>
  </si>
  <si>
    <t>batuk, pilek, nyeri tenggorokan</t>
  </si>
  <si>
    <t>SITI AMINI</t>
  </si>
  <si>
    <t>RT 03 RW 05 GAJAH</t>
  </si>
  <si>
    <t>EMI SURYANTI</t>
  </si>
  <si>
    <t>Wonowoso 1/5 Karangtengah</t>
  </si>
  <si>
    <t>masuk RS 31/05/2020</t>
  </si>
  <si>
    <t>Panas 4 hr, mual, muntah</t>
  </si>
  <si>
    <t>SUPARNI</t>
  </si>
  <si>
    <t>-</t>
  </si>
  <si>
    <t>Kauman 6/1 Bintoro demak</t>
  </si>
  <si>
    <t>13/06/2020 POSITIF</t>
  </si>
  <si>
    <t>demam 4 hr, batuk pilek 2 hr</t>
  </si>
  <si>
    <t>KASTURAH</t>
  </si>
  <si>
    <t xml:space="preserve">Kedungmutih 5/3 Wedung </t>
  </si>
  <si>
    <t>Kedungmutih</t>
  </si>
  <si>
    <t>RSUD  SUKA DEMAK</t>
  </si>
  <si>
    <t>9 juni 2020</t>
  </si>
  <si>
    <t>Demam 2 hr, perut sakit</t>
  </si>
  <si>
    <t>MUHAMMAD HASYIM SYAFII</t>
  </si>
  <si>
    <t>L</t>
  </si>
  <si>
    <t>Jetak 3/6 Wedung Demak</t>
  </si>
  <si>
    <t>sesak, meriang 1 mgg</t>
  </si>
  <si>
    <t>ROHAYATUN</t>
  </si>
  <si>
    <t>Ruwit 2/5 wedung</t>
  </si>
  <si>
    <t>masuk RS 07/06/2020</t>
  </si>
  <si>
    <t>G3 P2 A0, hamil 21 mgg, muntah darah 3 hr, batuk</t>
  </si>
  <si>
    <t>MUHAMAD LAMIK UBAIDILLAH</t>
  </si>
  <si>
    <t>081225786521</t>
  </si>
  <si>
    <t xml:space="preserve">Purworejo 4/5 </t>
  </si>
  <si>
    <t>panas, sesak nafas, Pilek 3 hr, batuk</t>
  </si>
  <si>
    <t>NINIK MARYATUN</t>
  </si>
  <si>
    <t>0812-2952-2324</t>
  </si>
  <si>
    <t xml:space="preserve">Blerong 2/4 Guntur </t>
  </si>
  <si>
    <t>Batuk, demam, lemah</t>
  </si>
  <si>
    <t>jateng</t>
  </si>
  <si>
    <t>demak</t>
  </si>
  <si>
    <t>MUZDHALIFAH</t>
  </si>
  <si>
    <t>0813-2578-9747</t>
  </si>
  <si>
    <t>Mlaten 1/4 mijen</t>
  </si>
  <si>
    <t>MLATEN</t>
  </si>
  <si>
    <t>covid dirawat di demak</t>
  </si>
  <si>
    <t>Sesak nafas, batuk, panas 2 hr</t>
  </si>
  <si>
    <t>AHMAD ZUFAN AMRI</t>
  </si>
  <si>
    <t>Kauman 6/1 Bintoro</t>
  </si>
  <si>
    <t>BINTORO</t>
  </si>
  <si>
    <t>sesak nafas</t>
  </si>
  <si>
    <t>HERI SUNGKONO</t>
  </si>
  <si>
    <t>RSS A.11 1/7 Mangunjiwan</t>
  </si>
  <si>
    <t>ISTIADZAH</t>
  </si>
  <si>
    <t>Betahwalang 1/4 Bonang</t>
  </si>
  <si>
    <t>KARIMAH</t>
  </si>
  <si>
    <t>0852-8042-6645</t>
  </si>
  <si>
    <t>batu 3/1 Karangtengah</t>
  </si>
  <si>
    <t>KHOIRUDIN</t>
  </si>
  <si>
    <t>085291956755</t>
  </si>
  <si>
    <t>TEMPEL 4/1 BALEREJO</t>
  </si>
  <si>
    <t>Masuk RS 13/06/2020</t>
  </si>
  <si>
    <t>PUSING</t>
  </si>
  <si>
    <t>NUR LAELA SETYANI</t>
  </si>
  <si>
    <t>PAIJAN</t>
  </si>
  <si>
    <t>0813-2677-2724</t>
  </si>
  <si>
    <t>Pulosari 2/2  Karangtengah</t>
  </si>
  <si>
    <t>SITI BADRIYAH</t>
  </si>
  <si>
    <t>GRIYA BAKTI PRAJA BLOK B6 MANGUNJIWAN</t>
  </si>
  <si>
    <t>Masuk RS 14/06/2020</t>
  </si>
  <si>
    <t>Sesak. RUJUKAN dari NU dengan Pneumonia</t>
  </si>
  <si>
    <t>SUKINI</t>
  </si>
  <si>
    <t>Rejosari Rt 01 Rw 02 Karangtengah Demak</t>
  </si>
  <si>
    <t>REJOSARI</t>
  </si>
  <si>
    <t>Masuk 17/06/2020</t>
  </si>
  <si>
    <t>Lemah,demam, Hipertensi, Sesak Napas</t>
  </si>
  <si>
    <t>ZAKIYAH ALMISKIYAH</t>
  </si>
  <si>
    <t>0813257575511</t>
  </si>
  <si>
    <t>BOGOSARI 04/03</t>
  </si>
  <si>
    <t>BOGOSARI</t>
  </si>
  <si>
    <t xml:space="preserve">PANAS PASIEN HAMIL 15 MINGGU G2 P1 A0 </t>
  </si>
  <si>
    <t>SUDOMO</t>
  </si>
  <si>
    <t>0813-2603-8588</t>
  </si>
  <si>
    <t>RT03/RW3 GAJAH</t>
  </si>
  <si>
    <t>RSUD Sunan Kalijaga Demak</t>
  </si>
  <si>
    <t>2020-06-16</t>
  </si>
  <si>
    <t>SUJIWATI</t>
  </si>
  <si>
    <t>RT 04/ RW 04 Banjarsari</t>
  </si>
  <si>
    <t>BANJARSARI</t>
  </si>
  <si>
    <t>2020-06-17 00:00:00</t>
  </si>
  <si>
    <t>Sakit Kepala</t>
  </si>
  <si>
    <t>SRI UTAMI</t>
  </si>
  <si>
    <t>0857-2769-1068</t>
  </si>
  <si>
    <t>RT 02/ RW 05 botorejo</t>
  </si>
  <si>
    <t>BOTOREJO</t>
  </si>
  <si>
    <t>2020-06-18 00:00:00</t>
  </si>
  <si>
    <t>Sesak Napas</t>
  </si>
  <si>
    <t>MAHFUD</t>
  </si>
  <si>
    <t>0813-9025-2769</t>
  </si>
  <si>
    <t>RT 02/ RW 07Tlogorejo</t>
  </si>
  <si>
    <t>TLOGOREJO</t>
  </si>
  <si>
    <t>SUNARTI</t>
  </si>
  <si>
    <t>0852-5752-8712</t>
  </si>
  <si>
    <t>RT 03/ RW 02 Sampang</t>
  </si>
  <si>
    <t>SAMPANG</t>
  </si>
  <si>
    <t>2020-06-19 00:00:00</t>
  </si>
  <si>
    <t>SRI RAHAYU</t>
  </si>
  <si>
    <t>BRAMBANG 7/2</t>
  </si>
  <si>
    <t>BRAMBANG</t>
  </si>
  <si>
    <t>Batuk, Demam 1 mgg</t>
  </si>
  <si>
    <t>MUZDALIFAH</t>
  </si>
  <si>
    <t>SIDOHARJO 1/2</t>
  </si>
  <si>
    <t>SIDOHARJO</t>
  </si>
  <si>
    <t>FAOZAH</t>
  </si>
  <si>
    <t>0813-2917-1298</t>
  </si>
  <si>
    <t>BATU Rt 2 rw 1 Karangtengah</t>
  </si>
  <si>
    <t>BATU</t>
  </si>
  <si>
    <t>RS Islam NU Demak</t>
  </si>
  <si>
    <t>2020-06-21 00:00:00</t>
  </si>
  <si>
    <t>NASIRI</t>
  </si>
  <si>
    <t>0822-2028-1736</t>
  </si>
  <si>
    <t>Rt 10 rw 2</t>
  </si>
  <si>
    <t>KRAMAT</t>
  </si>
  <si>
    <t>MUZAROAH</t>
  </si>
  <si>
    <t>KARANGSARI 1/3</t>
  </si>
  <si>
    <t>KARANGSARI</t>
  </si>
  <si>
    <t xml:space="preserve">KARANGTENGAH </t>
  </si>
  <si>
    <t>Tidak</t>
  </si>
  <si>
    <t>RSU Sultan Agung Semarang</t>
  </si>
  <si>
    <t>COVID RAWAT</t>
  </si>
  <si>
    <t>01/06/2020 POSITIF</t>
  </si>
  <si>
    <t>MASUK 30/05/2020</t>
  </si>
  <si>
    <t>DIRAWAT DILUAR DEMAK</t>
  </si>
  <si>
    <t>RIYANTO, TN</t>
  </si>
  <si>
    <t>BEDONO 2/5</t>
  </si>
  <si>
    <t>BEDONO</t>
  </si>
  <si>
    <t>RS PANTI WILASA CITARUM</t>
  </si>
  <si>
    <t>03/06/2020 POSITIF</t>
  </si>
  <si>
    <t>DARMAN</t>
  </si>
  <si>
    <t>0813-2545-0942</t>
  </si>
  <si>
    <t>LENGKONG RT02/05 DONOREJO</t>
  </si>
  <si>
    <t>DONOREJO</t>
  </si>
  <si>
    <t>RSUD K.R.M.T Wongsonegoro Semarang</t>
  </si>
  <si>
    <t>Covid Dirawat</t>
  </si>
  <si>
    <t>4/6/2020 positif</t>
  </si>
  <si>
    <t>ABDUL AZIZ</t>
  </si>
  <si>
    <t>REJOSARI RT05/01</t>
  </si>
  <si>
    <t>ILYAS BAMBANG SUGITO</t>
  </si>
  <si>
    <t>NGABLAK SARI RT 002 RW 008 sayung</t>
  </si>
  <si>
    <t>sayung</t>
  </si>
  <si>
    <t>RSUP Dr. Kariadi Semarang</t>
  </si>
  <si>
    <t>07/06/2020 Positif</t>
  </si>
  <si>
    <t>Tgl Masuk RS 2020-06-03</t>
  </si>
  <si>
    <t>Demam,Batuk</t>
  </si>
  <si>
    <t>ABDUL QODIR</t>
  </si>
  <si>
    <t>RAYUNGKUSUMAN RT01/06 Mranggen</t>
  </si>
  <si>
    <t>08/06/2020 Positif</t>
  </si>
  <si>
    <t>Tgl Masuk RS 2020-06-06</t>
  </si>
  <si>
    <t>Batuk</t>
  </si>
  <si>
    <t>SUDARMI</t>
  </si>
  <si>
    <t>KYAI ROHMAT RT01/01 MENUR</t>
  </si>
  <si>
    <t>MENUR</t>
  </si>
  <si>
    <t>09/06/2020 Positif</t>
  </si>
  <si>
    <t>Batuk,Demam</t>
  </si>
  <si>
    <t>SUFIATUN, NY</t>
  </si>
  <si>
    <t>GAJAH RT 04/05 KEL. GAJAH, KEC. GAJAH, DEMAK</t>
  </si>
  <si>
    <t>RS Nasional Diponegoro</t>
  </si>
  <si>
    <t>10/06/2020 Positif</t>
  </si>
  <si>
    <t>Tgl Masuk RS 2020-06-07</t>
  </si>
  <si>
    <t>SUYANTO, TN</t>
  </si>
  <si>
    <t>WRINGIN JAJAR RT -8/03 KEL. WRINGIN JAJAR, KEC. MRANGGEN</t>
  </si>
  <si>
    <t>WRINGINJAJAR</t>
  </si>
  <si>
    <t>SUWARDI</t>
  </si>
  <si>
    <t>0813-9184-4639</t>
  </si>
  <si>
    <t>NGALURAN 6/2 KARANGANYAR DEMAK</t>
  </si>
  <si>
    <t>NGALURAN</t>
  </si>
  <si>
    <t>RSUD Loekmono Hadi Kudus</t>
  </si>
  <si>
    <t>2020-06-07</t>
  </si>
  <si>
    <t>Sakit Tenggorokan,Batuk,Pilek</t>
  </si>
  <si>
    <t>ANDHI SUTARWANTO</t>
  </si>
  <si>
    <t>0000-0000-000</t>
  </si>
  <si>
    <t>Y</t>
  </si>
  <si>
    <t>BANJARSARI 1/5 GAJAH DEMAK</t>
  </si>
  <si>
    <t>2020-06-06</t>
  </si>
  <si>
    <t>CHALIMAH</t>
  </si>
  <si>
    <t>0821-3512-8648</t>
  </si>
  <si>
    <t>SANDANGAN RT 01/03 WONOSALAM DEMAK</t>
  </si>
  <si>
    <t>COVID APS</t>
  </si>
  <si>
    <t>Demam</t>
  </si>
  <si>
    <t>JUMA'IYAH</t>
  </si>
  <si>
    <t>0812-2784-4839</t>
  </si>
  <si>
    <t>RT 004 RW 002 medini</t>
  </si>
  <si>
    <t>medini</t>
  </si>
  <si>
    <t>RSU Mardi Rahayu Kudus</t>
  </si>
  <si>
    <t>2020-06-05</t>
  </si>
  <si>
    <t>Mual,Demam,Batuk,Sakit Perut,Lain - Lain</t>
  </si>
  <si>
    <t>SUBADI</t>
  </si>
  <si>
    <t>0822-2611-4066</t>
  </si>
  <si>
    <t>GAJAH 2/4 DEMAK</t>
  </si>
  <si>
    <t>2020-06-08</t>
  </si>
  <si>
    <t>Batuk,Sesak Napas</t>
  </si>
  <si>
    <t>YULI SUGIHARTI</t>
  </si>
  <si>
    <t>0813-8349-4033</t>
  </si>
  <si>
    <t>MONDOKERTO RT05/03 GUNTUR</t>
  </si>
  <si>
    <t>2020-06-09</t>
  </si>
  <si>
    <t>Lain - Lain</t>
  </si>
  <si>
    <t>SUDARWATI</t>
  </si>
  <si>
    <t>0822-1763-5162</t>
  </si>
  <si>
    <t>KUWU 5/1 DEMPET</t>
  </si>
  <si>
    <t>KUWU</t>
  </si>
  <si>
    <t>2020-06-12</t>
  </si>
  <si>
    <t>M. ZUHRI</t>
  </si>
  <si>
    <t>0812-2953-7707</t>
  </si>
  <si>
    <t>JL KH ABURROHMAN RT04/01 menur</t>
  </si>
  <si>
    <t>menur</t>
  </si>
  <si>
    <t>Lemas</t>
  </si>
  <si>
    <t>NASRUDIN</t>
  </si>
  <si>
    <t>0857-1252-9272</t>
  </si>
  <si>
    <t xml:space="preserve"> REJOSARI 4/10</t>
  </si>
  <si>
    <t>RS PKU Muhammadiyah Gubug</t>
  </si>
  <si>
    <t>COVID ISOLASI MANDIRI</t>
  </si>
  <si>
    <t>15 juni 2020</t>
  </si>
  <si>
    <t>SRI WAHYUNI</t>
  </si>
  <si>
    <t>BATUR SARI KAYON RT03/01</t>
  </si>
  <si>
    <t>BATURSARI</t>
  </si>
  <si>
    <t>Diabetes Melitus,Hipertensi</t>
  </si>
  <si>
    <t>Tekanan Darah Tinggi</t>
  </si>
  <si>
    <t>Batuk,Demam,Lemas,Sesak Napas,Mual</t>
  </si>
  <si>
    <t>NUR SALIM</t>
  </si>
  <si>
    <t>0812-8149-3317</t>
  </si>
  <si>
    <t>BETAHWALANG 1/4 BONANG</t>
  </si>
  <si>
    <t>BETAHWALANG</t>
  </si>
  <si>
    <t>Masuk RS 12/06/2020</t>
  </si>
  <si>
    <t>covid dirawat di luar</t>
  </si>
  <si>
    <t>di rujuk RSI sulatan Agung Semarang</t>
  </si>
  <si>
    <t>PANAS,BATUK,SESAK,DIARE 5X</t>
  </si>
  <si>
    <t>KHOIRIL WARO</t>
  </si>
  <si>
    <t>0813-2570-5653</t>
  </si>
  <si>
    <t>LOIRENG RT 03/01 SAYUNG DEMAK</t>
  </si>
  <si>
    <t>LOIRENG</t>
  </si>
  <si>
    <t>2020-06-10</t>
  </si>
  <si>
    <t>KASUDAH</t>
  </si>
  <si>
    <t>0812-2565-8225</t>
  </si>
  <si>
    <t>BABALAN 1/1 WEDUNG DEMAK</t>
  </si>
  <si>
    <t>BABALAN</t>
  </si>
  <si>
    <t>RS PKU Muhammadiyah Mayong</t>
  </si>
  <si>
    <t>Sesak Napas,Sakit Tenggorokan,Demam,Sakit Perut</t>
  </si>
  <si>
    <t>BAMBANG SUJATMIKO</t>
  </si>
  <si>
    <t>0821-3262-6204-5</t>
  </si>
  <si>
    <t>PUCANG GEDE RAYA NO 19 RT11/13 batursari</t>
  </si>
  <si>
    <t>2020-06-13</t>
  </si>
  <si>
    <t>Mual,Sakit Kepala,Batuk,Sesak Napas,Demam,Lemas</t>
  </si>
  <si>
    <t>ALI SADIKIN TN</t>
  </si>
  <si>
    <t>0813-2539-0381-</t>
  </si>
  <si>
    <t>ONGGORAWE RT 02/04 LOIRENG SAYUNG DEMAK</t>
  </si>
  <si>
    <t>RS Roemani Muhammadiyah</t>
  </si>
  <si>
    <t>Demam,Mual,Sesak Napas</t>
  </si>
  <si>
    <t>ABDUL WACHID</t>
  </si>
  <si>
    <t>0857-1228-7975</t>
  </si>
  <si>
    <t>Ds. Kangkung Rt. 2 Rw. 1 Kangkung Mranggen</t>
  </si>
  <si>
    <t>KANGKUNG</t>
  </si>
  <si>
    <t>RSU Bhakti Wira Tamtama Semarang</t>
  </si>
  <si>
    <t>2020-06-04</t>
  </si>
  <si>
    <t>CHUMAIDAH</t>
  </si>
  <si>
    <t>0813-9304-6509</t>
  </si>
  <si>
    <t>BABALAN 2/7 WEDUNG DEMAK</t>
  </si>
  <si>
    <t>Sakit Tenggorokan,Pilek,Batuk,Demam</t>
  </si>
  <si>
    <t>2020-06-03</t>
  </si>
  <si>
    <t>PONO</t>
  </si>
  <si>
    <t>JRAGUNG RT02/17</t>
  </si>
  <si>
    <t>JRAGUNG</t>
  </si>
  <si>
    <t>2020-06-15</t>
  </si>
  <si>
    <t>Mual</t>
  </si>
  <si>
    <t>SAROFUDIN</t>
  </si>
  <si>
    <t>0895-3429-2251-0</t>
  </si>
  <si>
    <t>JETAK CILIK RT 03 RW 05 SAYUNG DEMAK / jetaksari</t>
  </si>
  <si>
    <t>JETAKSARI</t>
  </si>
  <si>
    <t>2020-06-14</t>
  </si>
  <si>
    <t>SRI NURJANAH</t>
  </si>
  <si>
    <t>0812-2600-2644</t>
  </si>
  <si>
    <t>DELING RT 05/01 SURODADI SAYUNG DEMAK</t>
  </si>
  <si>
    <t>SURODADI</t>
  </si>
  <si>
    <t>KUSLANI</t>
  </si>
  <si>
    <t>0852-9385-6607</t>
  </si>
  <si>
    <t>karanganyar 6/2 karanganyar</t>
  </si>
  <si>
    <t>2020-06-19</t>
  </si>
  <si>
    <t>SITI MUNZAROH</t>
  </si>
  <si>
    <t>0812-2802-299</t>
  </si>
  <si>
    <t xml:space="preserve"> BOLORT 004 RW 003</t>
  </si>
  <si>
    <t>BOLO</t>
  </si>
  <si>
    <t>Demam,Mual,Batuk</t>
  </si>
  <si>
    <t>SYAFIUDIN</t>
  </si>
  <si>
    <t>0813-2760-7087</t>
  </si>
  <si>
    <t>SUMBEREJO RT02/08</t>
  </si>
  <si>
    <t>SUMBEREJO</t>
  </si>
  <si>
    <t>Sakit Perut,Sesak Napas</t>
  </si>
  <si>
    <t>SITI NGATINAH</t>
  </si>
  <si>
    <t>0852-9318-7171</t>
  </si>
  <si>
    <t>MEDINI RT 004 RW 002</t>
  </si>
  <si>
    <t>MEDINI</t>
  </si>
  <si>
    <t>2020-06-17</t>
  </si>
  <si>
    <t>Sesak Napas,Batuk</t>
  </si>
  <si>
    <t>SITI MUTAHARROHMAH</t>
  </si>
  <si>
    <t>0000-0000-0000</t>
  </si>
  <si>
    <t>KEDUNGMUTIH RT.003 RW.001 WEDUNG</t>
  </si>
  <si>
    <t>KEDUNGMUTIH</t>
  </si>
  <si>
    <t>RSUD Kelet Jepara</t>
  </si>
  <si>
    <t>2020-06-02</t>
  </si>
  <si>
    <t>ROHMATUN</t>
  </si>
  <si>
    <t>0852-4532-5577</t>
  </si>
  <si>
    <t>SARI RT 003 RW 004</t>
  </si>
  <si>
    <t>SARI</t>
  </si>
  <si>
    <t>Lemas,Mual,Demam</t>
  </si>
  <si>
    <t>2020-06-11</t>
  </si>
  <si>
    <t>MUNTHOTIAH</t>
  </si>
  <si>
    <t>0856-4076-7563</t>
  </si>
  <si>
    <t xml:space="preserve"> JETAK RT 001 RW 004</t>
  </si>
  <si>
    <t>JETAK</t>
  </si>
  <si>
    <t>Sesak Napas,Batuk,Lain - Lain</t>
  </si>
  <si>
    <t>MAHARANI PUSPITASARI</t>
  </si>
  <si>
    <t>0857-4362-6762</t>
  </si>
  <si>
    <t>SRIWULAN RT08/01</t>
  </si>
  <si>
    <t>SRIWULAN</t>
  </si>
  <si>
    <t>Demam,Batuk,Sakit Tenggorokan,Pilek</t>
  </si>
  <si>
    <t>RODHYAH</t>
  </si>
  <si>
    <t>0857-2690-9939</t>
  </si>
  <si>
    <t>TLOGOTIRTO RT01/12 Tlogorejo</t>
  </si>
  <si>
    <t>Lemas,Sakit Kepala</t>
  </si>
  <si>
    <t>MUH SUBHAN</t>
  </si>
  <si>
    <t>WRINGINJAJAR RT06/03</t>
  </si>
  <si>
    <t>2020-06-18</t>
  </si>
  <si>
    <t>Lemas,Demam,Sakit Kepala</t>
  </si>
  <si>
    <t>M. RUMAJI</t>
  </si>
  <si>
    <t>0823-2577-3548</t>
  </si>
  <si>
    <t>KEMBANGARUM RT11/12</t>
  </si>
  <si>
    <t>KEMBANGARUM</t>
  </si>
  <si>
    <t>ASMUNI</t>
  </si>
  <si>
    <t>0857-2735-3070</t>
  </si>
  <si>
    <t>wonoketingal 4/7 karanganyar demak</t>
  </si>
  <si>
    <t>PUJI MASLAKHAH</t>
  </si>
  <si>
    <t>0858-6541-2173</t>
  </si>
  <si>
    <t>SENGGRONG RT03/03 KANGKUNG</t>
  </si>
  <si>
    <t>2020-06-20 00:00:00</t>
  </si>
  <si>
    <t>Demam,Lemas,Batuk,Sesak Napas</t>
  </si>
  <si>
    <t>AGUS SUSANTO</t>
  </si>
  <si>
    <t>0867-2715-6064</t>
  </si>
  <si>
    <t>RT 003 RW 003 BOLO</t>
  </si>
  <si>
    <t>Mual,Sakit Kepala,Diare,Demam,Sesak Napas</t>
  </si>
  <si>
    <t>SUTIKWAN</t>
  </si>
  <si>
    <t>0813-2554-6607</t>
  </si>
  <si>
    <t>SIDOMULYO 9/2 DEMPET DEMAK</t>
  </si>
  <si>
    <t>SIDOMULYO</t>
  </si>
  <si>
    <t>Batuk,Lemas</t>
  </si>
  <si>
    <t>SUMONO</t>
  </si>
  <si>
    <t>bandungrejo 5/3 karanganyar</t>
  </si>
  <si>
    <t>BANDUNGREJO</t>
  </si>
  <si>
    <t>2020-06-22 00:00:00</t>
  </si>
  <si>
    <t>NOR CHANIFAH</t>
  </si>
  <si>
    <t>0813-4678-334</t>
  </si>
  <si>
    <t>RT 003 RW 002 Mlatiharjo</t>
  </si>
  <si>
    <t>MLATIHARJO</t>
  </si>
  <si>
    <t>Demam,Batuk,Sesak Napas,Lemas</t>
  </si>
  <si>
    <t>SRI WIDODO SPD TN</t>
  </si>
  <si>
    <t>0815-6561-299</t>
  </si>
  <si>
    <t>PONDOK MAJAPAHIT II NO.U 2 RT.07/07 MRANGGEN DEMAK</t>
  </si>
  <si>
    <t>Pilek,Sakit Kepala,Batuk,Demam</t>
  </si>
  <si>
    <t>SUGIYARTI</t>
  </si>
  <si>
    <t>0858-4292-4931</t>
  </si>
  <si>
    <t>KARANG RT04/05 Kangkung</t>
  </si>
  <si>
    <t>Demam,Batuk,Sesak Napas,Sakit Perut,Lemas</t>
  </si>
  <si>
    <t>0852-2975-8387</t>
  </si>
  <si>
    <t>TLOGOWERU RT03/01</t>
  </si>
  <si>
    <t>TLOGOWERU</t>
  </si>
  <si>
    <t>SULASTRI</t>
  </si>
  <si>
    <t>0896-3890-847</t>
  </si>
  <si>
    <t>TELUK KAJAR RT03/05</t>
  </si>
  <si>
    <t>TELUK</t>
  </si>
  <si>
    <t>2020-06-16 00:00:00</t>
  </si>
  <si>
    <t>COVID Isolasi Mandiri</t>
  </si>
  <si>
    <t>Mual,Demam</t>
  </si>
  <si>
    <t>SURANTO</t>
  </si>
  <si>
    <t>0857-4743-0064</t>
  </si>
  <si>
    <t>PUCANGGADING ATAS, JL KEBONREJO TENGAH GANG 06 NO.01 RT14/13 // ALAMAT SESUAI KTP --&gt; DUSUN TANCEP RT04/06 NGAWEN GUNUNGKIDUL YOGYAKARTA</t>
  </si>
  <si>
    <t>PUCANGGADING</t>
  </si>
  <si>
    <t>SUTRIYAH</t>
  </si>
  <si>
    <t>0857-7428-3530</t>
  </si>
  <si>
    <t>KEDUNGKARANG 1/2 WEDUNG DEMAK</t>
  </si>
  <si>
    <t>KEDUNGKARANG</t>
  </si>
  <si>
    <t>Sakit Kepala,Batuk</t>
  </si>
  <si>
    <t>KHUMAIDI</t>
  </si>
  <si>
    <t>0857-5569-9082</t>
  </si>
  <si>
    <t>Babalan 1/7 Wedung</t>
  </si>
  <si>
    <t>RSUD RA Kartini Jepara</t>
  </si>
  <si>
    <t>2020-06-04 00:00:00</t>
  </si>
  <si>
    <t>COVID Meninggal</t>
  </si>
  <si>
    <t>JAMARI</t>
  </si>
  <si>
    <t>0882-2109-2026</t>
  </si>
  <si>
    <t>DS TUGU RT 02/02 SAYUNG DEMAK</t>
  </si>
  <si>
    <t>TUGU</t>
  </si>
  <si>
    <t>2020-06-23 00:00:00</t>
  </si>
  <si>
    <t>0858-6233-3335</t>
  </si>
  <si>
    <t>KRAJAN RT05/02</t>
  </si>
  <si>
    <t>Demam,Sesak Napas,Batuk</t>
  </si>
  <si>
    <t>PURWATI</t>
  </si>
  <si>
    <t>0896-6885-5727</t>
  </si>
  <si>
    <t>SANDAN RT01/02</t>
  </si>
  <si>
    <t>WARU</t>
  </si>
  <si>
    <t>Lemas,Mual,Pilek,Batuk,Demam</t>
  </si>
  <si>
    <t>SABAR</t>
  </si>
  <si>
    <t>0895-2457-8994</t>
  </si>
  <si>
    <t>DS BANDUNGREJO RT09/02</t>
  </si>
  <si>
    <t>SUYADI</t>
  </si>
  <si>
    <t>0822-4196-7962</t>
  </si>
  <si>
    <t>PONDOK MAJAPAHIT II BLOK O RT 006/007</t>
  </si>
  <si>
    <t>RSJD Dr. Amino Gondohutomo</t>
  </si>
  <si>
    <t>RAMELAH</t>
  </si>
  <si>
    <t>0838-6267-1277</t>
  </si>
  <si>
    <t>RT 005 RW 002</t>
  </si>
  <si>
    <t>JATISONO</t>
  </si>
  <si>
    <t>Batuk,Demam,Sesak Napas</t>
  </si>
  <si>
    <t>MOHAMAD AS'LOR</t>
  </si>
  <si>
    <t>0896-2414-6086</t>
  </si>
  <si>
    <t>PILANG RT 01/02 TAMBAKROTO SAYUNG DEMAK</t>
  </si>
  <si>
    <t>TAMBAKROTO</t>
  </si>
  <si>
    <t>MIR`AH</t>
  </si>
  <si>
    <t>0823-0604-2525</t>
  </si>
  <si>
    <t>SIDOREJO RT02/04</t>
  </si>
  <si>
    <t>SIDOREJO</t>
  </si>
  <si>
    <t>J BEJO</t>
  </si>
  <si>
    <t>0822-4307-3536</t>
  </si>
  <si>
    <t>KEBON SUBUR V NO 13 RT03/23</t>
  </si>
  <si>
    <t>KEBONBATUR</t>
  </si>
  <si>
    <t>Sesak Napas,Batuk,Demam</t>
  </si>
  <si>
    <t>TN M.CHAYIN YUSUF</t>
  </si>
  <si>
    <t>8122-7271-718</t>
  </si>
  <si>
    <t>Purwosari RT 02 RW 03 Purwosari Sayung Demak</t>
  </si>
  <si>
    <t>PURWOSARI</t>
  </si>
  <si>
    <t>RS Hermina Pandanaran Kota Semarang</t>
  </si>
  <si>
    <t>2020-06-11 00:00:00</t>
  </si>
  <si>
    <t>COVID Dirujuk</t>
  </si>
  <si>
    <t>SUWARTI</t>
  </si>
  <si>
    <t>0812-2757-7807</t>
  </si>
  <si>
    <t>JAMUS RT 017 RW 005</t>
  </si>
  <si>
    <t>RS Panti Wilasa dr. Cipto</t>
  </si>
  <si>
    <t>Demam,Batuk,Sesak Napas</t>
  </si>
  <si>
    <t>SETYO GUNAWAN</t>
  </si>
  <si>
    <t>0895-4146-0574-8</t>
  </si>
  <si>
    <t>JALAN KARANGASEM RT 003 RW 003</t>
  </si>
  <si>
    <t>2020-06-24 00:00:00</t>
  </si>
  <si>
    <t>Mual,Demam,Batuk</t>
  </si>
  <si>
    <t>TRI ROHMAWATI</t>
  </si>
  <si>
    <t>0813-2588-7668</t>
  </si>
  <si>
    <t>RT 003 RW 003</t>
  </si>
  <si>
    <t>Mual,Lemas,Sakit Kepala</t>
  </si>
  <si>
    <t>2020-06-20</t>
  </si>
  <si>
    <t>JAMI'ATUN</t>
  </si>
  <si>
    <t>0857-9944-5765</t>
  </si>
  <si>
    <t>Sesak Napas,Mual,Lemas,Batuk,Demam</t>
  </si>
  <si>
    <t>NOOR HANDASAH, NY</t>
  </si>
  <si>
    <t>0813-2522-7529</t>
  </si>
  <si>
    <t>PR. PATAH II BLOK C / 31 RT.011/RW.006</t>
  </si>
  <si>
    <t>RSU Telogorejo Semarang</t>
  </si>
  <si>
    <t>2020-06-25 00:00:00</t>
  </si>
  <si>
    <t>Pilek,Mual,Batuk,Demam,Lemas</t>
  </si>
  <si>
    <t>SUPARMIN</t>
  </si>
  <si>
    <t>0823-2410-3771</t>
  </si>
  <si>
    <t>GILI RT04/05</t>
  </si>
  <si>
    <t>Sakit Perut,Mual,Batuk,Demam</t>
  </si>
  <si>
    <t>MUHAMAD MASHUDI</t>
  </si>
  <si>
    <t>0813-2515-8947</t>
  </si>
  <si>
    <t>JRAGUNG RT01/15</t>
  </si>
  <si>
    <t>KASMIJAN</t>
  </si>
  <si>
    <t>0813-9857-3387</t>
  </si>
  <si>
    <t>NOREH RT03/08</t>
  </si>
  <si>
    <t>Demam,Mual,Lemas</t>
  </si>
  <si>
    <t>NURHADI PRAYITNO</t>
  </si>
  <si>
    <t>0812-2701-4366</t>
  </si>
  <si>
    <t>SIDOREJO RT04/01</t>
  </si>
  <si>
    <t>Demam,Sesak Napas,Pilek,Mual,Batuk</t>
  </si>
  <si>
    <t>EKO SETYO WIDOYO</t>
  </si>
  <si>
    <t>0815-6684-215</t>
  </si>
  <si>
    <t>KALITENGAH RT02/01</t>
  </si>
  <si>
    <t>MUHAMAD TOPIK HIDAYAT</t>
  </si>
  <si>
    <t>PRIGI RT05/06</t>
  </si>
  <si>
    <t>2020-06-26 00:00:00</t>
  </si>
  <si>
    <t>KARYATI</t>
  </si>
  <si>
    <t>0896-5848-2535</t>
  </si>
  <si>
    <t>WARU RT01/07</t>
  </si>
  <si>
    <t>Demam,Batuk,Pilek,Sesak Napas,Mual</t>
  </si>
  <si>
    <t>Munaser</t>
  </si>
  <si>
    <t>56</t>
  </si>
  <si>
    <t>08122821451</t>
  </si>
  <si>
    <t>PEDAGANG  / USAHA</t>
  </si>
  <si>
    <t>Jakarta</t>
  </si>
  <si>
    <t>Rt 04 Rw 03, Gemulak, Sayung, Demak</t>
  </si>
  <si>
    <t>Di rawat di RSUD Sunan Kalijaga 28 - 30 Maret 2020</t>
  </si>
  <si>
    <t>Rumah</t>
  </si>
  <si>
    <t>30/03/2020 &amp; Positif</t>
  </si>
  <si>
    <t>15 /04/2020 &amp; Positif</t>
  </si>
  <si>
    <t>17/04/2020 &amp; Negatif</t>
  </si>
  <si>
    <t>12 Mei 2020 Positif   14 Mei 2020 BELUM</t>
  </si>
  <si>
    <t>ISOLASI MANDIRI</t>
  </si>
  <si>
    <t>23 Mei 20</t>
  </si>
  <si>
    <t>SARIMAN</t>
  </si>
  <si>
    <t>40</t>
  </si>
  <si>
    <t>0812-1975-5569</t>
  </si>
  <si>
    <t>JAKARTA SELATAN</t>
  </si>
  <si>
    <t>KARANGSARI RT 05 RW 05</t>
  </si>
  <si>
    <t>BKPP</t>
  </si>
  <si>
    <t xml:space="preserve">20 Mei 2020 positif </t>
  </si>
  <si>
    <t>24 Mei 20</t>
  </si>
  <si>
    <t>MASNI</t>
  </si>
  <si>
    <t>08812792135</t>
  </si>
  <si>
    <t>PEDAGANG IKAN PASAR SAYUNG</t>
  </si>
  <si>
    <t>KTP WONOSARI RT 005/ RW 001 BONANG, DOMISILI DUKUH BADONG RT 01/RW 01 SIDOGEMAH SAYUNG</t>
  </si>
  <si>
    <t>SIDOGEMAH</t>
  </si>
  <si>
    <t>Dinkes Demak</t>
  </si>
  <si>
    <t xml:space="preserve">22 Mei 2020 positif </t>
  </si>
  <si>
    <t>SRIYATUN</t>
  </si>
  <si>
    <t>081391405959</t>
  </si>
  <si>
    <t>KURIPAN RT 04  RW 02 SIDOREJO SAYUNG</t>
  </si>
  <si>
    <t>NGATENO</t>
  </si>
  <si>
    <t>45</t>
  </si>
  <si>
    <t>PEDAGANG IKAN</t>
  </si>
  <si>
    <t>PASAR KOBONG</t>
  </si>
  <si>
    <t>TIDAK</t>
  </si>
  <si>
    <t xml:space="preserve">23 Mei 2020 positif </t>
  </si>
  <si>
    <t>MUHAMMAD KOSIM</t>
  </si>
  <si>
    <t>081229238855</t>
  </si>
  <si>
    <t>Pasar sayung</t>
  </si>
  <si>
    <t>Sidorejo 4/2</t>
  </si>
  <si>
    <t>ya</t>
  </si>
  <si>
    <t>27/05/2020 positif</t>
  </si>
  <si>
    <t>KARNATI BINTI KARSIMAN</t>
  </si>
  <si>
    <t>081326079295</t>
  </si>
  <si>
    <t>Betokan 1/2</t>
  </si>
  <si>
    <t>musayyaroh</t>
  </si>
  <si>
    <t>0852-9098-0209</t>
  </si>
  <si>
    <t>DALEMAN GEMULAK RT 04/01 SAYUNG DEMAK</t>
  </si>
  <si>
    <t>GEMULAK</t>
  </si>
  <si>
    <t>tidak</t>
  </si>
  <si>
    <t>28/05/2020 positif</t>
  </si>
  <si>
    <t>KET RIWAYAT OPNAM DI SULTAN AGUNG APS TGL 29/05/2020</t>
  </si>
  <si>
    <t>M ZAINUL MUHTAR</t>
  </si>
  <si>
    <t>0895-3292-9323-6</t>
  </si>
  <si>
    <t>banjarsari</t>
  </si>
  <si>
    <t>29/05/2020 positif</t>
  </si>
  <si>
    <t>TN.AHMAD HAJI</t>
  </si>
  <si>
    <t>08122918304</t>
  </si>
  <si>
    <t>Pasar buyaran</t>
  </si>
  <si>
    <t>Pulosari 01/01</t>
  </si>
  <si>
    <t>29/05/2020 POSITIF</t>
  </si>
  <si>
    <t>masuk RS 28/5/2020</t>
  </si>
  <si>
    <t>swab 30/05/2020 POSITIF</t>
  </si>
  <si>
    <t>Hadi Purnomo</t>
  </si>
  <si>
    <t>0813-2653-1164</t>
  </si>
  <si>
    <t>ortu jualan di Pasar bintoro</t>
  </si>
  <si>
    <t>cabean 7/1</t>
  </si>
  <si>
    <t>cabean</t>
  </si>
  <si>
    <t>masuk RS 24/5/2020</t>
  </si>
  <si>
    <t>MASROH</t>
  </si>
  <si>
    <t>NYANGKRINGAN 4/2 SRIWULAN</t>
  </si>
  <si>
    <t>MASUK 31/05/2020</t>
  </si>
  <si>
    <t>3 Juni 2020</t>
  </si>
  <si>
    <t>NUR OKTAVIANI</t>
  </si>
  <si>
    <t>081336321434</t>
  </si>
  <si>
    <t>SIDOMULYO RT 1 RW 4 WONOSALAM</t>
  </si>
  <si>
    <t>ISOLASI MANDIRI TEMUAN KUDUS</t>
  </si>
  <si>
    <t xml:space="preserve">29 Mei 2020 positif </t>
  </si>
  <si>
    <t>MUHAMMAD SOLEH</t>
  </si>
  <si>
    <t>0812-8437-076</t>
  </si>
  <si>
    <t>DUKUHAN RT 02/03 KALISARI SAYUNG DEMAK</t>
  </si>
  <si>
    <t>KALISARI</t>
  </si>
  <si>
    <t>JUSARI</t>
  </si>
  <si>
    <t>0897-8145-643</t>
  </si>
  <si>
    <t>PILANGSARI RT 01/03 SAYUNG DEMAK</t>
  </si>
  <si>
    <t>PILANGSARI</t>
  </si>
  <si>
    <t>Mahmudah</t>
  </si>
  <si>
    <t>sidogemah 9/2 sayung</t>
  </si>
  <si>
    <t>sidogemah</t>
  </si>
  <si>
    <t>02/06/2020 POSITIF</t>
  </si>
  <si>
    <t>MUNTASIROH</t>
  </si>
  <si>
    <t>0858-7545-7176</t>
  </si>
  <si>
    <t>Kendalasem 5/2 Demak</t>
  </si>
  <si>
    <t>04/06/2020 POSITIF</t>
  </si>
  <si>
    <t>MASNAIM</t>
  </si>
  <si>
    <t>0822-2070-0842</t>
  </si>
  <si>
    <t xml:space="preserve"> MARGOLINDUK RT 04 Rw 03</t>
  </si>
  <si>
    <t>SUYATMI</t>
  </si>
  <si>
    <t>kedungkarang 02/01 wedung</t>
  </si>
  <si>
    <t>kedungkarang</t>
  </si>
  <si>
    <t>wedung</t>
  </si>
  <si>
    <t>ASMAIYAH</t>
  </si>
  <si>
    <t>Babalan 7/1 Wedung</t>
  </si>
  <si>
    <t>ANIS AFRIKAH</t>
  </si>
  <si>
    <t>081328225510</t>
  </si>
  <si>
    <t>gedangalas 05/02</t>
  </si>
  <si>
    <t>gedangalas</t>
  </si>
  <si>
    <t>gajah</t>
  </si>
  <si>
    <t>masuk RS 03/06/2020</t>
  </si>
  <si>
    <t>batuk sesak nafas, 1 mgg</t>
  </si>
  <si>
    <t>WACHIDAH</t>
  </si>
  <si>
    <t>timbulsloko 3/7</t>
  </si>
  <si>
    <t>timbulsloko</t>
  </si>
  <si>
    <t>demam 4 hr, nyeri tenggorokan</t>
  </si>
  <si>
    <t>SULASIH</t>
  </si>
  <si>
    <t>poncoharjo 2/5 bonang</t>
  </si>
  <si>
    <t>bonang</t>
  </si>
  <si>
    <t>masuk RS 02/06/2020</t>
  </si>
  <si>
    <t>mual, batuk, panas 5 hr</t>
  </si>
  <si>
    <t>JAMBARI, TN</t>
  </si>
  <si>
    <t>0821-3664-1181</t>
  </si>
  <si>
    <t>Kedungmutih 01/02 wedung demak</t>
  </si>
  <si>
    <t>RS Kumala Siwi Kudus</t>
  </si>
  <si>
    <t>pindah ke RSUD 12/06/2020 sore</t>
  </si>
  <si>
    <t>Sakit Tenggorokan,Batuk</t>
  </si>
  <si>
    <t>SITI ASFIYATUN ROMANIAH</t>
  </si>
  <si>
    <t>Geneng 1/1 mijen</t>
  </si>
  <si>
    <t>mijen</t>
  </si>
  <si>
    <t>pilek meler, meriang, nyeri telan</t>
  </si>
  <si>
    <t>MURIPAH</t>
  </si>
  <si>
    <t>kedungmutih 6/2 wedung</t>
  </si>
  <si>
    <t>kedungmutih</t>
  </si>
  <si>
    <t>Sesak nafas</t>
  </si>
  <si>
    <t>ABDUL ROHIM</t>
  </si>
  <si>
    <t>BUMIREJO 1/7 KARANGAWEN</t>
  </si>
  <si>
    <t>BUMIREJO</t>
  </si>
  <si>
    <t>YUSYARA</t>
  </si>
  <si>
    <t>085867842107</t>
  </si>
  <si>
    <t>KEDUNGORI 1/1 DEMPET</t>
  </si>
  <si>
    <t>KEDUNGORI</t>
  </si>
  <si>
    <t>Masuk RS 03/06/2020</t>
  </si>
  <si>
    <t>batuk 1 mgg, sesak nafas, lemah</t>
  </si>
  <si>
    <t>TEMU</t>
  </si>
  <si>
    <t>0813-2563-9170</t>
  </si>
  <si>
    <t>JL PRIGI ASRI RT 10/06 MRANGGEN DEMAK</t>
  </si>
  <si>
    <t>088221801693</t>
  </si>
  <si>
    <t>KRAMAT 5/3 DEMPET</t>
  </si>
  <si>
    <t>Masuk RS 02/06/2020</t>
  </si>
  <si>
    <t>BAB hitam 8 hr yllu, pusing, panas, nyeri tenggorokan, mual</t>
  </si>
  <si>
    <t>SUKAROH WARNI</t>
  </si>
  <si>
    <t>0881-8694-718</t>
  </si>
  <si>
    <t>TLOGOPANDOGAN RT 01 RW 04</t>
  </si>
  <si>
    <t>TLOGOPANDOGAN</t>
  </si>
  <si>
    <t>demam, sesak, lemah</t>
  </si>
  <si>
    <t>ARUM SULISTYOWATI</t>
  </si>
  <si>
    <t>081329121595</t>
  </si>
  <si>
    <t>gajah 05/03</t>
  </si>
  <si>
    <t>sesek, batuk, lemes</t>
  </si>
  <si>
    <t>SRI RAHAYU HANIM</t>
  </si>
  <si>
    <t>085713392586</t>
  </si>
  <si>
    <t>Bintoro 2/6 Demak</t>
  </si>
  <si>
    <t>Sesak nafas, demam 10 hr</t>
  </si>
  <si>
    <t>SUMARTO</t>
  </si>
  <si>
    <t>0884-2711-4922</t>
  </si>
  <si>
    <t>Trengguli 3/3 wonosalam</t>
  </si>
  <si>
    <t>lemah, tdk ada batuk</t>
  </si>
  <si>
    <t>AHMAD SHOKHI</t>
  </si>
  <si>
    <t>8132-7341-428</t>
  </si>
  <si>
    <t>Jalan MOROSARI, No -, RT 001, RW 005 bedono</t>
  </si>
  <si>
    <t>bedono</t>
  </si>
  <si>
    <t>PENGAMBILAN SWAB</t>
  </si>
  <si>
    <t>HASL SWAB</t>
  </si>
  <si>
    <t>MUHTAR</t>
  </si>
  <si>
    <t>0813-2615-9591</t>
  </si>
  <si>
    <t>GAJAH 001 RW 003</t>
  </si>
  <si>
    <t xml:space="preserve"> dari RSU Mardi Rahayu Kudus DIRUJUK KE RSUD DEMAK 25/06/2020</t>
  </si>
  <si>
    <t>Asma</t>
  </si>
  <si>
    <t>Batuk,Lemas,Mual,Sesak Napas,Demam</t>
  </si>
  <si>
    <t>SUDARTI</t>
  </si>
  <si>
    <t>081326289999</t>
  </si>
  <si>
    <t>PURWOSARI 1/2 SAYUNG</t>
  </si>
  <si>
    <t>SARI 8/2 GAJAH</t>
  </si>
  <si>
    <t>MAGFURON</t>
  </si>
  <si>
    <t>JALI 5/4 BONANG</t>
  </si>
  <si>
    <t>JALI</t>
  </si>
  <si>
    <t>MUNAYIROH</t>
  </si>
  <si>
    <t>Morodemak Rt 02 Rw 05 Bonang Demak</t>
  </si>
  <si>
    <t>MORODEMAK</t>
  </si>
  <si>
    <t>Masuk RS 11/06/2020</t>
  </si>
  <si>
    <t>Lemah,batuk,pilek</t>
  </si>
  <si>
    <t>MUFALIKAH</t>
  </si>
  <si>
    <t>0857-2685-8330</t>
  </si>
  <si>
    <t>KEDUNGMUTIH 2/1 WEDUNG DEMAK</t>
  </si>
  <si>
    <t>Batuk,Mual,Demam,Sakit Perut</t>
  </si>
  <si>
    <t>NUR KHANDIQ</t>
  </si>
  <si>
    <t>Betahwalang 1/2 Bonang</t>
  </si>
  <si>
    <t>RUMAH</t>
  </si>
  <si>
    <t>LINA YUNITA SARI</t>
  </si>
  <si>
    <t xml:space="preserve">Bungo 3/4 Wedung </t>
  </si>
  <si>
    <t>isolasi mandiri</t>
  </si>
  <si>
    <t>SITI HAYAH AZIZAH</t>
  </si>
  <si>
    <t>0857-1381-1858</t>
  </si>
  <si>
    <t>RT03/02 Purworejo</t>
  </si>
  <si>
    <t>PURWOREJO</t>
  </si>
  <si>
    <t>RUSTINAH</t>
  </si>
  <si>
    <t>0812-9138-0495</t>
  </si>
  <si>
    <t>RT1/RW1 Bolo</t>
  </si>
  <si>
    <t>rumah</t>
  </si>
  <si>
    <t>SITI AMINAH</t>
  </si>
  <si>
    <t>SAYUNG 1/1 SAYUNG</t>
  </si>
  <si>
    <t>FENDI WIBOWO</t>
  </si>
  <si>
    <t>RUKANTO</t>
  </si>
  <si>
    <t>MLATEN 7/2</t>
  </si>
  <si>
    <t>MIJJEN</t>
  </si>
  <si>
    <t>KHOLIL</t>
  </si>
  <si>
    <t>KEDUNGMUTIH 4/3</t>
  </si>
  <si>
    <t>NUR AKHWAN</t>
  </si>
  <si>
    <t>KEDUNGMUTIH 6/3</t>
  </si>
  <si>
    <t>MUHAMMAD KAMALUDIN ASSAIPI</t>
  </si>
  <si>
    <t xml:space="preserve">SUKOREJO 9/1 </t>
  </si>
  <si>
    <t>SUKOREJO</t>
  </si>
  <si>
    <t>INDRI SETIAWATI</t>
  </si>
  <si>
    <t>TARWIYAH</t>
  </si>
  <si>
    <t>KEDUNGMUTIH 5/1</t>
  </si>
  <si>
    <t>YASMIN ALAWIYAH</t>
  </si>
  <si>
    <t>SITI MUTMAINAH</t>
  </si>
  <si>
    <t>KEDUNGMUTIH 1/2</t>
  </si>
  <si>
    <t>RUKOYAH</t>
  </si>
  <si>
    <t>KEDUNGMUTIH 3/2</t>
  </si>
  <si>
    <t>FAIZATUL AKMALA</t>
  </si>
  <si>
    <t>MUTIH WETAN 2/2</t>
  </si>
  <si>
    <t>MUTIH WETAN</t>
  </si>
  <si>
    <t>KHAIZUR ULA</t>
  </si>
  <si>
    <t>KEDUNGKARANG 1/2</t>
  </si>
  <si>
    <t>MILATUS ZAIROH</t>
  </si>
  <si>
    <t>KEDUNGKARANG 2/2</t>
  </si>
  <si>
    <t>NAILA HULALA</t>
  </si>
  <si>
    <t>M IZZUL MUTHO</t>
  </si>
  <si>
    <t>DZAKIYATUL FAHMI</t>
  </si>
  <si>
    <t>MUNAWAKIB</t>
  </si>
  <si>
    <t>PILANGSARI 3/2</t>
  </si>
  <si>
    <t>MUSTOFIAH</t>
  </si>
  <si>
    <t>PILANGASARI 1/3</t>
  </si>
  <si>
    <t>MUSTIANAH</t>
  </si>
  <si>
    <t>PUWOSARI 3/3</t>
  </si>
  <si>
    <t>NASIRUN</t>
  </si>
  <si>
    <t>AMINAH</t>
  </si>
  <si>
    <t>GEDANGALAS 2/1</t>
  </si>
  <si>
    <t>GEDANGALAS</t>
  </si>
  <si>
    <t>AGUSTINA SURYANI</t>
  </si>
  <si>
    <t>TAMBAKBULUSAN 4/2</t>
  </si>
  <si>
    <t>TAMBAKBULUSAN</t>
  </si>
  <si>
    <t>FAIZAH</t>
  </si>
  <si>
    <t>BAKALREJO 7/2</t>
  </si>
  <si>
    <t>BAKALREJO</t>
  </si>
  <si>
    <t>SUKANDAR</t>
  </si>
  <si>
    <t>BAKUNG 2/1 MIJEN</t>
  </si>
  <si>
    <t>BAKUNG</t>
  </si>
  <si>
    <t>GILANG RESTA ALFIANSYAH</t>
  </si>
  <si>
    <t>GENENG</t>
  </si>
  <si>
    <t>UPDATE 18/06/2020</t>
  </si>
  <si>
    <t>18/06/2020 POSITIF</t>
  </si>
  <si>
    <t>ISWATI</t>
  </si>
  <si>
    <t>MUASYAROH</t>
  </si>
  <si>
    <t>Pilangsari 1/5 Sayung</t>
  </si>
  <si>
    <t>SRI NINGSIH</t>
  </si>
  <si>
    <t>TRIDONOREJO 6/2</t>
  </si>
  <si>
    <t>TRIDONOREJO</t>
  </si>
  <si>
    <t>ZUMROCHATI</t>
  </si>
  <si>
    <t>PURWOSARI 2/3</t>
  </si>
  <si>
    <t>Abdul Rochim</t>
  </si>
  <si>
    <t>Karangsari 3/1 Karangtengah</t>
  </si>
  <si>
    <t>karangsari</t>
  </si>
  <si>
    <t>Abdul Rohman</t>
  </si>
  <si>
    <t>081231623110</t>
  </si>
  <si>
    <t>Moro 1/5 Bonang</t>
  </si>
  <si>
    <t>Anis Megawati</t>
  </si>
  <si>
    <t>087832055633</t>
  </si>
  <si>
    <t>Jamus 3/2 Mranggen</t>
  </si>
  <si>
    <t>JAMUS</t>
  </si>
  <si>
    <t>Hartatik</t>
  </si>
  <si>
    <t>082141539440</t>
  </si>
  <si>
    <t>Jetak 1/2 Wedung</t>
  </si>
  <si>
    <t>jetak</t>
  </si>
  <si>
    <t>Khairon</t>
  </si>
  <si>
    <t>085803509156</t>
  </si>
  <si>
    <t>Jungpasir 1/2 Wedung</t>
  </si>
  <si>
    <t>jungpasir</t>
  </si>
  <si>
    <t>Mardinah</t>
  </si>
  <si>
    <t>Kedungmutih 1/2 Wedung</t>
  </si>
  <si>
    <t>Mediana Nur</t>
  </si>
  <si>
    <t>Gedang alas 4/2 Gajah</t>
  </si>
  <si>
    <t>Muh Nursidik</t>
  </si>
  <si>
    <t>Musidah</t>
  </si>
  <si>
    <t>Kendalasem 2/2 Wedung</t>
  </si>
  <si>
    <t>Ngadimin</t>
  </si>
  <si>
    <t>08886857073</t>
  </si>
  <si>
    <t>Wonoketingal 1/3 Karanganyar</t>
  </si>
  <si>
    <t>Pariyem</t>
  </si>
  <si>
    <t>Brambang 5/4 Karangawen</t>
  </si>
  <si>
    <t>Riska Fatiyaturrohmah</t>
  </si>
  <si>
    <t>085743566077</t>
  </si>
  <si>
    <t>Gebangarum 2/2 BONANG</t>
  </si>
  <si>
    <t>gebangarum</t>
  </si>
  <si>
    <t>Siti Mukaromah</t>
  </si>
  <si>
    <t>Jragung 4/4 Karangawen</t>
  </si>
  <si>
    <t>Suatmi</t>
  </si>
  <si>
    <t>085775008913</t>
  </si>
  <si>
    <t>Tedunan 5/2 Wedung</t>
  </si>
  <si>
    <t>TEDUNAN</t>
  </si>
  <si>
    <t>Sumini</t>
  </si>
  <si>
    <t>08821507623</t>
  </si>
  <si>
    <t>Kramat 5/3 Dempet</t>
  </si>
  <si>
    <t>Umi Marya Ulfa</t>
  </si>
  <si>
    <t>Maya Aryana Sari</t>
  </si>
  <si>
    <t>085227091210</t>
  </si>
  <si>
    <t>Sidomulyo 1/1 Dempet</t>
  </si>
  <si>
    <t>UPDATE 22/06/2020</t>
  </si>
  <si>
    <t>22/06/2020 POSITIF</t>
  </si>
  <si>
    <t>Muhammad Ali Ircam</t>
  </si>
  <si>
    <t>985713311623</t>
  </si>
  <si>
    <t>Betawalang 1/4 Bonang</t>
  </si>
  <si>
    <t>Ali Sodikin</t>
  </si>
  <si>
    <t>085229250120</t>
  </si>
  <si>
    <t>Betawalang1/4 Bonang</t>
  </si>
  <si>
    <t>Zuhriyah</t>
  </si>
  <si>
    <t>087717491485</t>
  </si>
  <si>
    <t>Tanubayan 2/10 Demak</t>
  </si>
  <si>
    <t>Selamet Wahyudi</t>
  </si>
  <si>
    <t>08112964791</t>
  </si>
  <si>
    <t>Gajah 3/3 Gajah</t>
  </si>
  <si>
    <t>Sri Budi Susilowati</t>
  </si>
  <si>
    <t>Siti Chumaedah</t>
  </si>
  <si>
    <t>085280143991</t>
  </si>
  <si>
    <t>Medini Gajah</t>
  </si>
  <si>
    <t>Istianah</t>
  </si>
  <si>
    <t>085293287146</t>
  </si>
  <si>
    <t xml:space="preserve">Blerong 3/1 Guntur </t>
  </si>
  <si>
    <t>BLERONG</t>
  </si>
  <si>
    <t>Endang Sri Rahayu</t>
  </si>
  <si>
    <t>081228019357</t>
  </si>
  <si>
    <t>Gaji 4/3 Guntur</t>
  </si>
  <si>
    <t>GAJI</t>
  </si>
  <si>
    <t>Nur Yasin</t>
  </si>
  <si>
    <t>Zaenab</t>
  </si>
  <si>
    <t>085742616204</t>
  </si>
  <si>
    <t>Rejosari 4/10 Karangawen</t>
  </si>
  <si>
    <t>Joko yoso</t>
  </si>
  <si>
    <t>Sidorejo 6/4 Demak</t>
  </si>
  <si>
    <t>Aliyah</t>
  </si>
  <si>
    <t/>
  </si>
  <si>
    <t>Pecuk 1/2 Mijen</t>
  </si>
  <si>
    <t>PECUK</t>
  </si>
  <si>
    <t>Budi</t>
  </si>
  <si>
    <t>Pecuk 2/2 Mijen</t>
  </si>
  <si>
    <t>Eni Mustofiah</t>
  </si>
  <si>
    <t>Hendi Korompis</t>
  </si>
  <si>
    <t>Sundari</t>
  </si>
  <si>
    <t>Abdullah Taufiq</t>
  </si>
  <si>
    <t>Purwosari 3/1 Sayung</t>
  </si>
  <si>
    <t>Septiana Melati</t>
  </si>
  <si>
    <t>Tugu 6/1 Sayung</t>
  </si>
  <si>
    <t>Noorti Wahono</t>
  </si>
  <si>
    <t>083815001351</t>
  </si>
  <si>
    <t>Bungo 3/8 Wedung</t>
  </si>
  <si>
    <t>BUNGO</t>
  </si>
  <si>
    <t>Siswanto</t>
  </si>
  <si>
    <t>Makruf</t>
  </si>
  <si>
    <t>081227924054</t>
  </si>
  <si>
    <t>Bungo 4/7 Wedung</t>
  </si>
  <si>
    <t>Siti sholehah</t>
  </si>
  <si>
    <t>Jungpasir 1/4 wedung</t>
  </si>
  <si>
    <t>JUNGPASIR</t>
  </si>
  <si>
    <t>sriyatun</t>
  </si>
  <si>
    <t>085894705962</t>
  </si>
  <si>
    <t>Karangsari 4/3, karangtengah</t>
  </si>
  <si>
    <t>Sofiah</t>
  </si>
  <si>
    <t>0895360032897</t>
  </si>
  <si>
    <t>Purwosari 3/3 Sayung</t>
  </si>
  <si>
    <t>Abdul Aziz</t>
  </si>
  <si>
    <t>085742122690</t>
  </si>
  <si>
    <t>Kendalasem 5/2 Wedung</t>
  </si>
  <si>
    <t>KENDALASEM</t>
  </si>
  <si>
    <t>YUNIS YANA</t>
  </si>
  <si>
    <t>p</t>
  </si>
  <si>
    <t xml:space="preserve">BETOKAN 5/2 </t>
  </si>
  <si>
    <t>BETOKAN</t>
  </si>
  <si>
    <t>WALYATI</t>
  </si>
  <si>
    <t>BANGO 1/2</t>
  </si>
  <si>
    <t>BANGO</t>
  </si>
  <si>
    <t>RS MARDI RAHAYU KUDUS</t>
  </si>
  <si>
    <t>ISOLASI MANDIRI LUAR</t>
  </si>
  <si>
    <t>SITI FATIMAH</t>
  </si>
  <si>
    <t>0812-2820-0603</t>
  </si>
  <si>
    <t>PURWOSARI RT 002 RW 002</t>
  </si>
  <si>
    <t>MUAH</t>
  </si>
  <si>
    <t>0857-6294-5401</t>
  </si>
  <si>
    <t>KEDUNGKARANG 1/4</t>
  </si>
  <si>
    <t>SUNARTO</t>
  </si>
  <si>
    <t>0822-2095-5833</t>
  </si>
  <si>
    <t>buko 1/5 wedung demak</t>
  </si>
  <si>
    <t>BUKO</t>
  </si>
  <si>
    <t>NUR FAIZAH</t>
  </si>
  <si>
    <t>0813-2527-4256</t>
  </si>
  <si>
    <t>Wonorejo RT 2/2</t>
  </si>
  <si>
    <t>WONOREJO</t>
  </si>
  <si>
    <t>RS Islam Sunan Kudus</t>
  </si>
  <si>
    <t>2020-06-22</t>
  </si>
  <si>
    <t>KASMIDI</t>
  </si>
  <si>
    <t>0800</t>
  </si>
  <si>
    <t>Bunderan 3/2 Wonosalam</t>
  </si>
  <si>
    <t>BUNDERAN</t>
  </si>
  <si>
    <t>Kabupaten Demak</t>
  </si>
  <si>
    <t>2020-06-21</t>
  </si>
  <si>
    <t>MUSDALIFAH</t>
  </si>
  <si>
    <t>0814-7552-5144</t>
  </si>
  <si>
    <t>JUNGPASIR 2/4 WEDUNG DEMAK</t>
  </si>
  <si>
    <t>Demam,Diare,Batuk</t>
  </si>
  <si>
    <t>ABDULLAH MAHFUD</t>
  </si>
  <si>
    <t>0821-3568-8613</t>
  </si>
  <si>
    <t>REJOSARI 4/4 MIJEN DEMAK</t>
  </si>
  <si>
    <t>Sakit Kepala,Lemas</t>
  </si>
  <si>
    <t>SRI HAYAH</t>
  </si>
  <si>
    <t>0856-8333-621</t>
  </si>
  <si>
    <t>JUNGPASIR 3/4 WEDUNG DEMAK</t>
  </si>
  <si>
    <t>MUH. TAFUZA KAMAL</t>
  </si>
  <si>
    <t>0856-4116-1525</t>
  </si>
  <si>
    <t>KEDUNGKARANG 1/3 WEDUNG DEMAK</t>
  </si>
  <si>
    <t>ASKURI</t>
  </si>
  <si>
    <t>0857-4163-0522</t>
  </si>
  <si>
    <t>2020-06-15 00:00:00</t>
  </si>
  <si>
    <t>AHMAD AISAR WAFI</t>
  </si>
  <si>
    <t>KEDUNGMUTIH 11/1 WEDUNG DEMAK</t>
  </si>
  <si>
    <t>Demam,Batuk,Pilek</t>
  </si>
  <si>
    <t>SYAMSUL MAARIF</t>
  </si>
  <si>
    <t>0857-2709-5171</t>
  </si>
  <si>
    <t>Betokan RT 5 RW 2</t>
  </si>
  <si>
    <t>2020-06-27 00:00:00</t>
  </si>
  <si>
    <t>NGATONAH</t>
  </si>
  <si>
    <t>0812-2914-1765</t>
  </si>
  <si>
    <t>RT 009 RW 002</t>
  </si>
  <si>
    <t>NUR ROHMAT</t>
  </si>
  <si>
    <t>8586-6913-757</t>
  </si>
  <si>
    <t>Jalan SENGGRONG, No , RT 01, RW 04</t>
  </si>
  <si>
    <t>TABI HASAN ABDUL GHANI</t>
  </si>
  <si>
    <t>8586-6917-757</t>
  </si>
  <si>
    <t>rt 1 rw 4</t>
  </si>
  <si>
    <t>M.ZAENAL ARIFIN</t>
  </si>
  <si>
    <t>43</t>
  </si>
  <si>
    <t>081328897432</t>
  </si>
  <si>
    <t>Driver Kalijaga Travel</t>
  </si>
  <si>
    <t>Surabaya</t>
  </si>
  <si>
    <t>Turirejo RT 4/RW 2, Demak</t>
  </si>
  <si>
    <t>11 April sd sekarang</t>
  </si>
  <si>
    <t>covid meninggal</t>
  </si>
  <si>
    <t>15/04/2020 &amp; Positif</t>
  </si>
  <si>
    <t xml:space="preserve">tidak </t>
  </si>
  <si>
    <t>meninggal (24 Apr 20)</t>
  </si>
  <si>
    <t>Amaroh</t>
  </si>
  <si>
    <t>0853-2685-0652</t>
  </si>
  <si>
    <t>pasar karangawen</t>
  </si>
  <si>
    <t>TEMUROSO RT 03 RW 04</t>
  </si>
  <si>
    <t>TEMUROSO</t>
  </si>
  <si>
    <t>COVID meninggal</t>
  </si>
  <si>
    <t>MENINGGAL 3/6/2020</t>
  </si>
  <si>
    <t>sumirah</t>
  </si>
  <si>
    <t>085743702226</t>
  </si>
  <si>
    <t>transmisi pasar gajah</t>
  </si>
  <si>
    <t>Gajah 4/3</t>
  </si>
  <si>
    <t xml:space="preserve">meninggal tgl 27/05/2020 jam 18,00 </t>
  </si>
  <si>
    <t>MARYATUN HAJJAH</t>
  </si>
  <si>
    <t>0812-2918-304</t>
  </si>
  <si>
    <t>PULOSARI RT 01 RW 01</t>
  </si>
  <si>
    <t>PULOSARI</t>
  </si>
  <si>
    <t>Covid MENINGGAL</t>
  </si>
  <si>
    <t>hasil swab negatif  tgl 29/05/2020</t>
  </si>
  <si>
    <t>hasil swab negatif  tgl 1/06/2020</t>
  </si>
  <si>
    <t xml:space="preserve">covid meninggal 01/06/2020 </t>
  </si>
  <si>
    <t>Masrokah</t>
  </si>
  <si>
    <t>082325729801</t>
  </si>
  <si>
    <t>Ngaluran 2/3</t>
  </si>
  <si>
    <t xml:space="preserve">covid meninggal 04/06/2020 </t>
  </si>
  <si>
    <t>Ngatminah</t>
  </si>
  <si>
    <t>Gemulak 1/3 sayung</t>
  </si>
  <si>
    <t>covid meninggal 05/06/2020</t>
  </si>
  <si>
    <t>umi bastari</t>
  </si>
  <si>
    <t>karangsari 1/1</t>
  </si>
  <si>
    <t>COVID MENINGGAL</t>
  </si>
  <si>
    <t>kisatun</t>
  </si>
  <si>
    <t>0812-2837-2121</t>
  </si>
  <si>
    <t xml:space="preserve"> SERANGAN RT 01 RW 01</t>
  </si>
  <si>
    <t>SERANGAN</t>
  </si>
  <si>
    <t>ARJUN PRASETYO</t>
  </si>
  <si>
    <t>Pulosari 2/1 KARANGTENGAH</t>
  </si>
  <si>
    <t>MENINGGAL TGL 5/6/2020</t>
  </si>
  <si>
    <t>MIR'AN</t>
  </si>
  <si>
    <t>08127100637</t>
  </si>
  <si>
    <t xml:space="preserve">kalikondang 07/03 </t>
  </si>
  <si>
    <t>kalikondang</t>
  </si>
  <si>
    <t>meninggal 06/06/2020</t>
  </si>
  <si>
    <t>sesaknafas 4 hr, batuk, panas, nyeri tenggorokan, nafsumakan menurun</t>
  </si>
  <si>
    <t>SLAMET RIYADI</t>
  </si>
  <si>
    <t>0853-2381-4799</t>
  </si>
  <si>
    <t>Donorejo RT 07 RW 03 Karangtengah Demak</t>
  </si>
  <si>
    <t>MENINGGAL 03/06/2020</t>
  </si>
  <si>
    <t>JUWARSIH</t>
  </si>
  <si>
    <t>Sriwulan 1/1 Sayung</t>
  </si>
  <si>
    <t>masuk RS 05/06/2020</t>
  </si>
  <si>
    <t>meninggal 13/06/2020</t>
  </si>
  <si>
    <t>Meriang 5 hr</t>
  </si>
  <si>
    <t>SUPENO</t>
  </si>
  <si>
    <t>0886-7388-6912</t>
  </si>
  <si>
    <t>Pilangrejo RT 05 RW 06 Wonosalam Demak</t>
  </si>
  <si>
    <t>SULKHAN</t>
  </si>
  <si>
    <t>0857-0118-3658</t>
  </si>
  <si>
    <t>Batu RT 02 RW 02 Karangtengah Demak</t>
  </si>
  <si>
    <t>YUNI WURYANINGSIH</t>
  </si>
  <si>
    <t>KARANGMLATI 5/2 SAYUNG DATA MASUK</t>
  </si>
  <si>
    <t>KARANGMLATI</t>
  </si>
  <si>
    <t>Masuk RS 06/06/2020</t>
  </si>
  <si>
    <t>sesak nafas 3 hari, batuk 2 hr</t>
  </si>
  <si>
    <t>ASMUI SULAIMAN</t>
  </si>
  <si>
    <t>0813-2622-0558</t>
  </si>
  <si>
    <t>TAMBAKBULUSAN RT 03 RW 02 TAMBAKBULUSAN KARANG TENGAH DEMAK</t>
  </si>
  <si>
    <t>Masuk RS 25/5/2020</t>
  </si>
  <si>
    <t>DEMAM</t>
  </si>
  <si>
    <t>morodemak RT 01 RW 05</t>
  </si>
  <si>
    <t>morodemak</t>
  </si>
  <si>
    <t>masuk RS 01/06/2020</t>
  </si>
  <si>
    <t>WARNI</t>
  </si>
  <si>
    <t>KALISARI 2/5 SAYUNG</t>
  </si>
  <si>
    <t>Masuk RS 04/6/2020</t>
  </si>
  <si>
    <t>MENINGGAL 15/06/2020,</t>
  </si>
  <si>
    <t>Demam 1 mgg, batuk, lemas</t>
  </si>
  <si>
    <t>MUZAERONI</t>
  </si>
  <si>
    <t>0852-0158-8121</t>
  </si>
  <si>
    <t>Pecuk RT 02 RW 02 Mijen Demak</t>
  </si>
  <si>
    <t>DJUWARSIH</t>
  </si>
  <si>
    <t>0813-2662-5402</t>
  </si>
  <si>
    <t>Petengan Utara RT 06 RW 08 Bintoro Demak</t>
  </si>
  <si>
    <t xml:space="preserve"> Bintoro</t>
  </si>
  <si>
    <t>POSITIF 14/06/2020</t>
  </si>
  <si>
    <t>KARYONO</t>
  </si>
  <si>
    <t>0888-6488-2527</t>
  </si>
  <si>
    <t>Karangsari RT 03 RW 01 Karangtengah Demak</t>
  </si>
  <si>
    <t>Sesak Napas, DM, HT</t>
  </si>
  <si>
    <t>JUMINAH</t>
  </si>
  <si>
    <t>0888-0288-0943</t>
  </si>
  <si>
    <t>Jragung 2/17 Karangawen</t>
  </si>
  <si>
    <t>BAMBANG PURNOMO</t>
  </si>
  <si>
    <t>0813-2503-7724</t>
  </si>
  <si>
    <t>TAMBAK BULUSAN RT 04/02 TAMBAK BULUSAN KARANG TENGAH DEMAK</t>
  </si>
  <si>
    <t>ZUHRI</t>
  </si>
  <si>
    <t>0877-2890-9433</t>
  </si>
  <si>
    <t xml:space="preserve">Karangsari 4/2 Karangtengah </t>
  </si>
  <si>
    <t xml:space="preserve">Karangsari </t>
  </si>
  <si>
    <t>SUNIPAH</t>
  </si>
  <si>
    <t>0895-4245-0806</t>
  </si>
  <si>
    <t xml:space="preserve">Pulosari 4/2 Karangtengah </t>
  </si>
  <si>
    <t>demam, pusing, lemah</t>
  </si>
  <si>
    <t>SUKARDI</t>
  </si>
  <si>
    <t>0813-2775-7363</t>
  </si>
  <si>
    <t xml:space="preserve">TAMBAK BULUSAN  KARANG TENGAH </t>
  </si>
  <si>
    <t xml:space="preserve">sesak batuk </t>
  </si>
  <si>
    <t>ALI AHMAD AMILIN</t>
  </si>
  <si>
    <t>JUNGPASIR 1/4 WEDUNG</t>
  </si>
  <si>
    <t>PANAS,BATUK,SESAK,DIARE</t>
  </si>
  <si>
    <t>SUKANAH</t>
  </si>
  <si>
    <t>Kripik 2/4 Tridonorejo Bonang Demak</t>
  </si>
  <si>
    <t>Covid meninggal</t>
  </si>
  <si>
    <t>Lemah,deman</t>
  </si>
  <si>
    <t>MUH SUEF</t>
  </si>
  <si>
    <t>RT01 RW 01 wonosalam</t>
  </si>
  <si>
    <t>SATEMI</t>
  </si>
  <si>
    <t>0852-9018-8874</t>
  </si>
  <si>
    <t>Prampelan 2/2 Sayung</t>
  </si>
  <si>
    <t>UMI QOFSHOH</t>
  </si>
  <si>
    <t>0852-8112-3293</t>
  </si>
  <si>
    <t>Sukodono 1/2 Bonang</t>
  </si>
  <si>
    <t>SUBAKIR</t>
  </si>
  <si>
    <t>RT04/ RW 02 Bonangrejo</t>
  </si>
  <si>
    <t>BONANGREJO</t>
  </si>
  <si>
    <t>MUH ROZIKAN</t>
  </si>
  <si>
    <t>0852-9328-7146</t>
  </si>
  <si>
    <t>rt3/rw1Blerong</t>
  </si>
  <si>
    <t>LAMIDI HARYANTO</t>
  </si>
  <si>
    <t>0822-2747-1705</t>
  </si>
  <si>
    <t>rt 03/rw 1 Pulosari</t>
  </si>
  <si>
    <t>LAILATUL MA'RIFAH</t>
  </si>
  <si>
    <t>0856-0090-1964</t>
  </si>
  <si>
    <t>RT5/RW8 Bungo</t>
  </si>
  <si>
    <t>SINAH</t>
  </si>
  <si>
    <t>PECUK 1/2 MIJEN</t>
  </si>
  <si>
    <t>HASRUDIN</t>
  </si>
  <si>
    <t>PURWOREJO 3/2</t>
  </si>
  <si>
    <t>Sapikah</t>
  </si>
  <si>
    <t>Ds. Blerong  4/II dk Karanganyar Kec. Guntr</t>
  </si>
  <si>
    <t>Ya</t>
  </si>
  <si>
    <t xml:space="preserve">RSDK </t>
  </si>
  <si>
    <t>Positif</t>
  </si>
  <si>
    <t>Meninggal (16 Apr 20)</t>
  </si>
  <si>
    <t>MENINGGAL LUAR</t>
  </si>
  <si>
    <t>21 Mei 20</t>
  </si>
  <si>
    <t>MUSTOFA</t>
  </si>
  <si>
    <t>57</t>
  </si>
  <si>
    <t>089692137677</t>
  </si>
  <si>
    <t>PEDAGANG IKAN PASAR BRAMBANG</t>
  </si>
  <si>
    <t>BUMIREJO LEREP RT 03/RW 07 KARANGAWEN</t>
  </si>
  <si>
    <t>RSJ dr AMINO GONDOHUTOMO SMG</t>
  </si>
  <si>
    <t>16 Mei 2020</t>
  </si>
  <si>
    <t>19 Mei 20 Positif (POSITIF)</t>
  </si>
  <si>
    <t>MENINGGAL DI RSJ TGL 25 MEI 2020 JAM 02.53 WIB</t>
  </si>
  <si>
    <t>SRI WATI</t>
  </si>
  <si>
    <t>0852-2567-4156</t>
  </si>
  <si>
    <t>KARANGTOWO RT 04/01 KARANGTENGAH DEMAK</t>
  </si>
  <si>
    <t>KARANGTOWO</t>
  </si>
  <si>
    <t xml:space="preserve">covid meninggal 05/06/2020 </t>
  </si>
  <si>
    <t>MUSRIPAH</t>
  </si>
  <si>
    <t>0858-6666-4297-8</t>
  </si>
  <si>
    <t>TLOGOREJO RT02/06</t>
  </si>
  <si>
    <t>SLAMET TN</t>
  </si>
  <si>
    <t>NGUMPUL RT 01 RW 02 Tegalarum</t>
  </si>
  <si>
    <t>Tgl Masuk RS 2020-06-02</t>
  </si>
  <si>
    <t>MENINGGAL 16/06/2020,</t>
  </si>
  <si>
    <t>Sesak Napas,Demam</t>
  </si>
  <si>
    <t>KOTIANAH</t>
  </si>
  <si>
    <t>JARO RT09/02 Sukorejo</t>
  </si>
  <si>
    <t>Tgl Masuk RS 2020-06-05</t>
  </si>
  <si>
    <t>AHMAD WIJI</t>
  </si>
  <si>
    <t>8231-3722-519</t>
  </si>
  <si>
    <t>Jalan PRIGI, No IV, RT 06, RW 06 MRANGGEN</t>
  </si>
  <si>
    <t>MENINGGAL 08/06/2020 MENINGGAL</t>
  </si>
  <si>
    <t>ALI MUR OB, TN</t>
  </si>
  <si>
    <t>0813-2564-0540</t>
  </si>
  <si>
    <t>Kedungkarang 04/02 wedung demak</t>
  </si>
  <si>
    <t>MENINGGAL 10/06/2020</t>
  </si>
  <si>
    <t>batuk, sesaak</t>
  </si>
  <si>
    <t>SUPRIYADI</t>
  </si>
  <si>
    <t>Purworejo 4/4 bonang</t>
  </si>
  <si>
    <t>RS TELOGOREJO Semarang</t>
  </si>
  <si>
    <t>APS 10/06/2020 dri RS telogorejo semarang</t>
  </si>
  <si>
    <t>koma</t>
  </si>
  <si>
    <t>positif tgl 10/06/2020</t>
  </si>
  <si>
    <t>ABDULLAH</t>
  </si>
  <si>
    <t>0853-2558-0744</t>
  </si>
  <si>
    <t>PURWOSARI RT 01 RW 03 SAYUNG DEMAK</t>
  </si>
  <si>
    <t>SUMARNO</t>
  </si>
  <si>
    <t>0852-2591-6723-</t>
  </si>
  <si>
    <t>BANDUNGREJO  rt 5/3</t>
  </si>
  <si>
    <t>MUSRIAH</t>
  </si>
  <si>
    <t>0813-9264-4107</t>
  </si>
  <si>
    <t>JL JATIKUSUMAN I RT07/03 MRANGGEN</t>
  </si>
  <si>
    <t>SRINEM</t>
  </si>
  <si>
    <t>8132-8453-060</t>
  </si>
  <si>
    <t>Jalan KRAJAN, No , RT 02, RW 10 Jragung</t>
  </si>
  <si>
    <t>JL. JATIKUSUMAN RAYA RT07/04 MRANGGEN</t>
  </si>
  <si>
    <t>Hipertensi</t>
  </si>
  <si>
    <t>SULI</t>
  </si>
  <si>
    <t>SUMBEREJO RT02/02</t>
  </si>
  <si>
    <t>Batuk,Sesak Napas,Demam</t>
  </si>
  <si>
    <t>0852-0038-5106</t>
  </si>
  <si>
    <t>NGALURAN RT 003 RW 007</t>
  </si>
  <si>
    <t>Batuk,Mual,Sakit Perut,Sesak Napas</t>
  </si>
  <si>
    <t>SUYATI</t>
  </si>
  <si>
    <t>0857-4107-4147</t>
  </si>
  <si>
    <t>DOLOG RT01/04 kembangarum</t>
  </si>
  <si>
    <t>Sesak Napas,Pilek,Batuk,Demam</t>
  </si>
  <si>
    <t>NURUDDIN</t>
  </si>
  <si>
    <t>0813-2736-8191</t>
  </si>
  <si>
    <t>GEBANGSARI RT03/32 batursari</t>
  </si>
  <si>
    <t>Demam,Batuk,Diare,Lemas,Sakit Kepala</t>
  </si>
  <si>
    <t>M CHAYIN YUSUF</t>
  </si>
  <si>
    <t>0812-2727-1718</t>
  </si>
  <si>
    <t>Jl Purwosari rt 2 rw 3 Purwosari Demak</t>
  </si>
  <si>
    <t>RSUD Dr. Moewardi Solo</t>
  </si>
  <si>
    <t>Mual,Pilek,Lemas,Demam</t>
  </si>
  <si>
    <t>SUCIATI BT TAWAR</t>
  </si>
  <si>
    <t>0897-9568-989</t>
  </si>
  <si>
    <t>BLADO RT01/03 tegal arum</t>
  </si>
  <si>
    <t>M ANWAR</t>
  </si>
  <si>
    <t>KLILING RT 02/03 PULOSARI KARANGTENGAH DEMAK</t>
  </si>
  <si>
    <t>JAMZURI</t>
  </si>
  <si>
    <t>KEMBANGARUM RT06/02</t>
  </si>
  <si>
    <t>Sakit Kepala,Demam,Batuk,Lemas</t>
  </si>
  <si>
    <t>SUPARTIAH</t>
  </si>
  <si>
    <t>0857-2564-2743</t>
  </si>
  <si>
    <t>2/7 Karangawen</t>
  </si>
  <si>
    <t>0813-2627-1920</t>
  </si>
  <si>
    <t>Wonoagung RT 01 RW 04 Karangtengah Demak</t>
  </si>
  <si>
    <t>WONOAGUNG</t>
  </si>
  <si>
    <t>2020-06-12 00:00:00</t>
  </si>
  <si>
    <t>SAMSUL</t>
  </si>
  <si>
    <t>0856-4355-9480</t>
  </si>
  <si>
    <t>JATE SELATAN RT 02/02 JETAKSARI SAYUNG DEMAK</t>
  </si>
  <si>
    <t>SAMPROH</t>
  </si>
  <si>
    <t>0896-0308-2960</t>
  </si>
  <si>
    <t>JATI UTARA RT 03 RW 03 SAYUNG DEMAK</t>
  </si>
  <si>
    <t>RS Pelita Anugerah</t>
  </si>
  <si>
    <t>Franciscus Arwoko</t>
  </si>
  <si>
    <t>0811272839</t>
  </si>
  <si>
    <t>SWASTA / ASURANSI</t>
  </si>
  <si>
    <t>Semarang</t>
  </si>
  <si>
    <t>Jasmine Park J.19/ No. 21, Plamongan Indah, Kel. Batursari, Kec. Mranggen, Demak</t>
  </si>
  <si>
    <t>RSUP dr. Kariadi Semarang</t>
  </si>
  <si>
    <t>25 Maret 2020</t>
  </si>
  <si>
    <t>DI RST Semarang</t>
  </si>
  <si>
    <t>17 April 2020 Postitif  20/04/2020 Negatif</t>
  </si>
  <si>
    <t>27/04/2020 &amp; Positif</t>
  </si>
  <si>
    <t>6 Mei 2020 Negatif, 7 Mei 2020 positif</t>
  </si>
  <si>
    <t>12 Mei 2020 Positif</t>
  </si>
  <si>
    <t>SEMBUH</t>
  </si>
  <si>
    <t>M. K BUDIONO</t>
  </si>
  <si>
    <t>08122845163</t>
  </si>
  <si>
    <t>POLRI</t>
  </si>
  <si>
    <t>KTP : RT 08 RW 01, Wonosalam, Wonosalam, Demak                            Domisili di Jl. Bayangkara 6 /VII Kec Demak</t>
  </si>
  <si>
    <t>28 - 30 Maret 2020 di RSUD Sunan Kalijaga       dan dirawat di RS Tlogorejo Smg</t>
  </si>
  <si>
    <t xml:space="preserve"> DI RAWAT DI RS TLOGOREJO PER 24 APRIL2020 DI RUMAH</t>
  </si>
  <si>
    <t>30/03/2020 &amp; Positif (Demak), 13 April Positif (Tlogorejo)</t>
  </si>
  <si>
    <t>23/04/2020 &amp; Negatif</t>
  </si>
  <si>
    <t>24/04/2020 &amp; Negatif</t>
  </si>
  <si>
    <t>24 Apr 20 pulang SEMBUH</t>
  </si>
  <si>
    <t>Fitrawati Iriani</t>
  </si>
  <si>
    <t>082213411553</t>
  </si>
  <si>
    <t>IBU RT</t>
  </si>
  <si>
    <t>Saat ini Isolasi di rumah</t>
  </si>
  <si>
    <t>06/04/2020 &amp; Positif</t>
  </si>
  <si>
    <t>21/04/2020 Positif</t>
  </si>
  <si>
    <t>6 Mei 20 Negatif</t>
  </si>
  <si>
    <t>MUHAMMAD ZAKKI</t>
  </si>
  <si>
    <t>085876848875 Mat Rifai                                                  081311335586 istri</t>
  </si>
  <si>
    <t>SWASTA</t>
  </si>
  <si>
    <t>Krandon RT 13 RW 03 Kec. Guntur Demak</t>
  </si>
  <si>
    <t>RSUD KRMT WONGSONEGORO</t>
  </si>
  <si>
    <t>9 April sd sekarang</t>
  </si>
  <si>
    <t>10 April 2020 positif, 11 April 2020 positif</t>
  </si>
  <si>
    <t>14/04/2020 Positif</t>
  </si>
  <si>
    <t>15/04/2020 Positif</t>
  </si>
  <si>
    <t>29 Apr 20 Negatif</t>
  </si>
  <si>
    <t>30 Apr 20 Negtif</t>
  </si>
  <si>
    <t>3 Mei 2020  pulang  SEMBUH</t>
  </si>
  <si>
    <t>MAT RIFAI</t>
  </si>
  <si>
    <t>082227221337</t>
  </si>
  <si>
    <t>PEDAGANG</t>
  </si>
  <si>
    <t>Brebes</t>
  </si>
  <si>
    <t>Dombo RT 04/RW04 Sayung Demak</t>
  </si>
  <si>
    <t>10 April sd sekarang</t>
  </si>
  <si>
    <t>positif</t>
  </si>
  <si>
    <t>11 Apr 20 Negatif</t>
  </si>
  <si>
    <t>20 Apr 20 Negatif</t>
  </si>
  <si>
    <t>21 Apr 20 Negtif</t>
  </si>
  <si>
    <t xml:space="preserve">29 Ap 20 pulang SEMBUH </t>
  </si>
  <si>
    <t>Zamrozi</t>
  </si>
  <si>
    <t>081245678404</t>
  </si>
  <si>
    <t>Maluku transit Jakarta</t>
  </si>
  <si>
    <t>Desa Tanggul RT 02 RW 04 Mijen Demak</t>
  </si>
  <si>
    <t>RSUD dr. LOEKMONO HADI KUDUS</t>
  </si>
  <si>
    <t>4 sd 8 April 2020</t>
  </si>
  <si>
    <t>Sekarang pasien di Ternate Halmahera Utara, Maluku Utara</t>
  </si>
  <si>
    <t>23 Apr 20 &amp; Positif 25 Apr 20 positif</t>
  </si>
  <si>
    <t>14 Mei 2020 negatif 2 kali</t>
  </si>
  <si>
    <t>Rukani</t>
  </si>
  <si>
    <t>08976734036</t>
  </si>
  <si>
    <t>Usaha rosok di Makasar</t>
  </si>
  <si>
    <t>Makasar melalui Surabaya</t>
  </si>
  <si>
    <t>Kedondong RT 6/RW 5 Kec. Demak</t>
  </si>
  <si>
    <t>29 April 20 Negatif</t>
  </si>
  <si>
    <t>30 April 20 Negatif</t>
  </si>
  <si>
    <t>Syaiful Bahri Ibrahim</t>
  </si>
  <si>
    <t>085225711159</t>
  </si>
  <si>
    <t>Mahasiswa</t>
  </si>
  <si>
    <t>Gebang 3/5 Krasak, Kec. Bonang, Demak</t>
  </si>
  <si>
    <t>6 April sd sekarang</t>
  </si>
  <si>
    <t>06/04/2020 &amp;Positif</t>
  </si>
  <si>
    <t>Azril Rahandika Alfariq</t>
  </si>
  <si>
    <t>Rutin periksa hedrocephalus di RSDK</t>
  </si>
  <si>
    <t>Jetaksari, Sayung, Demak</t>
  </si>
  <si>
    <t>RSUP dr. Kariadi Smg</t>
  </si>
  <si>
    <t xml:space="preserve">6 - 21 April 2020 </t>
  </si>
  <si>
    <t>Per 21 April Isolasi mandiri</t>
  </si>
  <si>
    <t>7 April 20 Positif 8 Apr 20 positif</t>
  </si>
  <si>
    <t>20/04/2020 Negatif</t>
  </si>
  <si>
    <t>21/04/2020 negatif</t>
  </si>
  <si>
    <t>Kartini</t>
  </si>
  <si>
    <t>081325546607</t>
  </si>
  <si>
    <t>Sidomulyo RT 07/RW 01, Dempet, Demak</t>
  </si>
  <si>
    <t>16/04/2020 &amp; Positif 17 Apr 20 Negatif</t>
  </si>
  <si>
    <t>5 Mei 20 Negatif</t>
  </si>
  <si>
    <t>Siti Nurul Faizah</t>
  </si>
  <si>
    <t>Sidomulyo RT 08/RW 01,Dempet, Demak</t>
  </si>
  <si>
    <t>16/04/2020 &amp; Positif 17 Apr 20 negatif</t>
  </si>
  <si>
    <t>dr. Dimas Ari Saputro</t>
  </si>
  <si>
    <t>085876127521</t>
  </si>
  <si>
    <t>dokter tim ambulance Semarang Hebat/ klinik</t>
  </si>
  <si>
    <t>Prampelan 02/4</t>
  </si>
  <si>
    <t>Tanpa gejala diswab krn rekan ada yg positif</t>
  </si>
  <si>
    <t>Isolasi di Rumdin Walikota Semarang</t>
  </si>
  <si>
    <t>Swab 15 April 2020  &amp; positif</t>
  </si>
  <si>
    <t>28/04/2020 Negatif</t>
  </si>
  <si>
    <t>29/04/2020 negatif</t>
  </si>
  <si>
    <t>Ariesta Danianti</t>
  </si>
  <si>
    <t>Perawat RS Tlogorejo Semarang</t>
  </si>
  <si>
    <t>KTP. Tegowanu Grobogan, Domisili Kembangarum 1/6 Jetak (Perumahan belakang perhutani)</t>
  </si>
  <si>
    <t>27 Mar  20 &amp; neg, 28 Mar 20 Positif</t>
  </si>
  <si>
    <t>6 Apr 20 Positif, 7 Apr negatif</t>
  </si>
  <si>
    <t>16 Apr 20 negatif</t>
  </si>
  <si>
    <t>17/04/2020 Minta di ulang</t>
  </si>
  <si>
    <t>Ady Supriyono</t>
  </si>
  <si>
    <t xml:space="preserve">Ds. Candisari 2/VI Kec. Mranggen </t>
  </si>
  <si>
    <t>RSDK</t>
  </si>
  <si>
    <t>isolasi di rumah (setalh pulang dari RS)</t>
  </si>
  <si>
    <t>15 April 2020 Positif &amp; 16 April 2020 negatif</t>
  </si>
  <si>
    <t>27 April 2020 Negatif</t>
  </si>
  <si>
    <t>28 April 2020 Negatif</t>
  </si>
  <si>
    <t>HARNITI</t>
  </si>
  <si>
    <t>54</t>
  </si>
  <si>
    <t>Ds. Gemulak 4/III Kec. Sayung</t>
  </si>
  <si>
    <t>Isolasi di rumah</t>
  </si>
  <si>
    <t>Swab 21 Apil 20 Positif</t>
  </si>
  <si>
    <t>12 Mei 2020 Negatif</t>
  </si>
  <si>
    <t>14 Mei 2020               Negatif</t>
  </si>
  <si>
    <t>3 Mei 20</t>
  </si>
  <si>
    <t>Jupriyono</t>
  </si>
  <si>
    <t>Ds. Kedondong    5 / 2 Kec. Demak</t>
  </si>
  <si>
    <t>swab 23 Apr 20 Positif</t>
  </si>
  <si>
    <t>18 Mei 2020 Negatif</t>
  </si>
  <si>
    <t>5  Mei 20</t>
  </si>
  <si>
    <t>Riko Setiawan</t>
  </si>
  <si>
    <t>RS MR Perawat P.Dalam</t>
  </si>
  <si>
    <t>Ds. Ketanjung Perum Taman Kembang Regency Blok M.12 Kec. Kranyar</t>
  </si>
  <si>
    <t>RS Mardi Rahayu</t>
  </si>
  <si>
    <t>ISOLASI DI HOTEL GRYPHTA</t>
  </si>
  <si>
    <t xml:space="preserve">2 Mei 20 Positif </t>
  </si>
  <si>
    <t xml:space="preserve">12 Mei 2020 Negatif  </t>
  </si>
  <si>
    <t>13 Mei 2020 Negatif</t>
  </si>
  <si>
    <t>SEMBUH Pulang 15 Mei 2020</t>
  </si>
  <si>
    <t>Gratianus Rifal Pambudi Aji</t>
  </si>
  <si>
    <t>Ds. Ketanjung Perum Taman Kembang Regency Blok I.18 Kec. Kranyar</t>
  </si>
  <si>
    <t>11 Mei 2020 Negatif</t>
  </si>
  <si>
    <t>SEMBUH Pulang 14 Mei 2020</t>
  </si>
  <si>
    <t>Dyah Undarwati</t>
  </si>
  <si>
    <t>RSMR Perawat Bedah</t>
  </si>
  <si>
    <t>Ds. Bango 6/I Kec. Demak</t>
  </si>
  <si>
    <t>6 Mei 20</t>
  </si>
  <si>
    <t>Reni Rahayu</t>
  </si>
  <si>
    <t>Bidan  RSMR</t>
  </si>
  <si>
    <t>Ds. Wonorejo 8/II Kec. Karanganyar</t>
  </si>
  <si>
    <t xml:space="preserve">24,25 Apr 20 Positif  </t>
  </si>
  <si>
    <t>Evi Lianawati</t>
  </si>
  <si>
    <t>08882822585</t>
  </si>
  <si>
    <t xml:space="preserve">Ds. Batursari RT 17 RW 30. Jl Pucang  Santoso bara IV No 12 Mranggen </t>
  </si>
  <si>
    <t>RUMAH DINAS WALI KOTA SEMARANG</t>
  </si>
  <si>
    <t>Sejak tanggal           27 Apr 20 malam  isolasi R. Dinas Walikota, krn rapid reaktif</t>
  </si>
  <si>
    <t>29 Apr 20 Positif   3 Mei 20 Positif</t>
  </si>
  <si>
    <t>SEMBUH Pulang dari rumdin walikota 15 Mei 2020</t>
  </si>
  <si>
    <t>11 Mei 20</t>
  </si>
  <si>
    <t>MARTIN EMAWAN</t>
  </si>
  <si>
    <t>085642722868</t>
  </si>
  <si>
    <t>`</t>
  </si>
  <si>
    <t>y</t>
  </si>
  <si>
    <t>Ds. Wonoketingal 2/1 Kec. Karanganyar</t>
  </si>
  <si>
    <t>RS Kudus</t>
  </si>
  <si>
    <t>ISOLASI DI AKBID KUDUS SEJAK 28 APRIL 2020</t>
  </si>
  <si>
    <t>28 Aprl 20 Negatif, 29 April 20 positif.</t>
  </si>
  <si>
    <t>17 Mei 20</t>
  </si>
  <si>
    <t>PURWADI</t>
  </si>
  <si>
    <t>49</t>
  </si>
  <si>
    <t>0852-9350-2503</t>
  </si>
  <si>
    <t>KARANGTURI RT 06/02 BOGOSARI GUNTUR DEMAK</t>
  </si>
  <si>
    <t>8 Mei 2020</t>
  </si>
  <si>
    <t xml:space="preserve">11 Mei 20 Positif </t>
  </si>
  <si>
    <t>19 Mei 2020 Negatif</t>
  </si>
  <si>
    <t>SEMBUH Pulang 20 Mei 2020</t>
  </si>
  <si>
    <t>MASKURI</t>
  </si>
  <si>
    <t>47</t>
  </si>
  <si>
    <t>0813-2530-0456</t>
  </si>
  <si>
    <t>BUKO RT 01/07 WEDUNG DEMAK</t>
  </si>
  <si>
    <t>14 Mei 2020</t>
  </si>
  <si>
    <t xml:space="preserve">15 Mei 20 Positif </t>
  </si>
  <si>
    <t>19 Mei 20</t>
  </si>
  <si>
    <t>TASLIMAN</t>
  </si>
  <si>
    <t>48</t>
  </si>
  <si>
    <t>089668075785</t>
  </si>
  <si>
    <t xml:space="preserve">KALISARI RT 01/04 KRAJAN  </t>
  </si>
  <si>
    <t>18 Mei 20 Positif (POSITIF 2 KALI)</t>
  </si>
  <si>
    <t>RUSMINAH</t>
  </si>
  <si>
    <t xml:space="preserve">PILANGSARI RT 01 RW 02 </t>
  </si>
  <si>
    <t>MUNIROH</t>
  </si>
  <si>
    <t>75</t>
  </si>
  <si>
    <t>0856-4374-0401</t>
  </si>
  <si>
    <t>SUMBEREJO RT03/06</t>
  </si>
  <si>
    <t>18 Mei 2020</t>
  </si>
  <si>
    <t>covid sembuh</t>
  </si>
  <si>
    <t>21  Mei 20</t>
  </si>
  <si>
    <t>ARMAN MAULANA RIDHO</t>
  </si>
  <si>
    <t>082328684640</t>
  </si>
  <si>
    <t>MAHASISWA (ARAB SAUDI)</t>
  </si>
  <si>
    <t>ARAB SAUDITGL 5 MEI PULANG DI SUKOHARJO</t>
  </si>
  <si>
    <t>KTP  DEMPET RT 4 RW 5</t>
  </si>
  <si>
    <t>RS SUKOHARJO</t>
  </si>
  <si>
    <t xml:space="preserve">14 Mei 2020 POSITIF  15 Mei 20 Positif </t>
  </si>
  <si>
    <t>sembuh pulang, swab 1 5/6/2020, swab 2 9/6/2020</t>
  </si>
  <si>
    <t>MASRIPAH</t>
  </si>
  <si>
    <t>59</t>
  </si>
  <si>
    <t>PURWOSARI RT/RW 001/ 002</t>
  </si>
  <si>
    <t>20/06/2020 NEGATIF</t>
  </si>
  <si>
    <t>ABDULLAH MUTIK</t>
  </si>
  <si>
    <t>38</t>
  </si>
  <si>
    <t>085225008524</t>
  </si>
  <si>
    <t>YASAADAH</t>
  </si>
  <si>
    <t>42</t>
  </si>
  <si>
    <t>SAYUNG LOR RT 003 RW 002</t>
  </si>
  <si>
    <t>19/06/2020 NEGATIF</t>
  </si>
  <si>
    <t>26 Mei 20</t>
  </si>
  <si>
    <t>SUCIPTO</t>
  </si>
  <si>
    <t>61</t>
  </si>
  <si>
    <t>PERANGKAT  DESA</t>
  </si>
  <si>
    <t>BANJARSARI 3/1 GAJAH</t>
  </si>
  <si>
    <t>sumiyati</t>
  </si>
  <si>
    <t>tugu 4/1 sayung</t>
  </si>
  <si>
    <t>tugu</t>
  </si>
  <si>
    <t>MUHADISIN</t>
  </si>
  <si>
    <t>PASAR KOBONG SEMARANG</t>
  </si>
  <si>
    <t xml:space="preserve"> JUNGSEMI RT 01 RW 04</t>
  </si>
  <si>
    <t xml:space="preserve"> JUNGSEMI</t>
  </si>
  <si>
    <t>SRI SUPIYAH</t>
  </si>
  <si>
    <t>banjarsari 3/1 gajah demak</t>
  </si>
  <si>
    <t>30/05/2020 positif</t>
  </si>
  <si>
    <t>Bambang Rozikan</t>
  </si>
  <si>
    <t>supir sby / ojek</t>
  </si>
  <si>
    <t>Kedungmutih 5/1</t>
  </si>
  <si>
    <t xml:space="preserve">Wedung </t>
  </si>
  <si>
    <t>sukarjo</t>
  </si>
  <si>
    <t>088210700185</t>
  </si>
  <si>
    <t>Bungo 03/08</t>
  </si>
  <si>
    <t>Agus Setyo Budi</t>
  </si>
  <si>
    <t>081325390708</t>
  </si>
  <si>
    <t>pedagang ayam pasar buyaran</t>
  </si>
  <si>
    <t>semarang</t>
  </si>
  <si>
    <t xml:space="preserve">Pulosari 2/1 </t>
  </si>
  <si>
    <t>ahmadi</t>
  </si>
  <si>
    <t>PEMUDIK JAKARTA</t>
  </si>
  <si>
    <t>SOLOWERE 3/1</t>
  </si>
  <si>
    <t>SOLOWERE</t>
  </si>
  <si>
    <t>umi latifah</t>
  </si>
  <si>
    <t>PRT SEMARANG</t>
  </si>
  <si>
    <t>SOLOWERE 4/2</t>
  </si>
  <si>
    <t>waluyo</t>
  </si>
  <si>
    <t>LERED 1/7 BUMIREJO</t>
  </si>
  <si>
    <t>RSWN</t>
  </si>
  <si>
    <t>30/05/2020 POSITIF</t>
  </si>
  <si>
    <t>MUTHOHAROH</t>
  </si>
  <si>
    <t>TAMBAKGOJOYO 1/12 WEDUNG</t>
  </si>
  <si>
    <t>28/05/2020 POSITIF</t>
  </si>
  <si>
    <t>NUR ANA FATMAWATI</t>
  </si>
  <si>
    <t>BUKO 1/7</t>
  </si>
  <si>
    <t xml:space="preserve">WEDUNG </t>
  </si>
  <si>
    <t>31/05/2020 POSITIF</t>
  </si>
  <si>
    <t>SUJINAH</t>
  </si>
  <si>
    <t>BUNGO 6/1</t>
  </si>
  <si>
    <t>Sayaroh</t>
  </si>
  <si>
    <t>beguron 3/3 bintoro</t>
  </si>
  <si>
    <t>bintoro</t>
  </si>
  <si>
    <t>Khoerum</t>
  </si>
  <si>
    <t>085712462864</t>
  </si>
  <si>
    <t>Cabean 4/6</t>
  </si>
  <si>
    <t>0823-3385-6539</t>
  </si>
  <si>
    <t>BATURSARI ASRI RT04/05</t>
  </si>
  <si>
    <t>MUHAMMAD FITRIYADI</t>
  </si>
  <si>
    <t>0821-3526-3040</t>
  </si>
  <si>
    <t>JAMUS RT03/02</t>
  </si>
  <si>
    <t>07/06/2020 POSITIF</t>
  </si>
  <si>
    <t>PURWO TRI ANGGORO</t>
  </si>
  <si>
    <t>0852-5185-0397</t>
  </si>
  <si>
    <t>KURIPAN RT02/09</t>
  </si>
  <si>
    <t>KURIPAN</t>
  </si>
  <si>
    <t>FATHIMUNAL HIDAYATI</t>
  </si>
  <si>
    <t>0895-4150-9002-1</t>
  </si>
  <si>
    <t>KADILANGON RT03/09 KEBONBATUR</t>
  </si>
  <si>
    <t>OKKY AWANG MARJAT SAMODRA</t>
  </si>
  <si>
    <t>082254169196</t>
  </si>
  <si>
    <t>NGEMPLAK 5/1 MRANGGEN</t>
  </si>
  <si>
    <t>NGEMPLAK</t>
  </si>
  <si>
    <t>SITI TEMU</t>
  </si>
  <si>
    <t>0812-1097-5105</t>
  </si>
  <si>
    <t>NGALURAN RT 001 RW 007</t>
  </si>
  <si>
    <t>22 Mei 2020 positif (2 positif)</t>
  </si>
  <si>
    <t>SEMBUH LUAR</t>
  </si>
  <si>
    <t>soimah</t>
  </si>
  <si>
    <t>0812-2766-0579</t>
  </si>
  <si>
    <t>BEDONO RT03/05</t>
  </si>
  <si>
    <t>25/05/2020 positif</t>
  </si>
  <si>
    <t>PEDANG IKAN PASAR SAYUNG</t>
  </si>
  <si>
    <t>MOROSARI 3/5 BEDONO</t>
  </si>
  <si>
    <t>MASUK 28/05/2020</t>
  </si>
  <si>
    <t>MASTUR</t>
  </si>
  <si>
    <t xml:space="preserve">SAYUNG LOR 1/2 </t>
  </si>
  <si>
    <t>RSI SULTAN AGUNG SEMARANG</t>
  </si>
  <si>
    <t>ZAROH</t>
  </si>
  <si>
    <t>0813-2897-7333</t>
  </si>
  <si>
    <t>DS PURWOSARI RT 02/02 SAYUNG DEMAK</t>
  </si>
  <si>
    <t>MUNAWAR</t>
  </si>
  <si>
    <t>0812-2901-4671</t>
  </si>
  <si>
    <t>BANDUNGMULYO RT07/02 bandungrejo</t>
  </si>
  <si>
    <t>bandungrejo</t>
  </si>
  <si>
    <t>SEMBUH TGL 19/06/2020</t>
  </si>
  <si>
    <t>SARNI</t>
  </si>
  <si>
    <t>0857-1376-0022</t>
  </si>
  <si>
    <t>JATIKUSUMAN RT04/04</t>
  </si>
  <si>
    <t>ENDANG SRI SUMARNI</t>
  </si>
  <si>
    <t>0856-2082-400</t>
  </si>
  <si>
    <t>JAMUS GERJEN RT 3/2</t>
  </si>
  <si>
    <t>UPDATE SEMBUH 25/06/2020</t>
  </si>
  <si>
    <t>Demam,Batuk,Sakit Perut,Pilek,Mual</t>
  </si>
  <si>
    <t>SOLIHIN</t>
  </si>
  <si>
    <t>0896-7066-6620</t>
  </si>
  <si>
    <t>SIDOREJO RT06/04</t>
  </si>
  <si>
    <t>Batuk,Sakit Tenggorokan,Mual,Demam,Sakit Kepala</t>
  </si>
  <si>
    <t>ALFIATUN</t>
  </si>
  <si>
    <t>0813-2629-9220</t>
  </si>
  <si>
    <t>BABADAN RT 05/05 SAYUNG DEMAK</t>
  </si>
  <si>
    <t>NUR KHABIB,TN</t>
  </si>
  <si>
    <t>0813-9023-3339</t>
  </si>
  <si>
    <t>MOROSARI RT.5/V BEDONO</t>
  </si>
  <si>
    <t>RS Panti Wilasa Citarum</t>
  </si>
  <si>
    <t>TN. ABDUL ROSYID</t>
  </si>
  <si>
    <t>0878-3377-3704</t>
  </si>
  <si>
    <t>Kedungmutih Rt. 3 Rw. 1</t>
  </si>
  <si>
    <t>UPDATE 25/06/2020</t>
  </si>
  <si>
    <t>MOCH SUJADI ROIS HADI PRANOTO</t>
  </si>
  <si>
    <t>0815-8618-9296</t>
  </si>
  <si>
    <t>kedungwaru kidul 6/1 karanganyar</t>
  </si>
  <si>
    <t>kedungwaru kidul</t>
  </si>
  <si>
    <t>SUDARSI</t>
  </si>
  <si>
    <t>NGRAJEK RT03/15 jragung</t>
  </si>
  <si>
    <t>jragung</t>
  </si>
  <si>
    <t>Demam,Batuk,Sesak Napas,Mual,Lemas</t>
  </si>
  <si>
    <t>22/06/2020 Positif</t>
  </si>
  <si>
    <t>TN. MUHYIDDIN</t>
  </si>
  <si>
    <t>0853-8570-1591</t>
  </si>
  <si>
    <t>Babalan Rt. 1 Rw. 7</t>
  </si>
  <si>
    <t>SUGIYONO</t>
  </si>
  <si>
    <t>0821-3567-8234</t>
  </si>
  <si>
    <t>PALAPA ASRI 41 RT03/04 bandungrejo</t>
  </si>
  <si>
    <t>JUNAIDI</t>
  </si>
  <si>
    <t>8138-5633-803</t>
  </si>
  <si>
    <t>SAYUNG LOR RT004 RW002</t>
  </si>
  <si>
    <t>RSU Columbia Asia Semarang</t>
  </si>
  <si>
    <t>NAFIATUN</t>
  </si>
  <si>
    <t>0896-3205-0925</t>
  </si>
  <si>
    <t>KEBONBATUR RT08/06</t>
  </si>
  <si>
    <t>COVID Sembuh</t>
  </si>
  <si>
    <t>Kembangarum</t>
  </si>
  <si>
    <t>SUSPEK</t>
  </si>
  <si>
    <t>KONTAK ERAT</t>
  </si>
  <si>
    <t>REKAPITULASI DATA SUSPEK, KONTAK ERAT DAN KONFIRMASI</t>
  </si>
  <si>
    <t>KONFIRMASI  YANG DI RAWAT DI LUAR DEMAK</t>
  </si>
  <si>
    <t>DITEMUKAN DI LUAR DEMAK (ISOLASI MANDIRI)</t>
  </si>
  <si>
    <t>ISOLASI MANDIRI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</si>
</sst>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_-* #,##0_-;\-* #,##0_-;_-* &quot;-&quot;_-;_-@_-"/>
    <numFmt numFmtId="165" formatCode="[$-F800]dddd\,\ mmmm\ dd\,\ 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9"/>
      <color theme="1"/>
      <name val="Calibri"/>
      <family val="2"/>
      <scheme val="minor"/>
    </font>
    <font>
      <sz val="14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6" fillId="0" borderId="0"/>
    <xf numFmtId="0" fontId="26" fillId="0" borderId="0"/>
    <xf numFmtId="0" fontId="25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 applyFont="0" applyFill="0" applyBorder="0" applyAlignment="0" applyProtection="0"/>
    <xf numFmtId="0" fontId="26" fillId="0" borderId="0"/>
    <xf numFmtId="0" fontId="1" fillId="0" borderId="0"/>
    <xf numFmtId="164" fontId="1" fillId="0" borderId="0" applyFont="0" applyFill="0" applyBorder="0" applyAlignment="0" applyProtection="0"/>
    <xf numFmtId="0" fontId="26" fillId="0" borderId="0"/>
    <xf numFmtId="164" fontId="1" fillId="0" borderId="0" applyFont="0" applyFill="0" applyBorder="0" applyAlignment="0" applyProtection="0"/>
    <xf numFmtId="0" fontId="26" fillId="0" borderId="0"/>
  </cellStyleXfs>
  <cellXfs count="219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0" fillId="0" borderId="4" xfId="0" applyBorder="1" applyAlignment="1">
      <alignment horizontal="left" vertical="justify"/>
    </xf>
    <xf numFmtId="0" fontId="0" fillId="0" borderId="9" xfId="0" applyBorder="1" applyAlignment="1">
      <alignment horizontal="left" vertical="justify"/>
    </xf>
    <xf numFmtId="0" fontId="0" fillId="0" borderId="1" xfId="0" applyBorder="1" applyAlignment="1">
      <alignment horizontal="left" vertical="justify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justify"/>
    </xf>
    <xf numFmtId="0" fontId="0" fillId="0" borderId="4" xfId="0" applyBorder="1" applyAlignment="1">
      <alignment horizontal="center" vertical="justify"/>
    </xf>
    <xf numFmtId="0" fontId="0" fillId="0" borderId="1" xfId="0" applyBorder="1" applyAlignment="1">
      <alignment horizontal="left" vertical="justify" wrapText="1"/>
    </xf>
    <xf numFmtId="0" fontId="0" fillId="0" borderId="4" xfId="0" applyBorder="1" applyAlignment="1">
      <alignment horizontal="left" vertical="justify" wrapText="1"/>
    </xf>
    <xf numFmtId="0" fontId="0" fillId="0" borderId="9" xfId="0" applyBorder="1" applyAlignment="1">
      <alignment horizontal="left" vertical="justify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0" fillId="0" borderId="5" xfId="0" applyBorder="1" applyAlignment="1">
      <alignment horizontal="center" vertical="justify"/>
    </xf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left" vertical="justify"/>
    </xf>
    <xf numFmtId="0" fontId="0" fillId="0" borderId="5" xfId="0" applyBorder="1"/>
    <xf numFmtId="0" fontId="4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0" fillId="0" borderId="13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Continuous" vertical="center"/>
    </xf>
    <xf numFmtId="0" fontId="5" fillId="2" borderId="0" xfId="0" applyFont="1" applyFill="1"/>
    <xf numFmtId="0" fontId="0" fillId="2" borderId="0" xfId="0" applyFill="1" applyAlignment="1">
      <alignment horizontal="center"/>
    </xf>
    <xf numFmtId="0" fontId="0" fillId="2" borderId="9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0" borderId="15" xfId="0" applyBorder="1" applyAlignment="1">
      <alignment horizontal="center"/>
    </xf>
    <xf numFmtId="0" fontId="0" fillId="0" borderId="8" xfId="0" applyBorder="1"/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15" fontId="0" fillId="0" borderId="12" xfId="0" applyNumberFormat="1" applyBorder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5" xfId="0" applyFill="1" applyBorder="1" applyAlignment="1">
      <alignment horizontal="center"/>
    </xf>
    <xf numFmtId="0" fontId="0" fillId="4" borderId="5" xfId="0" applyFill="1" applyBorder="1"/>
    <xf numFmtId="0" fontId="0" fillId="5" borderId="5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0" borderId="7" xfId="0" applyBorder="1" applyAlignment="1">
      <alignment horizontal="center" vertical="justify" wrapText="1"/>
    </xf>
    <xf numFmtId="0" fontId="0" fillId="0" borderId="7" xfId="0" applyBorder="1" applyAlignment="1">
      <alignment horizontal="left" vertical="justify"/>
    </xf>
    <xf numFmtId="0" fontId="0" fillId="0" borderId="8" xfId="0" applyBorder="1" applyAlignment="1">
      <alignment horizontal="center" vertical="justify" wrapText="1"/>
    </xf>
    <xf numFmtId="0" fontId="0" fillId="0" borderId="8" xfId="0" applyBorder="1" applyAlignment="1">
      <alignment horizontal="left" vertical="justify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left" vertical="justify" wrapText="1"/>
    </xf>
    <xf numFmtId="0" fontId="0" fillId="0" borderId="8" xfId="0" applyBorder="1" applyAlignment="1">
      <alignment horizontal="center" vertical="justify"/>
    </xf>
    <xf numFmtId="0" fontId="0" fillId="0" borderId="10" xfId="0" applyBorder="1" applyAlignment="1">
      <alignment horizontal="center" vertical="justify"/>
    </xf>
    <xf numFmtId="0" fontId="0" fillId="0" borderId="10" xfId="0" applyBorder="1" applyAlignment="1">
      <alignment horizontal="left" vertical="justify" wrapText="1"/>
    </xf>
    <xf numFmtId="0" fontId="5" fillId="3" borderId="0" xfId="0" applyFont="1" applyFill="1" applyAlignment="1">
      <alignment horizontal="centerContinuous" vertical="center"/>
    </xf>
    <xf numFmtId="0" fontId="5" fillId="3" borderId="0" xfId="0" applyFont="1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5" fillId="0" borderId="0" xfId="0" applyFont="1" applyAlignment="1">
      <alignment horizontal="center" vertical="center" wrapText="1"/>
    </xf>
    <xf numFmtId="41" fontId="0" fillId="0" borderId="0" xfId="0" applyNumberFormat="1"/>
    <xf numFmtId="0" fontId="0" fillId="2" borderId="8" xfId="0" applyFill="1" applyBorder="1"/>
    <xf numFmtId="0" fontId="0" fillId="0" borderId="10" xfId="0" applyBorder="1"/>
    <xf numFmtId="0" fontId="0" fillId="0" borderId="7" xfId="0" applyBorder="1"/>
    <xf numFmtId="0" fontId="7" fillId="0" borderId="8" xfId="0" applyFont="1" applyBorder="1"/>
    <xf numFmtId="0" fontId="0" fillId="0" borderId="11" xfId="0" applyBorder="1" applyAlignment="1">
      <alignment horizontal="center" vertical="center"/>
    </xf>
    <xf numFmtId="0" fontId="0" fillId="0" borderId="0" xfId="0" applyAlignment="1">
      <alignment vertical="center"/>
    </xf>
    <xf numFmtId="0" fontId="7" fillId="2" borderId="8" xfId="0" applyFont="1" applyFill="1" applyBorder="1"/>
    <xf numFmtId="0" fontId="0" fillId="0" borderId="0" xfId="0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16" fontId="10" fillId="0" borderId="3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0" fontId="12" fillId="0" borderId="19" xfId="0" applyFont="1" applyBorder="1" applyAlignment="1">
      <alignment horizont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15" fontId="14" fillId="0" borderId="5" xfId="0" applyNumberFormat="1" applyFont="1" applyBorder="1" applyAlignment="1">
      <alignment horizontal="left" vertical="center" wrapText="1"/>
    </xf>
    <xf numFmtId="49" fontId="14" fillId="0" borderId="5" xfId="0" applyNumberFormat="1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14" fontId="14" fillId="0" borderId="5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15" fillId="0" borderId="5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15" fontId="16" fillId="0" borderId="5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13" fillId="0" borderId="5" xfId="0" applyFont="1" applyBorder="1" applyAlignment="1">
      <alignment horizontal="left" wrapText="1"/>
    </xf>
    <xf numFmtId="14" fontId="0" fillId="0" borderId="5" xfId="0" applyNumberFormat="1" applyBorder="1" applyAlignment="1">
      <alignment horizontal="center" wrapText="1"/>
    </xf>
    <xf numFmtId="15" fontId="14" fillId="0" borderId="5" xfId="0" applyNumberFormat="1" applyFon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13" fillId="0" borderId="5" xfId="0" applyFont="1" applyBorder="1" applyAlignment="1">
      <alignment horizontal="left"/>
    </xf>
    <xf numFmtId="0" fontId="0" fillId="0" borderId="5" xfId="0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18" fillId="0" borderId="5" xfId="0" applyFont="1" applyBorder="1" applyAlignment="1">
      <alignment vertical="center" wrapText="1"/>
    </xf>
    <xf numFmtId="0" fontId="18" fillId="0" borderId="5" xfId="0" applyFont="1" applyBorder="1" applyAlignment="1">
      <alignment vertical="center"/>
    </xf>
    <xf numFmtId="14" fontId="18" fillId="0" borderId="5" xfId="0" applyNumberFormat="1" applyFont="1" applyBorder="1" applyAlignment="1">
      <alignment vertical="center" wrapText="1"/>
    </xf>
    <xf numFmtId="0" fontId="13" fillId="0" borderId="0" xfId="0" applyFont="1" applyAlignment="1">
      <alignment horizontal="left" wrapText="1"/>
    </xf>
    <xf numFmtId="49" fontId="19" fillId="0" borderId="5" xfId="2" applyNumberFormat="1" applyFont="1" applyBorder="1" applyAlignment="1">
      <alignment horizontal="left" vertical="center" wrapText="1"/>
    </xf>
    <xf numFmtId="49" fontId="16" fillId="0" borderId="5" xfId="0" applyNumberFormat="1" applyFont="1" applyBorder="1" applyAlignment="1">
      <alignment horizontal="left" vertical="center" wrapText="1"/>
    </xf>
    <xf numFmtId="16" fontId="13" fillId="0" borderId="5" xfId="0" applyNumberFormat="1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0" fillId="6" borderId="0" xfId="0" applyFill="1" applyAlignment="1">
      <alignment horizontal="center" wrapText="1"/>
    </xf>
    <xf numFmtId="0" fontId="20" fillId="0" borderId="5" xfId="0" applyFont="1" applyBorder="1" applyAlignment="1">
      <alignment horizontal="center" vertical="center" wrapText="1"/>
    </xf>
    <xf numFmtId="0" fontId="14" fillId="0" borderId="5" xfId="0" quotePrefix="1" applyFont="1" applyBorder="1" applyAlignment="1">
      <alignment horizontal="left" vertical="center" wrapText="1"/>
    </xf>
    <xf numFmtId="15" fontId="21" fillId="0" borderId="5" xfId="0" applyNumberFormat="1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0" fillId="2" borderId="5" xfId="0" applyFill="1" applyBorder="1" applyAlignment="1">
      <alignment horizontal="center" wrapText="1"/>
    </xf>
    <xf numFmtId="15" fontId="14" fillId="2" borderId="5" xfId="0" applyNumberFormat="1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wrapText="1"/>
    </xf>
    <xf numFmtId="0" fontId="23" fillId="2" borderId="5" xfId="0" applyFont="1" applyFill="1" applyBorder="1" applyAlignment="1">
      <alignment horizontal="center" wrapText="1"/>
    </xf>
    <xf numFmtId="15" fontId="23" fillId="2" borderId="5" xfId="0" applyNumberFormat="1" applyFont="1" applyFill="1" applyBorder="1" applyAlignment="1">
      <alignment horizontal="left" vertical="center" wrapText="1"/>
    </xf>
    <xf numFmtId="0" fontId="23" fillId="2" borderId="5" xfId="0" applyFont="1" applyFill="1" applyBorder="1" applyAlignment="1">
      <alignment horizontal="left" vertical="center" wrapText="1"/>
    </xf>
    <xf numFmtId="49" fontId="23" fillId="2" borderId="5" xfId="0" applyNumberFormat="1" applyFont="1" applyFill="1" applyBorder="1" applyAlignment="1">
      <alignment horizontal="left" vertical="center" wrapText="1"/>
    </xf>
    <xf numFmtId="15" fontId="15" fillId="0" borderId="5" xfId="0" applyNumberFormat="1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vertical="center"/>
    </xf>
    <xf numFmtId="49" fontId="0" fillId="0" borderId="5" xfId="0" applyNumberFormat="1" applyBorder="1" applyAlignment="1">
      <alignment horizontal="center"/>
    </xf>
    <xf numFmtId="49" fontId="0" fillId="0" borderId="5" xfId="0" applyNumberFormat="1" applyBorder="1" applyAlignment="1">
      <alignment horizontal="center" wrapText="1"/>
    </xf>
    <xf numFmtId="0" fontId="23" fillId="2" borderId="5" xfId="0" applyFont="1" applyFill="1" applyBorder="1" applyAlignment="1">
      <alignment horizontal="left" wrapText="1"/>
    </xf>
    <xf numFmtId="14" fontId="23" fillId="2" borderId="5" xfId="0" applyNumberFormat="1" applyFont="1" applyFill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0" fontId="23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9" fillId="0" borderId="5" xfId="0" applyFont="1" applyBorder="1" applyAlignment="1">
      <alignment horizontal="left" wrapText="1"/>
    </xf>
    <xf numFmtId="165" fontId="20" fillId="0" borderId="5" xfId="0" applyNumberFormat="1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center" wrapText="1"/>
    </xf>
    <xf numFmtId="49" fontId="14" fillId="2" borderId="5" xfId="0" applyNumberFormat="1" applyFont="1" applyFill="1" applyBorder="1" applyAlignment="1">
      <alignment horizontal="left" vertical="center" wrapText="1"/>
    </xf>
    <xf numFmtId="16" fontId="21" fillId="0" borderId="5" xfId="0" applyNumberFormat="1" applyFont="1" applyBorder="1" applyAlignment="1">
      <alignment horizontal="left" vertical="center" wrapText="1"/>
    </xf>
    <xf numFmtId="0" fontId="23" fillId="0" borderId="0" xfId="0" applyFont="1" applyAlignment="1">
      <alignment horizont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24" fillId="0" borderId="0" xfId="0" applyFont="1" applyAlignment="1">
      <alignment vertical="center"/>
    </xf>
    <xf numFmtId="15" fontId="14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1" fontId="0" fillId="2" borderId="0" xfId="0" applyNumberFormat="1" applyFill="1"/>
    <xf numFmtId="0" fontId="0" fillId="3" borderId="5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24" fillId="0" borderId="5" xfId="0" applyFont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4" borderId="0" xfId="0" applyFill="1" applyAlignment="1">
      <alignment horizontal="centerContinuous" vertical="center"/>
    </xf>
    <xf numFmtId="0" fontId="5" fillId="4" borderId="0" xfId="0" applyFont="1" applyFill="1" applyAlignment="1">
      <alignment horizontal="centerContinuous" vertical="center"/>
    </xf>
    <xf numFmtId="0" fontId="24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5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justify"/>
    </xf>
    <xf numFmtId="0" fontId="0" fillId="9" borderId="5" xfId="0" applyFill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" fontId="10" fillId="0" borderId="2" xfId="0" applyNumberFormat="1" applyFont="1" applyBorder="1" applyAlignment="1">
      <alignment horizontal="center" vertical="center" wrapText="1"/>
    </xf>
    <xf numFmtId="16" fontId="10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15" fontId="10" fillId="0" borderId="1" xfId="0" applyNumberFormat="1" applyFont="1" applyBorder="1" applyAlignment="1">
      <alignment horizontal="center" vertical="center" wrapText="1"/>
    </xf>
    <xf numFmtId="15" fontId="10" fillId="0" borderId="9" xfId="0" applyNumberFormat="1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justify"/>
    </xf>
    <xf numFmtId="0" fontId="5" fillId="9" borderId="1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165" fontId="0" fillId="4" borderId="12" xfId="0" applyNumberFormat="1" applyFill="1" applyBorder="1" applyAlignment="1">
      <alignment horizontal="left"/>
    </xf>
  </cellXfs>
  <cellStyles count="45">
    <cellStyle name="Comma [0] 2" xfId="6"/>
    <cellStyle name="Comma [0] 2 2" xfId="19"/>
    <cellStyle name="Comma [0] 2 2 2" xfId="38"/>
    <cellStyle name="Comma [0] 2 2 2 2" xfId="43"/>
    <cellStyle name="Comma [0] 2 2 3" xfId="31"/>
    <cellStyle name="Comma [0] 2 2_nama pasien" xfId="33"/>
    <cellStyle name="Comma [0] 2 3" xfId="27"/>
    <cellStyle name="Comma [0] 2_nama pasien" xfId="41"/>
    <cellStyle name="Normal" xfId="0" builtinId="0"/>
    <cellStyle name="Normal 10" xfId="8"/>
    <cellStyle name="Normal 10 2" xfId="20"/>
    <cellStyle name="Normal 10 3" xfId="44"/>
    <cellStyle name="Normal 13" xfId="9"/>
    <cellStyle name="Normal 13 2" xfId="21"/>
    <cellStyle name="Normal 2" xfId="4"/>
    <cellStyle name="Normal 2 2" xfId="17"/>
    <cellStyle name="Normal 2_nama pasien" xfId="36"/>
    <cellStyle name="Normal 3" xfId="7"/>
    <cellStyle name="Normal 3 2" xfId="28"/>
    <cellStyle name="Normal 4" xfId="10"/>
    <cellStyle name="Normal 4 2" xfId="22"/>
    <cellStyle name="Normal 4 3" xfId="30"/>
    <cellStyle name="Normal 5" xfId="3"/>
    <cellStyle name="Normal 5 2" xfId="15"/>
    <cellStyle name="Normal 5 3" xfId="25"/>
    <cellStyle name="Normal 5_nama pasien" xfId="34"/>
    <cellStyle name="Normal 6" xfId="1"/>
    <cellStyle name="Normal 6 2" xfId="2"/>
    <cellStyle name="Normal 6 2 2" xfId="16"/>
    <cellStyle name="Normal 6 2 3" xfId="26"/>
    <cellStyle name="Normal 6 2_nama pasien" xfId="32"/>
    <cellStyle name="Normal 6 3" xfId="5"/>
    <cellStyle name="Normal 6 3 2" xfId="18"/>
    <cellStyle name="Normal 6 3_nama pasien" xfId="40"/>
    <cellStyle name="Normal 6 4" xfId="14"/>
    <cellStyle name="Normal 6_nama pasien" xfId="35"/>
    <cellStyle name="Normal 7" xfId="11"/>
    <cellStyle name="Normal 7 2" xfId="23"/>
    <cellStyle name="Normal 7 2 2" xfId="39"/>
    <cellStyle name="Normal 7 3" xfId="29"/>
    <cellStyle name="Normal 7_nama pasien" xfId="37"/>
    <cellStyle name="Normal 8" xfId="12"/>
    <cellStyle name="Normal 8 2" xfId="42"/>
    <cellStyle name="Normal 9" xfId="24"/>
    <cellStyle name="Percent 2" xfId="1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38250" y="527970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238250" y="526351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38100</xdr:colOff>
      <xdr:row>265</xdr:row>
      <xdr:rowOff>142875</xdr:rowOff>
    </xdr:from>
    <xdr:to>
      <xdr:col>13</xdr:col>
      <xdr:colOff>126873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238250" y="583787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38100</xdr:colOff>
      <xdr:row>264</xdr:row>
      <xdr:rowOff>142875</xdr:rowOff>
    </xdr:from>
    <xdr:to>
      <xdr:col>13</xdr:col>
      <xdr:colOff>126873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238250" y="581882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76"/>
  <sheetViews>
    <sheetView topLeftCell="A367" zoomScale="60" zoomScaleNormal="60" workbookViewId="0">
      <selection activeCell="K383" sqref="K383"/>
    </sheetView>
  </sheetViews>
  <sheetFormatPr defaultColWidth="9.140625" defaultRowHeight="23.25" x14ac:dyDescent="0.35"/>
  <cols>
    <col min="1" max="1" width="10.140625" style="79" customWidth="1"/>
    <col min="2" max="2" width="16.140625" style="79" customWidth="1"/>
    <col min="3" max="3" width="20.28515625" style="79" customWidth="1"/>
    <col min="4" max="4" width="10.7109375" style="79" customWidth="1"/>
    <col min="5" max="5" width="9.5703125" style="79" customWidth="1"/>
    <col min="6" max="6" width="33.7109375" style="115" customWidth="1"/>
    <col min="7" max="7" width="5.28515625" style="79" customWidth="1"/>
    <col min="8" max="8" width="6.140625" style="79" customWidth="1"/>
    <col min="9" max="9" width="22.140625" style="79" customWidth="1"/>
    <col min="10" max="10" width="8.140625" style="79" customWidth="1"/>
    <col min="11" max="11" width="10" style="79" customWidth="1"/>
    <col min="12" max="12" width="8.140625" style="79" customWidth="1"/>
    <col min="13" max="13" width="9" style="79" customWidth="1"/>
    <col min="14" max="14" width="46.5703125" style="115" customWidth="1"/>
    <col min="15" max="15" width="33.85546875" style="115" customWidth="1"/>
    <col min="16" max="16" width="26" style="115" customWidth="1"/>
    <col min="17" max="17" width="12.28515625" style="79" customWidth="1"/>
    <col min="18" max="18" width="37.28515625" style="79" customWidth="1"/>
    <col min="19" max="19" width="23.5703125" style="79" customWidth="1"/>
    <col min="20" max="20" width="25.28515625" style="79" customWidth="1"/>
    <col min="21" max="21" width="12.140625" style="79" customWidth="1"/>
    <col min="22" max="22" width="21.28515625" style="79" customWidth="1"/>
    <col min="23" max="23" width="17.85546875" style="79" customWidth="1"/>
    <col min="24" max="24" width="14.140625" style="79" customWidth="1"/>
    <col min="25" max="25" width="14.5703125" style="79" customWidth="1"/>
    <col min="26" max="26" width="32.28515625" style="79" customWidth="1"/>
    <col min="27" max="27" width="25.85546875" style="104" customWidth="1"/>
    <col min="28" max="28" width="15.140625" style="79" customWidth="1"/>
    <col min="29" max="29" width="16.7109375" style="79" customWidth="1"/>
    <col min="30" max="30" width="15.140625" style="79" customWidth="1"/>
    <col min="31" max="31" width="55.5703125" style="79" customWidth="1"/>
    <col min="32" max="32" width="55.5703125" style="80" customWidth="1"/>
    <col min="33" max="33" width="26.7109375" style="81" customWidth="1"/>
    <col min="34" max="34" width="23.7109375" style="79" customWidth="1"/>
    <col min="35" max="16384" width="9.140625" style="79"/>
  </cols>
  <sheetData>
    <row r="1" spans="1:34" ht="38.25" customHeight="1" x14ac:dyDescent="0.35">
      <c r="A1" s="185" t="s">
        <v>323</v>
      </c>
      <c r="B1" s="185" t="s">
        <v>324</v>
      </c>
      <c r="C1" s="192" t="s">
        <v>325</v>
      </c>
      <c r="D1" s="187" t="s">
        <v>326</v>
      </c>
      <c r="E1" s="185" t="s">
        <v>327</v>
      </c>
      <c r="F1" s="189" t="s">
        <v>328</v>
      </c>
      <c r="G1" s="187" t="s">
        <v>329</v>
      </c>
      <c r="H1" s="187" t="s">
        <v>330</v>
      </c>
      <c r="I1" s="185" t="s">
        <v>331</v>
      </c>
      <c r="J1" s="185" t="s">
        <v>332</v>
      </c>
      <c r="K1" s="187" t="s">
        <v>333</v>
      </c>
      <c r="L1" s="187" t="s">
        <v>334</v>
      </c>
      <c r="M1" s="187" t="s">
        <v>335</v>
      </c>
      <c r="N1" s="189" t="s">
        <v>336</v>
      </c>
      <c r="O1" s="82"/>
      <c r="P1" s="189" t="s">
        <v>2</v>
      </c>
      <c r="Q1" s="185" t="s">
        <v>337</v>
      </c>
      <c r="R1" s="185" t="s">
        <v>338</v>
      </c>
      <c r="S1" s="185" t="s">
        <v>339</v>
      </c>
      <c r="T1" s="191" t="s">
        <v>340</v>
      </c>
      <c r="U1" s="83" t="s">
        <v>341</v>
      </c>
      <c r="V1" s="183" t="s">
        <v>342</v>
      </c>
      <c r="W1" s="184"/>
      <c r="X1" s="184"/>
      <c r="Y1" s="84"/>
      <c r="Z1" s="179" t="s">
        <v>343</v>
      </c>
      <c r="AA1" s="180" t="s">
        <v>344</v>
      </c>
      <c r="AB1" s="182" t="s">
        <v>345</v>
      </c>
      <c r="AC1" s="182" t="s">
        <v>346</v>
      </c>
      <c r="AD1" s="182" t="s">
        <v>347</v>
      </c>
    </row>
    <row r="2" spans="1:34" ht="71.25" customHeight="1" x14ac:dyDescent="0.35">
      <c r="A2" s="186"/>
      <c r="B2" s="186"/>
      <c r="C2" s="193"/>
      <c r="D2" s="188"/>
      <c r="E2" s="186"/>
      <c r="F2" s="190"/>
      <c r="G2" s="188"/>
      <c r="H2" s="188"/>
      <c r="I2" s="186"/>
      <c r="J2" s="186"/>
      <c r="K2" s="188"/>
      <c r="L2" s="188"/>
      <c r="M2" s="188"/>
      <c r="N2" s="190"/>
      <c r="O2" s="85" t="s">
        <v>248</v>
      </c>
      <c r="P2" s="190"/>
      <c r="Q2" s="186"/>
      <c r="R2" s="186"/>
      <c r="S2" s="186"/>
      <c r="T2" s="191"/>
      <c r="U2" s="86" t="s">
        <v>348</v>
      </c>
      <c r="V2" s="86" t="s">
        <v>349</v>
      </c>
      <c r="W2" s="86" t="s">
        <v>350</v>
      </c>
      <c r="X2" s="83" t="s">
        <v>351</v>
      </c>
      <c r="Y2" s="83" t="s">
        <v>352</v>
      </c>
      <c r="Z2" s="179"/>
      <c r="AA2" s="181"/>
      <c r="AB2" s="182"/>
      <c r="AC2" s="182"/>
      <c r="AD2" s="182"/>
    </row>
    <row r="3" spans="1:34" x14ac:dyDescent="0.35">
      <c r="A3" s="87">
        <v>1</v>
      </c>
      <c r="B3" s="87">
        <v>2</v>
      </c>
      <c r="C3" s="87">
        <v>3</v>
      </c>
      <c r="D3" s="87">
        <v>4</v>
      </c>
      <c r="E3" s="87">
        <v>5</v>
      </c>
      <c r="F3" s="88">
        <v>6</v>
      </c>
      <c r="G3" s="87">
        <v>7</v>
      </c>
      <c r="H3" s="87">
        <v>8</v>
      </c>
      <c r="I3" s="87">
        <v>9</v>
      </c>
      <c r="J3" s="87">
        <v>10</v>
      </c>
      <c r="K3" s="87">
        <v>11</v>
      </c>
      <c r="L3" s="87">
        <v>12</v>
      </c>
      <c r="M3" s="87">
        <v>13</v>
      </c>
      <c r="N3" s="88">
        <v>14</v>
      </c>
      <c r="O3" s="88"/>
      <c r="P3" s="88"/>
      <c r="Q3" s="87">
        <v>15</v>
      </c>
      <c r="R3" s="87">
        <v>16</v>
      </c>
      <c r="S3" s="87">
        <v>17</v>
      </c>
      <c r="T3" s="87">
        <v>18</v>
      </c>
      <c r="U3" s="87">
        <v>19</v>
      </c>
      <c r="V3" s="87">
        <v>21</v>
      </c>
      <c r="W3" s="87">
        <v>22</v>
      </c>
      <c r="X3" s="87">
        <v>23</v>
      </c>
      <c r="Y3" s="87">
        <v>24</v>
      </c>
      <c r="Z3" s="89">
        <v>25</v>
      </c>
      <c r="AA3" s="87">
        <v>26</v>
      </c>
      <c r="AB3" s="89">
        <v>27</v>
      </c>
      <c r="AC3" s="87">
        <v>28</v>
      </c>
      <c r="AD3" s="89">
        <v>29</v>
      </c>
      <c r="AF3" s="80" t="s">
        <v>248</v>
      </c>
      <c r="AG3" s="81" t="s">
        <v>2</v>
      </c>
    </row>
    <row r="4" spans="1:34" ht="45" customHeight="1" x14ac:dyDescent="0.35">
      <c r="A4" s="90">
        <v>1</v>
      </c>
      <c r="B4" s="91"/>
      <c r="C4" s="133">
        <v>43920</v>
      </c>
      <c r="D4" s="91" t="s">
        <v>353</v>
      </c>
      <c r="E4" s="91" t="s">
        <v>105</v>
      </c>
      <c r="F4" s="94" t="s">
        <v>1578</v>
      </c>
      <c r="G4" s="91" t="s">
        <v>413</v>
      </c>
      <c r="H4" s="91">
        <v>53</v>
      </c>
      <c r="I4" s="122" t="s">
        <v>1579</v>
      </c>
      <c r="J4" s="91" t="s">
        <v>1580</v>
      </c>
      <c r="K4" s="91" t="s">
        <v>356</v>
      </c>
      <c r="L4" s="91" t="s">
        <v>1581</v>
      </c>
      <c r="M4" s="91" t="s">
        <v>357</v>
      </c>
      <c r="N4" s="94" t="s">
        <v>1582</v>
      </c>
      <c r="O4" s="94" t="s">
        <v>23</v>
      </c>
      <c r="P4" s="94" t="s">
        <v>4</v>
      </c>
      <c r="Q4" s="91" t="s">
        <v>361</v>
      </c>
      <c r="R4" s="91" t="s">
        <v>1583</v>
      </c>
      <c r="S4" s="92" t="s">
        <v>1584</v>
      </c>
      <c r="T4" s="91" t="s">
        <v>885</v>
      </c>
      <c r="U4" s="123" t="s">
        <v>1585</v>
      </c>
      <c r="V4" s="123" t="s">
        <v>1586</v>
      </c>
      <c r="W4" s="123" t="s">
        <v>1587</v>
      </c>
      <c r="X4" s="123" t="s">
        <v>1588</v>
      </c>
      <c r="Y4" s="123" t="s">
        <v>1589</v>
      </c>
      <c r="Z4" s="97"/>
      <c r="AA4" s="91"/>
      <c r="AB4" s="91"/>
      <c r="AC4" s="91"/>
      <c r="AD4" s="97" t="s">
        <v>1590</v>
      </c>
      <c r="AE4" s="98" t="str">
        <f>"*"&amp;F4&amp;"*"&amp;"( "&amp;O4&amp;", "&amp;P4&amp;" )"&amp;", "</f>
        <v xml:space="preserve">*Franciscus Arwoko*( Batursari, Mranggen ), </v>
      </c>
      <c r="AF4" s="94" t="s">
        <v>23</v>
      </c>
      <c r="AG4" s="81" t="s">
        <v>385</v>
      </c>
    </row>
    <row r="5" spans="1:34" ht="45" customHeight="1" x14ac:dyDescent="0.35">
      <c r="A5" s="90">
        <v>2</v>
      </c>
      <c r="B5" s="91"/>
      <c r="C5" s="133">
        <v>43924</v>
      </c>
      <c r="D5" s="91" t="s">
        <v>353</v>
      </c>
      <c r="E5" s="93" t="s">
        <v>105</v>
      </c>
      <c r="F5" s="94" t="s">
        <v>1591</v>
      </c>
      <c r="G5" s="93" t="s">
        <v>413</v>
      </c>
      <c r="H5" s="91" t="s">
        <v>879</v>
      </c>
      <c r="I5" s="122" t="s">
        <v>1592</v>
      </c>
      <c r="J5" s="91" t="s">
        <v>1593</v>
      </c>
      <c r="K5" s="91" t="s">
        <v>356</v>
      </c>
      <c r="L5" s="91" t="s">
        <v>882</v>
      </c>
      <c r="M5" s="91" t="s">
        <v>357</v>
      </c>
      <c r="N5" s="94" t="s">
        <v>1594</v>
      </c>
      <c r="O5" s="94" t="s">
        <v>438</v>
      </c>
      <c r="P5" s="94" t="s">
        <v>105</v>
      </c>
      <c r="Q5" s="91" t="s">
        <v>361</v>
      </c>
      <c r="R5" s="91" t="s">
        <v>473</v>
      </c>
      <c r="S5" s="92" t="s">
        <v>1595</v>
      </c>
      <c r="T5" s="92" t="s">
        <v>1596</v>
      </c>
      <c r="U5" s="123" t="s">
        <v>1597</v>
      </c>
      <c r="V5" s="123" t="s">
        <v>1598</v>
      </c>
      <c r="W5" s="123" t="s">
        <v>1599</v>
      </c>
      <c r="X5" s="123" t="s">
        <v>929</v>
      </c>
      <c r="Y5" s="123" t="s">
        <v>1336</v>
      </c>
      <c r="Z5" s="135" t="s">
        <v>1600</v>
      </c>
      <c r="AA5" s="91"/>
      <c r="AB5" s="91"/>
      <c r="AC5" s="91"/>
      <c r="AD5" s="97" t="s">
        <v>1590</v>
      </c>
      <c r="AE5" s="98" t="str">
        <f>"*"&amp;F5&amp;"*"&amp;"( "&amp;O5&amp;", "&amp;P5&amp;" )"&amp;", "</f>
        <v xml:space="preserve">*M. K BUDIONO*( BINTORO, Demak ), </v>
      </c>
      <c r="AF5" s="94" t="s">
        <v>438</v>
      </c>
      <c r="AG5" s="81" t="s">
        <v>302</v>
      </c>
    </row>
    <row r="6" spans="1:34" ht="45" customHeight="1" x14ac:dyDescent="0.35">
      <c r="A6" s="90">
        <v>3</v>
      </c>
      <c r="B6" s="91"/>
      <c r="C6" s="133">
        <v>43924</v>
      </c>
      <c r="D6" s="91" t="s">
        <v>353</v>
      </c>
      <c r="E6" s="93" t="s">
        <v>105</v>
      </c>
      <c r="F6" s="134" t="s">
        <v>878</v>
      </c>
      <c r="G6" s="93" t="s">
        <v>413</v>
      </c>
      <c r="H6" s="91" t="s">
        <v>879</v>
      </c>
      <c r="I6" s="122" t="s">
        <v>880</v>
      </c>
      <c r="J6" s="91" t="s">
        <v>881</v>
      </c>
      <c r="K6" s="91" t="s">
        <v>356</v>
      </c>
      <c r="L6" s="91" t="s">
        <v>882</v>
      </c>
      <c r="M6" s="91" t="s">
        <v>357</v>
      </c>
      <c r="N6" s="94" t="s">
        <v>883</v>
      </c>
      <c r="O6" s="94" t="s">
        <v>210</v>
      </c>
      <c r="P6" s="94" t="s">
        <v>223</v>
      </c>
      <c r="Q6" s="91" t="s">
        <v>361</v>
      </c>
      <c r="R6" s="91" t="s">
        <v>473</v>
      </c>
      <c r="S6" s="92" t="s">
        <v>884</v>
      </c>
      <c r="T6" s="91" t="s">
        <v>885</v>
      </c>
      <c r="U6" s="123" t="s">
        <v>886</v>
      </c>
      <c r="V6" s="123" t="s">
        <v>887</v>
      </c>
      <c r="W6" s="123" t="s">
        <v>888</v>
      </c>
      <c r="X6" s="123" t="s">
        <v>889</v>
      </c>
      <c r="Y6" s="135"/>
      <c r="Z6" s="97"/>
      <c r="AA6" s="91"/>
      <c r="AB6" s="91"/>
      <c r="AC6" s="91"/>
      <c r="AD6" s="97" t="s">
        <v>890</v>
      </c>
      <c r="AE6" s="98" t="str">
        <f>"*"&amp;F6&amp;"*"&amp;"( "&amp;O6&amp;", "&amp;P6&amp;"/ "&amp;T6&amp;" )"&amp;", "</f>
        <v xml:space="preserve">*Munaser*( Gemulak, Sayung/ Rumah ), </v>
      </c>
      <c r="AF6" s="94" t="s">
        <v>210</v>
      </c>
      <c r="AG6" s="81" t="s">
        <v>304</v>
      </c>
    </row>
    <row r="7" spans="1:34" ht="45" customHeight="1" x14ac:dyDescent="0.35">
      <c r="A7" s="90">
        <v>4</v>
      </c>
      <c r="B7" s="91"/>
      <c r="C7" s="133">
        <v>43929</v>
      </c>
      <c r="D7" s="91" t="s">
        <v>353</v>
      </c>
      <c r="E7" s="93" t="s">
        <v>105</v>
      </c>
      <c r="F7" s="134" t="s">
        <v>1601</v>
      </c>
      <c r="G7" s="93" t="s">
        <v>355</v>
      </c>
      <c r="H7" s="91" t="s">
        <v>879</v>
      </c>
      <c r="I7" s="122" t="s">
        <v>1602</v>
      </c>
      <c r="J7" s="91" t="s">
        <v>1603</v>
      </c>
      <c r="K7" s="91" t="s">
        <v>356</v>
      </c>
      <c r="L7" s="91" t="s">
        <v>882</v>
      </c>
      <c r="M7" s="91" t="s">
        <v>357</v>
      </c>
      <c r="N7" s="94" t="s">
        <v>1594</v>
      </c>
      <c r="O7" s="94" t="s">
        <v>438</v>
      </c>
      <c r="P7" s="94" t="s">
        <v>105</v>
      </c>
      <c r="Q7" s="91" t="s">
        <v>361</v>
      </c>
      <c r="R7" s="91" t="s">
        <v>473</v>
      </c>
      <c r="S7" s="92" t="s">
        <v>884</v>
      </c>
      <c r="T7" s="92" t="s">
        <v>1604</v>
      </c>
      <c r="U7" s="123" t="s">
        <v>1605</v>
      </c>
      <c r="V7" s="123" t="s">
        <v>1606</v>
      </c>
      <c r="W7" s="135" t="s">
        <v>1607</v>
      </c>
      <c r="X7" s="135" t="s">
        <v>1607</v>
      </c>
      <c r="Y7" s="135"/>
      <c r="Z7" s="135" t="s">
        <v>1590</v>
      </c>
      <c r="AA7" s="91"/>
      <c r="AB7" s="91"/>
      <c r="AC7" s="91"/>
      <c r="AD7" s="97" t="s">
        <v>1590</v>
      </c>
      <c r="AE7" s="98" t="str">
        <f t="shared" ref="AE7:AE36" si="0">"*"&amp;F7&amp;"*"&amp;"( "&amp;O7&amp;", "&amp;P7&amp;" )"&amp;", "</f>
        <v xml:space="preserve">*Fitrawati Iriani*( BINTORO, Demak ), </v>
      </c>
      <c r="AF7" s="94" t="s">
        <v>438</v>
      </c>
      <c r="AG7" s="81" t="s">
        <v>302</v>
      </c>
    </row>
    <row r="8" spans="1:34" ht="45" customHeight="1" x14ac:dyDescent="0.35">
      <c r="A8" s="90">
        <v>5</v>
      </c>
      <c r="B8" s="91"/>
      <c r="C8" s="102">
        <v>43935</v>
      </c>
      <c r="D8" s="91" t="s">
        <v>353</v>
      </c>
      <c r="E8" s="93" t="s">
        <v>105</v>
      </c>
      <c r="F8" s="134" t="s">
        <v>1608</v>
      </c>
      <c r="G8" s="93" t="s">
        <v>413</v>
      </c>
      <c r="H8" s="91">
        <v>48</v>
      </c>
      <c r="I8" s="122" t="s">
        <v>1609</v>
      </c>
      <c r="J8" s="91" t="s">
        <v>1610</v>
      </c>
      <c r="K8" s="91" t="s">
        <v>356</v>
      </c>
      <c r="L8" s="91" t="s">
        <v>882</v>
      </c>
      <c r="M8" s="91" t="s">
        <v>357</v>
      </c>
      <c r="N8" s="94" t="s">
        <v>1611</v>
      </c>
      <c r="O8" s="94" t="s">
        <v>167</v>
      </c>
      <c r="P8" s="94" t="s">
        <v>159</v>
      </c>
      <c r="Q8" s="91" t="s">
        <v>361</v>
      </c>
      <c r="R8" s="91" t="s">
        <v>1612</v>
      </c>
      <c r="S8" s="92" t="s">
        <v>1613</v>
      </c>
      <c r="T8" s="91" t="s">
        <v>1612</v>
      </c>
      <c r="U8" s="135" t="s">
        <v>1614</v>
      </c>
      <c r="V8" s="123" t="s">
        <v>1615</v>
      </c>
      <c r="W8" s="123" t="s">
        <v>1616</v>
      </c>
      <c r="X8" s="135" t="s">
        <v>1617</v>
      </c>
      <c r="Y8" s="135" t="s">
        <v>1618</v>
      </c>
      <c r="Z8" s="135" t="s">
        <v>1619</v>
      </c>
      <c r="AA8" s="91"/>
      <c r="AB8" s="91"/>
      <c r="AC8" s="91"/>
      <c r="AD8" s="97" t="s">
        <v>1590</v>
      </c>
      <c r="AE8" s="98" t="str">
        <f t="shared" si="0"/>
        <v xml:space="preserve">*MUHAMMAD ZAKKI*( Krandon, Guntur ), </v>
      </c>
      <c r="AF8" s="94" t="s">
        <v>167</v>
      </c>
      <c r="AG8" s="81" t="s">
        <v>303</v>
      </c>
    </row>
    <row r="9" spans="1:34" ht="45" customHeight="1" x14ac:dyDescent="0.35">
      <c r="A9" s="90">
        <v>6</v>
      </c>
      <c r="B9" s="91"/>
      <c r="C9" s="133">
        <v>43935</v>
      </c>
      <c r="D9" s="91" t="s">
        <v>353</v>
      </c>
      <c r="E9" s="93" t="s">
        <v>105</v>
      </c>
      <c r="F9" s="134" t="s">
        <v>1620</v>
      </c>
      <c r="G9" s="93" t="s">
        <v>413</v>
      </c>
      <c r="H9" s="91">
        <v>50</v>
      </c>
      <c r="I9" s="122" t="s">
        <v>1621</v>
      </c>
      <c r="J9" s="91" t="s">
        <v>1622</v>
      </c>
      <c r="K9" s="91" t="s">
        <v>356</v>
      </c>
      <c r="L9" s="91" t="s">
        <v>1623</v>
      </c>
      <c r="M9" s="91" t="s">
        <v>357</v>
      </c>
      <c r="N9" s="94" t="s">
        <v>1624</v>
      </c>
      <c r="O9" s="94" t="s">
        <v>218</v>
      </c>
      <c r="P9" s="94" t="s">
        <v>223</v>
      </c>
      <c r="Q9" s="91" t="s">
        <v>361</v>
      </c>
      <c r="R9" s="91" t="s">
        <v>1270</v>
      </c>
      <c r="S9" s="92" t="s">
        <v>1625</v>
      </c>
      <c r="T9" s="91" t="s">
        <v>1270</v>
      </c>
      <c r="U9" s="135" t="s">
        <v>1626</v>
      </c>
      <c r="V9" s="135" t="s">
        <v>1627</v>
      </c>
      <c r="W9" s="123" t="s">
        <v>1615</v>
      </c>
      <c r="X9" s="135" t="s">
        <v>1628</v>
      </c>
      <c r="Y9" s="135" t="s">
        <v>1629</v>
      </c>
      <c r="Z9" s="135" t="s">
        <v>1630</v>
      </c>
      <c r="AA9" s="91">
        <v>11</v>
      </c>
      <c r="AB9" s="91"/>
      <c r="AC9" s="91"/>
      <c r="AD9" s="97" t="s">
        <v>1590</v>
      </c>
      <c r="AE9" s="98" t="str">
        <f t="shared" si="0"/>
        <v xml:space="preserve">*MAT RIFAI*( Dombo, Sayung ), </v>
      </c>
      <c r="AF9" s="94" t="s">
        <v>218</v>
      </c>
      <c r="AG9" s="81" t="s">
        <v>304</v>
      </c>
    </row>
    <row r="10" spans="1:34" ht="45" customHeight="1" x14ac:dyDescent="0.35">
      <c r="A10" s="90">
        <v>7</v>
      </c>
      <c r="B10" s="91"/>
      <c r="C10" s="133">
        <v>43937</v>
      </c>
      <c r="D10" s="91" t="s">
        <v>353</v>
      </c>
      <c r="E10" s="93" t="s">
        <v>105</v>
      </c>
      <c r="F10" s="134" t="s">
        <v>1631</v>
      </c>
      <c r="G10" s="93" t="s">
        <v>413</v>
      </c>
      <c r="H10" s="91">
        <v>47</v>
      </c>
      <c r="I10" s="122" t="s">
        <v>1632</v>
      </c>
      <c r="J10" s="91" t="s">
        <v>1622</v>
      </c>
      <c r="K10" s="91" t="s">
        <v>356</v>
      </c>
      <c r="L10" s="91" t="s">
        <v>1633</v>
      </c>
      <c r="M10" s="91" t="s">
        <v>357</v>
      </c>
      <c r="N10" s="94" t="s">
        <v>1634</v>
      </c>
      <c r="O10" s="94" t="s">
        <v>93</v>
      </c>
      <c r="P10" s="94" t="s">
        <v>91</v>
      </c>
      <c r="Q10" s="91" t="s">
        <v>361</v>
      </c>
      <c r="R10" s="91" t="s">
        <v>1635</v>
      </c>
      <c r="S10" s="92" t="s">
        <v>1636</v>
      </c>
      <c r="T10" s="91" t="s">
        <v>1637</v>
      </c>
      <c r="U10" s="135" t="s">
        <v>1638</v>
      </c>
      <c r="V10" s="135"/>
      <c r="W10" s="123" t="s">
        <v>1639</v>
      </c>
      <c r="X10" s="135"/>
      <c r="Y10" s="135"/>
      <c r="Z10" s="135" t="s">
        <v>1590</v>
      </c>
      <c r="AA10" s="91"/>
      <c r="AB10" s="91"/>
      <c r="AC10" s="91"/>
      <c r="AD10" s="97" t="s">
        <v>1590</v>
      </c>
      <c r="AE10" s="98" t="str">
        <f t="shared" si="0"/>
        <v xml:space="preserve">*Zamrozi*( Tanggul, Mijen ), </v>
      </c>
      <c r="AF10" s="94" t="s">
        <v>93</v>
      </c>
      <c r="AG10" s="81" t="s">
        <v>309</v>
      </c>
    </row>
    <row r="11" spans="1:34" ht="45" customHeight="1" x14ac:dyDescent="0.35">
      <c r="A11" s="90">
        <v>8</v>
      </c>
      <c r="B11" s="91"/>
      <c r="C11" s="133">
        <v>43941</v>
      </c>
      <c r="D11" s="91" t="s">
        <v>353</v>
      </c>
      <c r="E11" s="93" t="s">
        <v>105</v>
      </c>
      <c r="F11" s="134" t="s">
        <v>1640</v>
      </c>
      <c r="G11" s="93" t="s">
        <v>413</v>
      </c>
      <c r="H11" s="93">
        <v>51</v>
      </c>
      <c r="I11" s="91" t="s">
        <v>1641</v>
      </c>
      <c r="J11" s="91" t="s">
        <v>1642</v>
      </c>
      <c r="K11" s="91" t="s">
        <v>356</v>
      </c>
      <c r="L11" s="91" t="s">
        <v>1643</v>
      </c>
      <c r="M11" s="91" t="s">
        <v>357</v>
      </c>
      <c r="N11" s="94" t="s">
        <v>1644</v>
      </c>
      <c r="O11" s="94" t="s">
        <v>59</v>
      </c>
      <c r="P11" s="94" t="s">
        <v>105</v>
      </c>
      <c r="Q11" s="91" t="s">
        <v>361</v>
      </c>
      <c r="R11" s="91" t="s">
        <v>473</v>
      </c>
      <c r="S11" s="92" t="s">
        <v>1625</v>
      </c>
      <c r="T11" s="91" t="s">
        <v>473</v>
      </c>
      <c r="U11" s="123" t="s">
        <v>1335</v>
      </c>
      <c r="V11" s="135" t="s">
        <v>1645</v>
      </c>
      <c r="W11" s="135" t="s">
        <v>1646</v>
      </c>
      <c r="X11" s="135"/>
      <c r="Y11" s="135"/>
      <c r="Z11" s="135" t="s">
        <v>1590</v>
      </c>
      <c r="AA11" s="91"/>
      <c r="AB11" s="91"/>
      <c r="AC11" s="91"/>
      <c r="AD11" s="97" t="s">
        <v>1590</v>
      </c>
      <c r="AE11" s="98" t="str">
        <f t="shared" si="0"/>
        <v xml:space="preserve">*Rukani*( Kedondong, Demak ), </v>
      </c>
      <c r="AF11" s="94" t="s">
        <v>59</v>
      </c>
      <c r="AG11" s="81" t="s">
        <v>302</v>
      </c>
    </row>
    <row r="12" spans="1:34" ht="45" customHeight="1" x14ac:dyDescent="0.35">
      <c r="A12" s="90">
        <v>9</v>
      </c>
      <c r="B12" s="91"/>
      <c r="C12" s="133">
        <v>43941</v>
      </c>
      <c r="D12" s="91" t="s">
        <v>353</v>
      </c>
      <c r="E12" s="93" t="s">
        <v>105</v>
      </c>
      <c r="F12" s="134" t="s">
        <v>1647</v>
      </c>
      <c r="G12" s="93" t="s">
        <v>413</v>
      </c>
      <c r="H12" s="93" t="s">
        <v>274</v>
      </c>
      <c r="I12" s="122" t="s">
        <v>1648</v>
      </c>
      <c r="J12" s="91" t="s">
        <v>1649</v>
      </c>
      <c r="K12" s="91" t="s">
        <v>356</v>
      </c>
      <c r="L12" s="91" t="s">
        <v>1581</v>
      </c>
      <c r="M12" s="91" t="s">
        <v>357</v>
      </c>
      <c r="N12" s="94" t="s">
        <v>1650</v>
      </c>
      <c r="O12" s="94" t="s">
        <v>132</v>
      </c>
      <c r="P12" s="94" t="s">
        <v>127</v>
      </c>
      <c r="Q12" s="91" t="s">
        <v>361</v>
      </c>
      <c r="R12" s="91" t="s">
        <v>473</v>
      </c>
      <c r="S12" s="92" t="s">
        <v>1651</v>
      </c>
      <c r="T12" s="91" t="s">
        <v>473</v>
      </c>
      <c r="U12" s="123" t="s">
        <v>1652</v>
      </c>
      <c r="V12" s="135" t="s">
        <v>1645</v>
      </c>
      <c r="W12" s="135" t="s">
        <v>1646</v>
      </c>
      <c r="X12" s="135"/>
      <c r="Y12" s="135"/>
      <c r="Z12" s="135" t="s">
        <v>1590</v>
      </c>
      <c r="AA12" s="91"/>
      <c r="AB12" s="91"/>
      <c r="AC12" s="91"/>
      <c r="AD12" s="97" t="s">
        <v>1590</v>
      </c>
      <c r="AE12" s="98" t="str">
        <f t="shared" si="0"/>
        <v xml:space="preserve">*Syaiful Bahri Ibrahim*( Gebang, Bonang ), </v>
      </c>
      <c r="AF12" s="94" t="s">
        <v>132</v>
      </c>
      <c r="AG12" s="81" t="s">
        <v>311</v>
      </c>
    </row>
    <row r="13" spans="1:34" ht="45" customHeight="1" x14ac:dyDescent="0.35">
      <c r="A13" s="90">
        <v>10</v>
      </c>
      <c r="B13" s="91"/>
      <c r="C13" s="133">
        <v>43941</v>
      </c>
      <c r="D13" s="91" t="s">
        <v>353</v>
      </c>
      <c r="E13" s="93" t="s">
        <v>105</v>
      </c>
      <c r="F13" s="134" t="s">
        <v>1327</v>
      </c>
      <c r="G13" s="93" t="s">
        <v>413</v>
      </c>
      <c r="H13" s="93" t="s">
        <v>1328</v>
      </c>
      <c r="I13" s="122" t="s">
        <v>1329</v>
      </c>
      <c r="J13" s="91" t="s">
        <v>1330</v>
      </c>
      <c r="K13" s="91" t="s">
        <v>356</v>
      </c>
      <c r="L13" s="91" t="s">
        <v>1331</v>
      </c>
      <c r="M13" s="91" t="s">
        <v>357</v>
      </c>
      <c r="N13" s="94" t="s">
        <v>1332</v>
      </c>
      <c r="O13" s="94" t="s">
        <v>114</v>
      </c>
      <c r="P13" s="94" t="s">
        <v>302</v>
      </c>
      <c r="Q13" s="91" t="s">
        <v>361</v>
      </c>
      <c r="R13" s="91" t="s">
        <v>473</v>
      </c>
      <c r="S13" s="92" t="s">
        <v>1333</v>
      </c>
      <c r="T13" s="91" t="s">
        <v>1334</v>
      </c>
      <c r="U13" s="123" t="s">
        <v>1335</v>
      </c>
      <c r="V13" s="135" t="s">
        <v>929</v>
      </c>
      <c r="W13" s="135" t="s">
        <v>929</v>
      </c>
      <c r="X13" s="135" t="s">
        <v>929</v>
      </c>
      <c r="Y13" s="135" t="s">
        <v>1336</v>
      </c>
      <c r="Z13" s="135" t="s">
        <v>1337</v>
      </c>
      <c r="AA13" s="91"/>
      <c r="AB13" s="91"/>
      <c r="AC13" s="91"/>
      <c r="AD13" s="97" t="s">
        <v>316</v>
      </c>
      <c r="AE13" s="98" t="str">
        <f t="shared" si="0"/>
        <v xml:space="preserve">*M.ZAENAL ARIFIN*( Turirejo, DEMAK ), </v>
      </c>
      <c r="AF13" s="94" t="s">
        <v>114</v>
      </c>
      <c r="AG13" s="81" t="s">
        <v>302</v>
      </c>
      <c r="AH13" s="2"/>
    </row>
    <row r="14" spans="1:34" ht="45" customHeight="1" x14ac:dyDescent="0.35">
      <c r="A14" s="90">
        <v>11</v>
      </c>
      <c r="B14" s="91"/>
      <c r="C14" s="133">
        <v>43942</v>
      </c>
      <c r="D14" s="91" t="s">
        <v>353</v>
      </c>
      <c r="E14" s="93" t="s">
        <v>105</v>
      </c>
      <c r="F14" s="134" t="s">
        <v>1653</v>
      </c>
      <c r="G14" s="93" t="s">
        <v>413</v>
      </c>
      <c r="H14" s="93">
        <v>3</v>
      </c>
      <c r="I14" s="91"/>
      <c r="J14" s="91"/>
      <c r="K14" s="91" t="s">
        <v>356</v>
      </c>
      <c r="L14" s="91" t="s">
        <v>1654</v>
      </c>
      <c r="M14" s="91" t="s">
        <v>357</v>
      </c>
      <c r="N14" s="94" t="s">
        <v>1655</v>
      </c>
      <c r="O14" s="94" t="s">
        <v>220</v>
      </c>
      <c r="P14" s="94" t="s">
        <v>223</v>
      </c>
      <c r="Q14" s="91" t="s">
        <v>361</v>
      </c>
      <c r="R14" s="91" t="s">
        <v>1656</v>
      </c>
      <c r="S14" s="92" t="s">
        <v>1657</v>
      </c>
      <c r="T14" s="91" t="s">
        <v>1658</v>
      </c>
      <c r="U14" s="135" t="s">
        <v>1659</v>
      </c>
      <c r="V14" s="152" t="s">
        <v>1660</v>
      </c>
      <c r="W14" s="123" t="s">
        <v>1661</v>
      </c>
      <c r="X14" s="135" t="s">
        <v>929</v>
      </c>
      <c r="Y14" s="135" t="s">
        <v>1336</v>
      </c>
      <c r="Z14" s="135" t="s">
        <v>1590</v>
      </c>
      <c r="AA14" s="91"/>
      <c r="AB14" s="91"/>
      <c r="AC14" s="91"/>
      <c r="AD14" s="97" t="s">
        <v>1590</v>
      </c>
      <c r="AE14" s="98" t="str">
        <f t="shared" si="0"/>
        <v xml:space="preserve">*Azril Rahandika Alfariq*( Jetaksari, Sayung ), </v>
      </c>
      <c r="AF14" s="94" t="s">
        <v>220</v>
      </c>
      <c r="AG14" s="81" t="s">
        <v>304</v>
      </c>
      <c r="AH14" s="103"/>
    </row>
    <row r="15" spans="1:34" ht="25.5" customHeight="1" x14ac:dyDescent="0.35">
      <c r="A15" s="90">
        <v>12</v>
      </c>
      <c r="B15" s="91"/>
      <c r="C15" s="133">
        <v>43943</v>
      </c>
      <c r="D15" s="91" t="s">
        <v>353</v>
      </c>
      <c r="E15" s="93" t="s">
        <v>105</v>
      </c>
      <c r="F15" s="134" t="s">
        <v>1662</v>
      </c>
      <c r="G15" s="93" t="s">
        <v>355</v>
      </c>
      <c r="H15" s="93">
        <v>60</v>
      </c>
      <c r="I15" s="122" t="s">
        <v>1663</v>
      </c>
      <c r="J15" s="91"/>
      <c r="K15" s="91" t="s">
        <v>356</v>
      </c>
      <c r="L15" s="91"/>
      <c r="M15" s="91" t="s">
        <v>357</v>
      </c>
      <c r="N15" s="94" t="s">
        <v>1664</v>
      </c>
      <c r="O15" s="94" t="s">
        <v>47</v>
      </c>
      <c r="P15" s="94" t="s">
        <v>180</v>
      </c>
      <c r="Q15" s="91" t="s">
        <v>361</v>
      </c>
      <c r="R15" s="91" t="s">
        <v>1635</v>
      </c>
      <c r="S15" s="92">
        <v>43933</v>
      </c>
      <c r="T15" s="91" t="s">
        <v>1658</v>
      </c>
      <c r="U15" s="123" t="s">
        <v>1665</v>
      </c>
      <c r="V15" s="135" t="s">
        <v>1666</v>
      </c>
      <c r="W15" s="135" t="s">
        <v>1607</v>
      </c>
      <c r="X15" s="135"/>
      <c r="Y15" s="135"/>
      <c r="Z15" s="135" t="s">
        <v>1590</v>
      </c>
      <c r="AA15" s="91"/>
      <c r="AB15" s="91"/>
      <c r="AC15" s="91"/>
      <c r="AD15" s="97" t="s">
        <v>1590</v>
      </c>
      <c r="AE15" s="98" t="str">
        <f t="shared" si="0"/>
        <v xml:space="preserve">*Kartini*( Sidomulyo, Dempet ), </v>
      </c>
      <c r="AF15" s="94" t="s">
        <v>47</v>
      </c>
      <c r="AG15" s="81" t="s">
        <v>307</v>
      </c>
    </row>
    <row r="16" spans="1:34" ht="25.5" customHeight="1" x14ac:dyDescent="0.35">
      <c r="A16" s="90">
        <v>13</v>
      </c>
      <c r="B16" s="91"/>
      <c r="C16" s="133">
        <v>43943</v>
      </c>
      <c r="D16" s="91" t="s">
        <v>353</v>
      </c>
      <c r="E16" s="93" t="s">
        <v>105</v>
      </c>
      <c r="F16" s="134" t="s">
        <v>1667</v>
      </c>
      <c r="G16" s="93" t="s">
        <v>355</v>
      </c>
      <c r="H16" s="93">
        <v>28</v>
      </c>
      <c r="I16" s="122"/>
      <c r="J16" s="91"/>
      <c r="K16" s="91" t="s">
        <v>356</v>
      </c>
      <c r="L16" s="91"/>
      <c r="M16" s="91" t="s">
        <v>357</v>
      </c>
      <c r="N16" s="94" t="s">
        <v>1668</v>
      </c>
      <c r="O16" s="94" t="s">
        <v>47</v>
      </c>
      <c r="P16" s="94" t="s">
        <v>180</v>
      </c>
      <c r="Q16" s="91" t="s">
        <v>361</v>
      </c>
      <c r="R16" s="91" t="s">
        <v>1635</v>
      </c>
      <c r="S16" s="92">
        <v>43933</v>
      </c>
      <c r="T16" s="91" t="s">
        <v>1658</v>
      </c>
      <c r="U16" s="123" t="s">
        <v>1669</v>
      </c>
      <c r="V16" s="135" t="s">
        <v>1666</v>
      </c>
      <c r="W16" s="135" t="s">
        <v>1607</v>
      </c>
      <c r="X16" s="135"/>
      <c r="Y16" s="135"/>
      <c r="Z16" s="135" t="s">
        <v>1590</v>
      </c>
      <c r="AA16" s="91"/>
      <c r="AB16" s="91"/>
      <c r="AC16" s="91"/>
      <c r="AD16" s="97" t="s">
        <v>1590</v>
      </c>
      <c r="AE16" s="98" t="str">
        <f t="shared" si="0"/>
        <v xml:space="preserve">*Siti Nurul Faizah*( Sidomulyo, Dempet ), </v>
      </c>
      <c r="AF16" s="94" t="s">
        <v>47</v>
      </c>
      <c r="AG16" s="81" t="s">
        <v>307</v>
      </c>
      <c r="AH16"/>
    </row>
    <row r="17" spans="1:34" ht="25.5" customHeight="1" x14ac:dyDescent="0.35">
      <c r="A17" s="90">
        <v>14</v>
      </c>
      <c r="B17" s="91"/>
      <c r="C17" s="133">
        <v>43943</v>
      </c>
      <c r="D17" s="91" t="s">
        <v>353</v>
      </c>
      <c r="E17" s="93" t="s">
        <v>105</v>
      </c>
      <c r="F17" s="134" t="s">
        <v>1670</v>
      </c>
      <c r="G17" s="93" t="s">
        <v>413</v>
      </c>
      <c r="H17" s="93" t="s">
        <v>283</v>
      </c>
      <c r="I17" s="122" t="s">
        <v>1671</v>
      </c>
      <c r="J17" s="91" t="s">
        <v>1672</v>
      </c>
      <c r="K17" s="91" t="s">
        <v>570</v>
      </c>
      <c r="L17" s="91" t="s">
        <v>1581</v>
      </c>
      <c r="M17" s="91" t="s">
        <v>357</v>
      </c>
      <c r="N17" s="94" t="s">
        <v>1673</v>
      </c>
      <c r="O17" s="94" t="s">
        <v>222</v>
      </c>
      <c r="P17" s="94" t="s">
        <v>223</v>
      </c>
      <c r="Q17" s="91" t="s">
        <v>516</v>
      </c>
      <c r="R17" s="91" t="s">
        <v>1674</v>
      </c>
      <c r="S17" s="92"/>
      <c r="T17" s="91" t="s">
        <v>1675</v>
      </c>
      <c r="U17" s="135" t="s">
        <v>1676</v>
      </c>
      <c r="V17" s="152" t="s">
        <v>1677</v>
      </c>
      <c r="W17" s="123" t="s">
        <v>1678</v>
      </c>
      <c r="X17" s="135"/>
      <c r="Y17" s="135"/>
      <c r="Z17" s="135" t="s">
        <v>1590</v>
      </c>
      <c r="AA17" s="91"/>
      <c r="AB17" s="91"/>
      <c r="AC17" s="91"/>
      <c r="AD17" s="97" t="s">
        <v>1590</v>
      </c>
      <c r="AE17" s="98" t="str">
        <f t="shared" si="0"/>
        <v xml:space="preserve">*dr. Dimas Ari Saputro*( Prampelan, Sayung ), </v>
      </c>
      <c r="AF17" s="94" t="s">
        <v>222</v>
      </c>
      <c r="AG17" s="81" t="s">
        <v>304</v>
      </c>
    </row>
    <row r="18" spans="1:34" ht="25.5" customHeight="1" x14ac:dyDescent="0.35">
      <c r="A18" s="90">
        <v>15</v>
      </c>
      <c r="B18" s="91"/>
      <c r="C18" s="133">
        <v>43928</v>
      </c>
      <c r="D18" s="91" t="s">
        <v>353</v>
      </c>
      <c r="E18" s="93" t="s">
        <v>105</v>
      </c>
      <c r="F18" s="134" t="s">
        <v>1679</v>
      </c>
      <c r="G18" s="93" t="s">
        <v>355</v>
      </c>
      <c r="H18" s="93" t="s">
        <v>287</v>
      </c>
      <c r="I18" s="122"/>
      <c r="J18" s="91" t="s">
        <v>1680</v>
      </c>
      <c r="K18" s="91" t="s">
        <v>570</v>
      </c>
      <c r="L18" s="91" t="s">
        <v>1581</v>
      </c>
      <c r="M18" s="91" t="s">
        <v>357</v>
      </c>
      <c r="N18" s="94" t="s">
        <v>1681</v>
      </c>
      <c r="O18" s="94" t="s">
        <v>724</v>
      </c>
      <c r="P18" s="94" t="s">
        <v>4</v>
      </c>
      <c r="Q18" s="91" t="s">
        <v>361</v>
      </c>
      <c r="R18" s="91" t="s">
        <v>1519</v>
      </c>
      <c r="S18" s="92"/>
      <c r="T18" s="91" t="s">
        <v>1519</v>
      </c>
      <c r="U18" s="135" t="s">
        <v>1682</v>
      </c>
      <c r="V18" s="135" t="s">
        <v>1683</v>
      </c>
      <c r="W18" s="135" t="s">
        <v>1684</v>
      </c>
      <c r="X18" s="123" t="s">
        <v>1685</v>
      </c>
      <c r="Y18" s="123" t="s">
        <v>1336</v>
      </c>
      <c r="Z18" s="135" t="s">
        <v>1590</v>
      </c>
      <c r="AA18" s="91">
        <v>14</v>
      </c>
      <c r="AB18" s="91"/>
      <c r="AC18" s="91"/>
      <c r="AD18" s="97" t="s">
        <v>1590</v>
      </c>
      <c r="AE18" s="98" t="str">
        <f t="shared" si="0"/>
        <v xml:space="preserve">*Ariesta Danianti*( KEMBANGARUM, Mranggen ), </v>
      </c>
      <c r="AF18" s="94" t="s">
        <v>724</v>
      </c>
      <c r="AG18" s="81" t="s">
        <v>385</v>
      </c>
      <c r="AH18" s="103"/>
    </row>
    <row r="19" spans="1:34" ht="25.5" customHeight="1" x14ac:dyDescent="0.35">
      <c r="A19" s="90">
        <v>16</v>
      </c>
      <c r="B19" s="91"/>
      <c r="C19" s="133">
        <v>43945</v>
      </c>
      <c r="D19" s="91" t="s">
        <v>353</v>
      </c>
      <c r="E19" s="93" t="s">
        <v>105</v>
      </c>
      <c r="F19" s="134" t="s">
        <v>1475</v>
      </c>
      <c r="G19" s="93" t="s">
        <v>1264</v>
      </c>
      <c r="H19" s="93">
        <v>55</v>
      </c>
      <c r="I19" s="122">
        <v>85848678938</v>
      </c>
      <c r="J19" s="91" t="s">
        <v>402</v>
      </c>
      <c r="K19" s="91" t="s">
        <v>356</v>
      </c>
      <c r="L19" s="91"/>
      <c r="M19" s="91" t="s">
        <v>357</v>
      </c>
      <c r="N19" s="94" t="s">
        <v>1476</v>
      </c>
      <c r="O19" s="94" t="s">
        <v>160</v>
      </c>
      <c r="P19" s="94" t="s">
        <v>303</v>
      </c>
      <c r="Q19" s="91" t="s">
        <v>1477</v>
      </c>
      <c r="R19" s="91" t="s">
        <v>1478</v>
      </c>
      <c r="S19" s="92"/>
      <c r="T19" s="91" t="s">
        <v>1334</v>
      </c>
      <c r="U19" s="135" t="s">
        <v>1479</v>
      </c>
      <c r="V19" s="135" t="s">
        <v>929</v>
      </c>
      <c r="W19" s="135" t="s">
        <v>929</v>
      </c>
      <c r="X19" s="135" t="s">
        <v>929</v>
      </c>
      <c r="Y19" s="135" t="s">
        <v>1336</v>
      </c>
      <c r="Z19" s="135" t="s">
        <v>1480</v>
      </c>
      <c r="AA19" s="91">
        <v>16</v>
      </c>
      <c r="AB19" s="91"/>
      <c r="AC19" s="91"/>
      <c r="AD19" s="97" t="s">
        <v>1481</v>
      </c>
      <c r="AE19" s="98" t="str">
        <f t="shared" si="0"/>
        <v xml:space="preserve">*Sapikah*( Blerong, GUNTUR ), </v>
      </c>
      <c r="AF19" s="94" t="s">
        <v>160</v>
      </c>
      <c r="AG19" s="81" t="s">
        <v>303</v>
      </c>
    </row>
    <row r="20" spans="1:34" ht="25.5" customHeight="1" x14ac:dyDescent="0.35">
      <c r="A20" s="90">
        <v>17</v>
      </c>
      <c r="B20" s="91"/>
      <c r="C20" s="133">
        <v>43947</v>
      </c>
      <c r="D20" s="91" t="s">
        <v>353</v>
      </c>
      <c r="E20" s="93" t="s">
        <v>105</v>
      </c>
      <c r="F20" s="134" t="s">
        <v>1686</v>
      </c>
      <c r="G20" s="93" t="s">
        <v>413</v>
      </c>
      <c r="H20" s="93">
        <v>52</v>
      </c>
      <c r="I20" s="122">
        <v>87876230465</v>
      </c>
      <c r="J20" s="91" t="s">
        <v>402</v>
      </c>
      <c r="K20" s="91" t="s">
        <v>356</v>
      </c>
      <c r="L20" s="91"/>
      <c r="M20" s="91" t="s">
        <v>357</v>
      </c>
      <c r="N20" s="94" t="s">
        <v>1687</v>
      </c>
      <c r="O20" s="94" t="s">
        <v>13</v>
      </c>
      <c r="P20" s="94" t="s">
        <v>4</v>
      </c>
      <c r="Q20" s="91" t="s">
        <v>361</v>
      </c>
      <c r="R20" s="91" t="s">
        <v>1688</v>
      </c>
      <c r="S20" s="92"/>
      <c r="T20" s="91" t="s">
        <v>1689</v>
      </c>
      <c r="U20" s="135" t="s">
        <v>1690</v>
      </c>
      <c r="V20" s="135" t="s">
        <v>1691</v>
      </c>
      <c r="W20" s="135" t="s">
        <v>1692</v>
      </c>
      <c r="X20" s="135"/>
      <c r="Y20" s="135"/>
      <c r="Z20" s="135" t="s">
        <v>1590</v>
      </c>
      <c r="AA20" s="91">
        <v>15</v>
      </c>
      <c r="AB20" s="91"/>
      <c r="AC20" s="91"/>
      <c r="AD20" s="97" t="s">
        <v>1590</v>
      </c>
      <c r="AE20" s="98" t="str">
        <f t="shared" si="0"/>
        <v xml:space="preserve">*Ady Supriyono*( Candisari, Mranggen ), </v>
      </c>
      <c r="AF20" s="94" t="s">
        <v>13</v>
      </c>
      <c r="AG20" s="81" t="s">
        <v>385</v>
      </c>
    </row>
    <row r="21" spans="1:34" ht="25.5" customHeight="1" x14ac:dyDescent="0.35">
      <c r="A21" s="90">
        <v>18</v>
      </c>
      <c r="B21" s="91"/>
      <c r="C21" s="133">
        <v>43950</v>
      </c>
      <c r="D21" s="91" t="s">
        <v>353</v>
      </c>
      <c r="E21" s="93" t="s">
        <v>105</v>
      </c>
      <c r="F21" s="134" t="s">
        <v>1693</v>
      </c>
      <c r="G21" s="93" t="s">
        <v>355</v>
      </c>
      <c r="H21" s="93" t="s">
        <v>1694</v>
      </c>
      <c r="I21" s="122"/>
      <c r="J21" s="91" t="s">
        <v>402</v>
      </c>
      <c r="K21" s="91" t="s">
        <v>356</v>
      </c>
      <c r="L21" s="91"/>
      <c r="M21" s="91" t="s">
        <v>357</v>
      </c>
      <c r="N21" s="94" t="s">
        <v>1695</v>
      </c>
      <c r="O21" s="94" t="s">
        <v>210</v>
      </c>
      <c r="P21" s="94" t="s">
        <v>223</v>
      </c>
      <c r="Q21" s="91" t="s">
        <v>516</v>
      </c>
      <c r="R21" s="91" t="s">
        <v>473</v>
      </c>
      <c r="S21" s="91"/>
      <c r="T21" s="91" t="s">
        <v>1696</v>
      </c>
      <c r="U21" s="135" t="s">
        <v>1697</v>
      </c>
      <c r="V21" s="123" t="s">
        <v>1698</v>
      </c>
      <c r="W21" s="123" t="s">
        <v>1699</v>
      </c>
      <c r="X21" s="91"/>
      <c r="Y21" s="91"/>
      <c r="Z21" s="135" t="s">
        <v>1590</v>
      </c>
      <c r="AA21" s="91"/>
      <c r="AB21" s="91"/>
      <c r="AC21" s="91"/>
      <c r="AD21" s="97" t="s">
        <v>1590</v>
      </c>
      <c r="AE21" s="98" t="str">
        <f t="shared" si="0"/>
        <v xml:space="preserve">*HARNITI*( Gemulak, Sayung ), </v>
      </c>
      <c r="AF21" s="94" t="s">
        <v>210</v>
      </c>
      <c r="AG21" s="81" t="s">
        <v>304</v>
      </c>
      <c r="AH21" s="77"/>
    </row>
    <row r="22" spans="1:34" ht="25.5" customHeight="1" x14ac:dyDescent="0.35">
      <c r="A22" s="90">
        <v>19</v>
      </c>
      <c r="B22" s="91"/>
      <c r="C22" s="91" t="s">
        <v>1700</v>
      </c>
      <c r="D22" s="91" t="s">
        <v>353</v>
      </c>
      <c r="E22" s="93" t="s">
        <v>105</v>
      </c>
      <c r="F22" s="94" t="s">
        <v>1701</v>
      </c>
      <c r="G22" s="93" t="s">
        <v>413</v>
      </c>
      <c r="H22" s="91">
        <v>55</v>
      </c>
      <c r="I22" s="91"/>
      <c r="J22" s="91"/>
      <c r="K22" s="91" t="s">
        <v>356</v>
      </c>
      <c r="L22" s="91"/>
      <c r="M22" s="91" t="s">
        <v>357</v>
      </c>
      <c r="N22" s="94" t="s">
        <v>1702</v>
      </c>
      <c r="O22" s="94" t="s">
        <v>59</v>
      </c>
      <c r="P22" s="94" t="s">
        <v>105</v>
      </c>
      <c r="Q22" s="91"/>
      <c r="R22" s="91" t="s">
        <v>473</v>
      </c>
      <c r="S22" s="100"/>
      <c r="T22" s="100" t="s">
        <v>1696</v>
      </c>
      <c r="U22" s="135" t="s">
        <v>1703</v>
      </c>
      <c r="V22" s="123" t="s">
        <v>1698</v>
      </c>
      <c r="W22" s="123" t="s">
        <v>1704</v>
      </c>
      <c r="X22" s="91"/>
      <c r="Y22" s="91"/>
      <c r="Z22" s="135" t="s">
        <v>1590</v>
      </c>
      <c r="AA22" s="91"/>
      <c r="AB22" s="91"/>
      <c r="AC22" s="91"/>
      <c r="AD22" s="97" t="s">
        <v>1590</v>
      </c>
      <c r="AE22" s="98" t="str">
        <f t="shared" si="0"/>
        <v xml:space="preserve">*Jupriyono*( Kedondong, Demak ), </v>
      </c>
      <c r="AF22" s="94" t="s">
        <v>59</v>
      </c>
      <c r="AG22" s="81" t="s">
        <v>302</v>
      </c>
    </row>
    <row r="23" spans="1:34" ht="25.5" customHeight="1" x14ac:dyDescent="0.35">
      <c r="A23" s="90">
        <v>20</v>
      </c>
      <c r="B23" s="100"/>
      <c r="C23" s="100" t="s">
        <v>1705</v>
      </c>
      <c r="D23" s="91" t="s">
        <v>353</v>
      </c>
      <c r="E23" s="93" t="s">
        <v>105</v>
      </c>
      <c r="F23" s="101" t="s">
        <v>1706</v>
      </c>
      <c r="G23" s="117" t="s">
        <v>413</v>
      </c>
      <c r="H23" s="117">
        <v>32</v>
      </c>
      <c r="I23" s="100"/>
      <c r="J23" s="100" t="s">
        <v>1707</v>
      </c>
      <c r="K23" s="100" t="s">
        <v>570</v>
      </c>
      <c r="L23" s="100"/>
      <c r="M23" s="91" t="s">
        <v>357</v>
      </c>
      <c r="N23" s="101" t="s">
        <v>1708</v>
      </c>
      <c r="O23" s="101" t="s">
        <v>80</v>
      </c>
      <c r="P23" s="94" t="s">
        <v>76</v>
      </c>
      <c r="Q23" s="91" t="s">
        <v>516</v>
      </c>
      <c r="R23" s="100" t="s">
        <v>1709</v>
      </c>
      <c r="S23" s="100"/>
      <c r="T23" s="91" t="s">
        <v>1710</v>
      </c>
      <c r="U23" s="135" t="s">
        <v>1711</v>
      </c>
      <c r="V23" s="135" t="s">
        <v>1712</v>
      </c>
      <c r="W23" s="135" t="s">
        <v>1713</v>
      </c>
      <c r="X23" s="91"/>
      <c r="Y23" s="91"/>
      <c r="Z23" s="135" t="s">
        <v>1714</v>
      </c>
      <c r="AA23" s="91"/>
      <c r="AB23" s="91"/>
      <c r="AC23" s="91"/>
      <c r="AD23" s="97" t="s">
        <v>1590</v>
      </c>
      <c r="AE23" s="98" t="str">
        <f t="shared" si="0"/>
        <v xml:space="preserve">*Riko Setiawan*( Ketanjung, Karanganyar ), </v>
      </c>
      <c r="AF23" s="101" t="s">
        <v>80</v>
      </c>
      <c r="AG23" s="81" t="s">
        <v>310</v>
      </c>
    </row>
    <row r="24" spans="1:34" ht="25.5" customHeight="1" x14ac:dyDescent="0.35">
      <c r="A24" s="90">
        <v>21</v>
      </c>
      <c r="B24" s="100"/>
      <c r="C24" s="100" t="s">
        <v>1705</v>
      </c>
      <c r="D24" s="91" t="s">
        <v>353</v>
      </c>
      <c r="E24" s="93" t="s">
        <v>105</v>
      </c>
      <c r="F24" s="101" t="s">
        <v>1715</v>
      </c>
      <c r="G24" s="117" t="s">
        <v>413</v>
      </c>
      <c r="H24" s="117">
        <v>27</v>
      </c>
      <c r="I24" s="100"/>
      <c r="J24" s="100" t="s">
        <v>1707</v>
      </c>
      <c r="K24" s="100" t="s">
        <v>570</v>
      </c>
      <c r="L24" s="100"/>
      <c r="M24" s="91" t="s">
        <v>357</v>
      </c>
      <c r="N24" s="101" t="s">
        <v>1716</v>
      </c>
      <c r="O24" s="101" t="s">
        <v>80</v>
      </c>
      <c r="P24" s="94" t="s">
        <v>76</v>
      </c>
      <c r="Q24" s="91" t="s">
        <v>516</v>
      </c>
      <c r="R24" s="100" t="s">
        <v>1709</v>
      </c>
      <c r="S24" s="100"/>
      <c r="T24" s="91" t="s">
        <v>1710</v>
      </c>
      <c r="U24" s="135" t="s">
        <v>1711</v>
      </c>
      <c r="V24" s="135" t="s">
        <v>1717</v>
      </c>
      <c r="W24" s="135" t="s">
        <v>1698</v>
      </c>
      <c r="X24" s="91"/>
      <c r="Y24" s="91"/>
      <c r="Z24" s="135" t="s">
        <v>1718</v>
      </c>
      <c r="AA24" s="91">
        <v>8</v>
      </c>
      <c r="AB24" s="91"/>
      <c r="AC24" s="91"/>
      <c r="AD24" s="97" t="s">
        <v>1590</v>
      </c>
      <c r="AE24" s="98" t="str">
        <f t="shared" si="0"/>
        <v xml:space="preserve">*Gratianus Rifal Pambudi Aji*( Ketanjung, Karanganyar ), </v>
      </c>
      <c r="AF24" s="101" t="s">
        <v>80</v>
      </c>
      <c r="AG24" s="81" t="s">
        <v>310</v>
      </c>
    </row>
    <row r="25" spans="1:34" ht="25.5" customHeight="1" x14ac:dyDescent="0.35">
      <c r="A25" s="90">
        <v>22</v>
      </c>
      <c r="B25" s="100"/>
      <c r="C25" s="100" t="s">
        <v>1705</v>
      </c>
      <c r="D25" s="91" t="s">
        <v>353</v>
      </c>
      <c r="E25" s="93" t="s">
        <v>105</v>
      </c>
      <c r="F25" s="101" t="s">
        <v>1719</v>
      </c>
      <c r="G25" s="117" t="s">
        <v>355</v>
      </c>
      <c r="H25" s="117">
        <v>43</v>
      </c>
      <c r="I25" s="100"/>
      <c r="J25" s="100" t="s">
        <v>1720</v>
      </c>
      <c r="K25" s="100" t="s">
        <v>570</v>
      </c>
      <c r="L25" s="100"/>
      <c r="M25" s="91" t="s">
        <v>357</v>
      </c>
      <c r="N25" s="101" t="s">
        <v>1721</v>
      </c>
      <c r="O25" s="101" t="s">
        <v>115</v>
      </c>
      <c r="P25" s="94" t="s">
        <v>105</v>
      </c>
      <c r="Q25" s="91" t="s">
        <v>516</v>
      </c>
      <c r="R25" s="100" t="s">
        <v>1709</v>
      </c>
      <c r="S25" s="100"/>
      <c r="T25" s="91" t="s">
        <v>1710</v>
      </c>
      <c r="U25" s="135" t="s">
        <v>1711</v>
      </c>
      <c r="V25" s="135" t="s">
        <v>1717</v>
      </c>
      <c r="W25" s="135" t="s">
        <v>1698</v>
      </c>
      <c r="X25" s="91"/>
      <c r="Y25" s="91"/>
      <c r="Z25" s="135" t="s">
        <v>1718</v>
      </c>
      <c r="AA25" s="91">
        <v>9</v>
      </c>
      <c r="AB25" s="91"/>
      <c r="AC25" s="91"/>
      <c r="AD25" s="97" t="s">
        <v>1590</v>
      </c>
      <c r="AE25" s="98" t="str">
        <f t="shared" si="0"/>
        <v xml:space="preserve">*Dyah Undarwati*( Bango, Demak ), </v>
      </c>
      <c r="AF25" s="101" t="s">
        <v>115</v>
      </c>
      <c r="AG25" s="81" t="s">
        <v>302</v>
      </c>
    </row>
    <row r="26" spans="1:34" ht="25.5" customHeight="1" x14ac:dyDescent="0.35">
      <c r="A26" s="90">
        <v>23</v>
      </c>
      <c r="B26" s="100"/>
      <c r="C26" s="100" t="s">
        <v>1722</v>
      </c>
      <c r="D26" s="91" t="s">
        <v>353</v>
      </c>
      <c r="E26" s="93" t="s">
        <v>105</v>
      </c>
      <c r="F26" s="101" t="s">
        <v>1723</v>
      </c>
      <c r="G26" s="117" t="s">
        <v>1264</v>
      </c>
      <c r="H26" s="117">
        <v>26</v>
      </c>
      <c r="I26" s="91"/>
      <c r="J26" s="100" t="s">
        <v>1724</v>
      </c>
      <c r="K26" s="100" t="s">
        <v>570</v>
      </c>
      <c r="L26" s="91"/>
      <c r="M26" s="91" t="s">
        <v>357</v>
      </c>
      <c r="N26" s="101" t="s">
        <v>1725</v>
      </c>
      <c r="O26" s="101" t="s">
        <v>83</v>
      </c>
      <c r="P26" s="94" t="s">
        <v>76</v>
      </c>
      <c r="Q26" s="91" t="s">
        <v>516</v>
      </c>
      <c r="R26" s="100" t="s">
        <v>1709</v>
      </c>
      <c r="S26" s="91" t="s">
        <v>1700</v>
      </c>
      <c r="T26" s="91" t="s">
        <v>1710</v>
      </c>
      <c r="U26" s="135" t="s">
        <v>1726</v>
      </c>
      <c r="V26" s="135" t="s">
        <v>1717</v>
      </c>
      <c r="W26" s="135" t="s">
        <v>1698</v>
      </c>
      <c r="X26" s="91"/>
      <c r="Y26" s="91"/>
      <c r="Z26" s="135" t="s">
        <v>1718</v>
      </c>
      <c r="AA26" s="91">
        <v>10</v>
      </c>
      <c r="AB26" s="91"/>
      <c r="AC26" s="91"/>
      <c r="AD26" s="97" t="s">
        <v>1590</v>
      </c>
      <c r="AE26" s="98" t="str">
        <f t="shared" si="0"/>
        <v xml:space="preserve">*Reni Rahayu*( Wonorejo, Karanganyar ), </v>
      </c>
      <c r="AF26" s="101" t="s">
        <v>83</v>
      </c>
      <c r="AG26" s="81" t="s">
        <v>310</v>
      </c>
    </row>
    <row r="27" spans="1:34" ht="25.5" customHeight="1" x14ac:dyDescent="0.35">
      <c r="A27" s="90">
        <v>24</v>
      </c>
      <c r="B27" s="100"/>
      <c r="C27" s="100" t="s">
        <v>1722</v>
      </c>
      <c r="D27" s="91" t="s">
        <v>353</v>
      </c>
      <c r="E27" s="93" t="s">
        <v>105</v>
      </c>
      <c r="F27" s="101" t="s">
        <v>1727</v>
      </c>
      <c r="G27" s="117" t="s">
        <v>355</v>
      </c>
      <c r="H27" s="117">
        <v>38</v>
      </c>
      <c r="I27" s="122" t="s">
        <v>1728</v>
      </c>
      <c r="J27" s="91"/>
      <c r="K27" s="100" t="s">
        <v>356</v>
      </c>
      <c r="L27" s="91"/>
      <c r="M27" s="91" t="s">
        <v>357</v>
      </c>
      <c r="N27" s="101" t="s">
        <v>1729</v>
      </c>
      <c r="O27" s="101" t="s">
        <v>23</v>
      </c>
      <c r="P27" s="94" t="s">
        <v>4</v>
      </c>
      <c r="Q27" s="100" t="s">
        <v>516</v>
      </c>
      <c r="R27" s="100" t="s">
        <v>1730</v>
      </c>
      <c r="S27" s="91"/>
      <c r="T27" s="91" t="s">
        <v>1731</v>
      </c>
      <c r="U27" s="135" t="s">
        <v>1732</v>
      </c>
      <c r="V27" s="135" t="s">
        <v>1717</v>
      </c>
      <c r="W27" s="135" t="s">
        <v>1698</v>
      </c>
      <c r="X27" s="91"/>
      <c r="Y27" s="91"/>
      <c r="Z27" s="135" t="s">
        <v>1733</v>
      </c>
      <c r="AA27" s="91"/>
      <c r="AB27" s="91"/>
      <c r="AC27" s="91"/>
      <c r="AD27" s="97" t="s">
        <v>1590</v>
      </c>
      <c r="AE27" s="98" t="str">
        <f t="shared" si="0"/>
        <v xml:space="preserve">*Evi Lianawati*( Batursari, Mranggen ), </v>
      </c>
      <c r="AF27" s="101" t="s">
        <v>23</v>
      </c>
      <c r="AG27" s="81" t="s">
        <v>385</v>
      </c>
    </row>
    <row r="28" spans="1:34" ht="53.25" customHeight="1" x14ac:dyDescent="0.35">
      <c r="A28" s="90">
        <v>25</v>
      </c>
      <c r="B28" s="100"/>
      <c r="C28" s="100" t="s">
        <v>1734</v>
      </c>
      <c r="D28" s="91" t="s">
        <v>353</v>
      </c>
      <c r="E28" s="93" t="s">
        <v>105</v>
      </c>
      <c r="F28" s="101" t="s">
        <v>1735</v>
      </c>
      <c r="G28" s="117" t="s">
        <v>413</v>
      </c>
      <c r="H28" s="117" t="s">
        <v>893</v>
      </c>
      <c r="I28" s="122" t="s">
        <v>1736</v>
      </c>
      <c r="J28" s="100" t="s">
        <v>1737</v>
      </c>
      <c r="K28" s="100" t="s">
        <v>1738</v>
      </c>
      <c r="L28" s="91"/>
      <c r="M28" s="91" t="s">
        <v>357</v>
      </c>
      <c r="N28" s="101" t="s">
        <v>1739</v>
      </c>
      <c r="O28" s="101" t="s">
        <v>88</v>
      </c>
      <c r="P28" s="94" t="s">
        <v>76</v>
      </c>
      <c r="Q28" s="100" t="s">
        <v>516</v>
      </c>
      <c r="R28" s="100" t="s">
        <v>1740</v>
      </c>
      <c r="S28" s="91"/>
      <c r="T28" s="91" t="s">
        <v>1741</v>
      </c>
      <c r="U28" s="135" t="s">
        <v>1742</v>
      </c>
      <c r="V28" s="135" t="s">
        <v>1717</v>
      </c>
      <c r="W28" s="135" t="s">
        <v>1698</v>
      </c>
      <c r="X28" s="91"/>
      <c r="Y28" s="91"/>
      <c r="Z28" s="135" t="s">
        <v>1718</v>
      </c>
      <c r="AA28" s="91"/>
      <c r="AB28" s="91"/>
      <c r="AC28" s="91"/>
      <c r="AD28" s="97" t="s">
        <v>1590</v>
      </c>
      <c r="AE28" s="98" t="str">
        <f t="shared" si="0"/>
        <v xml:space="preserve">*MARTIN EMAWAN*( Wonoketingal, Karanganyar ), </v>
      </c>
      <c r="AF28" s="101" t="s">
        <v>88</v>
      </c>
      <c r="AG28" s="81" t="s">
        <v>310</v>
      </c>
    </row>
    <row r="29" spans="1:34" ht="45" customHeight="1" x14ac:dyDescent="0.35">
      <c r="A29" s="90">
        <v>26</v>
      </c>
      <c r="B29" s="100"/>
      <c r="C29" s="100" t="s">
        <v>1743</v>
      </c>
      <c r="D29" s="91" t="s">
        <v>353</v>
      </c>
      <c r="E29" s="93" t="s">
        <v>105</v>
      </c>
      <c r="F29" s="101" t="s">
        <v>1744</v>
      </c>
      <c r="G29" s="117" t="s">
        <v>413</v>
      </c>
      <c r="H29" s="117" t="s">
        <v>1745</v>
      </c>
      <c r="I29" s="91" t="s">
        <v>1746</v>
      </c>
      <c r="J29" s="100"/>
      <c r="K29" s="100" t="s">
        <v>356</v>
      </c>
      <c r="L29" s="91" t="s">
        <v>882</v>
      </c>
      <c r="M29" s="91" t="s">
        <v>357</v>
      </c>
      <c r="N29" s="101" t="s">
        <v>1747</v>
      </c>
      <c r="O29" s="101" t="s">
        <v>468</v>
      </c>
      <c r="P29" s="94" t="s">
        <v>303</v>
      </c>
      <c r="Q29" s="100" t="s">
        <v>361</v>
      </c>
      <c r="R29" s="100" t="s">
        <v>517</v>
      </c>
      <c r="S29" s="91" t="s">
        <v>1748</v>
      </c>
      <c r="T29" s="91" t="s">
        <v>363</v>
      </c>
      <c r="U29" s="135" t="s">
        <v>1749</v>
      </c>
      <c r="V29" s="135" t="s">
        <v>1704</v>
      </c>
      <c r="W29" s="135" t="s">
        <v>1750</v>
      </c>
      <c r="X29" s="91"/>
      <c r="Y29" s="91"/>
      <c r="Z29" s="135" t="s">
        <v>1751</v>
      </c>
      <c r="AA29" s="91">
        <v>19</v>
      </c>
      <c r="AB29" s="91"/>
      <c r="AC29" s="91"/>
      <c r="AD29" s="97" t="s">
        <v>1590</v>
      </c>
      <c r="AE29" s="98" t="str">
        <f t="shared" si="0"/>
        <v xml:space="preserve">*PURWADI*( BOGOSARI, GUNTUR ), </v>
      </c>
      <c r="AF29" s="101" t="s">
        <v>468</v>
      </c>
      <c r="AG29" s="81" t="s">
        <v>303</v>
      </c>
    </row>
    <row r="30" spans="1:34" ht="45" customHeight="1" x14ac:dyDescent="0.35">
      <c r="A30" s="90">
        <v>27</v>
      </c>
      <c r="B30" s="100"/>
      <c r="C30" s="100" t="s">
        <v>1743</v>
      </c>
      <c r="D30" s="91" t="s">
        <v>353</v>
      </c>
      <c r="E30" s="93" t="s">
        <v>105</v>
      </c>
      <c r="F30" s="101" t="s">
        <v>1752</v>
      </c>
      <c r="G30" s="117" t="s">
        <v>413</v>
      </c>
      <c r="H30" s="117" t="s">
        <v>1753</v>
      </c>
      <c r="I30" s="91" t="s">
        <v>1754</v>
      </c>
      <c r="J30" s="100" t="s">
        <v>912</v>
      </c>
      <c r="K30" s="100" t="s">
        <v>356</v>
      </c>
      <c r="L30" s="91" t="s">
        <v>1581</v>
      </c>
      <c r="M30" s="91" t="s">
        <v>357</v>
      </c>
      <c r="N30" s="101" t="s">
        <v>1755</v>
      </c>
      <c r="O30" s="101" t="s">
        <v>1281</v>
      </c>
      <c r="P30" s="94" t="s">
        <v>312</v>
      </c>
      <c r="Q30" s="100" t="s">
        <v>361</v>
      </c>
      <c r="R30" s="100" t="s">
        <v>517</v>
      </c>
      <c r="S30" s="91" t="s">
        <v>1756</v>
      </c>
      <c r="T30" s="91" t="s">
        <v>885</v>
      </c>
      <c r="U30" s="135" t="s">
        <v>1757</v>
      </c>
      <c r="V30" s="135"/>
      <c r="W30" s="135"/>
      <c r="X30" s="91"/>
      <c r="Y30" s="91"/>
      <c r="Z30" s="97"/>
      <c r="AA30" s="91"/>
      <c r="AB30" s="91"/>
      <c r="AC30" s="91"/>
      <c r="AD30" s="97" t="s">
        <v>1590</v>
      </c>
      <c r="AE30" s="98" t="str">
        <f t="shared" si="0"/>
        <v xml:space="preserve">*MASKURI*( BUKO, WEDUNG ), </v>
      </c>
      <c r="AF30" s="101" t="s">
        <v>1281</v>
      </c>
      <c r="AG30" s="81" t="s">
        <v>312</v>
      </c>
    </row>
    <row r="31" spans="1:34" ht="45" customHeight="1" x14ac:dyDescent="0.35">
      <c r="A31" s="90">
        <v>28</v>
      </c>
      <c r="B31" s="100"/>
      <c r="C31" s="100" t="s">
        <v>1758</v>
      </c>
      <c r="D31" s="91" t="s">
        <v>353</v>
      </c>
      <c r="E31" s="93" t="s">
        <v>105</v>
      </c>
      <c r="F31" s="101" t="s">
        <v>1759</v>
      </c>
      <c r="G31" s="117" t="s">
        <v>413</v>
      </c>
      <c r="H31" s="117" t="s">
        <v>1760</v>
      </c>
      <c r="I31" s="122" t="s">
        <v>1761</v>
      </c>
      <c r="J31" s="100"/>
      <c r="K31" s="100" t="s">
        <v>356</v>
      </c>
      <c r="L31" s="91" t="s">
        <v>1581</v>
      </c>
      <c r="M31" s="91" t="s">
        <v>357</v>
      </c>
      <c r="N31" s="101" t="s">
        <v>1762</v>
      </c>
      <c r="O31" s="101" t="s">
        <v>961</v>
      </c>
      <c r="P31" s="94" t="s">
        <v>304</v>
      </c>
      <c r="Q31" s="100" t="s">
        <v>361</v>
      </c>
      <c r="R31" s="100" t="s">
        <v>517</v>
      </c>
      <c r="S31" s="91" t="s">
        <v>1489</v>
      </c>
      <c r="T31" s="91" t="s">
        <v>885</v>
      </c>
      <c r="U31" s="135" t="s">
        <v>1763</v>
      </c>
      <c r="V31" s="135"/>
      <c r="W31" s="135"/>
      <c r="X31" s="91"/>
      <c r="Y31" s="91"/>
      <c r="Z31" s="97"/>
      <c r="AA31" s="91">
        <v>21</v>
      </c>
      <c r="AB31" s="91"/>
      <c r="AC31" s="91"/>
      <c r="AD31" s="97" t="s">
        <v>1590</v>
      </c>
      <c r="AE31" s="98" t="str">
        <f t="shared" si="0"/>
        <v xml:space="preserve">*TASLIMAN*( KALISARI, SAYUNG ), </v>
      </c>
      <c r="AF31" s="101" t="s">
        <v>961</v>
      </c>
      <c r="AG31" s="81" t="s">
        <v>304</v>
      </c>
    </row>
    <row r="32" spans="1:34" ht="45" customHeight="1" x14ac:dyDescent="0.35">
      <c r="A32" s="90">
        <v>29</v>
      </c>
      <c r="B32" s="100"/>
      <c r="C32" s="100" t="s">
        <v>1758</v>
      </c>
      <c r="D32" s="91" t="s">
        <v>353</v>
      </c>
      <c r="E32" s="93" t="s">
        <v>105</v>
      </c>
      <c r="F32" s="101" t="s">
        <v>1764</v>
      </c>
      <c r="G32" s="117" t="s">
        <v>355</v>
      </c>
      <c r="H32" s="117" t="s">
        <v>1745</v>
      </c>
      <c r="I32" s="91"/>
      <c r="J32" s="100"/>
      <c r="K32" s="100" t="s">
        <v>356</v>
      </c>
      <c r="L32" s="91" t="s">
        <v>1581</v>
      </c>
      <c r="M32" s="91" t="s">
        <v>357</v>
      </c>
      <c r="N32" s="101" t="s">
        <v>1765</v>
      </c>
      <c r="O32" s="101" t="s">
        <v>965</v>
      </c>
      <c r="P32" s="94" t="s">
        <v>304</v>
      </c>
      <c r="Q32" s="100" t="s">
        <v>361</v>
      </c>
      <c r="R32" s="100" t="s">
        <v>517</v>
      </c>
      <c r="S32" s="91"/>
      <c r="T32" s="91" t="s">
        <v>885</v>
      </c>
      <c r="U32" s="135" t="s">
        <v>1763</v>
      </c>
      <c r="V32" s="135"/>
      <c r="W32" s="135"/>
      <c r="X32" s="91"/>
      <c r="Y32" s="91"/>
      <c r="Z32" s="97"/>
      <c r="AA32" s="91">
        <v>22</v>
      </c>
      <c r="AB32" s="91"/>
      <c r="AC32" s="91"/>
      <c r="AD32" s="97" t="s">
        <v>1590</v>
      </c>
      <c r="AE32" s="98" t="str">
        <f t="shared" si="0"/>
        <v xml:space="preserve">*RUSMINAH*( PILANGSARI, SAYUNG ), </v>
      </c>
      <c r="AF32" s="101" t="s">
        <v>965</v>
      </c>
      <c r="AG32" s="81" t="s">
        <v>304</v>
      </c>
    </row>
    <row r="33" spans="1:34" ht="45" customHeight="1" x14ac:dyDescent="0.35">
      <c r="A33" s="90">
        <v>30</v>
      </c>
      <c r="B33" s="100"/>
      <c r="C33" s="100" t="s">
        <v>1482</v>
      </c>
      <c r="D33" s="91" t="s">
        <v>353</v>
      </c>
      <c r="E33" s="93" t="s">
        <v>105</v>
      </c>
      <c r="F33" s="101" t="s">
        <v>1766</v>
      </c>
      <c r="G33" s="117" t="s">
        <v>1264</v>
      </c>
      <c r="H33" s="117" t="s">
        <v>1767</v>
      </c>
      <c r="I33" s="122" t="s">
        <v>1768</v>
      </c>
      <c r="J33" s="100"/>
      <c r="K33" s="100" t="s">
        <v>356</v>
      </c>
      <c r="L33" s="91"/>
      <c r="M33" s="91" t="s">
        <v>357</v>
      </c>
      <c r="N33" s="101" t="s">
        <v>1769</v>
      </c>
      <c r="O33" s="101" t="s">
        <v>683</v>
      </c>
      <c r="P33" s="94" t="s">
        <v>385</v>
      </c>
      <c r="Q33" s="100" t="s">
        <v>361</v>
      </c>
      <c r="R33" s="100" t="s">
        <v>1612</v>
      </c>
      <c r="S33" s="91" t="s">
        <v>1770</v>
      </c>
      <c r="T33" s="91" t="s">
        <v>1771</v>
      </c>
      <c r="U33" s="135"/>
      <c r="V33" s="135"/>
      <c r="W33" s="135"/>
      <c r="X33" s="91"/>
      <c r="Y33" s="91"/>
      <c r="Z33" s="135"/>
      <c r="AA33" s="91"/>
      <c r="AB33" s="91"/>
      <c r="AC33" s="91"/>
      <c r="AD33" s="97" t="s">
        <v>1590</v>
      </c>
      <c r="AE33" s="98" t="str">
        <f t="shared" si="0"/>
        <v xml:space="preserve">*MUNIROH*( SUMBEREJO, MRANGGEN ), </v>
      </c>
      <c r="AF33" s="101" t="s">
        <v>683</v>
      </c>
      <c r="AG33" s="81" t="s">
        <v>385</v>
      </c>
    </row>
    <row r="34" spans="1:34" ht="45" customHeight="1" x14ac:dyDescent="0.35">
      <c r="A34" s="90">
        <v>31</v>
      </c>
      <c r="B34" s="100"/>
      <c r="C34" s="100" t="s">
        <v>1772</v>
      </c>
      <c r="D34" s="91" t="s">
        <v>353</v>
      </c>
      <c r="E34" s="93" t="s">
        <v>105</v>
      </c>
      <c r="F34" s="101" t="s">
        <v>1773</v>
      </c>
      <c r="G34" s="117" t="s">
        <v>413</v>
      </c>
      <c r="H34" s="117" t="s">
        <v>279</v>
      </c>
      <c r="I34" s="122" t="s">
        <v>1774</v>
      </c>
      <c r="J34" s="100" t="s">
        <v>1775</v>
      </c>
      <c r="K34" s="100" t="s">
        <v>356</v>
      </c>
      <c r="L34" s="100" t="s">
        <v>1776</v>
      </c>
      <c r="M34" s="91" t="s">
        <v>357</v>
      </c>
      <c r="N34" s="101" t="s">
        <v>1777</v>
      </c>
      <c r="O34" s="101" t="s">
        <v>307</v>
      </c>
      <c r="P34" s="94" t="s">
        <v>307</v>
      </c>
      <c r="Q34" s="100" t="s">
        <v>516</v>
      </c>
      <c r="R34" s="100" t="s">
        <v>1778</v>
      </c>
      <c r="S34" s="91"/>
      <c r="T34" s="91" t="s">
        <v>1590</v>
      </c>
      <c r="U34" s="135" t="s">
        <v>1779</v>
      </c>
      <c r="V34" s="91"/>
      <c r="W34" s="91"/>
      <c r="X34" s="91"/>
      <c r="Y34" s="91"/>
      <c r="Z34" s="135" t="s">
        <v>1780</v>
      </c>
      <c r="AA34" s="91"/>
      <c r="AB34" s="91"/>
      <c r="AC34" s="91"/>
      <c r="AD34" s="97" t="s">
        <v>1590</v>
      </c>
      <c r="AE34" s="98" t="str">
        <f t="shared" si="0"/>
        <v xml:space="preserve">*ARMAN MAULANA RIDHO*( DEMPET, DEMPET ), </v>
      </c>
      <c r="AF34" s="101" t="s">
        <v>307</v>
      </c>
      <c r="AG34" s="81" t="s">
        <v>307</v>
      </c>
    </row>
    <row r="35" spans="1:34" ht="45" customHeight="1" x14ac:dyDescent="0.35">
      <c r="A35" s="90">
        <v>32</v>
      </c>
      <c r="B35" s="100"/>
      <c r="C35" s="100" t="s">
        <v>1482</v>
      </c>
      <c r="D35" s="91" t="s">
        <v>353</v>
      </c>
      <c r="E35" s="93" t="s">
        <v>105</v>
      </c>
      <c r="F35" s="101" t="s">
        <v>1483</v>
      </c>
      <c r="G35" s="117" t="s">
        <v>413</v>
      </c>
      <c r="H35" s="117" t="s">
        <v>1484</v>
      </c>
      <c r="I35" s="122" t="s">
        <v>1485</v>
      </c>
      <c r="J35" s="100" t="s">
        <v>1486</v>
      </c>
      <c r="K35" s="100" t="s">
        <v>356</v>
      </c>
      <c r="L35" s="100"/>
      <c r="M35" s="91" t="s">
        <v>357</v>
      </c>
      <c r="N35" s="101" t="s">
        <v>1487</v>
      </c>
      <c r="O35" s="101" t="s">
        <v>1015</v>
      </c>
      <c r="P35" s="94" t="s">
        <v>301</v>
      </c>
      <c r="Q35" s="100" t="s">
        <v>361</v>
      </c>
      <c r="R35" s="100" t="s">
        <v>1488</v>
      </c>
      <c r="S35" s="91" t="s">
        <v>1489</v>
      </c>
      <c r="T35" s="91" t="s">
        <v>1334</v>
      </c>
      <c r="U35" s="135" t="s">
        <v>1490</v>
      </c>
      <c r="V35" s="135"/>
      <c r="W35" s="135"/>
      <c r="X35" s="91"/>
      <c r="Y35" s="91"/>
      <c r="Z35" s="135" t="s">
        <v>1491</v>
      </c>
      <c r="AA35" s="91">
        <v>18</v>
      </c>
      <c r="AB35" s="91"/>
      <c r="AC35" s="91"/>
      <c r="AD35" s="97" t="s">
        <v>1481</v>
      </c>
      <c r="AE35" s="98" t="str">
        <f t="shared" si="0"/>
        <v xml:space="preserve">*MUSTOFA*( BUMIREJO, KARANGAWEN ), </v>
      </c>
      <c r="AF35" s="101" t="s">
        <v>1015</v>
      </c>
      <c r="AG35" s="81" t="s">
        <v>301</v>
      </c>
    </row>
    <row r="36" spans="1:34" ht="45" customHeight="1" x14ac:dyDescent="0.35">
      <c r="A36" s="90">
        <v>33</v>
      </c>
      <c r="B36" s="100"/>
      <c r="C36" s="100" t="s">
        <v>891</v>
      </c>
      <c r="D36" s="91" t="s">
        <v>353</v>
      </c>
      <c r="E36" s="93" t="s">
        <v>105</v>
      </c>
      <c r="F36" s="101" t="s">
        <v>1862</v>
      </c>
      <c r="G36" s="117" t="s">
        <v>355</v>
      </c>
      <c r="H36" s="117" t="s">
        <v>1760</v>
      </c>
      <c r="I36" s="91" t="s">
        <v>1863</v>
      </c>
      <c r="J36" s="100"/>
      <c r="K36" s="100" t="s">
        <v>356</v>
      </c>
      <c r="L36" s="100"/>
      <c r="M36" s="91" t="s">
        <v>357</v>
      </c>
      <c r="N36" s="101" t="s">
        <v>1864</v>
      </c>
      <c r="O36" s="101" t="s">
        <v>564</v>
      </c>
      <c r="P36" s="94" t="s">
        <v>310</v>
      </c>
      <c r="Q36" s="100" t="s">
        <v>361</v>
      </c>
      <c r="R36" s="100" t="s">
        <v>1270</v>
      </c>
      <c r="S36" s="91"/>
      <c r="T36" s="91" t="s">
        <v>1590</v>
      </c>
      <c r="U36" s="135" t="s">
        <v>1865</v>
      </c>
      <c r="V36" s="135"/>
      <c r="W36" s="135"/>
      <c r="X36" s="91"/>
      <c r="Y36" s="91"/>
      <c r="Z36" s="135"/>
      <c r="AA36" s="91">
        <v>12</v>
      </c>
      <c r="AB36" s="91"/>
      <c r="AC36" s="91"/>
      <c r="AD36" s="97" t="s">
        <v>1866</v>
      </c>
      <c r="AE36" s="98" t="str">
        <f t="shared" si="0"/>
        <v xml:space="preserve">*SITI TEMU*( NGALURAN, KARANGANYAR ), </v>
      </c>
      <c r="AF36" s="101" t="s">
        <v>564</v>
      </c>
      <c r="AG36" s="81" t="s">
        <v>310</v>
      </c>
    </row>
    <row r="37" spans="1:34" ht="45" customHeight="1" x14ac:dyDescent="0.35">
      <c r="A37" s="90">
        <v>34</v>
      </c>
      <c r="B37" s="100"/>
      <c r="C37" s="100" t="s">
        <v>891</v>
      </c>
      <c r="D37" s="91" t="s">
        <v>353</v>
      </c>
      <c r="E37" s="93" t="s">
        <v>105</v>
      </c>
      <c r="F37" s="101" t="s">
        <v>892</v>
      </c>
      <c r="G37" s="117" t="s">
        <v>413</v>
      </c>
      <c r="H37" s="117" t="s">
        <v>893</v>
      </c>
      <c r="I37" s="91" t="s">
        <v>894</v>
      </c>
      <c r="J37" s="100"/>
      <c r="K37" s="100" t="s">
        <v>356</v>
      </c>
      <c r="L37" s="100" t="s">
        <v>895</v>
      </c>
      <c r="M37" s="91" t="s">
        <v>357</v>
      </c>
      <c r="N37" s="101" t="s">
        <v>896</v>
      </c>
      <c r="O37" s="101" t="s">
        <v>514</v>
      </c>
      <c r="P37" s="94" t="s">
        <v>0</v>
      </c>
      <c r="Q37" s="100" t="s">
        <v>361</v>
      </c>
      <c r="R37" s="91" t="s">
        <v>473</v>
      </c>
      <c r="S37" s="91"/>
      <c r="T37" s="91" t="s">
        <v>897</v>
      </c>
      <c r="U37" s="135" t="s">
        <v>898</v>
      </c>
      <c r="V37" s="135"/>
      <c r="W37" s="135"/>
      <c r="X37" s="91"/>
      <c r="Y37" s="91"/>
      <c r="Z37" s="97"/>
      <c r="AA37" s="91"/>
      <c r="AB37" s="91"/>
      <c r="AC37" s="91"/>
      <c r="AD37" s="97" t="s">
        <v>890</v>
      </c>
      <c r="AE37" s="98" t="str">
        <f>"*"&amp;F37&amp;"*"&amp;"( "&amp;O37&amp;", "&amp;P37&amp;"/ "&amp;T37&amp;" )"&amp;", "</f>
        <v xml:space="preserve">*SARIMAN*( KARANGSARI, KARANGTENGAH/ BKPP ), </v>
      </c>
      <c r="AF37" s="101" t="s">
        <v>514</v>
      </c>
      <c r="AG37" s="81" t="s">
        <v>0</v>
      </c>
    </row>
    <row r="38" spans="1:34" ht="45" customHeight="1" x14ac:dyDescent="0.35">
      <c r="A38" s="90">
        <v>35</v>
      </c>
      <c r="B38" s="100"/>
      <c r="C38" s="100" t="s">
        <v>899</v>
      </c>
      <c r="D38" s="91" t="s">
        <v>353</v>
      </c>
      <c r="E38" s="93" t="s">
        <v>105</v>
      </c>
      <c r="F38" s="101" t="s">
        <v>1781</v>
      </c>
      <c r="G38" s="117" t="s">
        <v>355</v>
      </c>
      <c r="H38" s="117" t="s">
        <v>1782</v>
      </c>
      <c r="I38" s="91"/>
      <c r="J38" s="100" t="s">
        <v>902</v>
      </c>
      <c r="K38" s="100" t="s">
        <v>356</v>
      </c>
      <c r="L38" s="100"/>
      <c r="M38" s="91" t="s">
        <v>357</v>
      </c>
      <c r="N38" s="101" t="s">
        <v>1783</v>
      </c>
      <c r="O38" s="101" t="s">
        <v>825</v>
      </c>
      <c r="P38" s="94" t="s">
        <v>304</v>
      </c>
      <c r="Q38" s="100" t="s">
        <v>516</v>
      </c>
      <c r="R38" s="91" t="s">
        <v>905</v>
      </c>
      <c r="S38" s="91"/>
      <c r="T38" s="91" t="s">
        <v>897</v>
      </c>
      <c r="U38" s="135" t="s">
        <v>906</v>
      </c>
      <c r="V38" s="135"/>
      <c r="W38" s="135"/>
      <c r="X38" s="91"/>
      <c r="Y38" s="91" t="s">
        <v>1784</v>
      </c>
      <c r="Z38" s="97" t="s">
        <v>1590</v>
      </c>
      <c r="AA38" s="91"/>
      <c r="AB38" s="91"/>
      <c r="AC38" s="91"/>
      <c r="AD38" s="97" t="s">
        <v>1590</v>
      </c>
      <c r="AE38" s="98" t="str">
        <f>"*"&amp;F38&amp;"*"&amp;"( "&amp;O38&amp;", "&amp;P38&amp;" )"&amp;", "</f>
        <v xml:space="preserve">*MASRIPAH*( PURWOSARI, SAYUNG ), </v>
      </c>
      <c r="AF38" s="101" t="s">
        <v>825</v>
      </c>
      <c r="AG38" s="81" t="s">
        <v>304</v>
      </c>
      <c r="AH38" s="103"/>
    </row>
    <row r="39" spans="1:34" ht="45" customHeight="1" x14ac:dyDescent="0.35">
      <c r="A39" s="90">
        <v>36</v>
      </c>
      <c r="B39" s="100"/>
      <c r="C39" s="100" t="s">
        <v>899</v>
      </c>
      <c r="D39" s="91" t="s">
        <v>353</v>
      </c>
      <c r="E39" s="93" t="s">
        <v>105</v>
      </c>
      <c r="F39" s="101" t="s">
        <v>1785</v>
      </c>
      <c r="G39" s="117" t="s">
        <v>413</v>
      </c>
      <c r="H39" s="117" t="s">
        <v>1786</v>
      </c>
      <c r="I39" s="122" t="s">
        <v>1787</v>
      </c>
      <c r="J39" s="100" t="s">
        <v>902</v>
      </c>
      <c r="K39" s="100" t="s">
        <v>356</v>
      </c>
      <c r="L39" s="100"/>
      <c r="M39" s="91" t="s">
        <v>357</v>
      </c>
      <c r="N39" s="101" t="s">
        <v>1783</v>
      </c>
      <c r="O39" s="101" t="s">
        <v>825</v>
      </c>
      <c r="P39" s="94" t="s">
        <v>304</v>
      </c>
      <c r="Q39" s="100" t="s">
        <v>516</v>
      </c>
      <c r="R39" s="91" t="s">
        <v>905</v>
      </c>
      <c r="S39" s="91"/>
      <c r="T39" s="91" t="s">
        <v>897</v>
      </c>
      <c r="U39" s="135" t="s">
        <v>906</v>
      </c>
      <c r="V39" s="135"/>
      <c r="W39" s="135"/>
      <c r="X39" s="91"/>
      <c r="Y39" s="91" t="s">
        <v>1784</v>
      </c>
      <c r="Z39" s="97" t="s">
        <v>1590</v>
      </c>
      <c r="AA39" s="91"/>
      <c r="AB39" s="91"/>
      <c r="AC39" s="91"/>
      <c r="AD39" s="97" t="s">
        <v>1590</v>
      </c>
      <c r="AE39" s="98" t="str">
        <f>"*"&amp;F39&amp;"*"&amp;"( "&amp;O39&amp;", "&amp;P39&amp;" )"&amp;", "</f>
        <v xml:space="preserve">*ABDULLAH MUTIK*( PURWOSARI, SAYUNG ), </v>
      </c>
      <c r="AF39" s="101" t="s">
        <v>825</v>
      </c>
      <c r="AG39" s="81" t="s">
        <v>304</v>
      </c>
    </row>
    <row r="40" spans="1:34" ht="45" customHeight="1" x14ac:dyDescent="0.35">
      <c r="A40" s="90">
        <v>37</v>
      </c>
      <c r="B40" s="100"/>
      <c r="C40" s="100" t="s">
        <v>899</v>
      </c>
      <c r="D40" s="91" t="s">
        <v>353</v>
      </c>
      <c r="E40" s="93" t="s">
        <v>105</v>
      </c>
      <c r="F40" s="101" t="s">
        <v>900</v>
      </c>
      <c r="G40" s="117" t="s">
        <v>355</v>
      </c>
      <c r="H40" s="117" t="s">
        <v>893</v>
      </c>
      <c r="I40" s="122" t="s">
        <v>901</v>
      </c>
      <c r="J40" s="100" t="s">
        <v>902</v>
      </c>
      <c r="K40" s="100" t="s">
        <v>356</v>
      </c>
      <c r="L40" s="100"/>
      <c r="M40" s="91" t="s">
        <v>357</v>
      </c>
      <c r="N40" s="101" t="s">
        <v>903</v>
      </c>
      <c r="O40" s="101" t="s">
        <v>904</v>
      </c>
      <c r="P40" s="94" t="s">
        <v>304</v>
      </c>
      <c r="Q40" s="100" t="s">
        <v>516</v>
      </c>
      <c r="R40" s="91" t="s">
        <v>905</v>
      </c>
      <c r="S40" s="91"/>
      <c r="T40" s="91" t="s">
        <v>897</v>
      </c>
      <c r="U40" s="135" t="s">
        <v>906</v>
      </c>
      <c r="V40" s="135"/>
      <c r="W40" s="135"/>
      <c r="X40" s="91"/>
      <c r="Y40" s="91"/>
      <c r="Z40" s="97"/>
      <c r="AA40" s="91"/>
      <c r="AB40" s="91"/>
      <c r="AC40" s="91"/>
      <c r="AD40" s="97" t="s">
        <v>890</v>
      </c>
      <c r="AE40" s="98" t="str">
        <f>"*"&amp;F40&amp;"*"&amp;"( "&amp;O40&amp;", "&amp;P40&amp;"/ "&amp;T40&amp;" )"&amp;", "</f>
        <v xml:space="preserve">*MASNI*( SIDOGEMAH, SAYUNG/ BKPP ), </v>
      </c>
      <c r="AF40" s="101" t="s">
        <v>904</v>
      </c>
      <c r="AG40" s="81" t="s">
        <v>304</v>
      </c>
    </row>
    <row r="41" spans="1:34" ht="45" customHeight="1" x14ac:dyDescent="0.35">
      <c r="A41" s="90">
        <v>38</v>
      </c>
      <c r="B41" s="100"/>
      <c r="C41" s="100" t="s">
        <v>899</v>
      </c>
      <c r="D41" s="91" t="s">
        <v>353</v>
      </c>
      <c r="E41" s="93" t="s">
        <v>105</v>
      </c>
      <c r="F41" s="101" t="s">
        <v>1788</v>
      </c>
      <c r="G41" s="117" t="s">
        <v>355</v>
      </c>
      <c r="H41" s="117" t="s">
        <v>1789</v>
      </c>
      <c r="I41" s="91"/>
      <c r="J41" s="100" t="s">
        <v>902</v>
      </c>
      <c r="K41" s="100" t="s">
        <v>356</v>
      </c>
      <c r="L41" s="100"/>
      <c r="M41" s="91" t="s">
        <v>357</v>
      </c>
      <c r="N41" s="101" t="s">
        <v>1790</v>
      </c>
      <c r="O41" s="101" t="s">
        <v>304</v>
      </c>
      <c r="P41" s="94" t="s">
        <v>304</v>
      </c>
      <c r="Q41" s="100" t="s">
        <v>516</v>
      </c>
      <c r="R41" s="91" t="s">
        <v>905</v>
      </c>
      <c r="S41" s="91"/>
      <c r="T41" s="91"/>
      <c r="U41" s="135" t="s">
        <v>906</v>
      </c>
      <c r="V41" s="135"/>
      <c r="W41" s="135"/>
      <c r="X41" s="91"/>
      <c r="Y41" s="91" t="s">
        <v>1791</v>
      </c>
      <c r="Z41" s="97" t="s">
        <v>1590</v>
      </c>
      <c r="AA41" s="91"/>
      <c r="AB41" s="91"/>
      <c r="AC41" s="91"/>
      <c r="AD41" s="97" t="s">
        <v>1590</v>
      </c>
      <c r="AE41" s="98" t="str">
        <f>"*"&amp;F41&amp;"*"&amp;"( "&amp;O41&amp;", "&amp;P41&amp;" )"&amp;", "</f>
        <v xml:space="preserve">*YASAADAH*( SAYUNG, SAYUNG ), </v>
      </c>
      <c r="AF41" s="101" t="s">
        <v>304</v>
      </c>
      <c r="AG41" s="81" t="s">
        <v>304</v>
      </c>
    </row>
    <row r="42" spans="1:34" ht="45" customHeight="1" x14ac:dyDescent="0.35">
      <c r="A42" s="90">
        <v>39</v>
      </c>
      <c r="B42" s="100"/>
      <c r="C42" s="100" t="s">
        <v>899</v>
      </c>
      <c r="D42" s="91" t="s">
        <v>353</v>
      </c>
      <c r="E42" s="93" t="s">
        <v>105</v>
      </c>
      <c r="F42" s="101" t="s">
        <v>907</v>
      </c>
      <c r="G42" s="117" t="s">
        <v>355</v>
      </c>
      <c r="H42" s="117" t="s">
        <v>893</v>
      </c>
      <c r="I42" s="122" t="s">
        <v>908</v>
      </c>
      <c r="J42" s="100" t="s">
        <v>902</v>
      </c>
      <c r="K42" s="100" t="s">
        <v>356</v>
      </c>
      <c r="L42" s="100"/>
      <c r="M42" s="91" t="s">
        <v>357</v>
      </c>
      <c r="N42" s="101" t="s">
        <v>909</v>
      </c>
      <c r="O42" s="101" t="s">
        <v>816</v>
      </c>
      <c r="P42" s="94" t="s">
        <v>304</v>
      </c>
      <c r="Q42" s="100" t="s">
        <v>516</v>
      </c>
      <c r="R42" s="91" t="s">
        <v>905</v>
      </c>
      <c r="S42" s="91"/>
      <c r="T42" s="91" t="s">
        <v>885</v>
      </c>
      <c r="U42" s="135" t="s">
        <v>906</v>
      </c>
      <c r="V42" s="135"/>
      <c r="W42" s="135"/>
      <c r="X42" s="91"/>
      <c r="Y42" s="91"/>
      <c r="Z42" s="97"/>
      <c r="AA42" s="91"/>
      <c r="AB42" s="91"/>
      <c r="AC42" s="91"/>
      <c r="AD42" s="97" t="s">
        <v>890</v>
      </c>
      <c r="AE42" s="98" t="str">
        <f>"*"&amp;F42&amp;"*"&amp;"( "&amp;O42&amp;", "&amp;P42&amp;"/ "&amp;T42&amp;" )"&amp;", "</f>
        <v xml:space="preserve">*SRIYATUN*( SIDOREJO, SAYUNG/ Rumah ), </v>
      </c>
      <c r="AF42" s="101" t="s">
        <v>816</v>
      </c>
      <c r="AG42" s="81" t="s">
        <v>304</v>
      </c>
    </row>
    <row r="43" spans="1:34" ht="45" customHeight="1" x14ac:dyDescent="0.35">
      <c r="A43" s="90">
        <v>40</v>
      </c>
      <c r="B43" s="100">
        <v>1</v>
      </c>
      <c r="C43" s="100" t="s">
        <v>1792</v>
      </c>
      <c r="D43" s="91" t="s">
        <v>353</v>
      </c>
      <c r="E43" s="93" t="s">
        <v>105</v>
      </c>
      <c r="F43" s="101" t="s">
        <v>1793</v>
      </c>
      <c r="G43" s="117" t="s">
        <v>413</v>
      </c>
      <c r="H43" s="117" t="s">
        <v>1794</v>
      </c>
      <c r="I43" s="122"/>
      <c r="J43" s="100" t="s">
        <v>1795</v>
      </c>
      <c r="K43" s="100" t="s">
        <v>356</v>
      </c>
      <c r="L43" s="100"/>
      <c r="M43" s="91" t="s">
        <v>357</v>
      </c>
      <c r="N43" s="101" t="s">
        <v>1796</v>
      </c>
      <c r="O43" s="101" t="s">
        <v>477</v>
      </c>
      <c r="P43" s="94" t="s">
        <v>308</v>
      </c>
      <c r="Q43" s="100" t="s">
        <v>361</v>
      </c>
      <c r="R43" s="100" t="s">
        <v>1635</v>
      </c>
      <c r="S43" s="91"/>
      <c r="T43" s="91" t="s">
        <v>1590</v>
      </c>
      <c r="U43" s="135" t="s">
        <v>915</v>
      </c>
      <c r="V43" s="135"/>
      <c r="W43" s="135"/>
      <c r="X43" s="91"/>
      <c r="Y43" s="91"/>
      <c r="Z43" s="135"/>
      <c r="AA43" s="91"/>
      <c r="AB43" s="91"/>
      <c r="AC43" s="91"/>
      <c r="AD43" s="97" t="s">
        <v>1590</v>
      </c>
      <c r="AE43" s="98" t="str">
        <f>"*"&amp;F43&amp;"*"&amp;"( "&amp;O43&amp;", "&amp;P43&amp;" )"&amp;", "</f>
        <v xml:space="preserve">*SUCIPTO*( BANJARSARI, GAJAH ), </v>
      </c>
      <c r="AF43" s="101" t="s">
        <v>477</v>
      </c>
      <c r="AG43" s="81" t="s">
        <v>308</v>
      </c>
    </row>
    <row r="44" spans="1:34" ht="45" customHeight="1" x14ac:dyDescent="0.35">
      <c r="A44" s="90">
        <v>41</v>
      </c>
      <c r="B44" s="100"/>
      <c r="C44" s="102">
        <v>43978</v>
      </c>
      <c r="D44" s="91" t="s">
        <v>353</v>
      </c>
      <c r="E44" s="93" t="s">
        <v>105</v>
      </c>
      <c r="F44" s="101" t="s">
        <v>910</v>
      </c>
      <c r="G44" s="117" t="s">
        <v>413</v>
      </c>
      <c r="H44" s="117" t="s">
        <v>911</v>
      </c>
      <c r="I44" s="122">
        <v>85212894388</v>
      </c>
      <c r="J44" s="100" t="s">
        <v>912</v>
      </c>
      <c r="K44" s="100" t="s">
        <v>356</v>
      </c>
      <c r="L44" s="100" t="s">
        <v>913</v>
      </c>
      <c r="M44" s="91" t="s">
        <v>357</v>
      </c>
      <c r="N44" s="101" t="s">
        <v>477</v>
      </c>
      <c r="O44" s="101" t="s">
        <v>477</v>
      </c>
      <c r="P44" s="94" t="s">
        <v>304</v>
      </c>
      <c r="Q44" s="100" t="s">
        <v>914</v>
      </c>
      <c r="R44" s="91" t="s">
        <v>905</v>
      </c>
      <c r="S44" s="91"/>
      <c r="T44" s="91" t="s">
        <v>897</v>
      </c>
      <c r="U44" s="135" t="s">
        <v>915</v>
      </c>
      <c r="V44" s="135"/>
      <c r="W44" s="135"/>
      <c r="X44" s="91"/>
      <c r="Y44" s="91"/>
      <c r="Z44" s="97"/>
      <c r="AA44" s="91"/>
      <c r="AB44" s="91"/>
      <c r="AC44" s="91"/>
      <c r="AD44" s="97" t="s">
        <v>890</v>
      </c>
      <c r="AE44" s="98" t="str">
        <f>"*"&amp;F44&amp;"*"&amp;"( "&amp;O44&amp;", "&amp;P44&amp;"/ "&amp;T44&amp;" )"&amp;", "</f>
        <v xml:space="preserve">*NGATENO*( BANJARSARI, SAYUNG/ BKPP ), </v>
      </c>
      <c r="AF44" s="101" t="s">
        <v>477</v>
      </c>
      <c r="AG44" s="81" t="s">
        <v>304</v>
      </c>
      <c r="AH44" s="103"/>
    </row>
    <row r="45" spans="1:34" ht="45" customHeight="1" x14ac:dyDescent="0.35">
      <c r="A45" s="90">
        <v>42</v>
      </c>
      <c r="B45" s="91"/>
      <c r="C45" s="102">
        <v>43979</v>
      </c>
      <c r="D45" s="91" t="s">
        <v>353</v>
      </c>
      <c r="E45" s="93" t="s">
        <v>105</v>
      </c>
      <c r="F45" s="94" t="s">
        <v>916</v>
      </c>
      <c r="G45" s="117" t="s">
        <v>413</v>
      </c>
      <c r="H45" s="91">
        <v>50</v>
      </c>
      <c r="I45" s="93" t="s">
        <v>917</v>
      </c>
      <c r="J45" s="100" t="s">
        <v>912</v>
      </c>
      <c r="K45" s="100" t="s">
        <v>356</v>
      </c>
      <c r="L45" s="91" t="s">
        <v>918</v>
      </c>
      <c r="M45" s="91" t="s">
        <v>357</v>
      </c>
      <c r="N45" s="94" t="s">
        <v>919</v>
      </c>
      <c r="O45" s="94" t="s">
        <v>175</v>
      </c>
      <c r="P45" s="94" t="s">
        <v>538</v>
      </c>
      <c r="Q45" s="100" t="s">
        <v>920</v>
      </c>
      <c r="R45" s="91" t="s">
        <v>473</v>
      </c>
      <c r="S45" s="91"/>
      <c r="T45" s="91" t="s">
        <v>897</v>
      </c>
      <c r="U45" s="96" t="s">
        <v>921</v>
      </c>
      <c r="V45" s="91"/>
      <c r="W45" s="91"/>
      <c r="X45" s="91"/>
      <c r="Y45" s="91"/>
      <c r="Z45" s="97"/>
      <c r="AA45" s="91"/>
      <c r="AB45" s="91"/>
      <c r="AC45" s="91"/>
      <c r="AD45" s="97" t="s">
        <v>890</v>
      </c>
      <c r="AE45" s="98" t="str">
        <f>"*"&amp;F45&amp;"*"&amp;"( "&amp;O45&amp;", "&amp;P45&amp;"/ "&amp;T45&amp;" )"&amp;", "</f>
        <v xml:space="preserve">*MUHAMMAD KOSIM*( Sidorejo, sayung/ BKPP ), </v>
      </c>
      <c r="AF45" s="94" t="s">
        <v>175</v>
      </c>
      <c r="AG45" s="81" t="s">
        <v>304</v>
      </c>
    </row>
    <row r="46" spans="1:34" ht="45" customHeight="1" x14ac:dyDescent="0.35">
      <c r="A46" s="90">
        <v>43</v>
      </c>
      <c r="B46" s="91"/>
      <c r="C46" s="102">
        <v>43979</v>
      </c>
      <c r="D46" s="91" t="s">
        <v>353</v>
      </c>
      <c r="E46" s="93" t="s">
        <v>105</v>
      </c>
      <c r="F46" s="94" t="s">
        <v>922</v>
      </c>
      <c r="G46" s="117" t="s">
        <v>355</v>
      </c>
      <c r="H46" s="91">
        <v>60</v>
      </c>
      <c r="I46" s="93" t="s">
        <v>923</v>
      </c>
      <c r="J46" s="100" t="s">
        <v>912</v>
      </c>
      <c r="K46" s="100" t="s">
        <v>356</v>
      </c>
      <c r="L46" s="91" t="s">
        <v>918</v>
      </c>
      <c r="M46" s="91" t="s">
        <v>357</v>
      </c>
      <c r="N46" s="94" t="s">
        <v>924</v>
      </c>
      <c r="O46" s="94" t="s">
        <v>107</v>
      </c>
      <c r="P46" s="94" t="s">
        <v>429</v>
      </c>
      <c r="Q46" s="100" t="s">
        <v>920</v>
      </c>
      <c r="R46" s="91" t="s">
        <v>473</v>
      </c>
      <c r="S46" s="91"/>
      <c r="T46" s="91" t="s">
        <v>897</v>
      </c>
      <c r="U46" s="96" t="s">
        <v>921</v>
      </c>
      <c r="V46" s="91"/>
      <c r="W46" s="91"/>
      <c r="X46" s="91"/>
      <c r="Y46" s="91"/>
      <c r="Z46" s="91"/>
      <c r="AA46" s="91"/>
      <c r="AB46" s="91"/>
      <c r="AC46" s="91"/>
      <c r="AD46" s="97" t="s">
        <v>890</v>
      </c>
      <c r="AE46" s="98" t="str">
        <f>"*"&amp;F46&amp;"*"&amp;"( "&amp;O46&amp;", "&amp;P46&amp;"/ "&amp;T46&amp;" )"&amp;", "</f>
        <v xml:space="preserve">*KARNATI BINTI KARSIMAN*( Betokan, demak/ BKPP ), </v>
      </c>
      <c r="AF46" s="94" t="s">
        <v>107</v>
      </c>
      <c r="AG46" s="81" t="s">
        <v>302</v>
      </c>
    </row>
    <row r="47" spans="1:34" ht="45" customHeight="1" x14ac:dyDescent="0.35">
      <c r="A47" s="90">
        <v>44</v>
      </c>
      <c r="B47" s="91"/>
      <c r="C47" s="102">
        <v>43979</v>
      </c>
      <c r="D47" s="91" t="s">
        <v>353</v>
      </c>
      <c r="E47" s="93" t="s">
        <v>105</v>
      </c>
      <c r="F47" s="94" t="s">
        <v>1797</v>
      </c>
      <c r="G47" s="117" t="s">
        <v>355</v>
      </c>
      <c r="H47" s="91">
        <v>44</v>
      </c>
      <c r="I47" s="91"/>
      <c r="J47" s="100" t="s">
        <v>912</v>
      </c>
      <c r="K47" s="100" t="s">
        <v>356</v>
      </c>
      <c r="L47" s="91" t="s">
        <v>918</v>
      </c>
      <c r="M47" s="91" t="s">
        <v>357</v>
      </c>
      <c r="N47" s="94" t="s">
        <v>1798</v>
      </c>
      <c r="O47" s="94" t="s">
        <v>1799</v>
      </c>
      <c r="P47" s="94" t="s">
        <v>538</v>
      </c>
      <c r="Q47" s="100" t="s">
        <v>920</v>
      </c>
      <c r="R47" s="91" t="s">
        <v>473</v>
      </c>
      <c r="S47" s="91"/>
      <c r="T47" s="91"/>
      <c r="U47" s="96" t="s">
        <v>921</v>
      </c>
      <c r="V47" s="91"/>
      <c r="W47" s="91"/>
      <c r="X47" s="91" t="s">
        <v>1791</v>
      </c>
      <c r="Y47" s="91" t="s">
        <v>1784</v>
      </c>
      <c r="Z47" s="97" t="s">
        <v>1590</v>
      </c>
      <c r="AA47" s="91"/>
      <c r="AB47" s="91"/>
      <c r="AC47" s="91"/>
      <c r="AD47" s="97" t="s">
        <v>1590</v>
      </c>
      <c r="AE47" s="98" t="str">
        <f>"*"&amp;F47&amp;"*"&amp;"( "&amp;O47&amp;", "&amp;P47&amp;" )"&amp;", "</f>
        <v xml:space="preserve">*sumiyati*( tugu, sayung ), </v>
      </c>
      <c r="AF47" s="94" t="s">
        <v>1799</v>
      </c>
      <c r="AG47" s="81" t="s">
        <v>304</v>
      </c>
    </row>
    <row r="48" spans="1:34" ht="45" customHeight="1" x14ac:dyDescent="0.35">
      <c r="A48" s="90">
        <v>45</v>
      </c>
      <c r="B48" s="91"/>
      <c r="C48" s="102">
        <v>43979</v>
      </c>
      <c r="D48" s="91" t="s">
        <v>353</v>
      </c>
      <c r="E48" s="93" t="s">
        <v>105</v>
      </c>
      <c r="F48" s="116" t="s">
        <v>1800</v>
      </c>
      <c r="G48" s="117" t="s">
        <v>413</v>
      </c>
      <c r="H48" s="91">
        <v>35</v>
      </c>
      <c r="I48" s="91"/>
      <c r="J48" s="100" t="s">
        <v>912</v>
      </c>
      <c r="K48" s="100" t="s">
        <v>356</v>
      </c>
      <c r="L48" s="100" t="s">
        <v>1801</v>
      </c>
      <c r="M48" s="91" t="s">
        <v>357</v>
      </c>
      <c r="N48" s="118" t="s">
        <v>1802</v>
      </c>
      <c r="O48" s="118" t="s">
        <v>1803</v>
      </c>
      <c r="P48" s="94" t="s">
        <v>312</v>
      </c>
      <c r="Q48" s="100" t="s">
        <v>516</v>
      </c>
      <c r="R48" s="91" t="s">
        <v>473</v>
      </c>
      <c r="S48" s="91"/>
      <c r="T48" s="91"/>
      <c r="U48" s="96" t="s">
        <v>921</v>
      </c>
      <c r="V48" s="91"/>
      <c r="W48" s="91"/>
      <c r="X48" s="91"/>
      <c r="Y48" s="91" t="s">
        <v>1784</v>
      </c>
      <c r="Z48" s="97" t="s">
        <v>1590</v>
      </c>
      <c r="AA48" s="91"/>
      <c r="AB48" s="91"/>
      <c r="AC48" s="91"/>
      <c r="AD48" s="97" t="s">
        <v>1590</v>
      </c>
      <c r="AE48" s="98" t="str">
        <f>"*"&amp;F48&amp;"*"&amp;"( "&amp;O48&amp;", "&amp;P48&amp;" )"&amp;", "</f>
        <v xml:space="preserve">*MUHADISIN*(  JUNGSEMI, WEDUNG ), </v>
      </c>
      <c r="AF48" s="118" t="s">
        <v>1803</v>
      </c>
      <c r="AG48" s="81" t="s">
        <v>312</v>
      </c>
    </row>
    <row r="49" spans="1:34" ht="45" customHeight="1" x14ac:dyDescent="0.35">
      <c r="A49" s="90">
        <v>46</v>
      </c>
      <c r="B49" s="91"/>
      <c r="C49" s="102">
        <v>43981</v>
      </c>
      <c r="D49" s="91" t="s">
        <v>353</v>
      </c>
      <c r="E49" s="93" t="s">
        <v>105</v>
      </c>
      <c r="F49" s="94" t="s">
        <v>1338</v>
      </c>
      <c r="G49" s="91" t="s">
        <v>355</v>
      </c>
      <c r="H49" s="91">
        <v>61</v>
      </c>
      <c r="I49" s="91" t="s">
        <v>1339</v>
      </c>
      <c r="J49" s="91" t="s">
        <v>1340</v>
      </c>
      <c r="K49" s="100" t="s">
        <v>356</v>
      </c>
      <c r="L49" s="91" t="s">
        <v>1340</v>
      </c>
      <c r="M49" s="91" t="s">
        <v>357</v>
      </c>
      <c r="N49" s="94" t="s">
        <v>1341</v>
      </c>
      <c r="O49" s="94" t="s">
        <v>1342</v>
      </c>
      <c r="P49" s="94" t="s">
        <v>303</v>
      </c>
      <c r="Q49" s="91" t="s">
        <v>929</v>
      </c>
      <c r="R49" s="91" t="s">
        <v>473</v>
      </c>
      <c r="S49" s="95" t="s">
        <v>369</v>
      </c>
      <c r="T49" s="91" t="s">
        <v>1343</v>
      </c>
      <c r="U49" s="96" t="s">
        <v>921</v>
      </c>
      <c r="V49" s="91"/>
      <c r="W49" s="95"/>
      <c r="X49" s="91"/>
      <c r="Y49" s="91"/>
      <c r="Z49" s="91" t="s">
        <v>1344</v>
      </c>
      <c r="AA49" s="91"/>
      <c r="AB49" s="91"/>
      <c r="AC49" s="91"/>
      <c r="AD49" s="103" t="s">
        <v>316</v>
      </c>
      <c r="AE49" s="98" t="str">
        <f>"*"&amp;F49&amp;"*"&amp;"( "&amp;O49&amp;", "&amp;P49&amp;" )"&amp;", "</f>
        <v xml:space="preserve">*Amaroh*( TEMUROSO, GUNTUR ), </v>
      </c>
      <c r="AF49" s="94" t="s">
        <v>1342</v>
      </c>
      <c r="AG49" s="81" t="s">
        <v>303</v>
      </c>
    </row>
    <row r="50" spans="1:34" ht="45" customHeight="1" x14ac:dyDescent="0.35">
      <c r="A50" s="90">
        <v>47</v>
      </c>
      <c r="B50" s="91"/>
      <c r="C50" s="102">
        <v>43981</v>
      </c>
      <c r="D50" s="91" t="s">
        <v>353</v>
      </c>
      <c r="E50" s="93" t="s">
        <v>105</v>
      </c>
      <c r="F50" s="116" t="s">
        <v>925</v>
      </c>
      <c r="G50" s="117" t="s">
        <v>355</v>
      </c>
      <c r="H50" s="91">
        <v>47</v>
      </c>
      <c r="I50" s="91" t="s">
        <v>926</v>
      </c>
      <c r="J50" s="100"/>
      <c r="K50" s="100" t="s">
        <v>356</v>
      </c>
      <c r="L50" s="100"/>
      <c r="M50" s="91" t="s">
        <v>357</v>
      </c>
      <c r="N50" s="94" t="s">
        <v>927</v>
      </c>
      <c r="O50" s="94" t="s">
        <v>928</v>
      </c>
      <c r="P50" s="94" t="s">
        <v>223</v>
      </c>
      <c r="Q50" s="91" t="s">
        <v>929</v>
      </c>
      <c r="R50" s="91" t="s">
        <v>473</v>
      </c>
      <c r="S50" s="91"/>
      <c r="T50" s="91"/>
      <c r="U50" s="96" t="s">
        <v>930</v>
      </c>
      <c r="V50" s="91" t="s">
        <v>931</v>
      </c>
      <c r="W50" s="91"/>
      <c r="X50" s="91"/>
      <c r="Y50" s="91"/>
      <c r="Z50" s="97"/>
      <c r="AA50" s="91"/>
      <c r="AB50" s="91"/>
      <c r="AC50" s="91"/>
      <c r="AD50" s="97" t="s">
        <v>890</v>
      </c>
      <c r="AE50" s="98" t="str">
        <f>"*"&amp;F50&amp;"*"&amp;"( "&amp;O50&amp;", "&amp;P50&amp;"/ "&amp;T50&amp;" )"&amp;", "</f>
        <v xml:space="preserve">*musayyaroh*( GEMULAK, Sayung/  ), </v>
      </c>
      <c r="AF50" s="94" t="s">
        <v>928</v>
      </c>
      <c r="AG50" s="81" t="s">
        <v>304</v>
      </c>
    </row>
    <row r="51" spans="1:34" ht="45" customHeight="1" x14ac:dyDescent="0.35">
      <c r="A51" s="90">
        <v>48</v>
      </c>
      <c r="B51" s="91"/>
      <c r="C51" s="102">
        <v>43981</v>
      </c>
      <c r="D51" s="91" t="s">
        <v>353</v>
      </c>
      <c r="E51" s="93" t="s">
        <v>105</v>
      </c>
      <c r="F51" s="116" t="s">
        <v>1867</v>
      </c>
      <c r="G51" s="117" t="s">
        <v>355</v>
      </c>
      <c r="H51" s="91">
        <v>54</v>
      </c>
      <c r="I51" s="91" t="s">
        <v>1868</v>
      </c>
      <c r="J51" s="100"/>
      <c r="K51" s="100" t="s">
        <v>356</v>
      </c>
      <c r="L51" s="100"/>
      <c r="M51" s="91" t="s">
        <v>357</v>
      </c>
      <c r="N51" s="94" t="s">
        <v>1869</v>
      </c>
      <c r="O51" s="94" t="s">
        <v>524</v>
      </c>
      <c r="P51" s="94" t="s">
        <v>538</v>
      </c>
      <c r="Q51" s="91" t="s">
        <v>929</v>
      </c>
      <c r="R51" s="91" t="s">
        <v>531</v>
      </c>
      <c r="S51" s="91"/>
      <c r="T51" s="91" t="s">
        <v>1590</v>
      </c>
      <c r="U51" s="96" t="s">
        <v>1870</v>
      </c>
      <c r="V51" s="91"/>
      <c r="W51" s="91"/>
      <c r="X51" s="91"/>
      <c r="Y51" s="91"/>
      <c r="Z51" s="91" t="s">
        <v>1590</v>
      </c>
      <c r="AA51" s="91"/>
      <c r="AB51" s="91"/>
      <c r="AC51" s="91"/>
      <c r="AD51" s="97" t="s">
        <v>1866</v>
      </c>
      <c r="AE51" s="98" t="str">
        <f>"*"&amp;F51&amp;"*"&amp;"( "&amp;O51&amp;", "&amp;P51&amp;" )"&amp;", "</f>
        <v xml:space="preserve">*soimah*( BEDONO, sayung ), </v>
      </c>
      <c r="AF51" s="94" t="s">
        <v>524</v>
      </c>
      <c r="AG51" s="81" t="s">
        <v>304</v>
      </c>
    </row>
    <row r="52" spans="1:34" ht="45" customHeight="1" x14ac:dyDescent="0.35">
      <c r="A52" s="90">
        <v>49</v>
      </c>
      <c r="B52" s="91">
        <v>1</v>
      </c>
      <c r="C52" s="102">
        <v>43981</v>
      </c>
      <c r="D52" s="91" t="s">
        <v>353</v>
      </c>
      <c r="E52" s="93" t="s">
        <v>105</v>
      </c>
      <c r="F52" s="116" t="s">
        <v>1804</v>
      </c>
      <c r="G52" s="117" t="s">
        <v>355</v>
      </c>
      <c r="H52" s="91">
        <v>42</v>
      </c>
      <c r="I52" s="91" t="s">
        <v>402</v>
      </c>
      <c r="J52" s="100"/>
      <c r="K52" s="100" t="s">
        <v>356</v>
      </c>
      <c r="L52" s="100"/>
      <c r="M52" s="91" t="s">
        <v>357</v>
      </c>
      <c r="N52" s="94" t="s">
        <v>1805</v>
      </c>
      <c r="O52" s="94" t="s">
        <v>934</v>
      </c>
      <c r="P52" s="94" t="s">
        <v>987</v>
      </c>
      <c r="Q52" s="91" t="s">
        <v>929</v>
      </c>
      <c r="R52" s="91" t="s">
        <v>565</v>
      </c>
      <c r="S52" s="91"/>
      <c r="T52" s="91" t="s">
        <v>1590</v>
      </c>
      <c r="U52" s="96" t="s">
        <v>1806</v>
      </c>
      <c r="V52" s="91"/>
      <c r="W52" s="91"/>
      <c r="X52" s="91"/>
      <c r="Y52" s="91"/>
      <c r="Z52" s="91"/>
      <c r="AA52" s="91"/>
      <c r="AB52" s="91"/>
      <c r="AC52" s="91"/>
      <c r="AD52" s="97" t="s">
        <v>1590</v>
      </c>
      <c r="AE52" s="98" t="str">
        <f>"*"&amp;F52&amp;"*"&amp;"( "&amp;O52&amp;", "&amp;P52&amp;" )"&amp;", "</f>
        <v xml:space="preserve">*SRI SUPIYAH*( banjarsari, gajah ), </v>
      </c>
      <c r="AF52" s="94" t="s">
        <v>934</v>
      </c>
      <c r="AG52" s="81" t="s">
        <v>308</v>
      </c>
    </row>
    <row r="53" spans="1:34" ht="45" customHeight="1" x14ac:dyDescent="0.35">
      <c r="A53" s="90">
        <v>50</v>
      </c>
      <c r="B53" s="91"/>
      <c r="C53" s="102">
        <v>43981</v>
      </c>
      <c r="D53" s="91" t="s">
        <v>353</v>
      </c>
      <c r="E53" s="93" t="s">
        <v>105</v>
      </c>
      <c r="F53" s="116" t="s">
        <v>932</v>
      </c>
      <c r="G53" s="117" t="s">
        <v>413</v>
      </c>
      <c r="H53" s="91">
        <v>25</v>
      </c>
      <c r="I53" s="91" t="s">
        <v>933</v>
      </c>
      <c r="J53" s="100"/>
      <c r="K53" s="100" t="s">
        <v>356</v>
      </c>
      <c r="L53" s="100"/>
      <c r="M53" s="91" t="s">
        <v>357</v>
      </c>
      <c r="N53" s="94" t="s">
        <v>934</v>
      </c>
      <c r="O53" s="94" t="s">
        <v>934</v>
      </c>
      <c r="P53" s="94" t="s">
        <v>538</v>
      </c>
      <c r="Q53" s="91" t="s">
        <v>929</v>
      </c>
      <c r="R53" s="91" t="s">
        <v>517</v>
      </c>
      <c r="S53" s="91"/>
      <c r="T53" s="91" t="s">
        <v>897</v>
      </c>
      <c r="U53" s="96" t="s">
        <v>935</v>
      </c>
      <c r="V53" s="91"/>
      <c r="W53" s="91"/>
      <c r="X53" s="91"/>
      <c r="Y53" s="91"/>
      <c r="Z53" s="97"/>
      <c r="AA53" s="91"/>
      <c r="AB53" s="91"/>
      <c r="AC53" s="91"/>
      <c r="AD53" s="97" t="s">
        <v>890</v>
      </c>
      <c r="AE53" s="98" t="str">
        <f>"*"&amp;F53&amp;"*"&amp;"( "&amp;O53&amp;", "&amp;P53&amp;"/ "&amp;T53&amp;" )"&amp;", "</f>
        <v xml:space="preserve">*M ZAINUL MUHTAR*( banjarsari, sayung/ BKPP ), </v>
      </c>
      <c r="AF53" s="94" t="s">
        <v>934</v>
      </c>
      <c r="AG53" s="81" t="s">
        <v>304</v>
      </c>
    </row>
    <row r="54" spans="1:34" s="120" customFormat="1" ht="45" customHeight="1" x14ac:dyDescent="0.35">
      <c r="A54" s="90">
        <v>51</v>
      </c>
      <c r="B54" s="91"/>
      <c r="C54" s="102">
        <v>43982</v>
      </c>
      <c r="D54" s="91" t="s">
        <v>353</v>
      </c>
      <c r="E54" s="93" t="s">
        <v>105</v>
      </c>
      <c r="F54" s="116" t="s">
        <v>1807</v>
      </c>
      <c r="G54" s="117" t="s">
        <v>413</v>
      </c>
      <c r="H54" s="91">
        <v>55</v>
      </c>
      <c r="I54" s="91">
        <v>81227004240</v>
      </c>
      <c r="J54" s="100" t="s">
        <v>1808</v>
      </c>
      <c r="K54" s="91" t="s">
        <v>356</v>
      </c>
      <c r="L54" s="100" t="s">
        <v>913</v>
      </c>
      <c r="M54" s="91" t="s">
        <v>357</v>
      </c>
      <c r="N54" s="118" t="s">
        <v>1809</v>
      </c>
      <c r="O54" s="118" t="s">
        <v>408</v>
      </c>
      <c r="P54" s="94" t="s">
        <v>1810</v>
      </c>
      <c r="Q54" s="91" t="s">
        <v>929</v>
      </c>
      <c r="R54" s="91" t="s">
        <v>905</v>
      </c>
      <c r="S54" s="91"/>
      <c r="T54" s="91" t="s">
        <v>1590</v>
      </c>
      <c r="U54" s="96" t="s">
        <v>921</v>
      </c>
      <c r="V54" s="91"/>
      <c r="W54" s="91"/>
      <c r="X54" s="91"/>
      <c r="Y54" s="91"/>
      <c r="Z54" s="97"/>
      <c r="AA54" s="91"/>
      <c r="AB54" s="91"/>
      <c r="AC54" s="91"/>
      <c r="AD54" s="97" t="s">
        <v>1590</v>
      </c>
      <c r="AE54" s="98" t="str">
        <f t="shared" ref="AE54:AE61" si="1">"*"&amp;F54&amp;"*"&amp;"( "&amp;O54&amp;", "&amp;P54&amp;" )"&amp;", "</f>
        <v xml:space="preserve">*Bambang Rozikan*( Kedungmutih, Wedung  ), </v>
      </c>
      <c r="AF54" s="118" t="s">
        <v>408</v>
      </c>
      <c r="AG54" s="81" t="s">
        <v>312</v>
      </c>
    </row>
    <row r="55" spans="1:34" s="2" customFormat="1" ht="45" customHeight="1" x14ac:dyDescent="0.35">
      <c r="A55" s="90">
        <v>52</v>
      </c>
      <c r="B55" s="91"/>
      <c r="C55" s="102">
        <v>43982</v>
      </c>
      <c r="D55" s="91" t="s">
        <v>353</v>
      </c>
      <c r="E55" s="93" t="s">
        <v>105</v>
      </c>
      <c r="F55" s="94" t="s">
        <v>1811</v>
      </c>
      <c r="G55" s="117" t="s">
        <v>413</v>
      </c>
      <c r="H55" s="91">
        <v>72</v>
      </c>
      <c r="I55" s="93" t="s">
        <v>1812</v>
      </c>
      <c r="J55" s="100"/>
      <c r="K55" s="91" t="s">
        <v>356</v>
      </c>
      <c r="L55" s="91" t="s">
        <v>882</v>
      </c>
      <c r="M55" s="91" t="s">
        <v>357</v>
      </c>
      <c r="N55" s="94" t="s">
        <v>1813</v>
      </c>
      <c r="O55" s="94" t="s">
        <v>229</v>
      </c>
      <c r="P55" s="94" t="s">
        <v>226</v>
      </c>
      <c r="Q55" s="91" t="s">
        <v>516</v>
      </c>
      <c r="R55" s="91" t="s">
        <v>473</v>
      </c>
      <c r="S55" s="91"/>
      <c r="T55" s="91"/>
      <c r="U55" s="99" t="s">
        <v>930</v>
      </c>
      <c r="V55" s="91"/>
      <c r="W55" s="91"/>
      <c r="X55" s="91" t="s">
        <v>1784</v>
      </c>
      <c r="Y55" s="91" t="s">
        <v>1590</v>
      </c>
      <c r="Z55" s="97"/>
      <c r="AA55" s="91"/>
      <c r="AB55" s="91"/>
      <c r="AC55" s="91"/>
      <c r="AD55" s="97" t="s">
        <v>1590</v>
      </c>
      <c r="AE55" s="98" t="str">
        <f t="shared" si="1"/>
        <v xml:space="preserve">*sukarjo*( Bungo, Wedung ), </v>
      </c>
      <c r="AF55" s="94" t="s">
        <v>229</v>
      </c>
      <c r="AG55" s="81" t="s">
        <v>312</v>
      </c>
      <c r="AH55" s="79"/>
    </row>
    <row r="56" spans="1:34" s="2" customFormat="1" ht="45" customHeight="1" x14ac:dyDescent="0.35">
      <c r="A56" s="90">
        <v>53</v>
      </c>
      <c r="B56" s="91"/>
      <c r="C56" s="102">
        <v>43982</v>
      </c>
      <c r="D56" s="91" t="s">
        <v>353</v>
      </c>
      <c r="E56" s="93" t="s">
        <v>105</v>
      </c>
      <c r="F56" s="94" t="s">
        <v>1814</v>
      </c>
      <c r="G56" s="117" t="s">
        <v>413</v>
      </c>
      <c r="H56" s="91">
        <v>53</v>
      </c>
      <c r="I56" s="93" t="s">
        <v>1815</v>
      </c>
      <c r="J56" s="100" t="s">
        <v>1816</v>
      </c>
      <c r="K56" s="91" t="s">
        <v>356</v>
      </c>
      <c r="L56" s="91" t="s">
        <v>1817</v>
      </c>
      <c r="M56" s="91" t="s">
        <v>357</v>
      </c>
      <c r="N56" s="94" t="s">
        <v>1818</v>
      </c>
      <c r="O56" s="94" t="s">
        <v>27</v>
      </c>
      <c r="P56" s="94" t="s">
        <v>24</v>
      </c>
      <c r="Q56" s="91" t="s">
        <v>361</v>
      </c>
      <c r="R56" s="91" t="s">
        <v>473</v>
      </c>
      <c r="S56" s="91"/>
      <c r="T56" s="91"/>
      <c r="U56" s="99" t="s">
        <v>930</v>
      </c>
      <c r="V56" s="91"/>
      <c r="W56" s="91"/>
      <c r="X56" s="91" t="s">
        <v>1791</v>
      </c>
      <c r="Y56" s="91" t="s">
        <v>1784</v>
      </c>
      <c r="Z56" s="97" t="s">
        <v>1590</v>
      </c>
      <c r="AA56" s="91"/>
      <c r="AB56" s="91"/>
      <c r="AC56" s="91"/>
      <c r="AD56" s="97" t="s">
        <v>1590</v>
      </c>
      <c r="AE56" s="98" t="str">
        <f t="shared" si="1"/>
        <v xml:space="preserve">*Agus Setyo Budi*( Pulosari, Karangtengah ), </v>
      </c>
      <c r="AF56" s="94" t="s">
        <v>27</v>
      </c>
      <c r="AG56" s="81" t="s">
        <v>0</v>
      </c>
      <c r="AH56" s="79"/>
    </row>
    <row r="57" spans="1:34" s="2" customFormat="1" ht="45" customHeight="1" x14ac:dyDescent="0.35">
      <c r="A57" s="90">
        <v>54</v>
      </c>
      <c r="B57" s="91"/>
      <c r="C57" s="102">
        <v>43982</v>
      </c>
      <c r="D57" s="91" t="s">
        <v>353</v>
      </c>
      <c r="E57" s="93" t="s">
        <v>105</v>
      </c>
      <c r="F57" s="94" t="s">
        <v>1345</v>
      </c>
      <c r="G57" s="117" t="s">
        <v>355</v>
      </c>
      <c r="H57" s="91">
        <v>60</v>
      </c>
      <c r="I57" s="93" t="s">
        <v>1346</v>
      </c>
      <c r="J57" s="91" t="s">
        <v>1347</v>
      </c>
      <c r="K57" s="91" t="s">
        <v>356</v>
      </c>
      <c r="L57" s="91" t="s">
        <v>1347</v>
      </c>
      <c r="M57" s="91" t="s">
        <v>357</v>
      </c>
      <c r="N57" s="94" t="s">
        <v>1348</v>
      </c>
      <c r="O57" s="94" t="s">
        <v>58</v>
      </c>
      <c r="P57" s="94" t="s">
        <v>308</v>
      </c>
      <c r="Q57" s="91" t="s">
        <v>516</v>
      </c>
      <c r="R57" s="91" t="s">
        <v>473</v>
      </c>
      <c r="S57" s="91"/>
      <c r="T57" s="91" t="s">
        <v>1343</v>
      </c>
      <c r="U57" s="99" t="s">
        <v>921</v>
      </c>
      <c r="V57" s="95" t="s">
        <v>1349</v>
      </c>
      <c r="W57" s="91"/>
      <c r="X57" s="91"/>
      <c r="Y57" s="91"/>
      <c r="Z57" s="91"/>
      <c r="AA57" s="91"/>
      <c r="AB57" s="91"/>
      <c r="AC57" s="91"/>
      <c r="AD57" s="97" t="s">
        <v>316</v>
      </c>
      <c r="AE57" s="98" t="str">
        <f t="shared" si="1"/>
        <v xml:space="preserve">*sumirah*( Gajah, GAJAH ), </v>
      </c>
      <c r="AF57" s="94" t="s">
        <v>58</v>
      </c>
      <c r="AG57" s="81" t="s">
        <v>308</v>
      </c>
      <c r="AH57" s="79"/>
    </row>
    <row r="58" spans="1:34" ht="45" customHeight="1" x14ac:dyDescent="0.35">
      <c r="A58" s="90">
        <v>55</v>
      </c>
      <c r="B58" s="91"/>
      <c r="C58" s="102">
        <v>43982</v>
      </c>
      <c r="D58" s="91" t="s">
        <v>353</v>
      </c>
      <c r="E58" s="93" t="s">
        <v>105</v>
      </c>
      <c r="F58" s="116" t="s">
        <v>1819</v>
      </c>
      <c r="G58" s="117" t="s">
        <v>413</v>
      </c>
      <c r="H58" s="91">
        <v>54</v>
      </c>
      <c r="I58" s="91">
        <v>82341352032</v>
      </c>
      <c r="J58" s="100"/>
      <c r="K58" s="91" t="s">
        <v>356</v>
      </c>
      <c r="L58" s="100" t="s">
        <v>1820</v>
      </c>
      <c r="M58" s="91" t="s">
        <v>357</v>
      </c>
      <c r="N58" s="118" t="s">
        <v>1821</v>
      </c>
      <c r="O58" s="118" t="s">
        <v>1822</v>
      </c>
      <c r="P58" s="94" t="s">
        <v>306</v>
      </c>
      <c r="Q58" s="91" t="s">
        <v>516</v>
      </c>
      <c r="R58" s="91" t="s">
        <v>905</v>
      </c>
      <c r="S58" s="91"/>
      <c r="T58" s="91" t="s">
        <v>1590</v>
      </c>
      <c r="U58" s="96" t="s">
        <v>921</v>
      </c>
      <c r="V58" s="91"/>
      <c r="W58" s="91"/>
      <c r="X58" s="91"/>
      <c r="Y58" s="91"/>
      <c r="Z58" s="97"/>
      <c r="AA58" s="91">
        <v>5</v>
      </c>
      <c r="AB58" s="91"/>
      <c r="AC58" s="91"/>
      <c r="AD58" s="97" t="s">
        <v>1590</v>
      </c>
      <c r="AE58" s="98" t="str">
        <f t="shared" si="1"/>
        <v xml:space="preserve">*ahmadi*( SOLOWERE, KEBONAGUNG ), </v>
      </c>
      <c r="AF58" s="118" t="s">
        <v>1822</v>
      </c>
      <c r="AG58" s="81" t="s">
        <v>306</v>
      </c>
    </row>
    <row r="59" spans="1:34" ht="45" customHeight="1" x14ac:dyDescent="0.35">
      <c r="A59" s="90">
        <v>56</v>
      </c>
      <c r="B59" s="91"/>
      <c r="C59" s="102">
        <v>43982</v>
      </c>
      <c r="D59" s="91" t="s">
        <v>353</v>
      </c>
      <c r="E59" s="93" t="s">
        <v>105</v>
      </c>
      <c r="F59" s="116" t="s">
        <v>1823</v>
      </c>
      <c r="G59" s="117" t="s">
        <v>355</v>
      </c>
      <c r="H59" s="91">
        <v>32</v>
      </c>
      <c r="I59" s="91">
        <v>82328499203</v>
      </c>
      <c r="J59" s="100"/>
      <c r="K59" s="91" t="s">
        <v>356</v>
      </c>
      <c r="L59" s="100" t="s">
        <v>1824</v>
      </c>
      <c r="M59" s="91" t="s">
        <v>357</v>
      </c>
      <c r="N59" s="118" t="s">
        <v>1825</v>
      </c>
      <c r="O59" s="118" t="s">
        <v>1822</v>
      </c>
      <c r="P59" s="94" t="s">
        <v>306</v>
      </c>
      <c r="Q59" s="91" t="s">
        <v>516</v>
      </c>
      <c r="R59" s="91" t="s">
        <v>905</v>
      </c>
      <c r="S59" s="91"/>
      <c r="T59" s="91" t="s">
        <v>1590</v>
      </c>
      <c r="U59" s="96" t="s">
        <v>921</v>
      </c>
      <c r="V59" s="91"/>
      <c r="W59" s="91"/>
      <c r="X59" s="91"/>
      <c r="Y59" s="91"/>
      <c r="Z59" s="97"/>
      <c r="AA59" s="91">
        <v>6</v>
      </c>
      <c r="AB59" s="91"/>
      <c r="AC59" s="91"/>
      <c r="AD59" s="97" t="s">
        <v>1590</v>
      </c>
      <c r="AE59" s="98" t="str">
        <f t="shared" si="1"/>
        <v xml:space="preserve">*umi latifah*( SOLOWERE, KEBONAGUNG ), </v>
      </c>
      <c r="AF59" s="118" t="s">
        <v>1822</v>
      </c>
      <c r="AG59" s="81" t="s">
        <v>306</v>
      </c>
    </row>
    <row r="60" spans="1:34" ht="45" customHeight="1" x14ac:dyDescent="0.35">
      <c r="A60" s="90">
        <v>57</v>
      </c>
      <c r="B60" s="91">
        <v>1</v>
      </c>
      <c r="C60" s="102">
        <v>43982</v>
      </c>
      <c r="D60" s="91" t="s">
        <v>353</v>
      </c>
      <c r="E60" s="93" t="s">
        <v>105</v>
      </c>
      <c r="F60" s="116" t="s">
        <v>1826</v>
      </c>
      <c r="G60" s="117" t="s">
        <v>413</v>
      </c>
      <c r="H60" s="91"/>
      <c r="I60" s="91">
        <v>85799716995</v>
      </c>
      <c r="J60" s="100"/>
      <c r="K60" s="91" t="s">
        <v>356</v>
      </c>
      <c r="L60" s="100"/>
      <c r="M60" s="91" t="s">
        <v>357</v>
      </c>
      <c r="N60" s="118" t="s">
        <v>1827</v>
      </c>
      <c r="O60" s="118" t="s">
        <v>1015</v>
      </c>
      <c r="P60" s="94" t="s">
        <v>301</v>
      </c>
      <c r="Q60" s="91" t="s">
        <v>516</v>
      </c>
      <c r="R60" s="91" t="s">
        <v>1828</v>
      </c>
      <c r="S60" s="91"/>
      <c r="T60" s="91" t="s">
        <v>1590</v>
      </c>
      <c r="U60" s="96" t="s">
        <v>1829</v>
      </c>
      <c r="V60" s="91"/>
      <c r="W60" s="91"/>
      <c r="X60" s="91"/>
      <c r="Y60" s="91"/>
      <c r="Z60" s="91"/>
      <c r="AA60" s="91"/>
      <c r="AB60" s="91"/>
      <c r="AC60" s="91"/>
      <c r="AD60" s="97" t="s">
        <v>1590</v>
      </c>
      <c r="AE60" s="98" t="str">
        <f t="shared" si="1"/>
        <v xml:space="preserve">*waluyo*( BUMIREJO, KARANGAWEN ), </v>
      </c>
      <c r="AF60" s="118" t="s">
        <v>1015</v>
      </c>
      <c r="AG60" s="81" t="s">
        <v>301</v>
      </c>
    </row>
    <row r="61" spans="1:34" ht="45" customHeight="1" x14ac:dyDescent="0.35">
      <c r="A61" s="90">
        <v>58</v>
      </c>
      <c r="B61" s="91"/>
      <c r="C61" s="102">
        <v>43982</v>
      </c>
      <c r="D61" s="91" t="s">
        <v>353</v>
      </c>
      <c r="E61" s="93" t="s">
        <v>105</v>
      </c>
      <c r="F61" s="116" t="s">
        <v>1830</v>
      </c>
      <c r="G61" s="117" t="s">
        <v>355</v>
      </c>
      <c r="H61" s="91">
        <v>42</v>
      </c>
      <c r="I61" s="91">
        <v>85280225519</v>
      </c>
      <c r="J61" s="100" t="s">
        <v>912</v>
      </c>
      <c r="K61" s="91" t="s">
        <v>356</v>
      </c>
      <c r="L61" s="100"/>
      <c r="M61" s="91" t="s">
        <v>357</v>
      </c>
      <c r="N61" s="118" t="s">
        <v>1831</v>
      </c>
      <c r="O61" s="118" t="s">
        <v>312</v>
      </c>
      <c r="P61" s="94" t="s">
        <v>312</v>
      </c>
      <c r="Q61" s="91" t="s">
        <v>516</v>
      </c>
      <c r="R61" s="91" t="s">
        <v>473</v>
      </c>
      <c r="S61" s="91"/>
      <c r="T61" s="91"/>
      <c r="U61" s="96" t="s">
        <v>1832</v>
      </c>
      <c r="V61" s="91"/>
      <c r="W61" s="91"/>
      <c r="X61" s="91"/>
      <c r="Y61" s="91" t="s">
        <v>1784</v>
      </c>
      <c r="Z61" s="97" t="s">
        <v>1590</v>
      </c>
      <c r="AA61" s="91"/>
      <c r="AB61" s="91"/>
      <c r="AC61" s="91"/>
      <c r="AD61" s="97" t="s">
        <v>1590</v>
      </c>
      <c r="AE61" s="98" t="str">
        <f t="shared" si="1"/>
        <v xml:space="preserve">*MUTHOHAROH*( WEDUNG, WEDUNG ), </v>
      </c>
      <c r="AF61" s="118" t="s">
        <v>312</v>
      </c>
      <c r="AG61" s="81" t="s">
        <v>312</v>
      </c>
    </row>
    <row r="62" spans="1:34" ht="45" customHeight="1" x14ac:dyDescent="0.35">
      <c r="A62" s="90">
        <v>59</v>
      </c>
      <c r="B62" s="91"/>
      <c r="C62" s="102">
        <v>43983</v>
      </c>
      <c r="D62" s="91" t="s">
        <v>353</v>
      </c>
      <c r="E62" s="93" t="s">
        <v>105</v>
      </c>
      <c r="F62" s="94" t="s">
        <v>936</v>
      </c>
      <c r="G62" s="91" t="s">
        <v>413</v>
      </c>
      <c r="H62" s="91">
        <v>70</v>
      </c>
      <c r="I62" s="93" t="s">
        <v>937</v>
      </c>
      <c r="J62" s="91" t="s">
        <v>938</v>
      </c>
      <c r="K62" s="91" t="s">
        <v>356</v>
      </c>
      <c r="L62" s="91" t="s">
        <v>938</v>
      </c>
      <c r="M62" s="91" t="s">
        <v>357</v>
      </c>
      <c r="N62" s="94" t="s">
        <v>939</v>
      </c>
      <c r="O62" s="94" t="s">
        <v>27</v>
      </c>
      <c r="P62" s="94" t="s">
        <v>0</v>
      </c>
      <c r="Q62" s="91" t="s">
        <v>516</v>
      </c>
      <c r="R62" s="91" t="s">
        <v>473</v>
      </c>
      <c r="S62" s="91"/>
      <c r="T62" s="91" t="s">
        <v>897</v>
      </c>
      <c r="U62" s="96" t="s">
        <v>940</v>
      </c>
      <c r="V62" s="95" t="s">
        <v>941</v>
      </c>
      <c r="W62" s="96" t="s">
        <v>942</v>
      </c>
      <c r="X62" s="91"/>
      <c r="Y62" s="91"/>
      <c r="Z62" s="97"/>
      <c r="AA62" s="91"/>
      <c r="AB62" s="91"/>
      <c r="AC62" s="91"/>
      <c r="AD62" s="97" t="s">
        <v>890</v>
      </c>
      <c r="AE62" s="98" t="str">
        <f>"*"&amp;F62&amp;"*"&amp;"( "&amp;O62&amp;", "&amp;P62&amp;"/ "&amp;T62&amp;" )"&amp;", "</f>
        <v xml:space="preserve">*TN.AHMAD HAJI*( Pulosari, KARANGTENGAH/ BKPP ), </v>
      </c>
      <c r="AF62" s="94" t="s">
        <v>27</v>
      </c>
      <c r="AG62" s="81" t="s">
        <v>0</v>
      </c>
    </row>
    <row r="63" spans="1:34" ht="45" customHeight="1" x14ac:dyDescent="0.35">
      <c r="A63" s="90">
        <v>60</v>
      </c>
      <c r="B63" s="91"/>
      <c r="C63" s="102">
        <v>43983</v>
      </c>
      <c r="D63" s="91" t="s">
        <v>353</v>
      </c>
      <c r="E63" s="93" t="s">
        <v>105</v>
      </c>
      <c r="F63" s="94" t="s">
        <v>943</v>
      </c>
      <c r="G63" s="91" t="s">
        <v>413</v>
      </c>
      <c r="H63" s="91">
        <v>32</v>
      </c>
      <c r="I63" s="91" t="s">
        <v>944</v>
      </c>
      <c r="J63" s="91" t="s">
        <v>945</v>
      </c>
      <c r="K63" s="91" t="s">
        <v>356</v>
      </c>
      <c r="L63" s="91" t="s">
        <v>945</v>
      </c>
      <c r="M63" s="91" t="s">
        <v>357</v>
      </c>
      <c r="N63" s="94" t="s">
        <v>946</v>
      </c>
      <c r="O63" s="94" t="s">
        <v>947</v>
      </c>
      <c r="P63" s="94" t="s">
        <v>302</v>
      </c>
      <c r="Q63" s="91" t="s">
        <v>516</v>
      </c>
      <c r="R63" s="91" t="s">
        <v>473</v>
      </c>
      <c r="S63" s="91"/>
      <c r="T63" s="91" t="s">
        <v>897</v>
      </c>
      <c r="U63" s="96" t="s">
        <v>940</v>
      </c>
      <c r="V63" s="95" t="s">
        <v>948</v>
      </c>
      <c r="W63" s="91"/>
      <c r="X63" s="91"/>
      <c r="Y63" s="91"/>
      <c r="Z63" s="97"/>
      <c r="AA63" s="91"/>
      <c r="AB63" s="91"/>
      <c r="AC63" s="91"/>
      <c r="AD63" s="97" t="s">
        <v>890</v>
      </c>
      <c r="AE63" s="98" t="str">
        <f>"*"&amp;F63&amp;"*"&amp;"( "&amp;O63&amp;", "&amp;P63&amp;"/ "&amp;T63&amp;" )"&amp;", "</f>
        <v xml:space="preserve">*Hadi Purnomo*( cabean, DEMAK/ BKPP ), </v>
      </c>
      <c r="AF63" s="94" t="s">
        <v>947</v>
      </c>
      <c r="AG63" s="81" t="s">
        <v>302</v>
      </c>
      <c r="AH63" s="103"/>
    </row>
    <row r="64" spans="1:34" ht="45" customHeight="1" x14ac:dyDescent="0.35">
      <c r="A64" s="90">
        <v>61</v>
      </c>
      <c r="B64" s="91"/>
      <c r="C64" s="102">
        <v>43984</v>
      </c>
      <c r="D64" s="91" t="s">
        <v>353</v>
      </c>
      <c r="E64" s="93" t="s">
        <v>105</v>
      </c>
      <c r="F64" s="116" t="s">
        <v>762</v>
      </c>
      <c r="G64" s="117" t="s">
        <v>355</v>
      </c>
      <c r="H64" s="91">
        <v>41</v>
      </c>
      <c r="I64" s="91">
        <v>81325134205</v>
      </c>
      <c r="J64" s="100" t="s">
        <v>1871</v>
      </c>
      <c r="K64" s="91" t="s">
        <v>356</v>
      </c>
      <c r="L64" s="100"/>
      <c r="M64" s="91" t="s">
        <v>357</v>
      </c>
      <c r="N64" s="118" t="s">
        <v>1872</v>
      </c>
      <c r="O64" s="118" t="s">
        <v>524</v>
      </c>
      <c r="P64" s="94" t="s">
        <v>304</v>
      </c>
      <c r="Q64" s="91" t="s">
        <v>516</v>
      </c>
      <c r="R64" s="91" t="s">
        <v>517</v>
      </c>
      <c r="S64" s="91"/>
      <c r="T64" s="91"/>
      <c r="U64" s="96" t="s">
        <v>940</v>
      </c>
      <c r="V64" s="91" t="s">
        <v>1873</v>
      </c>
      <c r="W64" s="91"/>
      <c r="X64" s="91"/>
      <c r="Y64" s="91" t="s">
        <v>1784</v>
      </c>
      <c r="Z64" s="97" t="s">
        <v>1590</v>
      </c>
      <c r="AA64" s="91"/>
      <c r="AB64" s="91"/>
      <c r="AC64" s="91"/>
      <c r="AD64" s="97" t="s">
        <v>1866</v>
      </c>
      <c r="AE64" s="98" t="str">
        <f>"*"&amp;F64&amp;"*"&amp;"( "&amp;O64&amp;", "&amp;P64&amp;" )"&amp;", "</f>
        <v xml:space="preserve">*SULASTRI*( BEDONO, SAYUNG ), </v>
      </c>
      <c r="AF64" s="118" t="s">
        <v>524</v>
      </c>
      <c r="AG64" s="81" t="s">
        <v>304</v>
      </c>
    </row>
    <row r="65" spans="1:34" ht="45" customHeight="1" x14ac:dyDescent="0.35">
      <c r="A65" s="90">
        <v>62</v>
      </c>
      <c r="B65" s="91"/>
      <c r="C65" s="102">
        <v>43984</v>
      </c>
      <c r="D65" s="91" t="s">
        <v>353</v>
      </c>
      <c r="E65" s="93" t="s">
        <v>105</v>
      </c>
      <c r="F65" s="116" t="s">
        <v>512</v>
      </c>
      <c r="G65" s="117" t="s">
        <v>355</v>
      </c>
      <c r="H65" s="91">
        <v>61</v>
      </c>
      <c r="I65" s="91"/>
      <c r="J65" s="100"/>
      <c r="K65" s="91" t="s">
        <v>356</v>
      </c>
      <c r="L65" s="100"/>
      <c r="M65" s="91" t="s">
        <v>357</v>
      </c>
      <c r="N65" s="118" t="s">
        <v>513</v>
      </c>
      <c r="O65" s="118" t="s">
        <v>514</v>
      </c>
      <c r="P65" s="94" t="s">
        <v>515</v>
      </c>
      <c r="Q65" s="91" t="s">
        <v>516</v>
      </c>
      <c r="R65" s="91" t="s">
        <v>517</v>
      </c>
      <c r="S65" s="91"/>
      <c r="T65" s="91" t="s">
        <v>518</v>
      </c>
      <c r="U65" s="96" t="s">
        <v>519</v>
      </c>
      <c r="V65" s="91" t="s">
        <v>520</v>
      </c>
      <c r="W65" s="91"/>
      <c r="X65" s="91"/>
      <c r="Y65" s="91"/>
      <c r="Z65" s="91"/>
      <c r="AA65" s="91"/>
      <c r="AB65" s="91"/>
      <c r="AC65" s="91"/>
      <c r="AD65" s="97" t="s">
        <v>521</v>
      </c>
      <c r="AE65" s="98" t="str">
        <f>"*"&amp;F65&amp;"*"&amp;"( "&amp;O65&amp;", "&amp;P65&amp;"/ "&amp;R65&amp;" )"&amp;", "</f>
        <v xml:space="preserve">*MUZAROAH*( KARANGSARI, KARANGTENGAH / RSU Sultan Agung Semarang ), </v>
      </c>
      <c r="AF65" s="118" t="s">
        <v>514</v>
      </c>
      <c r="AG65" s="81" t="s">
        <v>0</v>
      </c>
    </row>
    <row r="66" spans="1:34" ht="45" customHeight="1" x14ac:dyDescent="0.35">
      <c r="A66" s="90">
        <v>63</v>
      </c>
      <c r="B66" s="91"/>
      <c r="C66" s="102">
        <v>43984</v>
      </c>
      <c r="D66" s="91" t="s">
        <v>353</v>
      </c>
      <c r="E66" s="93" t="s">
        <v>105</v>
      </c>
      <c r="F66" s="116" t="s">
        <v>949</v>
      </c>
      <c r="G66" s="117" t="s">
        <v>355</v>
      </c>
      <c r="H66" s="91">
        <v>46</v>
      </c>
      <c r="I66" s="91"/>
      <c r="J66" s="100"/>
      <c r="K66" s="91" t="s">
        <v>356</v>
      </c>
      <c r="L66" s="100"/>
      <c r="M66" s="91" t="s">
        <v>357</v>
      </c>
      <c r="N66" s="118" t="s">
        <v>950</v>
      </c>
      <c r="O66" s="118" t="s">
        <v>711</v>
      </c>
      <c r="P66" s="94" t="s">
        <v>304</v>
      </c>
      <c r="Q66" s="91" t="s">
        <v>516</v>
      </c>
      <c r="R66" s="91" t="s">
        <v>517</v>
      </c>
      <c r="S66" s="91"/>
      <c r="T66" s="91" t="s">
        <v>897</v>
      </c>
      <c r="U66" s="96" t="s">
        <v>519</v>
      </c>
      <c r="V66" s="91" t="s">
        <v>951</v>
      </c>
      <c r="W66" s="91"/>
      <c r="X66" s="91"/>
      <c r="Y66" s="91"/>
      <c r="Z66" s="97"/>
      <c r="AA66" s="91"/>
      <c r="AB66" s="91"/>
      <c r="AC66" s="91"/>
      <c r="AD66" s="97" t="s">
        <v>890</v>
      </c>
      <c r="AE66" s="98" t="str">
        <f>"*"&amp;F66&amp;"*"&amp;"( "&amp;O66&amp;", "&amp;P66&amp;"/ "&amp;T66&amp;" )"&amp;", "</f>
        <v xml:space="preserve">*MASROH*( SRIWULAN, SAYUNG/ BKPP ), </v>
      </c>
      <c r="AF66" s="118" t="s">
        <v>711</v>
      </c>
      <c r="AG66" s="81" t="s">
        <v>304</v>
      </c>
      <c r="AH66" s="103"/>
    </row>
    <row r="67" spans="1:34" ht="45" customHeight="1" x14ac:dyDescent="0.35">
      <c r="A67" s="90">
        <v>64</v>
      </c>
      <c r="B67" s="91"/>
      <c r="C67" s="102">
        <v>43985</v>
      </c>
      <c r="D67" s="91" t="s">
        <v>353</v>
      </c>
      <c r="E67" s="93" t="s">
        <v>105</v>
      </c>
      <c r="F67" s="116" t="s">
        <v>1833</v>
      </c>
      <c r="G67" s="117" t="s">
        <v>355</v>
      </c>
      <c r="H67" s="91">
        <v>13</v>
      </c>
      <c r="I67" s="91"/>
      <c r="J67" s="100"/>
      <c r="K67" s="91" t="s">
        <v>356</v>
      </c>
      <c r="L67" s="100"/>
      <c r="M67" s="91" t="s">
        <v>357</v>
      </c>
      <c r="N67" s="118" t="s">
        <v>1834</v>
      </c>
      <c r="O67" s="118" t="s">
        <v>1281</v>
      </c>
      <c r="P67" s="94" t="s">
        <v>1835</v>
      </c>
      <c r="Q67" s="91" t="s">
        <v>516</v>
      </c>
      <c r="R67" s="91" t="s">
        <v>473</v>
      </c>
      <c r="S67" s="91"/>
      <c r="T67" s="91"/>
      <c r="U67" s="96" t="s">
        <v>519</v>
      </c>
      <c r="V67" s="91" t="s">
        <v>1836</v>
      </c>
      <c r="W67" s="91"/>
      <c r="X67" s="91"/>
      <c r="Y67" s="91" t="s">
        <v>1784</v>
      </c>
      <c r="Z67" s="97" t="s">
        <v>1590</v>
      </c>
      <c r="AA67" s="91"/>
      <c r="AB67" s="91"/>
      <c r="AC67" s="91"/>
      <c r="AD67" s="97" t="s">
        <v>1590</v>
      </c>
      <c r="AE67" s="98" t="str">
        <f>"*"&amp;F67&amp;"*"&amp;"( "&amp;O67&amp;", "&amp;P67&amp;" )"&amp;", "</f>
        <v xml:space="preserve">*NUR ANA FATMAWATI*( BUKO, WEDUNG  ), </v>
      </c>
      <c r="AF67" s="118" t="s">
        <v>1281</v>
      </c>
      <c r="AG67" s="81" t="s">
        <v>312</v>
      </c>
    </row>
    <row r="68" spans="1:34" ht="45" customHeight="1" x14ac:dyDescent="0.35">
      <c r="A68" s="90">
        <v>65</v>
      </c>
      <c r="B68" s="91"/>
      <c r="C68" s="102">
        <v>43985</v>
      </c>
      <c r="D68" s="91" t="s">
        <v>353</v>
      </c>
      <c r="E68" s="93" t="s">
        <v>105</v>
      </c>
      <c r="F68" s="116" t="s">
        <v>1837</v>
      </c>
      <c r="G68" s="117" t="s">
        <v>355</v>
      </c>
      <c r="H68" s="91">
        <v>59</v>
      </c>
      <c r="I68" s="91">
        <v>81228484901</v>
      </c>
      <c r="J68" s="100"/>
      <c r="K68" s="91" t="s">
        <v>356</v>
      </c>
      <c r="L68" s="100"/>
      <c r="M68" s="91" t="s">
        <v>357</v>
      </c>
      <c r="N68" s="118" t="s">
        <v>1838</v>
      </c>
      <c r="O68" s="118" t="s">
        <v>1245</v>
      </c>
      <c r="P68" s="94" t="s">
        <v>312</v>
      </c>
      <c r="Q68" s="91" t="s">
        <v>516</v>
      </c>
      <c r="R68" s="91" t="s">
        <v>905</v>
      </c>
      <c r="S68" s="91"/>
      <c r="T68" s="91" t="s">
        <v>1590</v>
      </c>
      <c r="U68" s="96" t="s">
        <v>519</v>
      </c>
      <c r="V68" s="91"/>
      <c r="W68" s="91"/>
      <c r="X68" s="91"/>
      <c r="Y68" s="91"/>
      <c r="Z68" s="97"/>
      <c r="AA68" s="91"/>
      <c r="AB68" s="91"/>
      <c r="AC68" s="91"/>
      <c r="AD68" s="97" t="s">
        <v>1590</v>
      </c>
      <c r="AE68" s="98" t="str">
        <f>"*"&amp;F68&amp;"*"&amp;"( "&amp;O68&amp;", "&amp;P68&amp;" )"&amp;", "</f>
        <v xml:space="preserve">*SUJINAH*( BUNGO, WEDUNG ), </v>
      </c>
      <c r="AF68" s="118" t="s">
        <v>1245</v>
      </c>
      <c r="AG68" s="81" t="s">
        <v>312</v>
      </c>
    </row>
    <row r="69" spans="1:34" ht="45" customHeight="1" x14ac:dyDescent="0.35">
      <c r="A69" s="90">
        <v>66</v>
      </c>
      <c r="B69" s="91"/>
      <c r="C69" s="102">
        <v>43985</v>
      </c>
      <c r="D69" s="91" t="s">
        <v>353</v>
      </c>
      <c r="E69" s="93" t="s">
        <v>105</v>
      </c>
      <c r="F69" s="116" t="s">
        <v>1267</v>
      </c>
      <c r="G69" s="117" t="s">
        <v>355</v>
      </c>
      <c r="H69" s="91">
        <v>35</v>
      </c>
      <c r="I69" s="91">
        <v>85743293884</v>
      </c>
      <c r="J69" s="100"/>
      <c r="K69" s="91" t="s">
        <v>356</v>
      </c>
      <c r="L69" s="100"/>
      <c r="M69" s="91" t="s">
        <v>357</v>
      </c>
      <c r="N69" s="118" t="s">
        <v>1268</v>
      </c>
      <c r="O69" s="118" t="s">
        <v>1269</v>
      </c>
      <c r="P69" s="94" t="s">
        <v>302</v>
      </c>
      <c r="Q69" s="100" t="s">
        <v>516</v>
      </c>
      <c r="R69" s="91" t="s">
        <v>1270</v>
      </c>
      <c r="S69" s="96">
        <v>43982</v>
      </c>
      <c r="T69" s="91" t="s">
        <v>885</v>
      </c>
      <c r="U69" s="96" t="s">
        <v>526</v>
      </c>
      <c r="V69" s="91"/>
      <c r="W69" s="91"/>
      <c r="X69" s="91"/>
      <c r="Y69" s="91"/>
      <c r="Z69" s="91"/>
      <c r="AA69" s="91"/>
      <c r="AB69" s="91"/>
      <c r="AC69" s="91"/>
      <c r="AD69" s="97" t="s">
        <v>1271</v>
      </c>
      <c r="AE69" s="98" t="str">
        <f>"*"&amp;F69&amp;"*"&amp;"( "&amp;O69&amp;", "&amp;P69&amp;"/ "&amp;T69&amp;" )"&amp;", "</f>
        <v xml:space="preserve">*WALYATI*( BANGO, DEMAK/ Rumah ), </v>
      </c>
      <c r="AF69" s="118" t="s">
        <v>1269</v>
      </c>
      <c r="AG69" s="81" t="s">
        <v>302</v>
      </c>
    </row>
    <row r="70" spans="1:34" ht="45" customHeight="1" x14ac:dyDescent="0.35">
      <c r="A70" s="90">
        <v>67</v>
      </c>
      <c r="B70" s="91"/>
      <c r="C70" s="102">
        <v>43985</v>
      </c>
      <c r="D70" s="91" t="s">
        <v>353</v>
      </c>
      <c r="E70" s="93" t="s">
        <v>105</v>
      </c>
      <c r="F70" s="116" t="s">
        <v>522</v>
      </c>
      <c r="G70" s="117" t="s">
        <v>413</v>
      </c>
      <c r="H70" s="91">
        <v>43</v>
      </c>
      <c r="I70" s="91">
        <v>81391337742</v>
      </c>
      <c r="J70" s="100"/>
      <c r="K70" s="91" t="s">
        <v>356</v>
      </c>
      <c r="L70" s="100"/>
      <c r="M70" s="91" t="s">
        <v>357</v>
      </c>
      <c r="N70" s="118" t="s">
        <v>523</v>
      </c>
      <c r="O70" s="118" t="s">
        <v>524</v>
      </c>
      <c r="P70" s="94" t="s">
        <v>304</v>
      </c>
      <c r="Q70" s="100" t="s">
        <v>516</v>
      </c>
      <c r="R70" s="91" t="s">
        <v>525</v>
      </c>
      <c r="S70" s="96">
        <v>43976</v>
      </c>
      <c r="T70" s="91"/>
      <c r="U70" s="96" t="s">
        <v>526</v>
      </c>
      <c r="V70" s="91"/>
      <c r="W70" s="91"/>
      <c r="X70" s="91"/>
      <c r="Y70" s="91"/>
      <c r="Z70" s="91"/>
      <c r="AA70" s="91">
        <v>13</v>
      </c>
      <c r="AB70" s="91"/>
      <c r="AC70" s="91"/>
      <c r="AD70" s="97" t="s">
        <v>521</v>
      </c>
      <c r="AE70" s="98" t="str">
        <f>"*"&amp;F70&amp;"*"&amp;"( "&amp;O70&amp;", "&amp;P70&amp;"/ "&amp;R70&amp;" )"&amp;", "</f>
        <v xml:space="preserve">*RIYANTO, TN*( BEDONO, SAYUNG/ RS PANTI WILASA CITARUM ), </v>
      </c>
      <c r="AF70" s="118" t="s">
        <v>524</v>
      </c>
      <c r="AG70" s="81" t="s">
        <v>304</v>
      </c>
    </row>
    <row r="71" spans="1:34" ht="45" customHeight="1" x14ac:dyDescent="0.35">
      <c r="A71" s="90">
        <v>68</v>
      </c>
      <c r="B71" s="91"/>
      <c r="C71" s="102">
        <v>43985</v>
      </c>
      <c r="D71" s="91" t="s">
        <v>353</v>
      </c>
      <c r="E71" s="93" t="s">
        <v>105</v>
      </c>
      <c r="F71" s="116" t="s">
        <v>1874</v>
      </c>
      <c r="G71" s="117" t="s">
        <v>413</v>
      </c>
      <c r="H71" s="91">
        <v>60</v>
      </c>
      <c r="I71" s="91">
        <v>85225949761</v>
      </c>
      <c r="J71" s="100"/>
      <c r="K71" s="91" t="s">
        <v>356</v>
      </c>
      <c r="L71" s="100"/>
      <c r="M71" s="91" t="s">
        <v>357</v>
      </c>
      <c r="N71" s="118" t="s">
        <v>1875</v>
      </c>
      <c r="O71" s="118" t="s">
        <v>304</v>
      </c>
      <c r="P71" s="94" t="s">
        <v>304</v>
      </c>
      <c r="Q71" s="100" t="s">
        <v>516</v>
      </c>
      <c r="R71" s="91" t="s">
        <v>1876</v>
      </c>
      <c r="S71" s="96">
        <v>43976</v>
      </c>
      <c r="T71" s="91" t="s">
        <v>897</v>
      </c>
      <c r="U71" s="96" t="s">
        <v>526</v>
      </c>
      <c r="V71" s="91"/>
      <c r="W71" s="91"/>
      <c r="X71" s="91" t="s">
        <v>1791</v>
      </c>
      <c r="Y71" s="91" t="s">
        <v>1784</v>
      </c>
      <c r="Z71" s="91" t="s">
        <v>1590</v>
      </c>
      <c r="AA71" s="91"/>
      <c r="AB71" s="91"/>
      <c r="AC71" s="91"/>
      <c r="AD71" s="97" t="s">
        <v>1866</v>
      </c>
      <c r="AE71" s="98" t="str">
        <f>"*"&amp;F71&amp;"*"&amp;"( "&amp;O71&amp;", "&amp;P71&amp;" )"&amp;", "</f>
        <v xml:space="preserve">*MASTUR*( SAYUNG, SAYUNG ), </v>
      </c>
      <c r="AF71" s="118" t="s">
        <v>304</v>
      </c>
      <c r="AG71" s="81" t="s">
        <v>304</v>
      </c>
      <c r="AH71" s="103"/>
    </row>
    <row r="72" spans="1:34" ht="45" customHeight="1" x14ac:dyDescent="0.35">
      <c r="A72" s="90">
        <v>69</v>
      </c>
      <c r="B72" s="100"/>
      <c r="C72" s="100" t="s">
        <v>952</v>
      </c>
      <c r="D72" s="91" t="s">
        <v>353</v>
      </c>
      <c r="E72" s="93" t="s">
        <v>105</v>
      </c>
      <c r="F72" s="101" t="s">
        <v>953</v>
      </c>
      <c r="G72" s="117" t="s">
        <v>355</v>
      </c>
      <c r="H72" s="117" t="s">
        <v>278</v>
      </c>
      <c r="I72" s="122" t="s">
        <v>954</v>
      </c>
      <c r="J72" s="100"/>
      <c r="K72" s="91" t="s">
        <v>570</v>
      </c>
      <c r="L72" s="100"/>
      <c r="M72" s="91" t="s">
        <v>357</v>
      </c>
      <c r="N72" s="101" t="s">
        <v>955</v>
      </c>
      <c r="O72" s="101" t="s">
        <v>740</v>
      </c>
      <c r="P72" s="94" t="s">
        <v>305</v>
      </c>
      <c r="Q72" s="100" t="s">
        <v>516</v>
      </c>
      <c r="R72" s="100" t="s">
        <v>956</v>
      </c>
      <c r="S72" s="91"/>
      <c r="T72" s="91" t="s">
        <v>885</v>
      </c>
      <c r="U72" s="135" t="s">
        <v>957</v>
      </c>
      <c r="V72" s="135"/>
      <c r="W72" s="135"/>
      <c r="X72" s="91"/>
      <c r="Y72" s="91"/>
      <c r="Z72" s="97"/>
      <c r="AA72" s="91">
        <v>7</v>
      </c>
      <c r="AB72" s="91"/>
      <c r="AC72" s="91"/>
      <c r="AD72" s="97" t="s">
        <v>890</v>
      </c>
      <c r="AE72" s="98" t="str">
        <f>"*"&amp;F72&amp;"*"&amp;"( "&amp;O72&amp;", "&amp;P72&amp;"/ "&amp;T72&amp;" )"&amp;", "</f>
        <v xml:space="preserve">*NUR OKTAVIANI*( SIDOMULYO, WONOSALAM/ Rumah ), </v>
      </c>
      <c r="AF72" s="101" t="s">
        <v>740</v>
      </c>
      <c r="AG72" s="81" t="s">
        <v>305</v>
      </c>
    </row>
    <row r="73" spans="1:34" ht="45" customHeight="1" x14ac:dyDescent="0.35">
      <c r="A73" s="90">
        <v>70</v>
      </c>
      <c r="B73" s="100"/>
      <c r="C73" s="102">
        <v>43986</v>
      </c>
      <c r="D73" s="91" t="s">
        <v>353</v>
      </c>
      <c r="E73" s="93" t="s">
        <v>105</v>
      </c>
      <c r="F73" s="119" t="s">
        <v>1877</v>
      </c>
      <c r="G73" s="117" t="s">
        <v>355</v>
      </c>
      <c r="H73" s="91">
        <v>59</v>
      </c>
      <c r="I73" s="91" t="s">
        <v>1878</v>
      </c>
      <c r="J73" s="100"/>
      <c r="K73" s="91" t="s">
        <v>356</v>
      </c>
      <c r="L73" s="100"/>
      <c r="M73" s="91" t="s">
        <v>357</v>
      </c>
      <c r="N73" s="119" t="s">
        <v>1879</v>
      </c>
      <c r="O73" s="119" t="s">
        <v>825</v>
      </c>
      <c r="P73" s="94" t="s">
        <v>304</v>
      </c>
      <c r="Q73" s="100" t="s">
        <v>361</v>
      </c>
      <c r="R73" s="91" t="s">
        <v>517</v>
      </c>
      <c r="S73" s="91"/>
      <c r="T73" s="91"/>
      <c r="U73" s="96" t="s">
        <v>533</v>
      </c>
      <c r="V73" s="91"/>
      <c r="W73" s="91"/>
      <c r="X73" s="91" t="s">
        <v>1791</v>
      </c>
      <c r="Y73" s="91" t="s">
        <v>1784</v>
      </c>
      <c r="Z73" s="91" t="s">
        <v>1590</v>
      </c>
      <c r="AA73" s="91"/>
      <c r="AB73" s="91"/>
      <c r="AC73" s="91"/>
      <c r="AD73" s="97" t="s">
        <v>1866</v>
      </c>
      <c r="AE73" s="98" t="str">
        <f>"*"&amp;F73&amp;"*"&amp;"( "&amp;O73&amp;", "&amp;P73&amp;" )"&amp;", "</f>
        <v xml:space="preserve">*ZAROH*( PURWOSARI, SAYUNG ), </v>
      </c>
      <c r="AF73" s="119" t="s">
        <v>825</v>
      </c>
      <c r="AG73" s="81" t="s">
        <v>304</v>
      </c>
    </row>
    <row r="74" spans="1:34" ht="45" customHeight="1" x14ac:dyDescent="0.35">
      <c r="A74" s="90">
        <v>71</v>
      </c>
      <c r="B74" s="100"/>
      <c r="C74" s="102">
        <v>43986</v>
      </c>
      <c r="D74" s="91" t="s">
        <v>353</v>
      </c>
      <c r="E74" s="93" t="s">
        <v>105</v>
      </c>
      <c r="F74" s="119" t="s">
        <v>1492</v>
      </c>
      <c r="G74" s="117" t="s">
        <v>355</v>
      </c>
      <c r="H74" s="91">
        <v>54</v>
      </c>
      <c r="I74" s="95" t="s">
        <v>1493</v>
      </c>
      <c r="J74" s="100"/>
      <c r="K74" s="91" t="s">
        <v>356</v>
      </c>
      <c r="L74" s="100"/>
      <c r="M74" s="91" t="s">
        <v>357</v>
      </c>
      <c r="N74" s="119" t="s">
        <v>1494</v>
      </c>
      <c r="O74" s="119" t="s">
        <v>1495</v>
      </c>
      <c r="P74" s="94" t="s">
        <v>0</v>
      </c>
      <c r="Q74" s="100" t="s">
        <v>361</v>
      </c>
      <c r="R74" s="95" t="s">
        <v>517</v>
      </c>
      <c r="S74" s="91"/>
      <c r="T74" s="91" t="s">
        <v>1334</v>
      </c>
      <c r="U74" s="96" t="s">
        <v>533</v>
      </c>
      <c r="V74" s="91"/>
      <c r="W74" s="91"/>
      <c r="X74" s="91"/>
      <c r="Y74" s="91"/>
      <c r="Z74" s="91" t="s">
        <v>1496</v>
      </c>
      <c r="AA74" s="91"/>
      <c r="AB74" s="91"/>
      <c r="AC74" s="91"/>
      <c r="AD74" s="97" t="s">
        <v>1481</v>
      </c>
      <c r="AE74" s="98" t="str">
        <f>"*"&amp;F74&amp;"*"&amp;"( "&amp;O74&amp;", "&amp;P74&amp;" )"&amp;", "</f>
        <v xml:space="preserve">*SRI WATI*( KARANGTOWO, KARANGTENGAH ), </v>
      </c>
      <c r="AF74" s="119" t="s">
        <v>1495</v>
      </c>
      <c r="AG74" s="81" t="s">
        <v>0</v>
      </c>
    </row>
    <row r="75" spans="1:34" ht="45" customHeight="1" x14ac:dyDescent="0.35">
      <c r="A75" s="90">
        <v>72</v>
      </c>
      <c r="B75" s="100"/>
      <c r="C75" s="102">
        <v>43986</v>
      </c>
      <c r="D75" s="91" t="s">
        <v>353</v>
      </c>
      <c r="E75" s="93" t="s">
        <v>105</v>
      </c>
      <c r="F75" s="119" t="s">
        <v>1497</v>
      </c>
      <c r="G75" s="117" t="s">
        <v>355</v>
      </c>
      <c r="H75" s="91">
        <v>60</v>
      </c>
      <c r="I75" s="95" t="s">
        <v>1498</v>
      </c>
      <c r="J75" s="100"/>
      <c r="K75" s="91" t="s">
        <v>356</v>
      </c>
      <c r="L75" s="100"/>
      <c r="M75" s="91" t="s">
        <v>357</v>
      </c>
      <c r="N75" s="119" t="s">
        <v>1499</v>
      </c>
      <c r="O75" s="119" t="s">
        <v>489</v>
      </c>
      <c r="P75" s="94" t="s">
        <v>301</v>
      </c>
      <c r="Q75" s="100" t="s">
        <v>361</v>
      </c>
      <c r="R75" s="95" t="s">
        <v>531</v>
      </c>
      <c r="S75" s="91"/>
      <c r="T75" s="91" t="s">
        <v>1354</v>
      </c>
      <c r="U75" s="96" t="s">
        <v>533</v>
      </c>
      <c r="V75" s="91"/>
      <c r="W75" s="91"/>
      <c r="X75" s="91"/>
      <c r="Y75" s="91"/>
      <c r="Z75" s="91" t="s">
        <v>1357</v>
      </c>
      <c r="AA75" s="91"/>
      <c r="AB75" s="91"/>
      <c r="AC75" s="91"/>
      <c r="AD75" s="97" t="s">
        <v>1481</v>
      </c>
      <c r="AE75" s="98" t="str">
        <f>"*"&amp;F75&amp;"*"&amp;"( "&amp;O75&amp;", "&amp;P75&amp;" )"&amp;", "</f>
        <v xml:space="preserve">*MUSRIPAH*( TLOGOREJO, KARANGAWEN ), </v>
      </c>
      <c r="AF75" s="119" t="s">
        <v>489</v>
      </c>
      <c r="AG75" s="81" t="s">
        <v>301</v>
      </c>
    </row>
    <row r="76" spans="1:34" ht="45" customHeight="1" x14ac:dyDescent="0.35">
      <c r="A76" s="90">
        <v>73</v>
      </c>
      <c r="B76" s="100"/>
      <c r="C76" s="102">
        <v>43986</v>
      </c>
      <c r="D76" s="91" t="s">
        <v>353</v>
      </c>
      <c r="E76" s="93" t="s">
        <v>105</v>
      </c>
      <c r="F76" s="119" t="s">
        <v>958</v>
      </c>
      <c r="G76" s="117" t="s">
        <v>413</v>
      </c>
      <c r="H76" s="91">
        <v>41</v>
      </c>
      <c r="I76" s="95" t="s">
        <v>959</v>
      </c>
      <c r="J76" s="100"/>
      <c r="K76" s="91" t="s">
        <v>356</v>
      </c>
      <c r="L76" s="100"/>
      <c r="M76" s="91" t="s">
        <v>357</v>
      </c>
      <c r="N76" s="119" t="s">
        <v>960</v>
      </c>
      <c r="O76" s="119" t="s">
        <v>961</v>
      </c>
      <c r="P76" s="94" t="s">
        <v>304</v>
      </c>
      <c r="Q76" s="100" t="s">
        <v>361</v>
      </c>
      <c r="R76" s="95" t="s">
        <v>517</v>
      </c>
      <c r="S76" s="91"/>
      <c r="T76" s="91" t="s">
        <v>897</v>
      </c>
      <c r="U76" s="96" t="s">
        <v>533</v>
      </c>
      <c r="V76" s="91"/>
      <c r="W76" s="91"/>
      <c r="X76" s="91"/>
      <c r="Y76" s="91"/>
      <c r="Z76" s="91"/>
      <c r="AA76" s="91"/>
      <c r="AB76" s="91"/>
      <c r="AC76" s="91"/>
      <c r="AD76" s="97" t="s">
        <v>890</v>
      </c>
      <c r="AE76" s="98" t="str">
        <f>"*"&amp;F76&amp;"*"&amp;"( "&amp;O76&amp;", "&amp;P76&amp;"/ "&amp;T76&amp;" )"&amp;", "</f>
        <v xml:space="preserve">*MUHAMMAD SOLEH*( KALISARI, SAYUNG/ BKPP ), </v>
      </c>
      <c r="AF76" s="119" t="s">
        <v>961</v>
      </c>
      <c r="AG76" s="81" t="s">
        <v>304</v>
      </c>
      <c r="AH76" s="103"/>
    </row>
    <row r="77" spans="1:34" ht="45" customHeight="1" x14ac:dyDescent="0.35">
      <c r="A77" s="90">
        <v>74</v>
      </c>
      <c r="B77" s="100"/>
      <c r="C77" s="102">
        <v>43986</v>
      </c>
      <c r="D77" s="91" t="s">
        <v>353</v>
      </c>
      <c r="E77" s="93" t="s">
        <v>105</v>
      </c>
      <c r="F77" s="119" t="s">
        <v>1350</v>
      </c>
      <c r="G77" s="117" t="s">
        <v>355</v>
      </c>
      <c r="H77" s="91">
        <v>66</v>
      </c>
      <c r="I77" s="95" t="s">
        <v>1351</v>
      </c>
      <c r="J77" s="100"/>
      <c r="K77" s="91" t="s">
        <v>356</v>
      </c>
      <c r="L77" s="100"/>
      <c r="M77" s="91" t="s">
        <v>357</v>
      </c>
      <c r="N77" s="119" t="s">
        <v>1352</v>
      </c>
      <c r="O77" s="119" t="s">
        <v>1353</v>
      </c>
      <c r="P77" s="94" t="s">
        <v>0</v>
      </c>
      <c r="Q77" s="100" t="s">
        <v>361</v>
      </c>
      <c r="R77" s="95" t="s">
        <v>473</v>
      </c>
      <c r="S77" s="91"/>
      <c r="T77" s="91" t="s">
        <v>1354</v>
      </c>
      <c r="U77" s="91" t="s">
        <v>1355</v>
      </c>
      <c r="V77" s="91" t="s">
        <v>1356</v>
      </c>
      <c r="W77" s="91"/>
      <c r="X77" s="91"/>
      <c r="Y77" s="91"/>
      <c r="Z77" s="91" t="s">
        <v>1357</v>
      </c>
      <c r="AA77" s="91"/>
      <c r="AB77" s="91"/>
      <c r="AC77" s="91"/>
      <c r="AD77" s="97" t="s">
        <v>316</v>
      </c>
      <c r="AE77" s="98" t="str">
        <f>"*"&amp;F77&amp;"*"&amp;"( "&amp;O77&amp;", "&amp;P77&amp;" )"&amp;", "</f>
        <v xml:space="preserve">*MARYATUN HAJJAH*( PULOSARI, KARANGTENGAH ), </v>
      </c>
      <c r="AF77" s="119" t="s">
        <v>1353</v>
      </c>
      <c r="AG77" s="81" t="s">
        <v>0</v>
      </c>
    </row>
    <row r="78" spans="1:34" ht="45" customHeight="1" x14ac:dyDescent="0.35">
      <c r="A78" s="90">
        <v>75</v>
      </c>
      <c r="B78" s="100"/>
      <c r="C78" s="102">
        <v>43986</v>
      </c>
      <c r="D78" s="91" t="s">
        <v>353</v>
      </c>
      <c r="E78" s="93" t="s">
        <v>105</v>
      </c>
      <c r="F78" s="119" t="s">
        <v>962</v>
      </c>
      <c r="G78" s="117" t="s">
        <v>413</v>
      </c>
      <c r="H78" s="91">
        <v>57</v>
      </c>
      <c r="I78" s="95" t="s">
        <v>963</v>
      </c>
      <c r="J78" s="100"/>
      <c r="K78" s="91" t="s">
        <v>356</v>
      </c>
      <c r="L78" s="100"/>
      <c r="M78" s="91" t="s">
        <v>357</v>
      </c>
      <c r="N78" s="119" t="s">
        <v>964</v>
      </c>
      <c r="O78" s="119" t="s">
        <v>965</v>
      </c>
      <c r="P78" s="119" t="s">
        <v>304</v>
      </c>
      <c r="Q78" s="100" t="s">
        <v>361</v>
      </c>
      <c r="R78" s="95" t="s">
        <v>517</v>
      </c>
      <c r="S78" s="91"/>
      <c r="T78" s="91" t="s">
        <v>897</v>
      </c>
      <c r="U78" s="96" t="s">
        <v>533</v>
      </c>
      <c r="V78" s="91"/>
      <c r="W78" s="91"/>
      <c r="X78" s="91"/>
      <c r="Y78" s="91"/>
      <c r="Z78" s="91"/>
      <c r="AA78" s="91"/>
      <c r="AB78" s="91"/>
      <c r="AC78" s="91"/>
      <c r="AD78" s="97" t="s">
        <v>890</v>
      </c>
      <c r="AE78" s="98" t="str">
        <f>"*"&amp;F78&amp;"*"&amp;"( "&amp;O78&amp;", "&amp;P78&amp;"/ "&amp;T78&amp;" )"&amp;", "</f>
        <v xml:space="preserve">*JUSARI*( PILANGSARI, SAYUNG/ BKPP ), </v>
      </c>
      <c r="AF78" s="119" t="s">
        <v>965</v>
      </c>
      <c r="AG78" s="81" t="s">
        <v>304</v>
      </c>
    </row>
    <row r="79" spans="1:34" ht="45" customHeight="1" x14ac:dyDescent="0.35">
      <c r="A79" s="90">
        <v>76</v>
      </c>
      <c r="B79" s="100"/>
      <c r="C79" s="102">
        <v>43986</v>
      </c>
      <c r="D79" s="91" t="s">
        <v>353</v>
      </c>
      <c r="E79" s="93" t="s">
        <v>105</v>
      </c>
      <c r="F79" s="119" t="s">
        <v>527</v>
      </c>
      <c r="G79" s="117" t="s">
        <v>413</v>
      </c>
      <c r="H79" s="91">
        <v>52</v>
      </c>
      <c r="I79" s="95" t="s">
        <v>528</v>
      </c>
      <c r="J79" s="100"/>
      <c r="K79" s="91" t="s">
        <v>356</v>
      </c>
      <c r="L79" s="100"/>
      <c r="M79" s="91" t="s">
        <v>357</v>
      </c>
      <c r="N79" s="119" t="s">
        <v>529</v>
      </c>
      <c r="O79" s="119" t="s">
        <v>530</v>
      </c>
      <c r="P79" s="94" t="s">
        <v>0</v>
      </c>
      <c r="Q79" s="100" t="s">
        <v>361</v>
      </c>
      <c r="R79" s="95" t="s">
        <v>531</v>
      </c>
      <c r="S79" s="91"/>
      <c r="T79" s="91" t="s">
        <v>532</v>
      </c>
      <c r="U79" s="96" t="s">
        <v>533</v>
      </c>
      <c r="V79" s="91"/>
      <c r="W79" s="91"/>
      <c r="X79" s="91"/>
      <c r="Y79" s="91"/>
      <c r="Z79" s="91"/>
      <c r="AA79" s="91"/>
      <c r="AB79" s="91"/>
      <c r="AC79" s="91"/>
      <c r="AD79" s="97" t="s">
        <v>521</v>
      </c>
      <c r="AE79" s="98" t="str">
        <f>"*"&amp;F79&amp;"*"&amp;"( "&amp;O79&amp;", "&amp;P79&amp;"/ "&amp;R79&amp;" )"&amp;", "</f>
        <v xml:space="preserve">*DARMAN*( DONOREJO, KARANGTENGAH/ RSUD K.R.M.T Wongsonegoro Semarang ), </v>
      </c>
      <c r="AF79" s="119" t="s">
        <v>530</v>
      </c>
      <c r="AG79" s="81" t="s">
        <v>0</v>
      </c>
      <c r="AH79" s="124"/>
    </row>
    <row r="80" spans="1:34" ht="45" customHeight="1" x14ac:dyDescent="0.35">
      <c r="A80" s="90">
        <v>77</v>
      </c>
      <c r="B80" s="91"/>
      <c r="C80" s="102">
        <v>43986</v>
      </c>
      <c r="D80" s="91" t="s">
        <v>353</v>
      </c>
      <c r="E80" s="93" t="s">
        <v>105</v>
      </c>
      <c r="F80" s="94" t="s">
        <v>1839</v>
      </c>
      <c r="G80" s="117" t="s">
        <v>355</v>
      </c>
      <c r="H80" s="91">
        <v>59</v>
      </c>
      <c r="I80" s="91"/>
      <c r="J80" s="100"/>
      <c r="K80" s="91" t="s">
        <v>356</v>
      </c>
      <c r="L80" s="100"/>
      <c r="M80" s="91" t="s">
        <v>357</v>
      </c>
      <c r="N80" s="94" t="s">
        <v>1840</v>
      </c>
      <c r="O80" s="94" t="s">
        <v>1841</v>
      </c>
      <c r="P80" s="94" t="s">
        <v>302</v>
      </c>
      <c r="Q80" s="100" t="s">
        <v>361</v>
      </c>
      <c r="R80" s="91" t="s">
        <v>473</v>
      </c>
      <c r="S80" s="91"/>
      <c r="T80" s="91"/>
      <c r="U80" s="96" t="s">
        <v>533</v>
      </c>
      <c r="V80" s="91"/>
      <c r="W80" s="91"/>
      <c r="X80" s="91" t="s">
        <v>1791</v>
      </c>
      <c r="Y80" s="91" t="s">
        <v>1784</v>
      </c>
      <c r="Z80" s="97" t="s">
        <v>1590</v>
      </c>
      <c r="AA80" s="91"/>
      <c r="AB80" s="91"/>
      <c r="AC80" s="91"/>
      <c r="AD80" s="97" t="s">
        <v>1590</v>
      </c>
      <c r="AE80" s="98" t="str">
        <f>"*"&amp;F80&amp;"*"&amp;"( "&amp;O80&amp;", "&amp;P80&amp;" )"&amp;", "</f>
        <v xml:space="preserve">*Sayaroh*( bintoro, DEMAK ), </v>
      </c>
      <c r="AF80" s="94" t="s">
        <v>1841</v>
      </c>
      <c r="AG80" s="81" t="s">
        <v>302</v>
      </c>
    </row>
    <row r="81" spans="1:34" ht="45" customHeight="1" x14ac:dyDescent="0.35">
      <c r="A81" s="90">
        <v>78</v>
      </c>
      <c r="B81" s="91"/>
      <c r="C81" s="102">
        <v>43986</v>
      </c>
      <c r="D81" s="91" t="s">
        <v>353</v>
      </c>
      <c r="E81" s="93" t="s">
        <v>105</v>
      </c>
      <c r="F81" s="94" t="s">
        <v>1358</v>
      </c>
      <c r="G81" s="117" t="s">
        <v>355</v>
      </c>
      <c r="H81" s="91">
        <v>61</v>
      </c>
      <c r="I81" s="93" t="s">
        <v>1359</v>
      </c>
      <c r="J81" s="100"/>
      <c r="K81" s="91" t="s">
        <v>356</v>
      </c>
      <c r="L81" s="100"/>
      <c r="M81" s="91" t="s">
        <v>357</v>
      </c>
      <c r="N81" s="94" t="s">
        <v>1360</v>
      </c>
      <c r="O81" s="94" t="s">
        <v>84</v>
      </c>
      <c r="P81" s="94" t="s">
        <v>310</v>
      </c>
      <c r="Q81" s="100"/>
      <c r="R81" s="91" t="s">
        <v>473</v>
      </c>
      <c r="S81" s="91"/>
      <c r="T81" s="91" t="s">
        <v>1354</v>
      </c>
      <c r="U81" s="96" t="s">
        <v>533</v>
      </c>
      <c r="V81" s="91"/>
      <c r="W81" s="91"/>
      <c r="X81" s="91"/>
      <c r="Y81" s="91"/>
      <c r="Z81" s="91" t="s">
        <v>1361</v>
      </c>
      <c r="AA81" s="91"/>
      <c r="AB81" s="91"/>
      <c r="AC81" s="91"/>
      <c r="AD81" s="97" t="s">
        <v>316</v>
      </c>
      <c r="AE81" s="98" t="str">
        <f>"*"&amp;F81&amp;"*"&amp;"( "&amp;O81&amp;", "&amp;P81&amp;" )"&amp;", "</f>
        <v xml:space="preserve">*Masrokah*( Ngaluran, KARANGANYAR ), </v>
      </c>
      <c r="AF81" s="94" t="s">
        <v>84</v>
      </c>
      <c r="AG81" s="81" t="s">
        <v>310</v>
      </c>
      <c r="AH81"/>
    </row>
    <row r="82" spans="1:34" ht="45" customHeight="1" x14ac:dyDescent="0.35">
      <c r="A82" s="90">
        <v>79</v>
      </c>
      <c r="B82" s="91"/>
      <c r="C82" s="102">
        <v>43987</v>
      </c>
      <c r="D82" s="91" t="s">
        <v>353</v>
      </c>
      <c r="E82" s="93" t="s">
        <v>105</v>
      </c>
      <c r="F82" s="94" t="s">
        <v>1842</v>
      </c>
      <c r="G82" s="117"/>
      <c r="H82" s="91">
        <v>60</v>
      </c>
      <c r="I82" s="93" t="s">
        <v>1843</v>
      </c>
      <c r="J82" s="100"/>
      <c r="K82" s="91" t="s">
        <v>356</v>
      </c>
      <c r="L82" s="100"/>
      <c r="M82" s="91" t="s">
        <v>357</v>
      </c>
      <c r="N82" s="94" t="s">
        <v>1844</v>
      </c>
      <c r="O82" s="94" t="s">
        <v>123</v>
      </c>
      <c r="P82" s="94" t="s">
        <v>429</v>
      </c>
      <c r="Q82" s="100" t="s">
        <v>361</v>
      </c>
      <c r="R82" s="91" t="s">
        <v>473</v>
      </c>
      <c r="S82" s="91"/>
      <c r="T82" s="91" t="s">
        <v>897</v>
      </c>
      <c r="U82" s="96" t="s">
        <v>969</v>
      </c>
      <c r="V82" s="91"/>
      <c r="W82" s="91"/>
      <c r="X82" s="91" t="s">
        <v>1791</v>
      </c>
      <c r="Y82" s="91" t="s">
        <v>1784</v>
      </c>
      <c r="Z82" s="91" t="s">
        <v>1590</v>
      </c>
      <c r="AA82" s="91"/>
      <c r="AB82" s="91"/>
      <c r="AC82" s="91"/>
      <c r="AD82" s="97" t="s">
        <v>1590</v>
      </c>
      <c r="AE82" s="98" t="str">
        <f>"*"&amp;F82&amp;"*"&amp;"( "&amp;O82&amp;", "&amp;P82&amp;" )"&amp;", "</f>
        <v xml:space="preserve">*Khoerum*( Cabean, demak ), </v>
      </c>
      <c r="AF82" s="94" t="s">
        <v>123</v>
      </c>
      <c r="AG82" s="81" t="s">
        <v>302</v>
      </c>
    </row>
    <row r="83" spans="1:34" ht="45" customHeight="1" x14ac:dyDescent="0.35">
      <c r="A83" s="90">
        <v>80</v>
      </c>
      <c r="B83" s="91"/>
      <c r="C83" s="102">
        <v>43987</v>
      </c>
      <c r="D83" s="91" t="s">
        <v>353</v>
      </c>
      <c r="E83" s="93" t="s">
        <v>105</v>
      </c>
      <c r="F83" s="94" t="s">
        <v>1362</v>
      </c>
      <c r="G83" s="117"/>
      <c r="H83" s="91">
        <v>47</v>
      </c>
      <c r="I83" s="91"/>
      <c r="J83" s="100"/>
      <c r="K83" s="91" t="s">
        <v>356</v>
      </c>
      <c r="L83" s="100"/>
      <c r="M83" s="91" t="s">
        <v>357</v>
      </c>
      <c r="N83" s="94" t="s">
        <v>1363</v>
      </c>
      <c r="O83" s="94" t="s">
        <v>210</v>
      </c>
      <c r="P83" s="94" t="s">
        <v>304</v>
      </c>
      <c r="Q83" s="100" t="s">
        <v>361</v>
      </c>
      <c r="R83" s="91" t="s">
        <v>473</v>
      </c>
      <c r="S83" s="91"/>
      <c r="T83" s="91" t="s">
        <v>1334</v>
      </c>
      <c r="U83" s="96" t="s">
        <v>969</v>
      </c>
      <c r="V83" s="91"/>
      <c r="W83" s="91"/>
      <c r="X83" s="91"/>
      <c r="Y83" s="91"/>
      <c r="Z83" s="91" t="s">
        <v>1364</v>
      </c>
      <c r="AA83" s="91"/>
      <c r="AB83" s="91"/>
      <c r="AC83" s="91"/>
      <c r="AD83" s="97" t="s">
        <v>316</v>
      </c>
      <c r="AE83" s="98" t="str">
        <f>"*"&amp;F83&amp;"*"&amp;"( "&amp;O83&amp;", "&amp;P83&amp;" )"&amp;", "</f>
        <v xml:space="preserve">*Ngatminah*( Gemulak, SAYUNG ), </v>
      </c>
      <c r="AF83" s="94" t="s">
        <v>210</v>
      </c>
      <c r="AG83" s="81" t="s">
        <v>304</v>
      </c>
    </row>
    <row r="84" spans="1:34" ht="45" customHeight="1" x14ac:dyDescent="0.35">
      <c r="A84" s="90">
        <v>81</v>
      </c>
      <c r="B84" s="91"/>
      <c r="C84" s="102">
        <v>43987</v>
      </c>
      <c r="D84" s="91" t="s">
        <v>353</v>
      </c>
      <c r="E84" s="93" t="s">
        <v>105</v>
      </c>
      <c r="F84" s="94" t="s">
        <v>966</v>
      </c>
      <c r="G84" s="117"/>
      <c r="H84" s="91">
        <v>41</v>
      </c>
      <c r="I84" s="91"/>
      <c r="J84" s="100"/>
      <c r="K84" s="91" t="s">
        <v>356</v>
      </c>
      <c r="L84" s="100"/>
      <c r="M84" s="91" t="s">
        <v>357</v>
      </c>
      <c r="N84" s="94" t="s">
        <v>967</v>
      </c>
      <c r="O84" s="94" t="s">
        <v>968</v>
      </c>
      <c r="P84" s="94" t="s">
        <v>538</v>
      </c>
      <c r="Q84" s="100" t="s">
        <v>361</v>
      </c>
      <c r="R84" s="91" t="s">
        <v>473</v>
      </c>
      <c r="S84" s="91"/>
      <c r="T84" s="91" t="s">
        <v>897</v>
      </c>
      <c r="U84" s="96" t="s">
        <v>969</v>
      </c>
      <c r="V84" s="91"/>
      <c r="W84" s="91"/>
      <c r="X84" s="91"/>
      <c r="Y84" s="91"/>
      <c r="Z84" s="97"/>
      <c r="AA84" s="91"/>
      <c r="AB84" s="91"/>
      <c r="AC84" s="91"/>
      <c r="AD84" s="97" t="s">
        <v>890</v>
      </c>
      <c r="AE84" s="98" t="str">
        <f>"*"&amp;F84&amp;"*"&amp;"( "&amp;O84&amp;", "&amp;P84&amp;"/ "&amp;T84&amp;" )"&amp;", "</f>
        <v xml:space="preserve">*Mahmudah*( sidogemah, sayung/ BKPP ), </v>
      </c>
      <c r="AF84" s="94" t="s">
        <v>968</v>
      </c>
      <c r="AG84" s="81" t="s">
        <v>304</v>
      </c>
    </row>
    <row r="85" spans="1:34" ht="45" customHeight="1" x14ac:dyDescent="0.35">
      <c r="A85" s="90">
        <v>82</v>
      </c>
      <c r="B85" s="91"/>
      <c r="C85" s="102">
        <v>43987</v>
      </c>
      <c r="D85" s="91" t="s">
        <v>353</v>
      </c>
      <c r="E85" s="93" t="s">
        <v>105</v>
      </c>
      <c r="F85" s="94" t="s">
        <v>1365</v>
      </c>
      <c r="G85" s="117"/>
      <c r="H85" s="91">
        <v>58</v>
      </c>
      <c r="I85" s="91"/>
      <c r="J85" s="100"/>
      <c r="K85" s="91" t="s">
        <v>356</v>
      </c>
      <c r="L85" s="100"/>
      <c r="M85" s="91" t="s">
        <v>357</v>
      </c>
      <c r="N85" s="94" t="s">
        <v>1366</v>
      </c>
      <c r="O85" s="94" t="s">
        <v>1152</v>
      </c>
      <c r="P85" s="94" t="s">
        <v>0</v>
      </c>
      <c r="Q85" s="100" t="s">
        <v>361</v>
      </c>
      <c r="R85" s="91" t="s">
        <v>473</v>
      </c>
      <c r="S85" s="91"/>
      <c r="T85" s="91" t="s">
        <v>1367</v>
      </c>
      <c r="U85" s="96" t="s">
        <v>969</v>
      </c>
      <c r="V85" s="91"/>
      <c r="W85" s="91"/>
      <c r="X85" s="91"/>
      <c r="Y85" s="91"/>
      <c r="Z85" s="91" t="s">
        <v>1361</v>
      </c>
      <c r="AA85" s="91"/>
      <c r="AB85" s="91"/>
      <c r="AC85" s="91"/>
      <c r="AD85" s="97" t="s">
        <v>316</v>
      </c>
      <c r="AE85" s="98" t="str">
        <f>"*"&amp;F85&amp;"*"&amp;"( "&amp;O85&amp;", "&amp;P85&amp;" )"&amp;", "</f>
        <v xml:space="preserve">*umi bastari*( karangsari, KARANGTENGAH ), </v>
      </c>
      <c r="AF85" s="94" t="s">
        <v>1152</v>
      </c>
      <c r="AG85" s="81" t="s">
        <v>0</v>
      </c>
    </row>
    <row r="86" spans="1:34" ht="45" customHeight="1" x14ac:dyDescent="0.35">
      <c r="A86" s="90">
        <v>83</v>
      </c>
      <c r="B86" s="91"/>
      <c r="C86" s="102">
        <v>43987</v>
      </c>
      <c r="D86" s="91" t="s">
        <v>353</v>
      </c>
      <c r="E86" s="93" t="s">
        <v>105</v>
      </c>
      <c r="F86" s="94" t="s">
        <v>534</v>
      </c>
      <c r="G86" s="117" t="s">
        <v>413</v>
      </c>
      <c r="H86" s="91">
        <v>52</v>
      </c>
      <c r="I86" s="91">
        <v>85640592750</v>
      </c>
      <c r="J86" s="100"/>
      <c r="K86" s="91" t="s">
        <v>356</v>
      </c>
      <c r="L86" s="100"/>
      <c r="M86" s="91" t="s">
        <v>357</v>
      </c>
      <c r="N86" s="94" t="s">
        <v>535</v>
      </c>
      <c r="O86" s="94" t="s">
        <v>462</v>
      </c>
      <c r="P86" s="94" t="s">
        <v>301</v>
      </c>
      <c r="Q86" s="100" t="s">
        <v>361</v>
      </c>
      <c r="R86" s="91" t="s">
        <v>531</v>
      </c>
      <c r="S86" s="91"/>
      <c r="T86" s="91" t="s">
        <v>363</v>
      </c>
      <c r="U86" s="96" t="s">
        <v>526</v>
      </c>
      <c r="V86" s="91"/>
      <c r="W86" s="91"/>
      <c r="X86" s="91"/>
      <c r="Y86" s="91"/>
      <c r="Z86" s="91"/>
      <c r="AA86" s="91"/>
      <c r="AB86" s="91"/>
      <c r="AC86" s="91"/>
      <c r="AD86" s="97" t="s">
        <v>521</v>
      </c>
      <c r="AE86" s="98" t="str">
        <f>"*"&amp;F86&amp;"*"&amp;"( "&amp;O86&amp;", "&amp;P86&amp;"/ "&amp;R86&amp;" )"&amp;", "</f>
        <v xml:space="preserve">*ABDUL AZIZ*( REJOSARI, KARANGAWEN/ RSUD K.R.M.T Wongsonegoro Semarang ), </v>
      </c>
      <c r="AF86" s="94" t="s">
        <v>462</v>
      </c>
      <c r="AG86" s="81" t="s">
        <v>301</v>
      </c>
      <c r="AH86" s="103"/>
    </row>
    <row r="87" spans="1:34" ht="45" customHeight="1" x14ac:dyDescent="0.35">
      <c r="A87" s="90">
        <v>84</v>
      </c>
      <c r="B87" s="91"/>
      <c r="C87" s="102">
        <v>43987</v>
      </c>
      <c r="D87" s="91" t="s">
        <v>353</v>
      </c>
      <c r="E87" s="93" t="s">
        <v>105</v>
      </c>
      <c r="F87" s="116" t="s">
        <v>1368</v>
      </c>
      <c r="G87" s="117" t="s">
        <v>355</v>
      </c>
      <c r="H87" s="91">
        <v>69</v>
      </c>
      <c r="I87" s="91" t="s">
        <v>1369</v>
      </c>
      <c r="J87" s="100"/>
      <c r="K87" s="91" t="s">
        <v>356</v>
      </c>
      <c r="L87" s="100"/>
      <c r="M87" s="91" t="s">
        <v>357</v>
      </c>
      <c r="N87" s="94" t="s">
        <v>1370</v>
      </c>
      <c r="O87" s="94" t="s">
        <v>1371</v>
      </c>
      <c r="P87" s="94" t="s">
        <v>311</v>
      </c>
      <c r="Q87" s="100" t="s">
        <v>361</v>
      </c>
      <c r="R87" s="91" t="s">
        <v>473</v>
      </c>
      <c r="S87" s="91"/>
      <c r="T87" s="91" t="s">
        <v>783</v>
      </c>
      <c r="U87" s="96" t="s">
        <v>969</v>
      </c>
      <c r="V87" s="91"/>
      <c r="W87" s="91"/>
      <c r="X87" s="91"/>
      <c r="Y87" s="91"/>
      <c r="Z87" s="91"/>
      <c r="AA87" s="91"/>
      <c r="AB87" s="91"/>
      <c r="AC87" s="91"/>
      <c r="AD87" s="97" t="s">
        <v>316</v>
      </c>
      <c r="AE87" s="98" t="str">
        <f>"*"&amp;F87&amp;"*"&amp;"( "&amp;O87&amp;", "&amp;P87&amp;" )"&amp;", "</f>
        <v xml:space="preserve">*kisatun*( SERANGAN, BONANG ), </v>
      </c>
      <c r="AF87" s="94" t="s">
        <v>1371</v>
      </c>
      <c r="AG87" s="81" t="s">
        <v>311</v>
      </c>
      <c r="AH87" s="103"/>
    </row>
    <row r="88" spans="1:34" ht="45" customHeight="1" x14ac:dyDescent="0.35">
      <c r="A88" s="90">
        <v>85</v>
      </c>
      <c r="B88" s="91">
        <v>1</v>
      </c>
      <c r="C88" s="102">
        <v>43988</v>
      </c>
      <c r="D88" s="91" t="s">
        <v>353</v>
      </c>
      <c r="E88" s="93" t="s">
        <v>105</v>
      </c>
      <c r="F88" s="94" t="s">
        <v>1126</v>
      </c>
      <c r="G88" s="117" t="s">
        <v>355</v>
      </c>
      <c r="H88" s="91">
        <v>60</v>
      </c>
      <c r="I88" s="91" t="s">
        <v>1845</v>
      </c>
      <c r="J88" s="100"/>
      <c r="K88" s="91" t="s">
        <v>356</v>
      </c>
      <c r="L88" s="100"/>
      <c r="M88" s="91" t="s">
        <v>357</v>
      </c>
      <c r="N88" s="94" t="s">
        <v>1846</v>
      </c>
      <c r="O88" s="94" t="s">
        <v>613</v>
      </c>
      <c r="P88" s="94" t="s">
        <v>385</v>
      </c>
      <c r="Q88" s="100" t="s">
        <v>361</v>
      </c>
      <c r="R88" s="91" t="s">
        <v>531</v>
      </c>
      <c r="S88" s="91"/>
      <c r="T88" s="91" t="s">
        <v>1590</v>
      </c>
      <c r="U88" s="96" t="s">
        <v>973</v>
      </c>
      <c r="V88" s="91"/>
      <c r="W88" s="91"/>
      <c r="X88" s="91"/>
      <c r="Y88" s="91"/>
      <c r="Z88" s="91"/>
      <c r="AA88" s="91"/>
      <c r="AB88" s="91"/>
      <c r="AC88" s="91"/>
      <c r="AD88" s="97" t="s">
        <v>1590</v>
      </c>
      <c r="AE88" s="98" t="str">
        <f>"*"&amp;F88&amp;"*"&amp;"( "&amp;O88&amp;", "&amp;P88&amp;" )"&amp;", "</f>
        <v xml:space="preserve">*AMINAH*( BATURSARI, MRANGGEN ), </v>
      </c>
      <c r="AF88" s="94" t="s">
        <v>613</v>
      </c>
      <c r="AG88" s="81" t="s">
        <v>385</v>
      </c>
    </row>
    <row r="89" spans="1:34" ht="45" customHeight="1" x14ac:dyDescent="0.35">
      <c r="A89" s="90">
        <v>86</v>
      </c>
      <c r="B89" s="91"/>
      <c r="C89" s="102">
        <v>43988</v>
      </c>
      <c r="D89" s="91" t="s">
        <v>353</v>
      </c>
      <c r="E89" s="93" t="s">
        <v>105</v>
      </c>
      <c r="F89" s="94" t="s">
        <v>970</v>
      </c>
      <c r="G89" s="91" t="s">
        <v>355</v>
      </c>
      <c r="H89" s="91">
        <v>55</v>
      </c>
      <c r="I89" s="91" t="s">
        <v>971</v>
      </c>
      <c r="J89" s="91"/>
      <c r="K89" s="91" t="s">
        <v>356</v>
      </c>
      <c r="L89" s="91"/>
      <c r="M89" s="91" t="s">
        <v>357</v>
      </c>
      <c r="N89" s="94" t="s">
        <v>972</v>
      </c>
      <c r="O89" s="94" t="s">
        <v>243</v>
      </c>
      <c r="P89" s="94" t="s">
        <v>312</v>
      </c>
      <c r="Q89" s="100" t="s">
        <v>361</v>
      </c>
      <c r="R89" s="91" t="s">
        <v>781</v>
      </c>
      <c r="S89" s="91"/>
      <c r="T89" s="91" t="s">
        <v>897</v>
      </c>
      <c r="U89" s="96" t="s">
        <v>973</v>
      </c>
      <c r="V89" s="91"/>
      <c r="W89" s="91"/>
      <c r="X89" s="91"/>
      <c r="Y89" s="91"/>
      <c r="Z89" s="97"/>
      <c r="AA89" s="91"/>
      <c r="AB89" s="91"/>
      <c r="AC89" s="91"/>
      <c r="AD89" s="97" t="s">
        <v>890</v>
      </c>
      <c r="AE89" s="98" t="str">
        <f>"*"&amp;F89&amp;"*"&amp;"( "&amp;O89&amp;", "&amp;P89&amp;"/ "&amp;T89&amp;" )"&amp;", "</f>
        <v xml:space="preserve">*MUNTASIROH*( Kendalasem, WEDUNG/ BKPP ), </v>
      </c>
      <c r="AF89" s="94" t="s">
        <v>243</v>
      </c>
      <c r="AG89" s="81" t="s">
        <v>312</v>
      </c>
    </row>
    <row r="90" spans="1:34" ht="45" customHeight="1" x14ac:dyDescent="0.35">
      <c r="A90" s="90">
        <v>87</v>
      </c>
      <c r="B90" s="91"/>
      <c r="C90" s="102">
        <v>43989</v>
      </c>
      <c r="D90" s="91" t="s">
        <v>353</v>
      </c>
      <c r="E90" s="93" t="s">
        <v>105</v>
      </c>
      <c r="F90" s="94" t="s">
        <v>1880</v>
      </c>
      <c r="G90" s="91" t="s">
        <v>413</v>
      </c>
      <c r="H90" s="91">
        <v>74</v>
      </c>
      <c r="I90" s="91" t="s">
        <v>1881</v>
      </c>
      <c r="J90" s="91"/>
      <c r="K90" s="91" t="s">
        <v>356</v>
      </c>
      <c r="L90" s="91"/>
      <c r="M90" s="91" t="s">
        <v>357</v>
      </c>
      <c r="N90" s="94" t="s">
        <v>1882</v>
      </c>
      <c r="O90" s="94" t="s">
        <v>1883</v>
      </c>
      <c r="P90" s="94" t="s">
        <v>385</v>
      </c>
      <c r="Q90" s="100" t="s">
        <v>361</v>
      </c>
      <c r="R90" s="91" t="s">
        <v>531</v>
      </c>
      <c r="S90" s="91"/>
      <c r="T90" s="91" t="s">
        <v>1590</v>
      </c>
      <c r="U90" s="96" t="s">
        <v>1850</v>
      </c>
      <c r="V90" s="91"/>
      <c r="W90" s="91"/>
      <c r="X90" s="91"/>
      <c r="Y90" s="91"/>
      <c r="Z90" s="91"/>
      <c r="AA90" s="91"/>
      <c r="AB90" s="91"/>
      <c r="AC90" s="91" t="s">
        <v>1884</v>
      </c>
      <c r="AD90" s="97" t="s">
        <v>1866</v>
      </c>
      <c r="AE90" s="98" t="str">
        <f>"*"&amp;F90&amp;"*"&amp;"( "&amp;O90&amp;", "&amp;P90&amp;" )"&amp;", "</f>
        <v xml:space="preserve">*MUNAWAR*( bandungrejo, MRANGGEN ), </v>
      </c>
      <c r="AF90" s="94" t="s">
        <v>1883</v>
      </c>
      <c r="AG90" s="81" t="s">
        <v>385</v>
      </c>
    </row>
    <row r="91" spans="1:34" ht="45" customHeight="1" x14ac:dyDescent="0.35">
      <c r="A91" s="90">
        <v>88</v>
      </c>
      <c r="B91" s="91"/>
      <c r="C91" s="102">
        <v>43989</v>
      </c>
      <c r="D91" s="91" t="s">
        <v>353</v>
      </c>
      <c r="E91" s="93" t="s">
        <v>105</v>
      </c>
      <c r="F91" s="94" t="s">
        <v>1885</v>
      </c>
      <c r="G91" s="91" t="s">
        <v>355</v>
      </c>
      <c r="H91" s="91">
        <v>55</v>
      </c>
      <c r="I91" s="91" t="s">
        <v>1886</v>
      </c>
      <c r="J91" s="91"/>
      <c r="K91" s="91" t="s">
        <v>356</v>
      </c>
      <c r="L91" s="91"/>
      <c r="M91" s="91" t="s">
        <v>357</v>
      </c>
      <c r="N91" s="94" t="s">
        <v>1887</v>
      </c>
      <c r="O91" s="94" t="s">
        <v>385</v>
      </c>
      <c r="P91" s="94" t="s">
        <v>385</v>
      </c>
      <c r="Q91" s="100" t="s">
        <v>361</v>
      </c>
      <c r="R91" s="91" t="s">
        <v>531</v>
      </c>
      <c r="S91" s="91"/>
      <c r="T91" s="91" t="s">
        <v>1590</v>
      </c>
      <c r="U91" s="96" t="s">
        <v>1850</v>
      </c>
      <c r="V91" s="91"/>
      <c r="W91" s="91"/>
      <c r="X91" s="91"/>
      <c r="Y91" s="91"/>
      <c r="Z91" s="91"/>
      <c r="AA91" s="91"/>
      <c r="AB91" s="91"/>
      <c r="AC91" s="91"/>
      <c r="AD91" s="97" t="s">
        <v>1866</v>
      </c>
      <c r="AE91" s="98" t="str">
        <f>"*"&amp;F91&amp;"*"&amp;"( "&amp;O91&amp;", "&amp;P91&amp;" )"&amp;", "</f>
        <v xml:space="preserve">*SARNI*( MRANGGEN, MRANGGEN ), </v>
      </c>
      <c r="AF91" s="94" t="s">
        <v>385</v>
      </c>
      <c r="AG91" s="81" t="s">
        <v>385</v>
      </c>
      <c r="AH91" s="103"/>
    </row>
    <row r="92" spans="1:34" ht="45" customHeight="1" x14ac:dyDescent="0.35">
      <c r="A92" s="90">
        <v>89</v>
      </c>
      <c r="B92" s="91">
        <v>1</v>
      </c>
      <c r="C92" s="102">
        <v>43989</v>
      </c>
      <c r="D92" s="91" t="s">
        <v>353</v>
      </c>
      <c r="E92" s="93" t="s">
        <v>105</v>
      </c>
      <c r="F92" s="94" t="s">
        <v>1847</v>
      </c>
      <c r="G92" s="91" t="s">
        <v>413</v>
      </c>
      <c r="H92" s="91">
        <v>35</v>
      </c>
      <c r="I92" s="91" t="s">
        <v>1848</v>
      </c>
      <c r="J92" s="91"/>
      <c r="K92" s="91" t="s">
        <v>356</v>
      </c>
      <c r="L92" s="91"/>
      <c r="M92" s="91" t="s">
        <v>357</v>
      </c>
      <c r="N92" s="94" t="s">
        <v>1849</v>
      </c>
      <c r="O92" s="94" t="s">
        <v>1159</v>
      </c>
      <c r="P92" s="94" t="s">
        <v>385</v>
      </c>
      <c r="Q92" s="100" t="s">
        <v>361</v>
      </c>
      <c r="R92" s="91" t="s">
        <v>531</v>
      </c>
      <c r="S92" s="91"/>
      <c r="T92" s="91" t="s">
        <v>1590</v>
      </c>
      <c r="U92" s="96" t="s">
        <v>1850</v>
      </c>
      <c r="V92" s="91"/>
      <c r="W92" s="91"/>
      <c r="X92" s="91"/>
      <c r="Y92" s="91"/>
      <c r="Z92" s="97"/>
      <c r="AA92" s="91"/>
      <c r="AB92" s="91"/>
      <c r="AC92" s="91"/>
      <c r="AD92" s="97" t="s">
        <v>1590</v>
      </c>
      <c r="AE92" s="98" t="str">
        <f>"*"&amp;F92&amp;"*"&amp;"( "&amp;O92&amp;", "&amp;P92&amp;" )"&amp;", "</f>
        <v xml:space="preserve">*MUHAMMAD FITRIYADI*( JAMUS, MRANGGEN ), </v>
      </c>
      <c r="AF92" s="94" t="s">
        <v>1159</v>
      </c>
      <c r="AG92" s="81" t="s">
        <v>385</v>
      </c>
      <c r="AH92" s="103"/>
    </row>
    <row r="93" spans="1:34" ht="45" customHeight="1" x14ac:dyDescent="0.35">
      <c r="A93" s="90">
        <v>90</v>
      </c>
      <c r="B93" s="91">
        <v>1</v>
      </c>
      <c r="C93" s="102">
        <v>43989</v>
      </c>
      <c r="D93" s="91" t="s">
        <v>353</v>
      </c>
      <c r="E93" s="93" t="s">
        <v>105</v>
      </c>
      <c r="F93" s="94" t="s">
        <v>1851</v>
      </c>
      <c r="G93" s="91" t="s">
        <v>413</v>
      </c>
      <c r="H93" s="91">
        <v>34</v>
      </c>
      <c r="I93" s="91" t="s">
        <v>1852</v>
      </c>
      <c r="J93" s="91"/>
      <c r="K93" s="91" t="s">
        <v>361</v>
      </c>
      <c r="L93" s="91"/>
      <c r="M93" s="91" t="s">
        <v>357</v>
      </c>
      <c r="N93" s="94" t="s">
        <v>1853</v>
      </c>
      <c r="O93" s="94" t="s">
        <v>1854</v>
      </c>
      <c r="P93" s="94" t="s">
        <v>301</v>
      </c>
      <c r="Q93" s="100" t="s">
        <v>361</v>
      </c>
      <c r="R93" s="91" t="s">
        <v>531</v>
      </c>
      <c r="S93" s="91"/>
      <c r="T93" s="91" t="s">
        <v>1590</v>
      </c>
      <c r="U93" s="96" t="s">
        <v>1850</v>
      </c>
      <c r="V93" s="91"/>
      <c r="W93" s="91"/>
      <c r="X93" s="91"/>
      <c r="Y93" s="91"/>
      <c r="Z93" s="97"/>
      <c r="AA93" s="91"/>
      <c r="AB93" s="91"/>
      <c r="AC93" s="91"/>
      <c r="AD93" s="97" t="s">
        <v>1590</v>
      </c>
      <c r="AE93" s="98" t="str">
        <f>"*"&amp;F93&amp;"*"&amp;"( "&amp;O93&amp;", "&amp;P93&amp;" )"&amp;", "</f>
        <v xml:space="preserve">*PURWO TRI ANGGORO*( KURIPAN, KARANGAWEN ), </v>
      </c>
      <c r="AF93" s="94" t="s">
        <v>1854</v>
      </c>
      <c r="AG93" s="81" t="s">
        <v>301</v>
      </c>
      <c r="AH93" s="103"/>
    </row>
    <row r="94" spans="1:34" ht="45" customHeight="1" x14ac:dyDescent="0.35">
      <c r="A94" s="90">
        <v>91</v>
      </c>
      <c r="B94" s="91"/>
      <c r="C94" s="92">
        <v>43990</v>
      </c>
      <c r="D94" s="91" t="s">
        <v>353</v>
      </c>
      <c r="E94" s="93" t="s">
        <v>105</v>
      </c>
      <c r="F94" s="94" t="s">
        <v>974</v>
      </c>
      <c r="G94" s="91" t="s">
        <v>413</v>
      </c>
      <c r="H94" s="91">
        <v>55</v>
      </c>
      <c r="I94" s="91" t="s">
        <v>975</v>
      </c>
      <c r="J94" s="91"/>
      <c r="K94" s="91" t="s">
        <v>356</v>
      </c>
      <c r="L94" s="91"/>
      <c r="M94" s="91" t="s">
        <v>357</v>
      </c>
      <c r="N94" s="94" t="s">
        <v>976</v>
      </c>
      <c r="O94" s="94" t="s">
        <v>136</v>
      </c>
      <c r="P94" s="94" t="s">
        <v>311</v>
      </c>
      <c r="Q94" s="91" t="s">
        <v>361</v>
      </c>
      <c r="R94" s="91" t="s">
        <v>473</v>
      </c>
      <c r="S94" s="91"/>
      <c r="T94" s="91" t="s">
        <v>897</v>
      </c>
      <c r="U94" s="96" t="s">
        <v>364</v>
      </c>
      <c r="V94" s="91"/>
      <c r="W94" s="91"/>
      <c r="X94" s="91"/>
      <c r="Y94" s="91"/>
      <c r="Z94" s="91"/>
      <c r="AA94" s="91"/>
      <c r="AB94" s="91"/>
      <c r="AC94" s="91"/>
      <c r="AD94" s="103" t="s">
        <v>890</v>
      </c>
      <c r="AE94" s="98" t="str">
        <f>"*"&amp;F94&amp;"*"&amp;"( "&amp;O94&amp;", "&amp;P94&amp;"/ "&amp;T94&amp;" )"&amp;", "</f>
        <v xml:space="preserve">*MASNAIM*( Margolinduk, BONANG/ BKPP ), </v>
      </c>
      <c r="AF94" s="94" t="s">
        <v>136</v>
      </c>
      <c r="AG94" s="81" t="s">
        <v>311</v>
      </c>
    </row>
    <row r="95" spans="1:34" ht="45" customHeight="1" x14ac:dyDescent="0.35">
      <c r="A95" s="90">
        <v>92</v>
      </c>
      <c r="B95" s="91"/>
      <c r="C95" s="96">
        <v>43990</v>
      </c>
      <c r="D95" s="91" t="s">
        <v>353</v>
      </c>
      <c r="E95" s="91" t="s">
        <v>105</v>
      </c>
      <c r="F95" s="94" t="s">
        <v>1372</v>
      </c>
      <c r="G95" s="91" t="s">
        <v>413</v>
      </c>
      <c r="H95" s="91">
        <v>12</v>
      </c>
      <c r="I95" s="91"/>
      <c r="J95" s="91"/>
      <c r="K95" s="91" t="s">
        <v>356</v>
      </c>
      <c r="L95" s="91"/>
      <c r="M95" s="91" t="s">
        <v>357</v>
      </c>
      <c r="N95" s="94" t="s">
        <v>1373</v>
      </c>
      <c r="O95" s="94" t="s">
        <v>27</v>
      </c>
      <c r="P95" s="94" t="s">
        <v>0</v>
      </c>
      <c r="Q95" s="91" t="s">
        <v>361</v>
      </c>
      <c r="R95" s="91" t="s">
        <v>473</v>
      </c>
      <c r="S95" s="91"/>
      <c r="T95" s="91" t="s">
        <v>783</v>
      </c>
      <c r="U95" s="96" t="s">
        <v>364</v>
      </c>
      <c r="V95" s="95" t="s">
        <v>997</v>
      </c>
      <c r="W95" s="91"/>
      <c r="X95" s="91"/>
      <c r="Y95" s="91" t="s">
        <v>1374</v>
      </c>
      <c r="Z95" s="95" t="s">
        <v>997</v>
      </c>
      <c r="AA95" s="91"/>
      <c r="AB95" s="91"/>
      <c r="AC95" s="91"/>
      <c r="AD95" s="103" t="s">
        <v>316</v>
      </c>
      <c r="AE95" s="98" t="str">
        <f>"*"&amp;F95&amp;"*"&amp;"( "&amp;O95&amp;", "&amp;P95&amp;" )"&amp;", "</f>
        <v xml:space="preserve">*ARJUN PRASETYO*( Pulosari, KARANGTENGAH ), </v>
      </c>
      <c r="AF95" s="94" t="s">
        <v>27</v>
      </c>
      <c r="AG95" s="81" t="s">
        <v>0</v>
      </c>
    </row>
    <row r="96" spans="1:34" ht="45" customHeight="1" x14ac:dyDescent="0.35">
      <c r="A96" s="90">
        <v>93</v>
      </c>
      <c r="B96" s="91"/>
      <c r="C96" s="92">
        <v>43990</v>
      </c>
      <c r="D96" s="91" t="s">
        <v>353</v>
      </c>
      <c r="E96" s="93" t="s">
        <v>105</v>
      </c>
      <c r="F96" s="94" t="s">
        <v>354</v>
      </c>
      <c r="G96" s="91" t="s">
        <v>355</v>
      </c>
      <c r="H96" s="91">
        <v>62</v>
      </c>
      <c r="I96" s="91"/>
      <c r="J96" s="91"/>
      <c r="K96" s="91" t="s">
        <v>356</v>
      </c>
      <c r="L96" s="91"/>
      <c r="M96" s="91" t="s">
        <v>357</v>
      </c>
      <c r="N96" s="94" t="s">
        <v>358</v>
      </c>
      <c r="O96" s="94" t="s">
        <v>359</v>
      </c>
      <c r="P96" s="94" t="s">
        <v>360</v>
      </c>
      <c r="Q96" s="91" t="s">
        <v>361</v>
      </c>
      <c r="R96" s="95" t="s">
        <v>362</v>
      </c>
      <c r="S96" s="91"/>
      <c r="T96" s="91" t="s">
        <v>363</v>
      </c>
      <c r="U96" s="96" t="s">
        <v>364</v>
      </c>
      <c r="V96" s="91"/>
      <c r="W96" s="91"/>
      <c r="X96" s="91"/>
      <c r="Y96" s="91"/>
      <c r="Z96" s="91"/>
      <c r="AA96" s="91"/>
      <c r="AB96" s="91"/>
      <c r="AC96" s="91"/>
      <c r="AD96" s="103" t="s">
        <v>365</v>
      </c>
      <c r="AE96" s="98" t="str">
        <f>"*"&amp;F96&amp;"*"&amp;"( "&amp;O96&amp;", "&amp;P96&amp;" )"&amp;", "</f>
        <v xml:space="preserve">*SUMASNI*( rejosari, karangtengah ), </v>
      </c>
      <c r="AF96" s="94" t="s">
        <v>359</v>
      </c>
      <c r="AG96" s="81" t="s">
        <v>0</v>
      </c>
    </row>
    <row r="97" spans="1:34" ht="45" customHeight="1" x14ac:dyDescent="0.35">
      <c r="A97" s="90">
        <v>94</v>
      </c>
      <c r="B97" s="91"/>
      <c r="C97" s="92">
        <v>43991</v>
      </c>
      <c r="D97" s="91" t="s">
        <v>353</v>
      </c>
      <c r="E97" s="93" t="s">
        <v>105</v>
      </c>
      <c r="F97" s="94" t="s">
        <v>977</v>
      </c>
      <c r="G97" s="91" t="s">
        <v>355</v>
      </c>
      <c r="H97" s="91">
        <v>60</v>
      </c>
      <c r="I97" s="91"/>
      <c r="J97" s="91"/>
      <c r="K97" s="91" t="s">
        <v>356</v>
      </c>
      <c r="L97" s="91"/>
      <c r="M97" s="91" t="s">
        <v>357</v>
      </c>
      <c r="N97" s="94" t="s">
        <v>978</v>
      </c>
      <c r="O97" s="94" t="s">
        <v>979</v>
      </c>
      <c r="P97" s="94" t="s">
        <v>980</v>
      </c>
      <c r="Q97" s="91" t="s">
        <v>361</v>
      </c>
      <c r="R97" s="91" t="s">
        <v>905</v>
      </c>
      <c r="S97" s="91"/>
      <c r="T97" s="91" t="s">
        <v>885</v>
      </c>
      <c r="U97" s="96" t="s">
        <v>364</v>
      </c>
      <c r="V97" s="91"/>
      <c r="W97" s="91"/>
      <c r="X97" s="91"/>
      <c r="Y97" s="91"/>
      <c r="Z97" s="97"/>
      <c r="AA97" s="91"/>
      <c r="AB97" s="91"/>
      <c r="AC97" s="91"/>
      <c r="AD97" s="103" t="s">
        <v>890</v>
      </c>
      <c r="AE97" s="98" t="str">
        <f>"*"&amp;F97&amp;"*"&amp;"( "&amp;O97&amp;", "&amp;P97&amp;"/ "&amp;T97&amp;" )"&amp;", "</f>
        <v xml:space="preserve">*SUYATMI*( kedungkarang, wedung/ Rumah ), </v>
      </c>
      <c r="AF97" s="94" t="s">
        <v>979</v>
      </c>
      <c r="AG97" s="81" t="s">
        <v>312</v>
      </c>
    </row>
    <row r="98" spans="1:34" ht="45" customHeight="1" x14ac:dyDescent="0.35">
      <c r="A98" s="90">
        <v>95</v>
      </c>
      <c r="B98" s="91"/>
      <c r="C98" s="92">
        <v>43991</v>
      </c>
      <c r="D98" s="91" t="s">
        <v>353</v>
      </c>
      <c r="E98" s="93" t="s">
        <v>105</v>
      </c>
      <c r="F98" s="94" t="s">
        <v>981</v>
      </c>
      <c r="G98" s="91" t="s">
        <v>355</v>
      </c>
      <c r="H98" s="91">
        <v>47</v>
      </c>
      <c r="I98" s="91">
        <v>85229387336</v>
      </c>
      <c r="J98" s="91"/>
      <c r="K98" s="91" t="s">
        <v>356</v>
      </c>
      <c r="L98" s="91"/>
      <c r="M98" s="91" t="s">
        <v>357</v>
      </c>
      <c r="N98" s="94" t="s">
        <v>982</v>
      </c>
      <c r="O98" s="94" t="s">
        <v>244</v>
      </c>
      <c r="P98" s="94" t="s">
        <v>226</v>
      </c>
      <c r="Q98" s="91" t="s">
        <v>361</v>
      </c>
      <c r="R98" s="91" t="s">
        <v>473</v>
      </c>
      <c r="S98" s="91"/>
      <c r="T98" s="91" t="s">
        <v>897</v>
      </c>
      <c r="U98" s="96" t="s">
        <v>364</v>
      </c>
      <c r="V98" s="91"/>
      <c r="W98" s="91"/>
      <c r="X98" s="91"/>
      <c r="Y98" s="91"/>
      <c r="Z98" s="97"/>
      <c r="AA98" s="91"/>
      <c r="AB98" s="91"/>
      <c r="AC98" s="91"/>
      <c r="AD98" s="103" t="s">
        <v>890</v>
      </c>
      <c r="AE98" s="98" t="str">
        <f>"*"&amp;F98&amp;"*"&amp;"( "&amp;O98&amp;", "&amp;P98&amp;"/ "&amp;T98&amp;" )"&amp;", "</f>
        <v xml:space="preserve">*ASMAIYAH*( Babalan, Wedung/ BKPP ), </v>
      </c>
      <c r="AF98" s="94" t="s">
        <v>244</v>
      </c>
      <c r="AG98" s="81" t="s">
        <v>312</v>
      </c>
    </row>
    <row r="99" spans="1:34" ht="45" customHeight="1" x14ac:dyDescent="0.35">
      <c r="A99" s="90">
        <v>96</v>
      </c>
      <c r="B99" s="91"/>
      <c r="C99" s="92">
        <v>43992</v>
      </c>
      <c r="D99" s="91" t="s">
        <v>353</v>
      </c>
      <c r="E99" s="93" t="s">
        <v>105</v>
      </c>
      <c r="F99" s="94" t="s">
        <v>536</v>
      </c>
      <c r="G99" s="91" t="s">
        <v>413</v>
      </c>
      <c r="H99" s="91">
        <v>66</v>
      </c>
      <c r="I99" s="91"/>
      <c r="J99" s="91"/>
      <c r="K99" s="91" t="s">
        <v>356</v>
      </c>
      <c r="L99" s="91"/>
      <c r="M99" s="91" t="s">
        <v>357</v>
      </c>
      <c r="N99" s="94" t="s">
        <v>537</v>
      </c>
      <c r="O99" s="94" t="s">
        <v>538</v>
      </c>
      <c r="P99" s="94" t="s">
        <v>304</v>
      </c>
      <c r="Q99" s="91" t="s">
        <v>361</v>
      </c>
      <c r="R99" s="91" t="s">
        <v>539</v>
      </c>
      <c r="S99" s="91"/>
      <c r="T99" s="91" t="s">
        <v>363</v>
      </c>
      <c r="U99" s="96" t="s">
        <v>540</v>
      </c>
      <c r="V99" s="91" t="s">
        <v>541</v>
      </c>
      <c r="W99" s="91"/>
      <c r="X99" s="91"/>
      <c r="Y99" s="91"/>
      <c r="Z99" s="91"/>
      <c r="AA99" s="91" t="s">
        <v>542</v>
      </c>
      <c r="AB99" s="91"/>
      <c r="AC99" s="91"/>
      <c r="AD99" s="103" t="s">
        <v>521</v>
      </c>
      <c r="AE99" s="98" t="str">
        <f>"*"&amp;F99&amp;"*"&amp;"( "&amp;O99&amp;", "&amp;P99&amp;"/ "&amp;R99&amp;" )"&amp;", "</f>
        <v xml:space="preserve">*ILYAS BAMBANG SUGITO*( sayung, SAYUNG/ RSUP Dr. Kariadi Semarang ), </v>
      </c>
      <c r="AF99" s="94" t="s">
        <v>538</v>
      </c>
      <c r="AG99" s="81" t="s">
        <v>304</v>
      </c>
    </row>
    <row r="100" spans="1:34" ht="45" customHeight="1" x14ac:dyDescent="0.35">
      <c r="A100" s="90">
        <v>97</v>
      </c>
      <c r="B100" s="91"/>
      <c r="C100" s="92">
        <v>43992</v>
      </c>
      <c r="D100" s="91" t="s">
        <v>353</v>
      </c>
      <c r="E100" s="93" t="s">
        <v>105</v>
      </c>
      <c r="F100" s="94" t="s">
        <v>1500</v>
      </c>
      <c r="G100" s="91" t="s">
        <v>413</v>
      </c>
      <c r="H100" s="91">
        <v>57</v>
      </c>
      <c r="I100" s="91"/>
      <c r="J100" s="91"/>
      <c r="K100" s="91" t="s">
        <v>356</v>
      </c>
      <c r="L100" s="91"/>
      <c r="M100" s="91" t="s">
        <v>357</v>
      </c>
      <c r="N100" s="94" t="s">
        <v>1501</v>
      </c>
      <c r="O100" s="94" t="s">
        <v>18</v>
      </c>
      <c r="P100" s="94" t="s">
        <v>385</v>
      </c>
      <c r="Q100" s="91" t="s">
        <v>361</v>
      </c>
      <c r="R100" s="91" t="s">
        <v>539</v>
      </c>
      <c r="S100" s="91"/>
      <c r="T100" s="91" t="s">
        <v>1367</v>
      </c>
      <c r="U100" s="96" t="s">
        <v>540</v>
      </c>
      <c r="V100" s="91" t="s">
        <v>1502</v>
      </c>
      <c r="W100" s="91"/>
      <c r="X100" s="91"/>
      <c r="Y100" s="91"/>
      <c r="Z100" s="91" t="s">
        <v>1503</v>
      </c>
      <c r="AA100" s="91" t="s">
        <v>1504</v>
      </c>
      <c r="AB100" s="91"/>
      <c r="AC100" s="91"/>
      <c r="AD100" s="103" t="s">
        <v>1481</v>
      </c>
      <c r="AE100" s="98" t="str">
        <f>"*"&amp;F100&amp;"*"&amp;"( "&amp;O100&amp;", "&amp;P100&amp;" )"&amp;", "</f>
        <v xml:space="preserve">*SLAMET TN*( Tegalarum, MRANGGEN ), </v>
      </c>
      <c r="AF100" s="94" t="s">
        <v>18</v>
      </c>
      <c r="AG100" s="81" t="s">
        <v>385</v>
      </c>
    </row>
    <row r="101" spans="1:34" ht="45" customHeight="1" x14ac:dyDescent="0.35">
      <c r="A101" s="90">
        <v>98</v>
      </c>
      <c r="B101" s="91"/>
      <c r="C101" s="92">
        <v>43992</v>
      </c>
      <c r="D101" s="91" t="s">
        <v>353</v>
      </c>
      <c r="E101" s="93" t="s">
        <v>105</v>
      </c>
      <c r="F101" s="94" t="s">
        <v>1505</v>
      </c>
      <c r="G101" s="91" t="s">
        <v>355</v>
      </c>
      <c r="H101" s="91">
        <v>45</v>
      </c>
      <c r="I101" s="91"/>
      <c r="J101" s="91"/>
      <c r="K101" s="91" t="s">
        <v>356</v>
      </c>
      <c r="L101" s="91"/>
      <c r="M101" s="91" t="s">
        <v>357</v>
      </c>
      <c r="N101" s="94" t="s">
        <v>1506</v>
      </c>
      <c r="O101" s="94" t="s">
        <v>162</v>
      </c>
      <c r="P101" s="94" t="s">
        <v>303</v>
      </c>
      <c r="Q101" s="91" t="s">
        <v>361</v>
      </c>
      <c r="R101" s="91" t="s">
        <v>531</v>
      </c>
      <c r="S101" s="91"/>
      <c r="T101" s="91" t="s">
        <v>1367</v>
      </c>
      <c r="U101" s="96" t="s">
        <v>545</v>
      </c>
      <c r="V101" s="91" t="s">
        <v>1507</v>
      </c>
      <c r="W101" s="91"/>
      <c r="X101" s="91"/>
      <c r="Y101" s="91"/>
      <c r="Z101" s="91" t="s">
        <v>1412</v>
      </c>
      <c r="AA101" s="91" t="s">
        <v>808</v>
      </c>
      <c r="AB101" s="91"/>
      <c r="AC101" s="91"/>
      <c r="AD101" s="103" t="s">
        <v>1481</v>
      </c>
      <c r="AE101" s="98" t="str">
        <f>"*"&amp;F101&amp;"*"&amp;"( "&amp;O101&amp;", "&amp;P101&amp;" )"&amp;", "</f>
        <v xml:space="preserve">*KOTIANAH*( Sukorejo, GUNTUR ), </v>
      </c>
      <c r="AF101" s="94" t="s">
        <v>162</v>
      </c>
      <c r="AG101" s="81" t="s">
        <v>303</v>
      </c>
    </row>
    <row r="102" spans="1:34" ht="45" customHeight="1" x14ac:dyDescent="0.35">
      <c r="A102" s="90">
        <v>99</v>
      </c>
      <c r="B102" s="91"/>
      <c r="C102" s="92">
        <v>43992</v>
      </c>
      <c r="D102" s="91" t="s">
        <v>353</v>
      </c>
      <c r="E102" s="93" t="s">
        <v>105</v>
      </c>
      <c r="F102" s="94" t="s">
        <v>543</v>
      </c>
      <c r="G102" s="91" t="s">
        <v>413</v>
      </c>
      <c r="H102" s="91">
        <v>51</v>
      </c>
      <c r="I102" s="91"/>
      <c r="J102" s="91"/>
      <c r="K102" s="91" t="s">
        <v>356</v>
      </c>
      <c r="L102" s="91"/>
      <c r="M102" s="91" t="s">
        <v>357</v>
      </c>
      <c r="N102" s="94" t="s">
        <v>544</v>
      </c>
      <c r="O102" s="94" t="s">
        <v>4</v>
      </c>
      <c r="P102" s="94" t="s">
        <v>385</v>
      </c>
      <c r="Q102" s="91" t="s">
        <v>361</v>
      </c>
      <c r="R102" s="91" t="s">
        <v>539</v>
      </c>
      <c r="S102" s="91"/>
      <c r="T102" s="91" t="s">
        <v>363</v>
      </c>
      <c r="U102" s="96" t="s">
        <v>545</v>
      </c>
      <c r="V102" s="91" t="s">
        <v>546</v>
      </c>
      <c r="W102" s="91"/>
      <c r="X102" s="91"/>
      <c r="Y102" s="91"/>
      <c r="Z102" s="91"/>
      <c r="AA102" s="91" t="s">
        <v>547</v>
      </c>
      <c r="AB102" s="91"/>
      <c r="AC102" s="91"/>
      <c r="AD102" s="103" t="s">
        <v>521</v>
      </c>
      <c r="AE102" s="98" t="str">
        <f>"*"&amp;F102&amp;"*"&amp;"( "&amp;O102&amp;", "&amp;P102&amp;"/ "&amp;R102&amp;" )"&amp;", "</f>
        <v xml:space="preserve">*ABDUL QODIR*( Mranggen, MRANGGEN/ RSUP Dr. Kariadi Semarang ), </v>
      </c>
      <c r="AF102" s="94" t="s">
        <v>4</v>
      </c>
      <c r="AG102" s="81" t="s">
        <v>385</v>
      </c>
    </row>
    <row r="103" spans="1:34" ht="45" customHeight="1" x14ac:dyDescent="0.35">
      <c r="A103" s="90">
        <v>100</v>
      </c>
      <c r="B103" s="91"/>
      <c r="C103" s="92">
        <v>43992</v>
      </c>
      <c r="D103" s="91" t="s">
        <v>353</v>
      </c>
      <c r="E103" s="93" t="s">
        <v>105</v>
      </c>
      <c r="F103" s="94" t="s">
        <v>548</v>
      </c>
      <c r="G103" s="91" t="s">
        <v>355</v>
      </c>
      <c r="H103" s="91">
        <v>83</v>
      </c>
      <c r="I103" s="91"/>
      <c r="J103" s="91"/>
      <c r="K103" s="91" t="s">
        <v>356</v>
      </c>
      <c r="L103" s="91"/>
      <c r="M103" s="91" t="s">
        <v>357</v>
      </c>
      <c r="N103" s="94" t="s">
        <v>549</v>
      </c>
      <c r="O103" s="94" t="s">
        <v>550</v>
      </c>
      <c r="P103" s="94" t="s">
        <v>385</v>
      </c>
      <c r="Q103" s="91" t="s">
        <v>361</v>
      </c>
      <c r="R103" s="91" t="s">
        <v>531</v>
      </c>
      <c r="S103" s="91"/>
      <c r="T103" s="91" t="s">
        <v>363</v>
      </c>
      <c r="U103" s="96" t="s">
        <v>551</v>
      </c>
      <c r="V103" s="91" t="s">
        <v>546</v>
      </c>
      <c r="W103" s="91"/>
      <c r="X103" s="91"/>
      <c r="Y103" s="91"/>
      <c r="Z103" s="91"/>
      <c r="AA103" s="91" t="s">
        <v>552</v>
      </c>
      <c r="AB103" s="91"/>
      <c r="AC103" s="91"/>
      <c r="AD103" s="103" t="s">
        <v>521</v>
      </c>
      <c r="AE103" s="98" t="str">
        <f>"*"&amp;F103&amp;"*"&amp;"( "&amp;O103&amp;", "&amp;P103&amp;"/ "&amp;R103&amp;" )"&amp;", "</f>
        <v xml:space="preserve">*SUDARMI*( MENUR, MRANGGEN/ RSUD K.R.M.T Wongsonegoro Semarang ), </v>
      </c>
      <c r="AF103" s="94" t="s">
        <v>550</v>
      </c>
      <c r="AG103" s="81" t="s">
        <v>385</v>
      </c>
      <c r="AH103" s="77"/>
    </row>
    <row r="104" spans="1:34" ht="45" customHeight="1" x14ac:dyDescent="0.35">
      <c r="A104" s="90">
        <v>101</v>
      </c>
      <c r="B104" s="91"/>
      <c r="C104" s="92">
        <v>43992</v>
      </c>
      <c r="D104" s="91" t="s">
        <v>353</v>
      </c>
      <c r="E104" s="93" t="s">
        <v>105</v>
      </c>
      <c r="F104" s="94" t="s">
        <v>553</v>
      </c>
      <c r="G104" s="91" t="s">
        <v>355</v>
      </c>
      <c r="H104" s="91">
        <v>57</v>
      </c>
      <c r="I104" s="91"/>
      <c r="J104" s="91"/>
      <c r="K104" s="91" t="s">
        <v>356</v>
      </c>
      <c r="L104" s="91"/>
      <c r="M104" s="91" t="s">
        <v>357</v>
      </c>
      <c r="N104" s="94" t="s">
        <v>554</v>
      </c>
      <c r="O104" s="94" t="s">
        <v>308</v>
      </c>
      <c r="P104" s="94" t="s">
        <v>308</v>
      </c>
      <c r="Q104" s="91" t="s">
        <v>361</v>
      </c>
      <c r="R104" s="91" t="s">
        <v>555</v>
      </c>
      <c r="S104" s="91"/>
      <c r="T104" s="91" t="s">
        <v>363</v>
      </c>
      <c r="U104" s="96" t="s">
        <v>556</v>
      </c>
      <c r="V104" s="91" t="s">
        <v>557</v>
      </c>
      <c r="W104" s="91"/>
      <c r="X104" s="91"/>
      <c r="Y104" s="91"/>
      <c r="Z104" s="91"/>
      <c r="AA104" s="91"/>
      <c r="AB104" s="91"/>
      <c r="AC104" s="91"/>
      <c r="AD104" s="103" t="s">
        <v>521</v>
      </c>
      <c r="AE104" s="98" t="str">
        <f>"*"&amp;F104&amp;"*"&amp;"( "&amp;O104&amp;", "&amp;P104&amp;"/ "&amp;R104&amp;" )"&amp;", "</f>
        <v xml:space="preserve">*SUFIATUN, NY*( GAJAH, GAJAH/ RS Nasional Diponegoro ), </v>
      </c>
      <c r="AF104" s="94" t="s">
        <v>308</v>
      </c>
      <c r="AG104" s="81" t="s">
        <v>308</v>
      </c>
    </row>
    <row r="105" spans="1:34" ht="45" customHeight="1" x14ac:dyDescent="0.35">
      <c r="A105" s="90">
        <v>102</v>
      </c>
      <c r="B105" s="91"/>
      <c r="C105" s="92">
        <v>43992</v>
      </c>
      <c r="D105" s="91" t="s">
        <v>353</v>
      </c>
      <c r="E105" s="93" t="s">
        <v>105</v>
      </c>
      <c r="F105" s="94" t="s">
        <v>558</v>
      </c>
      <c r="G105" s="91" t="s">
        <v>413</v>
      </c>
      <c r="H105" s="91">
        <v>48</v>
      </c>
      <c r="I105" s="91"/>
      <c r="J105" s="91"/>
      <c r="K105" s="91" t="s">
        <v>356</v>
      </c>
      <c r="L105" s="91"/>
      <c r="M105" s="91" t="s">
        <v>357</v>
      </c>
      <c r="N105" s="94" t="s">
        <v>559</v>
      </c>
      <c r="O105" s="94" t="s">
        <v>560</v>
      </c>
      <c r="P105" s="94" t="s">
        <v>385</v>
      </c>
      <c r="Q105" s="91" t="s">
        <v>361</v>
      </c>
      <c r="R105" s="91" t="s">
        <v>555</v>
      </c>
      <c r="S105" s="91"/>
      <c r="T105" s="91" t="s">
        <v>363</v>
      </c>
      <c r="U105" s="96" t="s">
        <v>556</v>
      </c>
      <c r="V105" s="91" t="s">
        <v>557</v>
      </c>
      <c r="W105" s="91"/>
      <c r="X105" s="91"/>
      <c r="Y105" s="91"/>
      <c r="Z105" s="91"/>
      <c r="AA105" s="91"/>
      <c r="AB105" s="91"/>
      <c r="AC105" s="91"/>
      <c r="AD105" s="103" t="s">
        <v>521</v>
      </c>
      <c r="AE105" s="98" t="str">
        <f>"*"&amp;F105&amp;"*"&amp;"( "&amp;O105&amp;", "&amp;P105&amp;"/ "&amp;R105&amp;" )"&amp;", "</f>
        <v xml:space="preserve">*SUYANTO, TN*( WRINGINJAJAR, MRANGGEN/ RS Nasional Diponegoro ), </v>
      </c>
      <c r="AF105" s="94" t="s">
        <v>560</v>
      </c>
      <c r="AG105" s="81" t="s">
        <v>385</v>
      </c>
      <c r="AH105" s="103"/>
    </row>
    <row r="106" spans="1:34" ht="45" customHeight="1" x14ac:dyDescent="0.35">
      <c r="A106" s="90">
        <v>103</v>
      </c>
      <c r="B106" s="91"/>
      <c r="C106" s="92">
        <v>43992</v>
      </c>
      <c r="D106" s="91" t="s">
        <v>353</v>
      </c>
      <c r="E106" s="93" t="s">
        <v>105</v>
      </c>
      <c r="F106" s="119" t="s">
        <v>983</v>
      </c>
      <c r="G106" s="91" t="s">
        <v>355</v>
      </c>
      <c r="H106" s="91">
        <v>53</v>
      </c>
      <c r="I106" s="91" t="s">
        <v>984</v>
      </c>
      <c r="J106" s="91"/>
      <c r="K106" s="91" t="s">
        <v>356</v>
      </c>
      <c r="L106" s="91"/>
      <c r="M106" s="91" t="s">
        <v>357</v>
      </c>
      <c r="N106" s="94" t="s">
        <v>985</v>
      </c>
      <c r="O106" s="94" t="s">
        <v>986</v>
      </c>
      <c r="P106" s="94" t="s">
        <v>987</v>
      </c>
      <c r="Q106" s="91" t="s">
        <v>361</v>
      </c>
      <c r="R106" s="91" t="s">
        <v>473</v>
      </c>
      <c r="S106" s="91"/>
      <c r="T106" s="91" t="s">
        <v>897</v>
      </c>
      <c r="U106" s="96" t="s">
        <v>551</v>
      </c>
      <c r="V106" s="95" t="s">
        <v>988</v>
      </c>
      <c r="W106" s="91"/>
      <c r="X106" s="91"/>
      <c r="Y106" s="91"/>
      <c r="Z106" s="91"/>
      <c r="AA106" s="91" t="s">
        <v>989</v>
      </c>
      <c r="AB106" s="96">
        <v>43978</v>
      </c>
      <c r="AC106" s="91"/>
      <c r="AD106" s="103" t="s">
        <v>890</v>
      </c>
      <c r="AE106" s="98" t="str">
        <f>"*"&amp;F106&amp;"*"&amp;"( "&amp;O106&amp;", "&amp;P106&amp;"/ "&amp;T106&amp;" )"&amp;", "</f>
        <v xml:space="preserve">*ANIS AFRIKAH*( gedangalas, gajah/ BKPP ), </v>
      </c>
      <c r="AF106" s="94" t="s">
        <v>986</v>
      </c>
      <c r="AG106" s="81" t="s">
        <v>308</v>
      </c>
    </row>
    <row r="107" spans="1:34" ht="45" customHeight="1" x14ac:dyDescent="0.35">
      <c r="A107" s="90">
        <v>104</v>
      </c>
      <c r="B107" s="91"/>
      <c r="C107" s="92">
        <v>43992</v>
      </c>
      <c r="D107" s="91" t="s">
        <v>353</v>
      </c>
      <c r="E107" s="93" t="s">
        <v>105</v>
      </c>
      <c r="F107" s="119" t="s">
        <v>990</v>
      </c>
      <c r="G107" s="91" t="s">
        <v>355</v>
      </c>
      <c r="H107" s="91">
        <v>51</v>
      </c>
      <c r="I107" s="91" t="s">
        <v>402</v>
      </c>
      <c r="J107" s="91"/>
      <c r="K107" s="91" t="s">
        <v>356</v>
      </c>
      <c r="L107" s="91"/>
      <c r="M107" s="91" t="s">
        <v>357</v>
      </c>
      <c r="N107" s="94" t="s">
        <v>991</v>
      </c>
      <c r="O107" s="94" t="s">
        <v>992</v>
      </c>
      <c r="P107" s="94" t="s">
        <v>538</v>
      </c>
      <c r="Q107" s="91" t="s">
        <v>361</v>
      </c>
      <c r="R107" s="91" t="s">
        <v>473</v>
      </c>
      <c r="S107" s="91"/>
      <c r="T107" s="91" t="s">
        <v>897</v>
      </c>
      <c r="U107" s="96" t="s">
        <v>551</v>
      </c>
      <c r="V107" s="95" t="s">
        <v>988</v>
      </c>
      <c r="W107" s="91"/>
      <c r="X107" s="91"/>
      <c r="Y107" s="91"/>
      <c r="Z107" s="97"/>
      <c r="AA107" s="91" t="s">
        <v>993</v>
      </c>
      <c r="AB107" s="96">
        <v>43982</v>
      </c>
      <c r="AC107" s="91"/>
      <c r="AD107" s="103" t="s">
        <v>890</v>
      </c>
      <c r="AE107" s="98" t="str">
        <f>"*"&amp;F107&amp;"*"&amp;"( "&amp;O107&amp;", "&amp;P107&amp;"/ "&amp;T107&amp;" )"&amp;", "</f>
        <v xml:space="preserve">*WACHIDAH*( timbulsloko, sayung/ BKPP ), </v>
      </c>
      <c r="AF107" s="94" t="s">
        <v>992</v>
      </c>
      <c r="AG107" s="81" t="s">
        <v>304</v>
      </c>
    </row>
    <row r="108" spans="1:34" ht="45" customHeight="1" x14ac:dyDescent="0.35">
      <c r="A108" s="90">
        <v>105</v>
      </c>
      <c r="B108" s="107">
        <v>44009</v>
      </c>
      <c r="C108" s="92">
        <v>43992</v>
      </c>
      <c r="D108" s="91" t="s">
        <v>353</v>
      </c>
      <c r="E108" s="93" t="s">
        <v>105</v>
      </c>
      <c r="F108" s="119" t="s">
        <v>994</v>
      </c>
      <c r="G108" s="91" t="s">
        <v>355</v>
      </c>
      <c r="H108" s="91">
        <v>51</v>
      </c>
      <c r="I108" s="91"/>
      <c r="J108" s="91"/>
      <c r="K108" s="91" t="s">
        <v>356</v>
      </c>
      <c r="L108" s="91"/>
      <c r="M108" s="91" t="s">
        <v>357</v>
      </c>
      <c r="N108" s="94" t="s">
        <v>995</v>
      </c>
      <c r="O108" s="94" t="s">
        <v>141</v>
      </c>
      <c r="P108" s="94" t="s">
        <v>996</v>
      </c>
      <c r="Q108" s="91" t="s">
        <v>361</v>
      </c>
      <c r="R108" s="95" t="s">
        <v>369</v>
      </c>
      <c r="S108" s="91"/>
      <c r="T108" s="91" t="s">
        <v>885</v>
      </c>
      <c r="U108" s="96" t="s">
        <v>551</v>
      </c>
      <c r="V108" s="95" t="s">
        <v>997</v>
      </c>
      <c r="W108" s="91"/>
      <c r="X108" s="91"/>
      <c r="Y108" s="91"/>
      <c r="Z108" s="91"/>
      <c r="AA108" s="91" t="s">
        <v>998</v>
      </c>
      <c r="AB108" s="96">
        <v>43979</v>
      </c>
      <c r="AC108" s="91"/>
      <c r="AD108" s="103" t="s">
        <v>890</v>
      </c>
      <c r="AE108" s="98" t="str">
        <f>"*"&amp;F108&amp;"*"&amp;"( "&amp;O108&amp;", "&amp;P108&amp;"/ "&amp;T108&amp;" )"&amp;", "</f>
        <v xml:space="preserve">*SULASIH*( Poncoharjo, bonang/ Rumah ), </v>
      </c>
      <c r="AF108" s="94" t="s">
        <v>141</v>
      </c>
      <c r="AG108" s="81" t="s">
        <v>311</v>
      </c>
    </row>
    <row r="109" spans="1:34" ht="45" customHeight="1" x14ac:dyDescent="0.35">
      <c r="A109" s="90">
        <v>106</v>
      </c>
      <c r="B109" s="91"/>
      <c r="C109" s="92">
        <v>43992</v>
      </c>
      <c r="D109" s="91" t="s">
        <v>353</v>
      </c>
      <c r="E109" s="93" t="s">
        <v>105</v>
      </c>
      <c r="F109" s="119" t="s">
        <v>1375</v>
      </c>
      <c r="G109" s="91" t="s">
        <v>413</v>
      </c>
      <c r="H109" s="91">
        <v>52</v>
      </c>
      <c r="I109" s="91" t="s">
        <v>1376</v>
      </c>
      <c r="J109" s="91"/>
      <c r="K109" s="91" t="s">
        <v>356</v>
      </c>
      <c r="L109" s="91"/>
      <c r="M109" s="91" t="s">
        <v>357</v>
      </c>
      <c r="N109" s="94" t="s">
        <v>1377</v>
      </c>
      <c r="O109" s="94" t="s">
        <v>1378</v>
      </c>
      <c r="P109" s="94" t="s">
        <v>302</v>
      </c>
      <c r="Q109" s="91" t="s">
        <v>361</v>
      </c>
      <c r="R109" s="91" t="s">
        <v>473</v>
      </c>
      <c r="S109" s="91"/>
      <c r="T109" s="91" t="s">
        <v>1354</v>
      </c>
      <c r="U109" s="96" t="s">
        <v>551</v>
      </c>
      <c r="V109" s="95" t="s">
        <v>988</v>
      </c>
      <c r="W109" s="91"/>
      <c r="X109" s="91"/>
      <c r="Y109" s="91" t="s">
        <v>1379</v>
      </c>
      <c r="Z109" s="91"/>
      <c r="AA109" s="91" t="s">
        <v>1380</v>
      </c>
      <c r="AB109" s="96">
        <v>43981</v>
      </c>
      <c r="AC109" s="91"/>
      <c r="AD109" s="103" t="s">
        <v>316</v>
      </c>
      <c r="AE109" s="98" t="str">
        <f>"*"&amp;F109&amp;"*"&amp;"( "&amp;O109&amp;", "&amp;P109&amp;" )"&amp;", "</f>
        <v xml:space="preserve">*MIR'AN*( kalikondang, DEMAK ), </v>
      </c>
      <c r="AF109" s="94" t="s">
        <v>1378</v>
      </c>
      <c r="AG109" s="81" t="s">
        <v>302</v>
      </c>
    </row>
    <row r="110" spans="1:34" ht="45" customHeight="1" x14ac:dyDescent="0.35">
      <c r="A110" s="90">
        <v>107</v>
      </c>
      <c r="B110" s="107">
        <v>44009</v>
      </c>
      <c r="C110" s="92">
        <v>43993</v>
      </c>
      <c r="D110" s="91" t="s">
        <v>353</v>
      </c>
      <c r="E110" s="93" t="s">
        <v>105</v>
      </c>
      <c r="F110" s="119" t="s">
        <v>999</v>
      </c>
      <c r="G110" s="91" t="s">
        <v>413</v>
      </c>
      <c r="H110" s="91">
        <v>63</v>
      </c>
      <c r="I110" s="91" t="s">
        <v>1000</v>
      </c>
      <c r="J110" s="91"/>
      <c r="K110" s="91" t="s">
        <v>356</v>
      </c>
      <c r="L110" s="91"/>
      <c r="M110" s="91" t="s">
        <v>357</v>
      </c>
      <c r="N110" s="94" t="s">
        <v>1001</v>
      </c>
      <c r="O110" s="94" t="s">
        <v>408</v>
      </c>
      <c r="P110" s="94" t="s">
        <v>312</v>
      </c>
      <c r="Q110" s="91" t="s">
        <v>361</v>
      </c>
      <c r="R110" s="91" t="s">
        <v>1002</v>
      </c>
      <c r="S110" s="91"/>
      <c r="T110" s="91" t="s">
        <v>885</v>
      </c>
      <c r="U110" s="96" t="s">
        <v>556</v>
      </c>
      <c r="V110" s="96" t="s">
        <v>371</v>
      </c>
      <c r="W110" s="96" t="s">
        <v>1003</v>
      </c>
      <c r="X110" s="91"/>
      <c r="Y110" s="91"/>
      <c r="Z110" s="91"/>
      <c r="AA110" s="91" t="s">
        <v>1004</v>
      </c>
      <c r="AB110" s="91"/>
      <c r="AC110" s="91"/>
      <c r="AD110" s="103" t="s">
        <v>890</v>
      </c>
      <c r="AE110" s="98" t="str">
        <f>"*"&amp;F110&amp;"*"&amp;"( "&amp;O110&amp;", "&amp;P110&amp;"/ "&amp;T110&amp;" )"&amp;", "</f>
        <v xml:space="preserve">*JAMBARI, TN*( Kedungmutih, WEDUNG/ Rumah ), </v>
      </c>
      <c r="AF110" s="94" t="s">
        <v>408</v>
      </c>
      <c r="AG110" s="81" t="s">
        <v>312</v>
      </c>
    </row>
    <row r="111" spans="1:34" ht="45" customHeight="1" x14ac:dyDescent="0.35">
      <c r="A111" s="90">
        <v>108</v>
      </c>
      <c r="B111" s="91"/>
      <c r="C111" s="92">
        <v>43993</v>
      </c>
      <c r="D111" s="91" t="s">
        <v>353</v>
      </c>
      <c r="E111" s="93" t="s">
        <v>105</v>
      </c>
      <c r="F111" s="94" t="s">
        <v>561</v>
      </c>
      <c r="G111" s="91" t="s">
        <v>413</v>
      </c>
      <c r="H111" s="91">
        <v>57</v>
      </c>
      <c r="I111" s="91" t="s">
        <v>562</v>
      </c>
      <c r="J111" s="91"/>
      <c r="K111" s="91" t="s">
        <v>356</v>
      </c>
      <c r="L111" s="91"/>
      <c r="M111" s="91" t="s">
        <v>357</v>
      </c>
      <c r="N111" s="94" t="s">
        <v>563</v>
      </c>
      <c r="O111" s="94" t="s">
        <v>564</v>
      </c>
      <c r="P111" s="94" t="s">
        <v>310</v>
      </c>
      <c r="Q111" s="91" t="s">
        <v>361</v>
      </c>
      <c r="R111" s="91" t="s">
        <v>565</v>
      </c>
      <c r="S111" s="91"/>
      <c r="T111" s="91" t="s">
        <v>363</v>
      </c>
      <c r="U111" s="91"/>
      <c r="V111" s="91" t="s">
        <v>566</v>
      </c>
      <c r="W111" s="91"/>
      <c r="X111" s="91"/>
      <c r="Y111" s="91"/>
      <c r="Z111" s="91"/>
      <c r="AA111" s="91" t="s">
        <v>567</v>
      </c>
      <c r="AB111" s="91"/>
      <c r="AC111" s="91"/>
      <c r="AD111" s="103" t="s">
        <v>521</v>
      </c>
      <c r="AE111" s="98" t="str">
        <f>"*"&amp;F111&amp;"*"&amp;"( "&amp;O111&amp;", "&amp;P111&amp;"/ "&amp;R111&amp;" )"&amp;", "</f>
        <v xml:space="preserve">*SUWARDI*( NGALURAN, KARANGANYAR/ RSUD Loekmono Hadi Kudus ), </v>
      </c>
      <c r="AF111" s="94" t="s">
        <v>564</v>
      </c>
      <c r="AG111" s="81" t="s">
        <v>310</v>
      </c>
    </row>
    <row r="112" spans="1:34" ht="45" customHeight="1" x14ac:dyDescent="0.35">
      <c r="A112" s="90">
        <v>109</v>
      </c>
      <c r="B112" s="91"/>
      <c r="C112" s="92">
        <v>43993</v>
      </c>
      <c r="D112" s="91" t="s">
        <v>353</v>
      </c>
      <c r="E112" s="93" t="s">
        <v>105</v>
      </c>
      <c r="F112" s="94" t="s">
        <v>1381</v>
      </c>
      <c r="G112" s="91" t="s">
        <v>413</v>
      </c>
      <c r="H112" s="91">
        <v>53</v>
      </c>
      <c r="I112" s="91" t="s">
        <v>1382</v>
      </c>
      <c r="J112" s="91"/>
      <c r="K112" s="91" t="s">
        <v>356</v>
      </c>
      <c r="L112" s="91"/>
      <c r="M112" s="91" t="s">
        <v>357</v>
      </c>
      <c r="N112" s="94" t="s">
        <v>1383</v>
      </c>
      <c r="O112" s="94" t="s">
        <v>32</v>
      </c>
      <c r="P112" s="94" t="s">
        <v>0</v>
      </c>
      <c r="Q112" s="91" t="s">
        <v>361</v>
      </c>
      <c r="R112" s="91" t="s">
        <v>473</v>
      </c>
      <c r="S112" s="91"/>
      <c r="T112" s="91" t="s">
        <v>1334</v>
      </c>
      <c r="U112" s="91"/>
      <c r="V112" s="91" t="s">
        <v>656</v>
      </c>
      <c r="W112" s="91"/>
      <c r="X112" s="91"/>
      <c r="Y112" s="91" t="s">
        <v>1384</v>
      </c>
      <c r="Z112" s="91"/>
      <c r="AA112" s="91" t="s">
        <v>485</v>
      </c>
      <c r="AB112" s="91"/>
      <c r="AC112" s="91"/>
      <c r="AD112" s="103" t="s">
        <v>316</v>
      </c>
      <c r="AE112" s="98" t="str">
        <f>"*"&amp;F112&amp;"*"&amp;"( "&amp;O112&amp;", "&amp;P112&amp;" )"&amp;", "</f>
        <v xml:space="preserve">*SLAMET RIYADI*( Donorejo, KARANGTENGAH ), </v>
      </c>
      <c r="AF112" s="94" t="s">
        <v>32</v>
      </c>
      <c r="AG112" s="81" t="s">
        <v>0</v>
      </c>
    </row>
    <row r="113" spans="1:34" ht="45" customHeight="1" x14ac:dyDescent="0.35">
      <c r="A113" s="90">
        <v>110</v>
      </c>
      <c r="B113" s="91">
        <v>1</v>
      </c>
      <c r="C113" s="92">
        <v>43995</v>
      </c>
      <c r="D113" s="91" t="s">
        <v>353</v>
      </c>
      <c r="E113" s="91" t="s">
        <v>105</v>
      </c>
      <c r="F113" s="94" t="s">
        <v>1855</v>
      </c>
      <c r="G113" s="91"/>
      <c r="H113" s="91">
        <v>37</v>
      </c>
      <c r="I113" s="91" t="s">
        <v>1856</v>
      </c>
      <c r="J113" s="91"/>
      <c r="K113" s="91" t="s">
        <v>356</v>
      </c>
      <c r="L113" s="91"/>
      <c r="M113" s="91" t="s">
        <v>357</v>
      </c>
      <c r="N113" s="94" t="s">
        <v>1857</v>
      </c>
      <c r="O113" s="94" t="s">
        <v>820</v>
      </c>
      <c r="P113" s="94" t="s">
        <v>385</v>
      </c>
      <c r="Q113" s="91" t="s">
        <v>361</v>
      </c>
      <c r="R113" s="91" t="s">
        <v>531</v>
      </c>
      <c r="S113" s="91"/>
      <c r="T113" s="91" t="s">
        <v>1590</v>
      </c>
      <c r="U113" s="91"/>
      <c r="V113" s="91" t="s">
        <v>583</v>
      </c>
      <c r="W113" s="91"/>
      <c r="X113" s="91"/>
      <c r="Y113" s="91"/>
      <c r="Z113" s="91"/>
      <c r="AA113" s="91" t="s">
        <v>1539</v>
      </c>
      <c r="AB113" s="91"/>
      <c r="AC113" s="91"/>
      <c r="AD113" s="103" t="s">
        <v>1590</v>
      </c>
      <c r="AE113" s="98" t="str">
        <f>"*"&amp;F113&amp;"*"&amp;"( "&amp;O113&amp;", "&amp;P113&amp;" )"&amp;", "</f>
        <v xml:space="preserve">*FATHIMUNAL HIDAYATI*( KEBONBATUR, MRANGGEN ), </v>
      </c>
      <c r="AF113" s="94" t="s">
        <v>820</v>
      </c>
      <c r="AG113" s="81" t="s">
        <v>385</v>
      </c>
    </row>
    <row r="114" spans="1:34" ht="45" customHeight="1" x14ac:dyDescent="0.35">
      <c r="A114" s="90">
        <v>111</v>
      </c>
      <c r="B114" s="91"/>
      <c r="C114" s="92">
        <v>43993</v>
      </c>
      <c r="D114" s="91" t="s">
        <v>353</v>
      </c>
      <c r="E114" s="93" t="s">
        <v>105</v>
      </c>
      <c r="F114" s="94" t="s">
        <v>568</v>
      </c>
      <c r="G114" s="91" t="s">
        <v>413</v>
      </c>
      <c r="H114" s="91">
        <v>39</v>
      </c>
      <c r="I114" s="91" t="s">
        <v>569</v>
      </c>
      <c r="J114" s="91"/>
      <c r="K114" s="91" t="s">
        <v>570</v>
      </c>
      <c r="L114" s="91"/>
      <c r="M114" s="91" t="s">
        <v>357</v>
      </c>
      <c r="N114" s="94" t="s">
        <v>571</v>
      </c>
      <c r="O114" s="94" t="s">
        <v>477</v>
      </c>
      <c r="P114" s="94" t="s">
        <v>308</v>
      </c>
      <c r="Q114" s="91" t="s">
        <v>361</v>
      </c>
      <c r="R114" s="91" t="s">
        <v>565</v>
      </c>
      <c r="S114" s="91"/>
      <c r="T114" s="91" t="s">
        <v>363</v>
      </c>
      <c r="U114" s="91"/>
      <c r="V114" s="91" t="s">
        <v>572</v>
      </c>
      <c r="W114" s="91"/>
      <c r="X114" s="91"/>
      <c r="Y114" s="91"/>
      <c r="Z114" s="91"/>
      <c r="AA114" s="91" t="s">
        <v>542</v>
      </c>
      <c r="AB114" s="96">
        <v>43980</v>
      </c>
      <c r="AC114" s="91"/>
      <c r="AD114" s="103" t="s">
        <v>521</v>
      </c>
      <c r="AE114" s="98" t="str">
        <f>"*"&amp;F114&amp;"*"&amp;"( "&amp;O114&amp;", "&amp;P114&amp;"/ "&amp;R114&amp;" )"&amp;", "</f>
        <v xml:space="preserve">*ANDHI SUTARWANTO*( BANJARSARI, GAJAH/ RSUD Loekmono Hadi Kudus ), </v>
      </c>
      <c r="AF114" s="94" t="s">
        <v>477</v>
      </c>
      <c r="AG114" s="81" t="s">
        <v>308</v>
      </c>
    </row>
    <row r="115" spans="1:34" ht="45" customHeight="1" x14ac:dyDescent="0.35">
      <c r="A115" s="90">
        <v>112</v>
      </c>
      <c r="B115" s="91"/>
      <c r="C115" s="92">
        <v>43993</v>
      </c>
      <c r="D115" s="91" t="s">
        <v>353</v>
      </c>
      <c r="E115" s="93" t="s">
        <v>105</v>
      </c>
      <c r="F115" s="94" t="s">
        <v>1508</v>
      </c>
      <c r="G115" s="91" t="s">
        <v>413</v>
      </c>
      <c r="H115" s="91">
        <v>75</v>
      </c>
      <c r="I115" s="91" t="s">
        <v>1509</v>
      </c>
      <c r="J115" s="91"/>
      <c r="K115" s="91" t="s">
        <v>356</v>
      </c>
      <c r="L115" s="91"/>
      <c r="M115" s="91" t="s">
        <v>357</v>
      </c>
      <c r="N115" s="94" t="s">
        <v>1510</v>
      </c>
      <c r="O115" s="94" t="s">
        <v>385</v>
      </c>
      <c r="P115" s="94" t="s">
        <v>385</v>
      </c>
      <c r="Q115" s="91" t="s">
        <v>361</v>
      </c>
      <c r="R115" s="91" t="s">
        <v>539</v>
      </c>
      <c r="S115" s="91"/>
      <c r="T115" s="91" t="s">
        <v>783</v>
      </c>
      <c r="U115" s="91"/>
      <c r="V115" s="91" t="s">
        <v>656</v>
      </c>
      <c r="W115" s="91"/>
      <c r="X115" s="91"/>
      <c r="Y115" s="91" t="s">
        <v>1511</v>
      </c>
      <c r="Z115" s="91"/>
      <c r="AA115" s="91"/>
      <c r="AB115" s="91"/>
      <c r="AC115" s="91"/>
      <c r="AD115" s="103" t="s">
        <v>1481</v>
      </c>
      <c r="AE115" s="98" t="str">
        <f>"*"&amp;F115&amp;"*"&amp;"( "&amp;O115&amp;", "&amp;P115&amp;" )"&amp;", "</f>
        <v xml:space="preserve">*AHMAD WIJI*( MRANGGEN, MRANGGEN ), </v>
      </c>
      <c r="AF115" s="94" t="s">
        <v>385</v>
      </c>
      <c r="AG115" s="81" t="s">
        <v>385</v>
      </c>
    </row>
    <row r="116" spans="1:34" ht="45" customHeight="1" x14ac:dyDescent="0.35">
      <c r="A116" s="90">
        <v>113</v>
      </c>
      <c r="B116" s="91"/>
      <c r="C116" s="92">
        <v>43993</v>
      </c>
      <c r="D116" s="91" t="s">
        <v>353</v>
      </c>
      <c r="E116" s="93" t="s">
        <v>105</v>
      </c>
      <c r="F116" s="94" t="s">
        <v>1512</v>
      </c>
      <c r="G116" s="91" t="s">
        <v>413</v>
      </c>
      <c r="H116" s="91">
        <v>69</v>
      </c>
      <c r="I116" s="91" t="s">
        <v>1513</v>
      </c>
      <c r="J116" s="91"/>
      <c r="K116" s="91" t="s">
        <v>356</v>
      </c>
      <c r="L116" s="91"/>
      <c r="M116" s="91" t="s">
        <v>357</v>
      </c>
      <c r="N116" s="94" t="s">
        <v>1514</v>
      </c>
      <c r="O116" s="94" t="s">
        <v>297</v>
      </c>
      <c r="P116" s="94" t="s">
        <v>312</v>
      </c>
      <c r="Q116" s="91" t="s">
        <v>361</v>
      </c>
      <c r="R116" s="91" t="s">
        <v>1002</v>
      </c>
      <c r="S116" s="91"/>
      <c r="T116" s="91" t="s">
        <v>783</v>
      </c>
      <c r="U116" s="91"/>
      <c r="V116" s="91" t="s">
        <v>566</v>
      </c>
      <c r="W116" s="91"/>
      <c r="X116" s="91"/>
      <c r="Y116" s="91" t="s">
        <v>1515</v>
      </c>
      <c r="Z116" s="91"/>
      <c r="AA116" s="91" t="s">
        <v>1516</v>
      </c>
      <c r="AB116" s="91"/>
      <c r="AC116" s="91"/>
      <c r="AD116" s="103" t="s">
        <v>1481</v>
      </c>
      <c r="AE116" s="98" t="str">
        <f>"*"&amp;F116&amp;"*"&amp;"( "&amp;O116&amp;", "&amp;P116&amp;" )"&amp;", "</f>
        <v xml:space="preserve">*ALI MUR OB, TN*( Kedungkarang, WEDUNG ), </v>
      </c>
      <c r="AF116" s="94" t="s">
        <v>297</v>
      </c>
      <c r="AG116" s="81" t="s">
        <v>312</v>
      </c>
    </row>
    <row r="117" spans="1:34" ht="45" customHeight="1" x14ac:dyDescent="0.35">
      <c r="A117" s="90">
        <v>114</v>
      </c>
      <c r="B117" s="91"/>
      <c r="C117" s="92">
        <v>43993</v>
      </c>
      <c r="D117" s="91" t="s">
        <v>353</v>
      </c>
      <c r="E117" s="93" t="s">
        <v>105</v>
      </c>
      <c r="F117" s="94" t="s">
        <v>1005</v>
      </c>
      <c r="G117" s="91" t="s">
        <v>355</v>
      </c>
      <c r="H117" s="91">
        <v>28</v>
      </c>
      <c r="I117" s="91">
        <v>81548398557</v>
      </c>
      <c r="J117" s="91"/>
      <c r="K117" s="91" t="s">
        <v>356</v>
      </c>
      <c r="L117" s="91"/>
      <c r="M117" s="91" t="s">
        <v>357</v>
      </c>
      <c r="N117" s="94" t="s">
        <v>1006</v>
      </c>
      <c r="O117" s="94" t="s">
        <v>92</v>
      </c>
      <c r="P117" s="94" t="s">
        <v>1007</v>
      </c>
      <c r="Q117" s="91" t="s">
        <v>361</v>
      </c>
      <c r="R117" s="91" t="s">
        <v>473</v>
      </c>
      <c r="S117" s="91"/>
      <c r="T117" s="91" t="s">
        <v>897</v>
      </c>
      <c r="U117" s="91"/>
      <c r="V117" s="91"/>
      <c r="W117" s="91"/>
      <c r="X117" s="91"/>
      <c r="Y117" s="91"/>
      <c r="Z117" s="97"/>
      <c r="AA117" s="91" t="s">
        <v>1008</v>
      </c>
      <c r="AB117" s="96">
        <v>43985</v>
      </c>
      <c r="AC117" s="91"/>
      <c r="AD117" s="103" t="s">
        <v>890</v>
      </c>
      <c r="AE117" s="98" t="str">
        <f>"*"&amp;F117&amp;"*"&amp;"( "&amp;O117&amp;", "&amp;P117&amp;"/ "&amp;T117&amp;" )"&amp;", "</f>
        <v xml:space="preserve">*SITI ASFIYATUN ROMANIAH*( Geneng, mijen/ BKPP ), </v>
      </c>
      <c r="AF117" s="94" t="s">
        <v>92</v>
      </c>
      <c r="AG117" s="81" t="s">
        <v>309</v>
      </c>
    </row>
    <row r="118" spans="1:34" ht="45" customHeight="1" x14ac:dyDescent="0.35">
      <c r="A118" s="90">
        <v>115</v>
      </c>
      <c r="B118" s="91"/>
      <c r="C118" s="92">
        <v>43993</v>
      </c>
      <c r="D118" s="91" t="s">
        <v>353</v>
      </c>
      <c r="E118" s="93" t="s">
        <v>105</v>
      </c>
      <c r="F118" s="94" t="s">
        <v>1009</v>
      </c>
      <c r="G118" s="91" t="s">
        <v>355</v>
      </c>
      <c r="H118" s="91">
        <v>60</v>
      </c>
      <c r="I118" s="91">
        <v>85314558343</v>
      </c>
      <c r="J118" s="91"/>
      <c r="K118" s="91" t="s">
        <v>356</v>
      </c>
      <c r="L118" s="91"/>
      <c r="M118" s="91" t="s">
        <v>357</v>
      </c>
      <c r="N118" s="94" t="s">
        <v>1010</v>
      </c>
      <c r="O118" s="94" t="s">
        <v>1011</v>
      </c>
      <c r="P118" s="94" t="s">
        <v>980</v>
      </c>
      <c r="Q118" s="91" t="s">
        <v>361</v>
      </c>
      <c r="R118" s="91" t="s">
        <v>905</v>
      </c>
      <c r="S118" s="91"/>
      <c r="T118" s="91" t="s">
        <v>897</v>
      </c>
      <c r="U118" s="91"/>
      <c r="V118" s="91"/>
      <c r="W118" s="91"/>
      <c r="X118" s="91"/>
      <c r="Y118" s="91"/>
      <c r="Z118" s="97"/>
      <c r="AA118" s="91" t="s">
        <v>1012</v>
      </c>
      <c r="AB118" s="91"/>
      <c r="AC118" s="91"/>
      <c r="AD118" s="103" t="s">
        <v>890</v>
      </c>
      <c r="AE118" s="98" t="str">
        <f>"*"&amp;F118&amp;"*"&amp;"( "&amp;O118&amp;", "&amp;P118&amp;"/ "&amp;T118&amp;" )"&amp;", "</f>
        <v xml:space="preserve">*MURIPAH*( kedungmutih, wedung/ BKPP ), </v>
      </c>
      <c r="AF118" s="94" t="s">
        <v>1011</v>
      </c>
      <c r="AG118" s="81" t="s">
        <v>312</v>
      </c>
    </row>
    <row r="119" spans="1:34" ht="45" customHeight="1" x14ac:dyDescent="0.35">
      <c r="A119" s="90">
        <v>116</v>
      </c>
      <c r="B119" s="91"/>
      <c r="C119" s="92">
        <v>43993</v>
      </c>
      <c r="D119" s="91" t="s">
        <v>353</v>
      </c>
      <c r="E119" s="93" t="s">
        <v>105</v>
      </c>
      <c r="F119" s="119" t="s">
        <v>1013</v>
      </c>
      <c r="G119" s="91" t="s">
        <v>413</v>
      </c>
      <c r="H119" s="91">
        <v>51</v>
      </c>
      <c r="I119" s="91">
        <v>85726409551</v>
      </c>
      <c r="J119" s="91"/>
      <c r="K119" s="91" t="s">
        <v>356</v>
      </c>
      <c r="L119" s="91"/>
      <c r="M119" s="91" t="s">
        <v>357</v>
      </c>
      <c r="N119" s="94" t="s">
        <v>1014</v>
      </c>
      <c r="O119" s="94" t="s">
        <v>1015</v>
      </c>
      <c r="P119" s="94" t="s">
        <v>301</v>
      </c>
      <c r="Q119" s="91" t="s">
        <v>361</v>
      </c>
      <c r="R119" s="91" t="s">
        <v>905</v>
      </c>
      <c r="S119" s="91"/>
      <c r="T119" s="91" t="s">
        <v>885</v>
      </c>
      <c r="U119" s="91"/>
      <c r="V119" s="91"/>
      <c r="W119" s="91"/>
      <c r="X119" s="91"/>
      <c r="Y119" s="91"/>
      <c r="Z119" s="97"/>
      <c r="AA119" s="91"/>
      <c r="AB119" s="91"/>
      <c r="AC119" s="91"/>
      <c r="AD119" s="97" t="s">
        <v>890</v>
      </c>
      <c r="AE119" s="98" t="str">
        <f>"*"&amp;F119&amp;"*"&amp;"( "&amp;O119&amp;", "&amp;P119&amp;"/ "&amp;T119&amp;" )"&amp;", "</f>
        <v xml:space="preserve">*ABDUL ROHIM*( BUMIREJO, KARANGAWEN/ Rumah ), </v>
      </c>
      <c r="AF119" s="94" t="s">
        <v>1015</v>
      </c>
      <c r="AG119" s="81" t="s">
        <v>301</v>
      </c>
    </row>
    <row r="120" spans="1:34" ht="45" customHeight="1" x14ac:dyDescent="0.35">
      <c r="A120" s="90">
        <v>117</v>
      </c>
      <c r="B120" s="92">
        <v>44009</v>
      </c>
      <c r="C120" s="92">
        <v>43994</v>
      </c>
      <c r="D120" s="91" t="s">
        <v>353</v>
      </c>
      <c r="E120" s="93" t="s">
        <v>105</v>
      </c>
      <c r="F120" s="119" t="s">
        <v>1016</v>
      </c>
      <c r="G120" s="91" t="s">
        <v>355</v>
      </c>
      <c r="H120" s="91">
        <v>54</v>
      </c>
      <c r="I120" s="93" t="s">
        <v>1017</v>
      </c>
      <c r="J120" s="91"/>
      <c r="K120" s="91" t="s">
        <v>356</v>
      </c>
      <c r="L120" s="91"/>
      <c r="M120" s="91" t="s">
        <v>357</v>
      </c>
      <c r="N120" s="94" t="s">
        <v>1018</v>
      </c>
      <c r="O120" s="94" t="s">
        <v>1019</v>
      </c>
      <c r="P120" s="94" t="s">
        <v>307</v>
      </c>
      <c r="Q120" s="91" t="s">
        <v>361</v>
      </c>
      <c r="R120" s="95" t="s">
        <v>369</v>
      </c>
      <c r="S120" s="91"/>
      <c r="T120" s="91" t="s">
        <v>885</v>
      </c>
      <c r="U120" s="91"/>
      <c r="V120" s="96" t="s">
        <v>1020</v>
      </c>
      <c r="W120" s="91"/>
      <c r="X120" s="91"/>
      <c r="Y120" s="91"/>
      <c r="Z120" s="91"/>
      <c r="AA120" s="91" t="s">
        <v>1021</v>
      </c>
      <c r="AB120" s="91"/>
      <c r="AC120" s="91"/>
      <c r="AD120" s="97" t="s">
        <v>890</v>
      </c>
      <c r="AE120" s="98" t="str">
        <f>"*"&amp;F120&amp;"*"&amp;"( "&amp;O120&amp;", "&amp;P120&amp;"/ "&amp;T120&amp;" )"&amp;", "</f>
        <v xml:space="preserve">*YUSYARA*( KEDUNGORI, DEMPET/ Rumah ), </v>
      </c>
      <c r="AF120" s="94" t="s">
        <v>1019</v>
      </c>
      <c r="AG120" s="81" t="s">
        <v>307</v>
      </c>
    </row>
    <row r="121" spans="1:34" ht="45" customHeight="1" x14ac:dyDescent="0.35">
      <c r="A121" s="90">
        <v>118</v>
      </c>
      <c r="B121" s="91"/>
      <c r="C121" s="92">
        <v>43994</v>
      </c>
      <c r="D121" s="91" t="s">
        <v>353</v>
      </c>
      <c r="E121" s="93" t="s">
        <v>105</v>
      </c>
      <c r="F121" s="94" t="s">
        <v>1385</v>
      </c>
      <c r="G121" s="91" t="s">
        <v>355</v>
      </c>
      <c r="H121" s="91">
        <v>60</v>
      </c>
      <c r="I121" s="91"/>
      <c r="J121" s="91"/>
      <c r="K121" s="91" t="s">
        <v>356</v>
      </c>
      <c r="L121" s="91"/>
      <c r="M121" s="91" t="s">
        <v>357</v>
      </c>
      <c r="N121" s="94" t="s">
        <v>1386</v>
      </c>
      <c r="O121" s="94" t="s">
        <v>211</v>
      </c>
      <c r="P121" s="94" t="s">
        <v>304</v>
      </c>
      <c r="Q121" s="91" t="s">
        <v>361</v>
      </c>
      <c r="R121" s="95" t="s">
        <v>369</v>
      </c>
      <c r="S121" s="91"/>
      <c r="T121" s="91" t="s">
        <v>1334</v>
      </c>
      <c r="U121" s="91"/>
      <c r="V121" s="96" t="s">
        <v>1387</v>
      </c>
      <c r="W121" s="91"/>
      <c r="X121" s="91"/>
      <c r="Y121" s="91"/>
      <c r="Z121" s="91" t="s">
        <v>1388</v>
      </c>
      <c r="AA121" s="91" t="s">
        <v>1389</v>
      </c>
      <c r="AB121" s="91"/>
      <c r="AC121" s="91"/>
      <c r="AD121" s="97" t="s">
        <v>316</v>
      </c>
      <c r="AE121" s="98" t="str">
        <f t="shared" ref="AE121:AE126" si="2">"*"&amp;F121&amp;"*"&amp;"( "&amp;O121&amp;", "&amp;P121&amp;" )"&amp;", "</f>
        <v xml:space="preserve">*JUWARSIH*( Sriwulan, SAYUNG ), </v>
      </c>
      <c r="AF121" s="94" t="s">
        <v>211</v>
      </c>
      <c r="AG121" s="81" t="s">
        <v>304</v>
      </c>
    </row>
    <row r="122" spans="1:34" ht="45" customHeight="1" x14ac:dyDescent="0.35">
      <c r="A122" s="90">
        <v>119</v>
      </c>
      <c r="B122" s="91"/>
      <c r="C122" s="92">
        <v>43994</v>
      </c>
      <c r="D122" s="91" t="s">
        <v>353</v>
      </c>
      <c r="E122" s="93" t="s">
        <v>105</v>
      </c>
      <c r="F122" s="94" t="s">
        <v>1517</v>
      </c>
      <c r="G122" s="91" t="s">
        <v>413</v>
      </c>
      <c r="H122" s="91">
        <v>70</v>
      </c>
      <c r="I122" s="91" t="s">
        <v>402</v>
      </c>
      <c r="J122" s="91"/>
      <c r="K122" s="91" t="s">
        <v>356</v>
      </c>
      <c r="L122" s="91"/>
      <c r="M122" s="91" t="s">
        <v>357</v>
      </c>
      <c r="N122" s="94" t="s">
        <v>1518</v>
      </c>
      <c r="O122" s="94" t="s">
        <v>130</v>
      </c>
      <c r="P122" s="94" t="s">
        <v>311</v>
      </c>
      <c r="Q122" s="91" t="s">
        <v>361</v>
      </c>
      <c r="R122" s="95" t="s">
        <v>1519</v>
      </c>
      <c r="S122" s="91"/>
      <c r="T122" s="91" t="s">
        <v>1354</v>
      </c>
      <c r="U122" s="91"/>
      <c r="V122" s="91"/>
      <c r="W122" s="91" t="s">
        <v>1520</v>
      </c>
      <c r="X122" s="91"/>
      <c r="Y122" s="91"/>
      <c r="Z122" s="91"/>
      <c r="AA122" s="91" t="s">
        <v>1521</v>
      </c>
      <c r="AB122" s="91"/>
      <c r="AC122" s="91" t="s">
        <v>1522</v>
      </c>
      <c r="AD122" s="97" t="s">
        <v>1481</v>
      </c>
      <c r="AE122" s="98" t="str">
        <f t="shared" si="2"/>
        <v xml:space="preserve">*SUPRIYADI*( Purworejo, BONANG ), </v>
      </c>
      <c r="AF122" s="94" t="s">
        <v>130</v>
      </c>
      <c r="AG122" s="81" t="s">
        <v>311</v>
      </c>
    </row>
    <row r="123" spans="1:34" ht="45" customHeight="1" x14ac:dyDescent="0.35">
      <c r="A123" s="90">
        <v>120</v>
      </c>
      <c r="B123" s="91"/>
      <c r="C123" s="92">
        <v>43994</v>
      </c>
      <c r="D123" s="91" t="s">
        <v>353</v>
      </c>
      <c r="E123" s="91" t="s">
        <v>105</v>
      </c>
      <c r="F123" s="94" t="s">
        <v>1888</v>
      </c>
      <c r="G123" s="91" t="s">
        <v>355</v>
      </c>
      <c r="H123" s="91">
        <v>59</v>
      </c>
      <c r="I123" s="91" t="s">
        <v>1889</v>
      </c>
      <c r="J123" s="91"/>
      <c r="K123" s="91" t="s">
        <v>356</v>
      </c>
      <c r="L123" s="91"/>
      <c r="M123" s="91" t="s">
        <v>357</v>
      </c>
      <c r="N123" s="94" t="s">
        <v>1890</v>
      </c>
      <c r="O123" s="94" t="s">
        <v>1159</v>
      </c>
      <c r="P123" s="94" t="s">
        <v>385</v>
      </c>
      <c r="Q123" s="91" t="s">
        <v>361</v>
      </c>
      <c r="R123" s="91" t="s">
        <v>644</v>
      </c>
      <c r="S123" s="91"/>
      <c r="T123" s="91" t="s">
        <v>1590</v>
      </c>
      <c r="U123" s="91"/>
      <c r="V123" s="91" t="s">
        <v>583</v>
      </c>
      <c r="W123" s="91"/>
      <c r="X123" s="91"/>
      <c r="Y123" s="91" t="s">
        <v>1891</v>
      </c>
      <c r="Z123" s="91"/>
      <c r="AA123" s="91" t="s">
        <v>1892</v>
      </c>
      <c r="AB123" s="91"/>
      <c r="AC123" s="91"/>
      <c r="AD123" s="97" t="s">
        <v>1866</v>
      </c>
      <c r="AE123" s="98" t="str">
        <f t="shared" si="2"/>
        <v xml:space="preserve">*ENDANG SRI SUMARNI*( JAMUS, MRANGGEN ), </v>
      </c>
      <c r="AF123" s="94" t="s">
        <v>1159</v>
      </c>
      <c r="AG123" s="81" t="s">
        <v>385</v>
      </c>
    </row>
    <row r="124" spans="1:34" ht="45" customHeight="1" x14ac:dyDescent="0.35">
      <c r="A124" s="90">
        <v>121</v>
      </c>
      <c r="B124" s="91"/>
      <c r="C124" s="92">
        <v>43994</v>
      </c>
      <c r="D124" s="91" t="s">
        <v>353</v>
      </c>
      <c r="E124" s="91" t="s">
        <v>105</v>
      </c>
      <c r="F124" s="94" t="s">
        <v>1893</v>
      </c>
      <c r="G124" s="91" t="s">
        <v>413</v>
      </c>
      <c r="H124" s="91">
        <v>30</v>
      </c>
      <c r="I124" s="91" t="s">
        <v>1894</v>
      </c>
      <c r="J124" s="91"/>
      <c r="K124" s="91" t="s">
        <v>356</v>
      </c>
      <c r="L124" s="91"/>
      <c r="M124" s="91" t="s">
        <v>357</v>
      </c>
      <c r="N124" s="94" t="s">
        <v>1895</v>
      </c>
      <c r="O124" s="94" t="s">
        <v>816</v>
      </c>
      <c r="P124" s="94" t="s">
        <v>301</v>
      </c>
      <c r="Q124" s="91" t="s">
        <v>361</v>
      </c>
      <c r="R124" s="91" t="s">
        <v>531</v>
      </c>
      <c r="S124" s="91"/>
      <c r="T124" s="91" t="s">
        <v>1590</v>
      </c>
      <c r="U124" s="91"/>
      <c r="V124" s="91" t="s">
        <v>593</v>
      </c>
      <c r="W124" s="91"/>
      <c r="X124" s="91"/>
      <c r="Y124" s="91" t="s">
        <v>1891</v>
      </c>
      <c r="Z124" s="91"/>
      <c r="AA124" s="91" t="s">
        <v>1896</v>
      </c>
      <c r="AB124" s="91"/>
      <c r="AC124" s="91"/>
      <c r="AD124" s="97" t="s">
        <v>1866</v>
      </c>
      <c r="AE124" s="98" t="str">
        <f t="shared" si="2"/>
        <v xml:space="preserve">*SOLIHIN*( SIDOREJO, KARANGAWEN ), </v>
      </c>
      <c r="AF124" s="94" t="s">
        <v>816</v>
      </c>
      <c r="AG124" s="81" t="s">
        <v>301</v>
      </c>
      <c r="AH124" s="103"/>
    </row>
    <row r="125" spans="1:34" ht="45" customHeight="1" x14ac:dyDescent="0.35">
      <c r="A125" s="90">
        <v>122</v>
      </c>
      <c r="B125" s="91"/>
      <c r="C125" s="92">
        <v>43994</v>
      </c>
      <c r="D125" s="91" t="s">
        <v>353</v>
      </c>
      <c r="E125" s="91" t="s">
        <v>105</v>
      </c>
      <c r="F125" s="94" t="s">
        <v>366</v>
      </c>
      <c r="G125" s="91" t="s">
        <v>355</v>
      </c>
      <c r="H125" s="91">
        <v>22</v>
      </c>
      <c r="I125" s="93" t="s">
        <v>367</v>
      </c>
      <c r="J125" s="91"/>
      <c r="K125" s="91" t="s">
        <v>356</v>
      </c>
      <c r="L125" s="91"/>
      <c r="M125" s="91" t="s">
        <v>357</v>
      </c>
      <c r="N125" s="94" t="s">
        <v>368</v>
      </c>
      <c r="O125" s="94" t="s">
        <v>74</v>
      </c>
      <c r="P125" s="94" t="s">
        <v>308</v>
      </c>
      <c r="Q125" s="91" t="s">
        <v>361</v>
      </c>
      <c r="R125" s="95" t="s">
        <v>369</v>
      </c>
      <c r="S125" s="91"/>
      <c r="T125" s="91" t="s">
        <v>370</v>
      </c>
      <c r="U125" s="91"/>
      <c r="V125" s="96" t="s">
        <v>371</v>
      </c>
      <c r="W125" s="91" t="s">
        <v>372</v>
      </c>
      <c r="X125" s="91"/>
      <c r="Y125" s="91"/>
      <c r="Z125" s="91"/>
      <c r="AA125" s="91"/>
      <c r="AB125" s="91"/>
      <c r="AC125" s="91" t="s">
        <v>373</v>
      </c>
      <c r="AD125" s="97" t="s">
        <v>365</v>
      </c>
      <c r="AE125" s="98" t="str">
        <f t="shared" si="2"/>
        <v xml:space="preserve">*ULUL KHIKMAH*( Tanjunganyar, GAJAH ), </v>
      </c>
      <c r="AF125" s="94" t="s">
        <v>74</v>
      </c>
      <c r="AG125" s="81" t="s">
        <v>308</v>
      </c>
    </row>
    <row r="126" spans="1:34" ht="45" customHeight="1" x14ac:dyDescent="0.35">
      <c r="A126" s="90">
        <v>123</v>
      </c>
      <c r="B126" s="91"/>
      <c r="C126" s="92">
        <v>43995</v>
      </c>
      <c r="D126" s="91" t="s">
        <v>353</v>
      </c>
      <c r="E126" s="91" t="s">
        <v>105</v>
      </c>
      <c r="F126" s="94" t="s">
        <v>1897</v>
      </c>
      <c r="G126" s="91"/>
      <c r="H126" s="91">
        <v>50</v>
      </c>
      <c r="I126" s="91" t="s">
        <v>1898</v>
      </c>
      <c r="J126" s="91"/>
      <c r="K126" s="91" t="s">
        <v>356</v>
      </c>
      <c r="L126" s="91"/>
      <c r="M126" s="91" t="s">
        <v>357</v>
      </c>
      <c r="N126" s="94" t="s">
        <v>1899</v>
      </c>
      <c r="O126" s="94" t="s">
        <v>304</v>
      </c>
      <c r="P126" s="94" t="s">
        <v>304</v>
      </c>
      <c r="Q126" s="91" t="s">
        <v>361</v>
      </c>
      <c r="R126" s="91" t="s">
        <v>517</v>
      </c>
      <c r="S126" s="91"/>
      <c r="T126" s="91" t="s">
        <v>897</v>
      </c>
      <c r="U126" s="91"/>
      <c r="V126" s="91" t="s">
        <v>572</v>
      </c>
      <c r="W126" s="91"/>
      <c r="X126" s="91" t="s">
        <v>1791</v>
      </c>
      <c r="Y126" s="91" t="s">
        <v>1784</v>
      </c>
      <c r="Z126" s="91" t="s">
        <v>1590</v>
      </c>
      <c r="AA126" s="91" t="s">
        <v>577</v>
      </c>
      <c r="AB126" s="91"/>
      <c r="AC126" s="91"/>
      <c r="AD126" s="97" t="s">
        <v>1866</v>
      </c>
      <c r="AE126" s="98" t="str">
        <f t="shared" si="2"/>
        <v xml:space="preserve">*ALFIATUN*( SAYUNG, SAYUNG ), </v>
      </c>
      <c r="AF126" s="94" t="s">
        <v>304</v>
      </c>
      <c r="AG126" s="81" t="s">
        <v>304</v>
      </c>
      <c r="AH126" s="103"/>
    </row>
    <row r="127" spans="1:34" ht="45" customHeight="1" x14ac:dyDescent="0.35">
      <c r="A127" s="90">
        <v>124</v>
      </c>
      <c r="B127" s="91"/>
      <c r="C127" s="92">
        <v>43995</v>
      </c>
      <c r="D127" s="91" t="s">
        <v>353</v>
      </c>
      <c r="E127" s="91" t="s">
        <v>105</v>
      </c>
      <c r="F127" s="94" t="s">
        <v>573</v>
      </c>
      <c r="G127" s="91"/>
      <c r="H127" s="91">
        <v>50</v>
      </c>
      <c r="I127" s="91" t="s">
        <v>574</v>
      </c>
      <c r="J127" s="91"/>
      <c r="K127" s="91" t="s">
        <v>356</v>
      </c>
      <c r="L127" s="91"/>
      <c r="M127" s="91" t="s">
        <v>357</v>
      </c>
      <c r="N127" s="94" t="s">
        <v>575</v>
      </c>
      <c r="O127" s="94" t="s">
        <v>305</v>
      </c>
      <c r="P127" s="94" t="s">
        <v>305</v>
      </c>
      <c r="Q127" s="91" t="s">
        <v>361</v>
      </c>
      <c r="R127" s="91" t="s">
        <v>517</v>
      </c>
      <c r="S127" s="91"/>
      <c r="T127" s="91" t="s">
        <v>576</v>
      </c>
      <c r="U127" s="91"/>
      <c r="V127" s="91" t="s">
        <v>572</v>
      </c>
      <c r="W127" s="91"/>
      <c r="X127" s="91"/>
      <c r="Y127" s="91"/>
      <c r="Z127" s="91"/>
      <c r="AA127" s="91" t="s">
        <v>577</v>
      </c>
      <c r="AB127" s="91"/>
      <c r="AC127" s="91"/>
      <c r="AD127" s="97" t="s">
        <v>521</v>
      </c>
      <c r="AE127" s="98" t="str">
        <f>"*"&amp;F127&amp;"*"&amp;"( "&amp;O127&amp;", "&amp;P127&amp;"/ "&amp;R127&amp;" )"&amp;", "</f>
        <v xml:space="preserve">*CHALIMAH*( WONOSALAM, WONOSALAM/ RSU Sultan Agung Semarang ), </v>
      </c>
      <c r="AF127" s="94" t="s">
        <v>305</v>
      </c>
      <c r="AG127" s="81" t="s">
        <v>305</v>
      </c>
    </row>
    <row r="128" spans="1:34" ht="45" customHeight="1" x14ac:dyDescent="0.35">
      <c r="A128" s="90">
        <v>125</v>
      </c>
      <c r="B128" s="91"/>
      <c r="C128" s="92">
        <v>43995</v>
      </c>
      <c r="D128" s="91" t="s">
        <v>353</v>
      </c>
      <c r="E128" s="91" t="s">
        <v>105</v>
      </c>
      <c r="F128" s="94" t="s">
        <v>578</v>
      </c>
      <c r="G128" s="91"/>
      <c r="H128" s="91">
        <v>41</v>
      </c>
      <c r="I128" s="91" t="s">
        <v>579</v>
      </c>
      <c r="J128" s="91"/>
      <c r="K128" s="91" t="s">
        <v>356</v>
      </c>
      <c r="L128" s="91"/>
      <c r="M128" s="91" t="s">
        <v>357</v>
      </c>
      <c r="N128" s="94" t="s">
        <v>580</v>
      </c>
      <c r="O128" s="94" t="s">
        <v>581</v>
      </c>
      <c r="P128" s="94" t="s">
        <v>308</v>
      </c>
      <c r="Q128" s="91" t="s">
        <v>361</v>
      </c>
      <c r="R128" s="91" t="s">
        <v>582</v>
      </c>
      <c r="S128" s="91"/>
      <c r="T128" s="91" t="s">
        <v>363</v>
      </c>
      <c r="U128" s="91"/>
      <c r="V128" s="91" t="s">
        <v>583</v>
      </c>
      <c r="W128" s="91"/>
      <c r="X128" s="91"/>
      <c r="Y128" s="91"/>
      <c r="Z128" s="91"/>
      <c r="AA128" s="91" t="s">
        <v>584</v>
      </c>
      <c r="AB128" s="91"/>
      <c r="AC128" s="91"/>
      <c r="AD128" s="97" t="s">
        <v>521</v>
      </c>
      <c r="AE128" s="98" t="str">
        <f>"*"&amp;F128&amp;"*"&amp;"( "&amp;O128&amp;", "&amp;P128&amp;"/ "&amp;R128&amp;" )"&amp;", "</f>
        <v xml:space="preserve">*JUMA'IYAH*( medini, GAJAH/ RSU Mardi Rahayu Kudus ), </v>
      </c>
      <c r="AF128" s="94" t="s">
        <v>581</v>
      </c>
      <c r="AG128" s="81" t="s">
        <v>308</v>
      </c>
    </row>
    <row r="129" spans="1:34" ht="45" customHeight="1" x14ac:dyDescent="0.35">
      <c r="A129" s="90">
        <v>126</v>
      </c>
      <c r="B129" s="91"/>
      <c r="C129" s="92">
        <v>43995</v>
      </c>
      <c r="D129" s="91" t="s">
        <v>353</v>
      </c>
      <c r="E129" s="91" t="s">
        <v>105</v>
      </c>
      <c r="F129" s="94" t="s">
        <v>1022</v>
      </c>
      <c r="G129" s="91"/>
      <c r="H129" s="91">
        <v>64</v>
      </c>
      <c r="I129" s="91" t="s">
        <v>1023</v>
      </c>
      <c r="J129" s="91"/>
      <c r="K129" s="91" t="s">
        <v>356</v>
      </c>
      <c r="L129" s="91"/>
      <c r="M129" s="91" t="s">
        <v>357</v>
      </c>
      <c r="N129" s="94" t="s">
        <v>1024</v>
      </c>
      <c r="O129" s="94" t="s">
        <v>385</v>
      </c>
      <c r="P129" s="94" t="s">
        <v>385</v>
      </c>
      <c r="Q129" s="91" t="s">
        <v>361</v>
      </c>
      <c r="R129" s="91" t="s">
        <v>517</v>
      </c>
      <c r="S129" s="91"/>
      <c r="T129" s="91" t="s">
        <v>897</v>
      </c>
      <c r="U129" s="91"/>
      <c r="V129" s="91" t="s">
        <v>651</v>
      </c>
      <c r="W129" s="91"/>
      <c r="X129" s="91"/>
      <c r="Y129" s="91"/>
      <c r="Z129" s="91"/>
      <c r="AA129" s="91" t="s">
        <v>577</v>
      </c>
      <c r="AB129" s="91"/>
      <c r="AC129" s="91"/>
      <c r="AD129" s="97" t="s">
        <v>890</v>
      </c>
      <c r="AE129" s="98" t="str">
        <f>"*"&amp;F129&amp;"*"&amp;"( "&amp;O129&amp;", "&amp;P129&amp;"/ "&amp;T129&amp;" )"&amp;", "</f>
        <v xml:space="preserve">*TEMU*( MRANGGEN, MRANGGEN/ BKPP ), </v>
      </c>
      <c r="AF129" s="94" t="s">
        <v>385</v>
      </c>
      <c r="AG129" s="81" t="s">
        <v>385</v>
      </c>
      <c r="AH129" s="103"/>
    </row>
    <row r="130" spans="1:34" ht="45" customHeight="1" x14ac:dyDescent="0.35">
      <c r="A130" s="90">
        <v>127</v>
      </c>
      <c r="B130" s="91"/>
      <c r="C130" s="92">
        <v>43995</v>
      </c>
      <c r="D130" s="91" t="s">
        <v>353</v>
      </c>
      <c r="E130" s="91" t="s">
        <v>105</v>
      </c>
      <c r="F130" s="94" t="s">
        <v>1523</v>
      </c>
      <c r="G130" s="91"/>
      <c r="H130" s="91">
        <v>48</v>
      </c>
      <c r="I130" s="91" t="s">
        <v>1524</v>
      </c>
      <c r="J130" s="91"/>
      <c r="K130" s="91" t="s">
        <v>356</v>
      </c>
      <c r="L130" s="91"/>
      <c r="M130" s="91" t="s">
        <v>357</v>
      </c>
      <c r="N130" s="94" t="s">
        <v>1525</v>
      </c>
      <c r="O130" s="94" t="s">
        <v>825</v>
      </c>
      <c r="P130" s="94" t="s">
        <v>304</v>
      </c>
      <c r="Q130" s="91" t="s">
        <v>361</v>
      </c>
      <c r="R130" s="91" t="s">
        <v>517</v>
      </c>
      <c r="S130" s="91"/>
      <c r="T130" s="91" t="s">
        <v>783</v>
      </c>
      <c r="U130" s="91"/>
      <c r="V130" s="91" t="s">
        <v>566</v>
      </c>
      <c r="W130" s="91"/>
      <c r="X130" s="91"/>
      <c r="Y130" s="91"/>
      <c r="Z130" s="91"/>
      <c r="AA130" s="91" t="s">
        <v>577</v>
      </c>
      <c r="AB130" s="91"/>
      <c r="AC130" s="91"/>
      <c r="AD130" s="97" t="s">
        <v>1481</v>
      </c>
      <c r="AE130" s="98" t="str">
        <f>"*"&amp;F130&amp;"*"&amp;"( "&amp;O130&amp;", "&amp;P130&amp;" )"&amp;", "</f>
        <v xml:space="preserve">*ABDULLAH*( PURWOSARI, SAYUNG ), </v>
      </c>
      <c r="AF130" s="94" t="s">
        <v>825</v>
      </c>
      <c r="AG130" s="81" t="s">
        <v>304</v>
      </c>
    </row>
    <row r="131" spans="1:34" ht="45" customHeight="1" x14ac:dyDescent="0.35">
      <c r="A131" s="90">
        <v>128</v>
      </c>
      <c r="B131" s="91"/>
      <c r="C131" s="92">
        <v>43995</v>
      </c>
      <c r="D131" s="91" t="s">
        <v>353</v>
      </c>
      <c r="E131" s="91" t="s">
        <v>105</v>
      </c>
      <c r="F131" s="94" t="s">
        <v>1526</v>
      </c>
      <c r="G131" s="91"/>
      <c r="H131" s="91">
        <v>48</v>
      </c>
      <c r="I131" s="91" t="s">
        <v>1527</v>
      </c>
      <c r="J131" s="91"/>
      <c r="K131" s="91" t="s">
        <v>356</v>
      </c>
      <c r="L131" s="91"/>
      <c r="M131" s="91" t="s">
        <v>357</v>
      </c>
      <c r="N131" s="94" t="s">
        <v>1528</v>
      </c>
      <c r="O131" s="94" t="s">
        <v>744</v>
      </c>
      <c r="P131" s="94" t="s">
        <v>310</v>
      </c>
      <c r="Q131" s="91" t="s">
        <v>361</v>
      </c>
      <c r="R131" s="91" t="s">
        <v>1286</v>
      </c>
      <c r="S131" s="91"/>
      <c r="T131" s="91" t="s">
        <v>783</v>
      </c>
      <c r="U131" s="91"/>
      <c r="V131" s="91" t="s">
        <v>572</v>
      </c>
      <c r="W131" s="91"/>
      <c r="X131" s="91"/>
      <c r="Y131" s="91"/>
      <c r="Z131" s="91"/>
      <c r="AA131" s="91" t="s">
        <v>833</v>
      </c>
      <c r="AB131" s="91"/>
      <c r="AC131" s="91"/>
      <c r="AD131" s="97" t="s">
        <v>1481</v>
      </c>
      <c r="AE131" s="98" t="str">
        <f>"*"&amp;F131&amp;"*"&amp;"( "&amp;O131&amp;", "&amp;P131&amp;" )"&amp;", "</f>
        <v xml:space="preserve">*SUMARNO*( BANDUNGREJO, KARANGANYAR ), </v>
      </c>
      <c r="AF131" s="94" t="s">
        <v>744</v>
      </c>
      <c r="AG131" s="81" t="s">
        <v>310</v>
      </c>
      <c r="AH131"/>
    </row>
    <row r="132" spans="1:34" ht="45" customHeight="1" x14ac:dyDescent="0.35">
      <c r="A132" s="90">
        <v>129</v>
      </c>
      <c r="B132" s="91"/>
      <c r="C132" s="92">
        <v>43995</v>
      </c>
      <c r="D132" s="91" t="s">
        <v>353</v>
      </c>
      <c r="E132" s="91" t="s">
        <v>105</v>
      </c>
      <c r="F132" s="94" t="s">
        <v>1900</v>
      </c>
      <c r="G132" s="91"/>
      <c r="H132" s="91">
        <v>64</v>
      </c>
      <c r="I132" s="91" t="s">
        <v>1901</v>
      </c>
      <c r="J132" s="91"/>
      <c r="K132" s="91" t="s">
        <v>356</v>
      </c>
      <c r="L132" s="91"/>
      <c r="M132" s="91" t="s">
        <v>357</v>
      </c>
      <c r="N132" s="94" t="s">
        <v>1902</v>
      </c>
      <c r="O132" s="94" t="s">
        <v>524</v>
      </c>
      <c r="P132" s="94" t="s">
        <v>304</v>
      </c>
      <c r="Q132" s="91" t="s">
        <v>361</v>
      </c>
      <c r="R132" s="91" t="s">
        <v>1903</v>
      </c>
      <c r="S132" s="91"/>
      <c r="T132" s="91" t="s">
        <v>363</v>
      </c>
      <c r="U132" s="91"/>
      <c r="V132" s="91" t="s">
        <v>572</v>
      </c>
      <c r="W132" s="91"/>
      <c r="X132" s="91"/>
      <c r="Y132" s="91"/>
      <c r="Z132" s="91"/>
      <c r="AA132" s="91"/>
      <c r="AB132" s="91"/>
      <c r="AC132" s="91"/>
      <c r="AD132" s="97" t="s">
        <v>1866</v>
      </c>
      <c r="AE132" s="98" t="str">
        <f>"*"&amp;F132&amp;"*"&amp;"( "&amp;O132&amp;", "&amp;P132&amp;" )"&amp;", "</f>
        <v xml:space="preserve">*NUR KHABIB,TN*( BEDONO, SAYUNG ), </v>
      </c>
      <c r="AF132" s="94" t="s">
        <v>524</v>
      </c>
      <c r="AG132" s="81" t="s">
        <v>304</v>
      </c>
    </row>
    <row r="133" spans="1:34" ht="45" customHeight="1" x14ac:dyDescent="0.35">
      <c r="A133" s="90">
        <v>130</v>
      </c>
      <c r="B133" s="91"/>
      <c r="C133" s="92">
        <v>43995</v>
      </c>
      <c r="D133" s="91" t="s">
        <v>353</v>
      </c>
      <c r="E133" s="91" t="s">
        <v>105</v>
      </c>
      <c r="F133" s="94" t="s">
        <v>585</v>
      </c>
      <c r="G133" s="91"/>
      <c r="H133" s="91">
        <v>80</v>
      </c>
      <c r="I133" s="91" t="s">
        <v>586</v>
      </c>
      <c r="J133" s="91"/>
      <c r="K133" s="91" t="s">
        <v>356</v>
      </c>
      <c r="L133" s="91"/>
      <c r="M133" s="91" t="s">
        <v>357</v>
      </c>
      <c r="N133" s="94" t="s">
        <v>587</v>
      </c>
      <c r="O133" s="94" t="s">
        <v>308</v>
      </c>
      <c r="P133" s="94" t="s">
        <v>308</v>
      </c>
      <c r="Q133" s="91" t="s">
        <v>361</v>
      </c>
      <c r="R133" s="91" t="s">
        <v>565</v>
      </c>
      <c r="S133" s="91"/>
      <c r="T133" s="91" t="s">
        <v>363</v>
      </c>
      <c r="U133" s="91"/>
      <c r="V133" s="91" t="s">
        <v>588</v>
      </c>
      <c r="W133" s="91"/>
      <c r="X133" s="91"/>
      <c r="Y133" s="91"/>
      <c r="Z133" s="91"/>
      <c r="AA133" s="91" t="s">
        <v>589</v>
      </c>
      <c r="AB133" s="91"/>
      <c r="AC133" s="91"/>
      <c r="AD133" s="97" t="s">
        <v>521</v>
      </c>
      <c r="AE133" s="98" t="str">
        <f>"*"&amp;F133&amp;"*"&amp;"( "&amp;O133&amp;", "&amp;P133&amp;"/ "&amp;R133&amp;" )"&amp;", "</f>
        <v xml:space="preserve">*SUBADI*( GAJAH, GAJAH/ RSUD Loekmono Hadi Kudus ), </v>
      </c>
      <c r="AF133" s="94" t="s">
        <v>308</v>
      </c>
      <c r="AG133" s="81" t="s">
        <v>308</v>
      </c>
      <c r="AH133"/>
    </row>
    <row r="134" spans="1:34" ht="45" customHeight="1" x14ac:dyDescent="0.35">
      <c r="A134" s="90">
        <v>131</v>
      </c>
      <c r="B134" s="91"/>
      <c r="C134" s="92">
        <v>43995</v>
      </c>
      <c r="D134" s="91" t="s">
        <v>353</v>
      </c>
      <c r="E134" s="91" t="s">
        <v>105</v>
      </c>
      <c r="F134" s="94" t="s">
        <v>1904</v>
      </c>
      <c r="G134" s="91"/>
      <c r="H134" s="91">
        <v>70</v>
      </c>
      <c r="I134" s="91" t="s">
        <v>1905</v>
      </c>
      <c r="J134" s="91"/>
      <c r="K134" s="91" t="s">
        <v>356</v>
      </c>
      <c r="L134" s="91"/>
      <c r="M134" s="91" t="s">
        <v>357</v>
      </c>
      <c r="N134" s="94" t="s">
        <v>1906</v>
      </c>
      <c r="O134" s="94" t="s">
        <v>408</v>
      </c>
      <c r="P134" s="94" t="s">
        <v>312</v>
      </c>
      <c r="Q134" s="91" t="s">
        <v>361</v>
      </c>
      <c r="R134" s="91" t="s">
        <v>695</v>
      </c>
      <c r="S134" s="91"/>
      <c r="T134" s="91" t="s">
        <v>1590</v>
      </c>
      <c r="U134" s="91"/>
      <c r="V134" s="91" t="s">
        <v>593</v>
      </c>
      <c r="W134" s="91"/>
      <c r="X134" s="91"/>
      <c r="Y134" s="91" t="s">
        <v>1907</v>
      </c>
      <c r="Z134" s="91"/>
      <c r="AA134" s="91"/>
      <c r="AB134" s="91"/>
      <c r="AC134" s="91"/>
      <c r="AD134" s="97" t="s">
        <v>1866</v>
      </c>
      <c r="AE134" s="98" t="str">
        <f>"*"&amp;F134&amp;"*"&amp;"( "&amp;O134&amp;", "&amp;P134&amp;" )"&amp;", "</f>
        <v xml:space="preserve">*TN. ABDUL ROSYID*( Kedungmutih, WEDUNG ), </v>
      </c>
      <c r="AF134" s="94" t="s">
        <v>408</v>
      </c>
      <c r="AG134" s="81" t="s">
        <v>312</v>
      </c>
    </row>
    <row r="135" spans="1:34" ht="45" customHeight="1" x14ac:dyDescent="0.35">
      <c r="A135" s="90">
        <v>132</v>
      </c>
      <c r="B135" s="91"/>
      <c r="C135" s="92">
        <v>43995</v>
      </c>
      <c r="D135" s="91" t="s">
        <v>353</v>
      </c>
      <c r="E135" s="91" t="s">
        <v>105</v>
      </c>
      <c r="F135" s="94" t="s">
        <v>1529</v>
      </c>
      <c r="G135" s="91"/>
      <c r="H135" s="91">
        <v>57</v>
      </c>
      <c r="I135" s="91" t="s">
        <v>1530</v>
      </c>
      <c r="J135" s="91"/>
      <c r="K135" s="91" t="s">
        <v>356</v>
      </c>
      <c r="L135" s="91"/>
      <c r="M135" s="91" t="s">
        <v>357</v>
      </c>
      <c r="N135" s="94" t="s">
        <v>1531</v>
      </c>
      <c r="O135" s="94" t="s">
        <v>385</v>
      </c>
      <c r="P135" s="94" t="s">
        <v>385</v>
      </c>
      <c r="Q135" s="91" t="s">
        <v>361</v>
      </c>
      <c r="R135" s="91" t="s">
        <v>531</v>
      </c>
      <c r="S135" s="91"/>
      <c r="T135" s="91" t="s">
        <v>783</v>
      </c>
      <c r="U135" s="91"/>
      <c r="V135" s="91" t="s">
        <v>593</v>
      </c>
      <c r="W135" s="91"/>
      <c r="X135" s="91"/>
      <c r="Y135" s="91"/>
      <c r="Z135" s="97" t="s">
        <v>783</v>
      </c>
      <c r="AA135" s="91" t="s">
        <v>589</v>
      </c>
      <c r="AB135" s="91"/>
      <c r="AC135" s="91"/>
      <c r="AD135" s="97" t="s">
        <v>1481</v>
      </c>
      <c r="AE135" s="98" t="str">
        <f>"*"&amp;F135&amp;"*"&amp;"( "&amp;O135&amp;", "&amp;P135&amp;" )"&amp;", "</f>
        <v xml:space="preserve">*MUSRIAH*( MRANGGEN, MRANGGEN ), </v>
      </c>
      <c r="AF135" s="94" t="s">
        <v>385</v>
      </c>
      <c r="AG135" s="81" t="s">
        <v>385</v>
      </c>
    </row>
    <row r="136" spans="1:34" ht="45" customHeight="1" x14ac:dyDescent="0.35">
      <c r="A136" s="90">
        <v>133</v>
      </c>
      <c r="B136" s="91"/>
      <c r="C136" s="92">
        <v>43995</v>
      </c>
      <c r="D136" s="91" t="s">
        <v>353</v>
      </c>
      <c r="E136" s="91" t="s">
        <v>105</v>
      </c>
      <c r="F136" s="94" t="s">
        <v>1908</v>
      </c>
      <c r="G136" s="91"/>
      <c r="H136" s="91">
        <v>43</v>
      </c>
      <c r="I136" s="91" t="s">
        <v>1909</v>
      </c>
      <c r="J136" s="91"/>
      <c r="K136" s="91" t="s">
        <v>356</v>
      </c>
      <c r="L136" s="91"/>
      <c r="M136" s="91" t="s">
        <v>357</v>
      </c>
      <c r="N136" s="94" t="s">
        <v>1910</v>
      </c>
      <c r="O136" s="94" t="s">
        <v>1911</v>
      </c>
      <c r="P136" s="94" t="s">
        <v>310</v>
      </c>
      <c r="Q136" s="91" t="s">
        <v>361</v>
      </c>
      <c r="R136" s="91" t="s">
        <v>565</v>
      </c>
      <c r="S136" s="91"/>
      <c r="T136" s="91" t="s">
        <v>1590</v>
      </c>
      <c r="U136" s="91"/>
      <c r="V136" s="91" t="s">
        <v>588</v>
      </c>
      <c r="W136" s="91"/>
      <c r="X136" s="91"/>
      <c r="Y136" s="91"/>
      <c r="Z136" s="91"/>
      <c r="AA136" s="91" t="s">
        <v>485</v>
      </c>
      <c r="AB136" s="91"/>
      <c r="AC136" s="91"/>
      <c r="AD136" s="97" t="s">
        <v>1866</v>
      </c>
      <c r="AE136" s="98" t="str">
        <f>"*"&amp;F136&amp;"*"&amp;"( "&amp;O136&amp;", "&amp;P136&amp;" )"&amp;", "</f>
        <v xml:space="preserve">*MOCH SUJADI ROIS HADI PRANOTO*( kedungwaru kidul, KARANGANYAR ), </v>
      </c>
      <c r="AF136" s="94" t="s">
        <v>1911</v>
      </c>
      <c r="AG136" s="81" t="s">
        <v>310</v>
      </c>
    </row>
    <row r="137" spans="1:34" ht="45" customHeight="1" x14ac:dyDescent="0.35">
      <c r="A137" s="90">
        <v>134</v>
      </c>
      <c r="B137" s="91"/>
      <c r="C137" s="92">
        <v>43995</v>
      </c>
      <c r="D137" s="91" t="s">
        <v>353</v>
      </c>
      <c r="E137" s="91" t="s">
        <v>105</v>
      </c>
      <c r="F137" s="94" t="s">
        <v>590</v>
      </c>
      <c r="G137" s="91"/>
      <c r="H137" s="91">
        <v>24</v>
      </c>
      <c r="I137" s="91" t="s">
        <v>591</v>
      </c>
      <c r="J137" s="91"/>
      <c r="K137" s="91" t="s">
        <v>356</v>
      </c>
      <c r="L137" s="91"/>
      <c r="M137" s="91" t="s">
        <v>357</v>
      </c>
      <c r="N137" s="94" t="s">
        <v>592</v>
      </c>
      <c r="O137" s="94" t="s">
        <v>303</v>
      </c>
      <c r="P137" s="94" t="s">
        <v>303</v>
      </c>
      <c r="Q137" s="91" t="s">
        <v>361</v>
      </c>
      <c r="R137" s="91" t="s">
        <v>531</v>
      </c>
      <c r="S137" s="91"/>
      <c r="T137" s="91" t="s">
        <v>363</v>
      </c>
      <c r="U137" s="91"/>
      <c r="V137" s="91" t="s">
        <v>593</v>
      </c>
      <c r="W137" s="91"/>
      <c r="X137" s="91"/>
      <c r="Y137" s="91"/>
      <c r="Z137" s="91"/>
      <c r="AA137" s="91" t="s">
        <v>594</v>
      </c>
      <c r="AB137" s="91"/>
      <c r="AC137" s="91"/>
      <c r="AD137" s="97" t="s">
        <v>521</v>
      </c>
      <c r="AE137" s="98" t="str">
        <f>"*"&amp;F137&amp;"*"&amp;"( "&amp;O137&amp;", "&amp;P137&amp;"/ "&amp;R137&amp;" )"&amp;", "</f>
        <v xml:space="preserve">*YULI SUGIHARTI*( GUNTUR, GUNTUR/ RSUD K.R.M.T Wongsonegoro Semarang ), </v>
      </c>
      <c r="AF137" s="94" t="s">
        <v>303</v>
      </c>
      <c r="AG137" s="81" t="s">
        <v>303</v>
      </c>
    </row>
    <row r="138" spans="1:34" ht="45" customHeight="1" x14ac:dyDescent="0.35">
      <c r="A138" s="90">
        <v>135</v>
      </c>
      <c r="B138" s="91"/>
      <c r="C138" s="92">
        <v>43995</v>
      </c>
      <c r="D138" s="91" t="s">
        <v>353</v>
      </c>
      <c r="E138" s="91" t="s">
        <v>105</v>
      </c>
      <c r="F138" s="94" t="s">
        <v>595</v>
      </c>
      <c r="G138" s="91"/>
      <c r="H138" s="91">
        <v>37</v>
      </c>
      <c r="I138" s="91" t="s">
        <v>596</v>
      </c>
      <c r="J138" s="91"/>
      <c r="K138" s="91" t="s">
        <v>570</v>
      </c>
      <c r="L138" s="91"/>
      <c r="M138" s="91" t="s">
        <v>357</v>
      </c>
      <c r="N138" s="94" t="s">
        <v>597</v>
      </c>
      <c r="O138" s="94" t="s">
        <v>598</v>
      </c>
      <c r="P138" s="94" t="s">
        <v>307</v>
      </c>
      <c r="Q138" s="91" t="s">
        <v>361</v>
      </c>
      <c r="R138" s="91" t="s">
        <v>565</v>
      </c>
      <c r="S138" s="91"/>
      <c r="T138" s="91" t="s">
        <v>363</v>
      </c>
      <c r="U138" s="91"/>
      <c r="V138" s="91" t="s">
        <v>599</v>
      </c>
      <c r="W138" s="91"/>
      <c r="X138" s="91"/>
      <c r="Y138" s="91"/>
      <c r="Z138" s="91"/>
      <c r="AA138" s="91"/>
      <c r="AB138" s="91"/>
      <c r="AC138" s="91"/>
      <c r="AD138" s="97" t="s">
        <v>521</v>
      </c>
      <c r="AE138" s="98" t="str">
        <f>"*"&amp;F138&amp;"*"&amp;"( "&amp;O138&amp;", "&amp;P138&amp;"/ "&amp;R138&amp;" )"&amp;", "</f>
        <v xml:space="preserve">*SUDARWATI*( KUWU, DEMPET/ RSUD Loekmono Hadi Kudus ), </v>
      </c>
      <c r="AF138" s="94" t="s">
        <v>598</v>
      </c>
      <c r="AG138" s="81" t="s">
        <v>307</v>
      </c>
    </row>
    <row r="139" spans="1:34" ht="45" customHeight="1" x14ac:dyDescent="0.35">
      <c r="A139" s="90">
        <v>136</v>
      </c>
      <c r="B139" s="91"/>
      <c r="C139" s="92">
        <v>43995</v>
      </c>
      <c r="D139" s="91" t="s">
        <v>353</v>
      </c>
      <c r="E139" s="91" t="s">
        <v>105</v>
      </c>
      <c r="F139" s="94" t="s">
        <v>1390</v>
      </c>
      <c r="G139" s="91"/>
      <c r="H139" s="91">
        <v>70</v>
      </c>
      <c r="I139" s="91" t="s">
        <v>1391</v>
      </c>
      <c r="J139" s="91"/>
      <c r="K139" s="91" t="s">
        <v>356</v>
      </c>
      <c r="L139" s="91"/>
      <c r="M139" s="91" t="s">
        <v>357</v>
      </c>
      <c r="N139" s="94" t="s">
        <v>1392</v>
      </c>
      <c r="O139" s="94" t="s">
        <v>45</v>
      </c>
      <c r="P139" s="94" t="s">
        <v>305</v>
      </c>
      <c r="Q139" s="91" t="s">
        <v>361</v>
      </c>
      <c r="R139" s="91" t="s">
        <v>473</v>
      </c>
      <c r="S139" s="91"/>
      <c r="T139" s="91" t="s">
        <v>783</v>
      </c>
      <c r="U139" s="91"/>
      <c r="V139" s="91" t="s">
        <v>566</v>
      </c>
      <c r="W139" s="91"/>
      <c r="X139" s="91"/>
      <c r="Y139" s="91"/>
      <c r="Z139" s="91"/>
      <c r="AA139" s="91" t="s">
        <v>485</v>
      </c>
      <c r="AB139" s="91"/>
      <c r="AC139" s="91"/>
      <c r="AD139" s="97" t="s">
        <v>316</v>
      </c>
      <c r="AE139" s="98" t="str">
        <f>"*"&amp;F139&amp;"*"&amp;"( "&amp;O139&amp;", "&amp;P139&amp;" )"&amp;", "</f>
        <v xml:space="preserve">*SUPENO*( Pilangrejo, WONOSALAM ), </v>
      </c>
      <c r="AF139" s="94" t="s">
        <v>45</v>
      </c>
      <c r="AG139" s="81" t="s">
        <v>305</v>
      </c>
    </row>
    <row r="140" spans="1:34" ht="45" customHeight="1" x14ac:dyDescent="0.35">
      <c r="A140" s="90">
        <v>137</v>
      </c>
      <c r="B140" s="91"/>
      <c r="C140" s="92">
        <v>43995</v>
      </c>
      <c r="D140" s="91" t="s">
        <v>353</v>
      </c>
      <c r="E140" s="91" t="s">
        <v>105</v>
      </c>
      <c r="F140" s="94" t="s">
        <v>1393</v>
      </c>
      <c r="G140" s="91"/>
      <c r="H140" s="91">
        <v>51</v>
      </c>
      <c r="I140" s="91" t="s">
        <v>1394</v>
      </c>
      <c r="J140" s="91"/>
      <c r="K140" s="91" t="s">
        <v>356</v>
      </c>
      <c r="L140" s="91"/>
      <c r="M140" s="91" t="s">
        <v>357</v>
      </c>
      <c r="N140" s="94" t="s">
        <v>1395</v>
      </c>
      <c r="O140" s="94" t="s">
        <v>31</v>
      </c>
      <c r="P140" s="94" t="s">
        <v>0</v>
      </c>
      <c r="Q140" s="91" t="s">
        <v>361</v>
      </c>
      <c r="R140" s="91" t="s">
        <v>473</v>
      </c>
      <c r="S140" s="91"/>
      <c r="T140" s="91" t="s">
        <v>783</v>
      </c>
      <c r="U140" s="91"/>
      <c r="V140" s="91" t="s">
        <v>572</v>
      </c>
      <c r="W140" s="91"/>
      <c r="X140" s="91"/>
      <c r="Y140" s="91"/>
      <c r="Z140" s="91"/>
      <c r="AA140" s="91" t="s">
        <v>485</v>
      </c>
      <c r="AB140" s="91"/>
      <c r="AC140" s="91"/>
      <c r="AD140" s="97" t="s">
        <v>316</v>
      </c>
      <c r="AE140" s="98" t="str">
        <f>"*"&amp;F140&amp;"*"&amp;"( "&amp;O140&amp;", "&amp;P140&amp;" )"&amp;", "</f>
        <v xml:space="preserve">*SULKHAN*( Batu, KARANGTENGAH ), </v>
      </c>
      <c r="AF140" s="94" t="s">
        <v>31</v>
      </c>
      <c r="AG140" s="81" t="s">
        <v>0</v>
      </c>
    </row>
    <row r="141" spans="1:34" ht="45" customHeight="1" x14ac:dyDescent="0.35">
      <c r="A141" s="90">
        <v>138</v>
      </c>
      <c r="B141" s="91"/>
      <c r="C141" s="92">
        <v>43995</v>
      </c>
      <c r="D141" s="91" t="s">
        <v>353</v>
      </c>
      <c r="E141" s="91" t="s">
        <v>105</v>
      </c>
      <c r="F141" s="94" t="s">
        <v>1396</v>
      </c>
      <c r="G141" s="91"/>
      <c r="H141" s="91">
        <v>41</v>
      </c>
      <c r="I141" s="91"/>
      <c r="J141" s="91"/>
      <c r="K141" s="91" t="s">
        <v>356</v>
      </c>
      <c r="L141" s="91"/>
      <c r="M141" s="91" t="s">
        <v>357</v>
      </c>
      <c r="N141" s="94" t="s">
        <v>1397</v>
      </c>
      <c r="O141" s="94" t="s">
        <v>1398</v>
      </c>
      <c r="P141" s="94" t="s">
        <v>302</v>
      </c>
      <c r="Q141" s="91" t="s">
        <v>361</v>
      </c>
      <c r="R141" s="91" t="s">
        <v>473</v>
      </c>
      <c r="S141" s="91"/>
      <c r="T141" s="91" t="s">
        <v>783</v>
      </c>
      <c r="U141" s="91"/>
      <c r="V141" s="96" t="s">
        <v>1399</v>
      </c>
      <c r="W141" s="91"/>
      <c r="X141" s="91"/>
      <c r="Y141" s="91"/>
      <c r="Z141" s="91"/>
      <c r="AA141" s="91" t="s">
        <v>1400</v>
      </c>
      <c r="AB141" s="91"/>
      <c r="AC141" s="91"/>
      <c r="AD141" s="97" t="s">
        <v>316</v>
      </c>
      <c r="AE141" s="98" t="str">
        <f>"*"&amp;F141&amp;"*"&amp;"( "&amp;O141&amp;", "&amp;P141&amp;" )"&amp;", "</f>
        <v xml:space="preserve">*YUNI WURYANINGSIH*( KARANGMLATI, DEMAK ), </v>
      </c>
      <c r="AF141" s="94" t="s">
        <v>1398</v>
      </c>
      <c r="AG141" s="81" t="s">
        <v>302</v>
      </c>
    </row>
    <row r="142" spans="1:34" ht="45" customHeight="1" x14ac:dyDescent="0.35">
      <c r="A142" s="90">
        <v>139</v>
      </c>
      <c r="B142" s="91"/>
      <c r="C142" s="92">
        <v>43995</v>
      </c>
      <c r="D142" s="91" t="s">
        <v>353</v>
      </c>
      <c r="E142" s="91" t="s">
        <v>105</v>
      </c>
      <c r="F142" s="94" t="s">
        <v>1401</v>
      </c>
      <c r="G142" s="91"/>
      <c r="H142" s="91">
        <v>68</v>
      </c>
      <c r="I142" s="91" t="s">
        <v>1402</v>
      </c>
      <c r="J142" s="91"/>
      <c r="K142" s="91" t="s">
        <v>356</v>
      </c>
      <c r="L142" s="91"/>
      <c r="M142" s="91" t="s">
        <v>357</v>
      </c>
      <c r="N142" s="94" t="s">
        <v>1403</v>
      </c>
      <c r="O142" s="94" t="s">
        <v>1131</v>
      </c>
      <c r="P142" s="94" t="s">
        <v>0</v>
      </c>
      <c r="Q142" s="91" t="s">
        <v>361</v>
      </c>
      <c r="R142" s="91" t="s">
        <v>473</v>
      </c>
      <c r="S142" s="91"/>
      <c r="T142" s="91" t="s">
        <v>783</v>
      </c>
      <c r="U142" s="91"/>
      <c r="V142" s="91" t="s">
        <v>1404</v>
      </c>
      <c r="W142" s="91"/>
      <c r="X142" s="91"/>
      <c r="Y142" s="91"/>
      <c r="Z142" s="91"/>
      <c r="AA142" s="136" t="s">
        <v>1405</v>
      </c>
      <c r="AB142" s="91"/>
      <c r="AC142" s="91"/>
      <c r="AD142" s="97" t="s">
        <v>316</v>
      </c>
      <c r="AE142" s="98" t="str">
        <f>"*"&amp;F142&amp;"*"&amp;"( "&amp;O142&amp;", "&amp;P142&amp;" )"&amp;", "</f>
        <v xml:space="preserve">*ASMUI SULAIMAN*( TAMBAKBULUSAN, KARANGTENGAH ), </v>
      </c>
      <c r="AF142" s="94" t="s">
        <v>1131</v>
      </c>
      <c r="AG142" s="81" t="s">
        <v>0</v>
      </c>
      <c r="AH142" s="77"/>
    </row>
    <row r="143" spans="1:34" s="138" customFormat="1" ht="45" customHeight="1" x14ac:dyDescent="0.35">
      <c r="A143" s="90">
        <v>140</v>
      </c>
      <c r="B143" s="91"/>
      <c r="C143" s="92">
        <v>43995</v>
      </c>
      <c r="D143" s="91" t="s">
        <v>353</v>
      </c>
      <c r="E143" s="91" t="s">
        <v>105</v>
      </c>
      <c r="F143" s="94" t="s">
        <v>1088</v>
      </c>
      <c r="G143" s="91"/>
      <c r="H143" s="91">
        <v>52</v>
      </c>
      <c r="I143" s="91">
        <v>81231623110</v>
      </c>
      <c r="J143" s="91"/>
      <c r="K143" s="91" t="s">
        <v>356</v>
      </c>
      <c r="L143" s="91"/>
      <c r="M143" s="91" t="s">
        <v>357</v>
      </c>
      <c r="N143" s="94" t="s">
        <v>1406</v>
      </c>
      <c r="O143" s="94" t="s">
        <v>1407</v>
      </c>
      <c r="P143" s="94" t="s">
        <v>311</v>
      </c>
      <c r="Q143" s="91" t="s">
        <v>361</v>
      </c>
      <c r="R143" s="91" t="s">
        <v>473</v>
      </c>
      <c r="S143" s="91"/>
      <c r="T143" s="91" t="s">
        <v>783</v>
      </c>
      <c r="U143" s="91"/>
      <c r="V143" s="95" t="s">
        <v>1408</v>
      </c>
      <c r="W143" s="91"/>
      <c r="X143" s="91"/>
      <c r="Y143" s="91"/>
      <c r="Z143" s="91"/>
      <c r="AA143" s="91" t="s">
        <v>394</v>
      </c>
      <c r="AB143" s="91"/>
      <c r="AC143" s="91" t="s">
        <v>381</v>
      </c>
      <c r="AD143" s="97" t="s">
        <v>316</v>
      </c>
      <c r="AE143" s="98" t="str">
        <f>"*"&amp;F143&amp;"*"&amp;"( "&amp;O143&amp;", "&amp;P143&amp;" )"&amp;", "</f>
        <v xml:space="preserve">*SITI AMINAH*( morodemak, BONANG ), </v>
      </c>
      <c r="AF143" s="94" t="s">
        <v>1407</v>
      </c>
      <c r="AG143" s="81" t="s">
        <v>311</v>
      </c>
    </row>
    <row r="144" spans="1:34" ht="45" customHeight="1" x14ac:dyDescent="0.35">
      <c r="A144" s="90">
        <v>141</v>
      </c>
      <c r="B144" s="107">
        <v>44009</v>
      </c>
      <c r="C144" s="92">
        <v>43995</v>
      </c>
      <c r="D144" s="91" t="s">
        <v>353</v>
      </c>
      <c r="E144" s="91" t="s">
        <v>105</v>
      </c>
      <c r="F144" s="94" t="s">
        <v>797</v>
      </c>
      <c r="G144" s="91"/>
      <c r="H144" s="91">
        <v>61</v>
      </c>
      <c r="I144" s="91" t="s">
        <v>1025</v>
      </c>
      <c r="J144" s="91"/>
      <c r="K144" s="91" t="s">
        <v>356</v>
      </c>
      <c r="L144" s="91"/>
      <c r="M144" s="91" t="s">
        <v>357</v>
      </c>
      <c r="N144" s="94" t="s">
        <v>1026</v>
      </c>
      <c r="O144" s="94" t="s">
        <v>511</v>
      </c>
      <c r="P144" s="94" t="s">
        <v>307</v>
      </c>
      <c r="Q144" s="91" t="s">
        <v>361</v>
      </c>
      <c r="R144" s="95" t="s">
        <v>369</v>
      </c>
      <c r="S144" s="91"/>
      <c r="T144" s="91" t="s">
        <v>885</v>
      </c>
      <c r="U144" s="91"/>
      <c r="V144" s="96" t="s">
        <v>1027</v>
      </c>
      <c r="W144" s="91"/>
      <c r="X144" s="91"/>
      <c r="Y144" s="91"/>
      <c r="Z144" s="91"/>
      <c r="AA144" s="91" t="s">
        <v>1028</v>
      </c>
      <c r="AB144" s="91"/>
      <c r="AC144" s="91" t="s">
        <v>381</v>
      </c>
      <c r="AD144" s="137" t="s">
        <v>890</v>
      </c>
      <c r="AE144" s="98" t="str">
        <f>"*"&amp;F144&amp;"*"&amp;"( "&amp;O144&amp;", "&amp;P144&amp;"/ "&amp;T144&amp;" )"&amp;", "</f>
        <v xml:space="preserve">*SABAR*( KRAMAT, DEMPET/ Rumah ), </v>
      </c>
      <c r="AF144" s="94" t="s">
        <v>511</v>
      </c>
      <c r="AG144" s="81" t="s">
        <v>307</v>
      </c>
    </row>
    <row r="145" spans="1:34" ht="25.5" customHeight="1" x14ac:dyDescent="0.35">
      <c r="A145" s="90">
        <v>142</v>
      </c>
      <c r="B145" s="107">
        <v>44009</v>
      </c>
      <c r="C145" s="92">
        <v>43995</v>
      </c>
      <c r="D145" s="91" t="s">
        <v>353</v>
      </c>
      <c r="E145" s="91" t="s">
        <v>105</v>
      </c>
      <c r="F145" s="94" t="s">
        <v>1029</v>
      </c>
      <c r="G145" s="91"/>
      <c r="H145" s="91">
        <v>44</v>
      </c>
      <c r="I145" s="91" t="s">
        <v>1030</v>
      </c>
      <c r="J145" s="91"/>
      <c r="K145" s="91" t="s">
        <v>356</v>
      </c>
      <c r="L145" s="91"/>
      <c r="M145" s="91" t="s">
        <v>357</v>
      </c>
      <c r="N145" s="94" t="s">
        <v>1031</v>
      </c>
      <c r="O145" s="94" t="s">
        <v>1032</v>
      </c>
      <c r="P145" s="94" t="s">
        <v>308</v>
      </c>
      <c r="Q145" s="91" t="s">
        <v>361</v>
      </c>
      <c r="R145" s="95" t="s">
        <v>369</v>
      </c>
      <c r="S145" s="91"/>
      <c r="T145" s="91" t="s">
        <v>885</v>
      </c>
      <c r="U145" s="91"/>
      <c r="V145" s="91" t="s">
        <v>1027</v>
      </c>
      <c r="W145" s="91"/>
      <c r="X145" s="91"/>
      <c r="Y145" s="91"/>
      <c r="Z145" s="91"/>
      <c r="AA145" s="91" t="s">
        <v>1033</v>
      </c>
      <c r="AB145" s="91"/>
      <c r="AC145" s="91" t="s">
        <v>381</v>
      </c>
      <c r="AD145" s="137" t="s">
        <v>890</v>
      </c>
      <c r="AE145" s="98" t="str">
        <f>"*"&amp;F145&amp;"*"&amp;"( "&amp;O145&amp;", "&amp;P145&amp;"/ "&amp;T145&amp;" )"&amp;", "</f>
        <v xml:space="preserve">*SUKAROH WARNI*( TLOGOPANDOGAN, GAJAH/ Rumah ), </v>
      </c>
      <c r="AF145" s="94" t="s">
        <v>1032</v>
      </c>
      <c r="AG145" s="81" t="s">
        <v>308</v>
      </c>
    </row>
    <row r="146" spans="1:34" ht="25.5" customHeight="1" x14ac:dyDescent="0.35">
      <c r="A146" s="90">
        <v>143</v>
      </c>
      <c r="B146" s="91"/>
      <c r="C146" s="92">
        <v>43995</v>
      </c>
      <c r="D146" s="91" t="s">
        <v>353</v>
      </c>
      <c r="E146" s="91" t="s">
        <v>105</v>
      </c>
      <c r="F146" s="94" t="s">
        <v>1409</v>
      </c>
      <c r="G146" s="91"/>
      <c r="H146" s="91">
        <v>55</v>
      </c>
      <c r="I146" s="91" t="s">
        <v>402</v>
      </c>
      <c r="J146" s="91"/>
      <c r="K146" s="91" t="s">
        <v>356</v>
      </c>
      <c r="L146" s="91"/>
      <c r="M146" s="91" t="s">
        <v>357</v>
      </c>
      <c r="N146" s="94" t="s">
        <v>1410</v>
      </c>
      <c r="O146" s="94" t="s">
        <v>961</v>
      </c>
      <c r="P146" s="94" t="s">
        <v>304</v>
      </c>
      <c r="Q146" s="91" t="s">
        <v>361</v>
      </c>
      <c r="R146" s="95" t="s">
        <v>369</v>
      </c>
      <c r="S146" s="91"/>
      <c r="T146" s="91" t="s">
        <v>1367</v>
      </c>
      <c r="U146" s="91"/>
      <c r="V146" s="95" t="s">
        <v>1411</v>
      </c>
      <c r="W146" s="91"/>
      <c r="X146" s="91"/>
      <c r="Y146" s="91"/>
      <c r="Z146" s="91" t="s">
        <v>1412</v>
      </c>
      <c r="AA146" s="91" t="s">
        <v>1413</v>
      </c>
      <c r="AB146" s="91"/>
      <c r="AC146" s="91" t="s">
        <v>381</v>
      </c>
      <c r="AD146" s="97" t="s">
        <v>316</v>
      </c>
      <c r="AE146" s="98" t="str">
        <f t="shared" ref="AE146:AE152" si="3">"*"&amp;F146&amp;"*"&amp;"( "&amp;O146&amp;", "&amp;P146&amp;" )"&amp;", "</f>
        <v xml:space="preserve">*WARNI*( KALISARI, SAYUNG ), </v>
      </c>
      <c r="AF146" s="94" t="s">
        <v>961</v>
      </c>
      <c r="AG146" s="81" t="s">
        <v>304</v>
      </c>
    </row>
    <row r="147" spans="1:34" ht="45" customHeight="1" x14ac:dyDescent="0.35">
      <c r="A147" s="90">
        <v>144</v>
      </c>
      <c r="B147" s="91"/>
      <c r="C147" s="92">
        <v>43995</v>
      </c>
      <c r="D147" s="91" t="s">
        <v>353</v>
      </c>
      <c r="E147" s="91" t="s">
        <v>105</v>
      </c>
      <c r="F147" s="94" t="s">
        <v>374</v>
      </c>
      <c r="G147" s="91"/>
      <c r="H147" s="91">
        <v>65</v>
      </c>
      <c r="I147" s="91" t="s">
        <v>375</v>
      </c>
      <c r="J147" s="91"/>
      <c r="K147" s="91" t="s">
        <v>356</v>
      </c>
      <c r="L147" s="91"/>
      <c r="M147" s="91" t="s">
        <v>357</v>
      </c>
      <c r="N147" s="94" t="s">
        <v>376</v>
      </c>
      <c r="O147" s="94" t="s">
        <v>377</v>
      </c>
      <c r="P147" s="94" t="s">
        <v>304</v>
      </c>
      <c r="Q147" s="91" t="s">
        <v>361</v>
      </c>
      <c r="R147" s="95" t="s">
        <v>369</v>
      </c>
      <c r="S147" s="91"/>
      <c r="T147" s="91" t="s">
        <v>378</v>
      </c>
      <c r="U147" s="91"/>
      <c r="V147" s="96" t="s">
        <v>379</v>
      </c>
      <c r="W147" s="91"/>
      <c r="X147" s="91"/>
      <c r="Y147" s="91"/>
      <c r="Z147" s="91"/>
      <c r="AA147" s="91" t="s">
        <v>380</v>
      </c>
      <c r="AB147" s="91"/>
      <c r="AC147" s="91" t="s">
        <v>381</v>
      </c>
      <c r="AD147" s="97" t="s">
        <v>365</v>
      </c>
      <c r="AE147" s="98" t="str">
        <f t="shared" si="3"/>
        <v xml:space="preserve">*MAS'UT*( bulusari, SAYUNG ), </v>
      </c>
      <c r="AF147" s="94" t="s">
        <v>377</v>
      </c>
      <c r="AG147" s="81" t="s">
        <v>304</v>
      </c>
    </row>
    <row r="148" spans="1:34" ht="45" customHeight="1" x14ac:dyDescent="0.35">
      <c r="A148" s="90">
        <v>145</v>
      </c>
      <c r="B148" s="91"/>
      <c r="C148" s="92">
        <v>43995</v>
      </c>
      <c r="D148" s="91" t="s">
        <v>353</v>
      </c>
      <c r="E148" s="91" t="s">
        <v>105</v>
      </c>
      <c r="F148" s="94" t="s">
        <v>382</v>
      </c>
      <c r="G148" s="91"/>
      <c r="H148" s="91">
        <v>50</v>
      </c>
      <c r="I148" s="91" t="s">
        <v>383</v>
      </c>
      <c r="J148" s="91"/>
      <c r="K148" s="91" t="s">
        <v>356</v>
      </c>
      <c r="L148" s="91"/>
      <c r="M148" s="91" t="s">
        <v>357</v>
      </c>
      <c r="N148" s="94" t="s">
        <v>384</v>
      </c>
      <c r="O148" s="94" t="s">
        <v>4</v>
      </c>
      <c r="P148" s="94" t="s">
        <v>385</v>
      </c>
      <c r="Q148" s="91" t="s">
        <v>361</v>
      </c>
      <c r="R148" s="95" t="s">
        <v>369</v>
      </c>
      <c r="S148" s="91"/>
      <c r="T148" s="91" t="s">
        <v>378</v>
      </c>
      <c r="U148" s="91"/>
      <c r="V148" s="96" t="s">
        <v>379</v>
      </c>
      <c r="W148" s="91"/>
      <c r="X148" s="91"/>
      <c r="Y148" s="91"/>
      <c r="Z148" s="91"/>
      <c r="AA148" s="91" t="s">
        <v>386</v>
      </c>
      <c r="AB148" s="91"/>
      <c r="AC148" s="91" t="s">
        <v>381</v>
      </c>
      <c r="AD148" s="97" t="s">
        <v>365</v>
      </c>
      <c r="AE148" s="98" t="str">
        <f t="shared" si="3"/>
        <v xml:space="preserve">*MARYAMAH*( Mranggen, MRANGGEN ), </v>
      </c>
      <c r="AF148" s="94" t="s">
        <v>4</v>
      </c>
      <c r="AG148" s="81" t="s">
        <v>385</v>
      </c>
    </row>
    <row r="149" spans="1:34" ht="45" customHeight="1" x14ac:dyDescent="0.35">
      <c r="A149" s="90">
        <v>146</v>
      </c>
      <c r="B149" s="91"/>
      <c r="C149" s="92">
        <v>43995</v>
      </c>
      <c r="D149" s="91" t="s">
        <v>353</v>
      </c>
      <c r="E149" s="91" t="s">
        <v>105</v>
      </c>
      <c r="F149" s="94" t="s">
        <v>387</v>
      </c>
      <c r="G149" s="91"/>
      <c r="H149" s="91">
        <v>34</v>
      </c>
      <c r="I149" s="91" t="s">
        <v>388</v>
      </c>
      <c r="J149" s="91"/>
      <c r="K149" s="91" t="s">
        <v>356</v>
      </c>
      <c r="L149" s="91"/>
      <c r="M149" s="91" t="s">
        <v>357</v>
      </c>
      <c r="N149" s="94" t="s">
        <v>389</v>
      </c>
      <c r="O149" s="94" t="s">
        <v>226</v>
      </c>
      <c r="P149" s="94" t="s">
        <v>312</v>
      </c>
      <c r="Q149" s="91" t="s">
        <v>361</v>
      </c>
      <c r="R149" s="95" t="s">
        <v>369</v>
      </c>
      <c r="S149" s="91"/>
      <c r="T149" s="91" t="s">
        <v>378</v>
      </c>
      <c r="U149" s="91"/>
      <c r="V149" s="96" t="s">
        <v>379</v>
      </c>
      <c r="W149" s="91"/>
      <c r="X149" s="91"/>
      <c r="Y149" s="91"/>
      <c r="Z149" s="91"/>
      <c r="AA149" s="91" t="s">
        <v>390</v>
      </c>
      <c r="AB149" s="91"/>
      <c r="AC149" s="91" t="s">
        <v>381</v>
      </c>
      <c r="AD149" s="97" t="s">
        <v>365</v>
      </c>
      <c r="AE149" s="98" t="str">
        <f t="shared" si="3"/>
        <v xml:space="preserve">*SHOLEKAH*( Wedung, WEDUNG ), </v>
      </c>
      <c r="AF149" s="94" t="s">
        <v>226</v>
      </c>
      <c r="AG149" s="81" t="s">
        <v>312</v>
      </c>
    </row>
    <row r="150" spans="1:34" ht="45" customHeight="1" x14ac:dyDescent="0.35">
      <c r="A150" s="90">
        <v>147</v>
      </c>
      <c r="B150" s="91"/>
      <c r="C150" s="92">
        <v>43995</v>
      </c>
      <c r="D150" s="91" t="s">
        <v>353</v>
      </c>
      <c r="E150" s="91" t="s">
        <v>105</v>
      </c>
      <c r="F150" s="94" t="s">
        <v>391</v>
      </c>
      <c r="G150" s="91"/>
      <c r="H150" s="91">
        <v>34</v>
      </c>
      <c r="I150" s="91">
        <v>85225598483</v>
      </c>
      <c r="J150" s="91"/>
      <c r="K150" s="91" t="s">
        <v>356</v>
      </c>
      <c r="L150" s="91"/>
      <c r="M150" s="91" t="s">
        <v>357</v>
      </c>
      <c r="N150" s="94" t="s">
        <v>392</v>
      </c>
      <c r="O150" s="94" t="s">
        <v>255</v>
      </c>
      <c r="P150" s="94" t="s">
        <v>0</v>
      </c>
      <c r="Q150" s="91" t="s">
        <v>361</v>
      </c>
      <c r="R150" s="95" t="s">
        <v>369</v>
      </c>
      <c r="S150" s="91"/>
      <c r="T150" s="91" t="s">
        <v>378</v>
      </c>
      <c r="U150" s="91"/>
      <c r="V150" s="95" t="s">
        <v>393</v>
      </c>
      <c r="W150" s="91"/>
      <c r="X150" s="91"/>
      <c r="Y150" s="91"/>
      <c r="Z150" s="91"/>
      <c r="AA150" s="91" t="s">
        <v>394</v>
      </c>
      <c r="AB150" s="91"/>
      <c r="AC150" s="91" t="s">
        <v>381</v>
      </c>
      <c r="AD150" s="97" t="s">
        <v>365</v>
      </c>
      <c r="AE150" s="98" t="str">
        <f t="shared" si="3"/>
        <v xml:space="preserve">*SULASMI*( Karangsari, KARANGTENGAH ), </v>
      </c>
      <c r="AF150" s="94" t="s">
        <v>255</v>
      </c>
      <c r="AG150" s="81" t="s">
        <v>0</v>
      </c>
    </row>
    <row r="151" spans="1:34" ht="45" customHeight="1" x14ac:dyDescent="0.35">
      <c r="A151" s="90">
        <v>148</v>
      </c>
      <c r="B151" s="91"/>
      <c r="C151" s="92">
        <v>43995</v>
      </c>
      <c r="D151" s="91" t="s">
        <v>353</v>
      </c>
      <c r="E151" s="91" t="s">
        <v>105</v>
      </c>
      <c r="F151" s="94" t="s">
        <v>395</v>
      </c>
      <c r="G151" s="91"/>
      <c r="H151" s="91">
        <v>63</v>
      </c>
      <c r="I151" s="91">
        <v>89643338770</v>
      </c>
      <c r="J151" s="91"/>
      <c r="K151" s="91" t="s">
        <v>356</v>
      </c>
      <c r="L151" s="91"/>
      <c r="M151" s="91" t="s">
        <v>357</v>
      </c>
      <c r="N151" s="94" t="s">
        <v>396</v>
      </c>
      <c r="O151" s="94" t="s">
        <v>308</v>
      </c>
      <c r="P151" s="94" t="s">
        <v>308</v>
      </c>
      <c r="Q151" s="91" t="s">
        <v>361</v>
      </c>
      <c r="R151" s="95" t="s">
        <v>369</v>
      </c>
      <c r="S151" s="91"/>
      <c r="T151" s="91" t="s">
        <v>378</v>
      </c>
      <c r="U151" s="91"/>
      <c r="V151" s="95" t="s">
        <v>393</v>
      </c>
      <c r="W151" s="91"/>
      <c r="X151" s="91"/>
      <c r="Y151" s="91"/>
      <c r="Z151" s="91"/>
      <c r="AA151" s="91" t="s">
        <v>394</v>
      </c>
      <c r="AB151" s="91"/>
      <c r="AC151" s="91" t="s">
        <v>381</v>
      </c>
      <c r="AD151" s="97" t="s">
        <v>365</v>
      </c>
      <c r="AE151" s="98" t="str">
        <f t="shared" si="3"/>
        <v xml:space="preserve">*SITI AMINI*( GAJAH, GAJAH ), </v>
      </c>
      <c r="AF151" s="94" t="s">
        <v>308</v>
      </c>
      <c r="AG151" s="81" t="s">
        <v>308</v>
      </c>
    </row>
    <row r="152" spans="1:34" ht="45" customHeight="1" x14ac:dyDescent="0.35">
      <c r="A152" s="90">
        <v>149</v>
      </c>
      <c r="B152" s="91"/>
      <c r="C152" s="92">
        <v>43995</v>
      </c>
      <c r="D152" s="91" t="s">
        <v>353</v>
      </c>
      <c r="E152" s="91" t="s">
        <v>105</v>
      </c>
      <c r="F152" s="94" t="s">
        <v>397</v>
      </c>
      <c r="G152" s="91"/>
      <c r="H152" s="91">
        <v>31</v>
      </c>
      <c r="I152" s="91"/>
      <c r="J152" s="91"/>
      <c r="K152" s="91" t="s">
        <v>356</v>
      </c>
      <c r="L152" s="91"/>
      <c r="M152" s="91" t="s">
        <v>357</v>
      </c>
      <c r="N152" s="94" t="s">
        <v>398</v>
      </c>
      <c r="O152" s="94" t="s">
        <v>25</v>
      </c>
      <c r="P152" s="94" t="s">
        <v>0</v>
      </c>
      <c r="Q152" s="91" t="s">
        <v>361</v>
      </c>
      <c r="R152" s="95" t="s">
        <v>369</v>
      </c>
      <c r="S152" s="91"/>
      <c r="T152" s="91" t="s">
        <v>378</v>
      </c>
      <c r="U152" s="91"/>
      <c r="V152" s="95" t="s">
        <v>399</v>
      </c>
      <c r="W152" s="91"/>
      <c r="X152" s="91"/>
      <c r="Y152" s="91"/>
      <c r="Z152" s="91"/>
      <c r="AA152" s="91" t="s">
        <v>400</v>
      </c>
      <c r="AB152" s="91"/>
      <c r="AC152" s="91" t="s">
        <v>381</v>
      </c>
      <c r="AD152" s="97" t="s">
        <v>365</v>
      </c>
      <c r="AE152" s="98" t="str">
        <f t="shared" si="3"/>
        <v xml:space="preserve">*EMI SURYANTI*( Wonowoso, KARANGTENGAH ), </v>
      </c>
      <c r="AF152" s="94" t="s">
        <v>25</v>
      </c>
      <c r="AG152" s="81" t="s">
        <v>0</v>
      </c>
    </row>
    <row r="153" spans="1:34" ht="45" customHeight="1" x14ac:dyDescent="0.35">
      <c r="A153" s="90">
        <v>150</v>
      </c>
      <c r="B153" s="91"/>
      <c r="C153" s="92">
        <v>43995</v>
      </c>
      <c r="D153" s="91" t="s">
        <v>353</v>
      </c>
      <c r="E153" s="91" t="s">
        <v>105</v>
      </c>
      <c r="F153" s="94" t="s">
        <v>1034</v>
      </c>
      <c r="G153" s="91"/>
      <c r="H153" s="91">
        <v>29</v>
      </c>
      <c r="I153" s="91" t="s">
        <v>1035</v>
      </c>
      <c r="J153" s="91"/>
      <c r="K153" s="91" t="s">
        <v>356</v>
      </c>
      <c r="L153" s="91"/>
      <c r="M153" s="91" t="s">
        <v>357</v>
      </c>
      <c r="N153" s="94" t="s">
        <v>1036</v>
      </c>
      <c r="O153" s="94" t="s">
        <v>987</v>
      </c>
      <c r="P153" s="94" t="s">
        <v>308</v>
      </c>
      <c r="Q153" s="91" t="s">
        <v>361</v>
      </c>
      <c r="R153" s="91" t="s">
        <v>473</v>
      </c>
      <c r="S153" s="91"/>
      <c r="T153" s="91" t="s">
        <v>897</v>
      </c>
      <c r="U153" s="91"/>
      <c r="V153" s="95" t="s">
        <v>988</v>
      </c>
      <c r="W153" s="91"/>
      <c r="X153" s="91"/>
      <c r="Y153" s="91"/>
      <c r="Z153" s="97"/>
      <c r="AA153" s="91" t="s">
        <v>1037</v>
      </c>
      <c r="AB153" s="91"/>
      <c r="AC153" s="91" t="s">
        <v>381</v>
      </c>
      <c r="AD153" s="97" t="s">
        <v>890</v>
      </c>
      <c r="AE153" s="98" t="str">
        <f>"*"&amp;F153&amp;"*"&amp;"( "&amp;O153&amp;", "&amp;P153&amp;"/ "&amp;T153&amp;" )"&amp;", "</f>
        <v xml:space="preserve">*ARUM SULISTYOWATI*( gajah, GAJAH/ BKPP ), </v>
      </c>
      <c r="AF153" s="94" t="s">
        <v>987</v>
      </c>
      <c r="AG153" s="81" t="s">
        <v>308</v>
      </c>
    </row>
    <row r="154" spans="1:34" ht="45" customHeight="1" x14ac:dyDescent="0.35">
      <c r="A154" s="90">
        <v>151</v>
      </c>
      <c r="B154" s="92">
        <v>44009</v>
      </c>
      <c r="C154" s="92">
        <v>43995</v>
      </c>
      <c r="D154" s="91" t="s">
        <v>353</v>
      </c>
      <c r="E154" s="91" t="s">
        <v>105</v>
      </c>
      <c r="F154" s="94" t="s">
        <v>1038</v>
      </c>
      <c r="G154" s="91"/>
      <c r="H154" s="91">
        <v>47</v>
      </c>
      <c r="I154" s="91" t="s">
        <v>1039</v>
      </c>
      <c r="J154" s="91"/>
      <c r="K154" s="91" t="s">
        <v>356</v>
      </c>
      <c r="L154" s="91"/>
      <c r="M154" s="91" t="s">
        <v>357</v>
      </c>
      <c r="N154" s="94" t="s">
        <v>1040</v>
      </c>
      <c r="O154" s="94" t="s">
        <v>112</v>
      </c>
      <c r="P154" s="94" t="s">
        <v>302</v>
      </c>
      <c r="Q154" s="91" t="s">
        <v>361</v>
      </c>
      <c r="R154" s="95" t="s">
        <v>369</v>
      </c>
      <c r="S154" s="91"/>
      <c r="T154" s="91" t="s">
        <v>885</v>
      </c>
      <c r="U154" s="91"/>
      <c r="V154" s="96" t="s">
        <v>379</v>
      </c>
      <c r="W154" s="91"/>
      <c r="X154" s="91"/>
      <c r="Y154" s="91"/>
      <c r="Z154" s="91"/>
      <c r="AA154" s="91" t="s">
        <v>1041</v>
      </c>
      <c r="AB154" s="91"/>
      <c r="AC154" s="91" t="s">
        <v>381</v>
      </c>
      <c r="AD154" s="97" t="s">
        <v>890</v>
      </c>
      <c r="AE154" s="98" t="str">
        <f>"*"&amp;F154&amp;"*"&amp;"( "&amp;O154&amp;", "&amp;P154&amp;"/ "&amp;T154&amp;" )"&amp;", "</f>
        <v xml:space="preserve">*SRI RAHAYU HANIM*( Bintoro, DEMAK/ Rumah ), </v>
      </c>
      <c r="AF154" s="94" t="s">
        <v>112</v>
      </c>
      <c r="AG154" s="81" t="s">
        <v>302</v>
      </c>
    </row>
    <row r="155" spans="1:34" s="103" customFormat="1" ht="45" customHeight="1" x14ac:dyDescent="0.35">
      <c r="A155" s="90">
        <v>152</v>
      </c>
      <c r="B155" s="91"/>
      <c r="C155" s="92">
        <v>43996</v>
      </c>
      <c r="D155" s="91" t="s">
        <v>353</v>
      </c>
      <c r="E155" s="91" t="s">
        <v>105</v>
      </c>
      <c r="F155" s="94" t="s">
        <v>1414</v>
      </c>
      <c r="G155" s="91"/>
      <c r="H155" s="91"/>
      <c r="I155" s="91" t="s">
        <v>1415</v>
      </c>
      <c r="J155" s="91"/>
      <c r="K155" s="91" t="s">
        <v>356</v>
      </c>
      <c r="L155" s="91"/>
      <c r="M155" s="91" t="s">
        <v>357</v>
      </c>
      <c r="N155" s="94" t="s">
        <v>1416</v>
      </c>
      <c r="O155" s="94" t="s">
        <v>103</v>
      </c>
      <c r="P155" s="94" t="s">
        <v>309</v>
      </c>
      <c r="Q155" s="91" t="s">
        <v>361</v>
      </c>
      <c r="R155" s="91" t="s">
        <v>473</v>
      </c>
      <c r="S155" s="91"/>
      <c r="T155" s="91" t="s">
        <v>783</v>
      </c>
      <c r="U155" s="91"/>
      <c r="V155" s="91" t="s">
        <v>583</v>
      </c>
      <c r="W155" s="91"/>
      <c r="X155" s="91"/>
      <c r="Y155" s="91"/>
      <c r="Z155" s="91"/>
      <c r="AA155" s="91" t="s">
        <v>485</v>
      </c>
      <c r="AB155" s="91"/>
      <c r="AC155" s="91"/>
      <c r="AD155" s="97" t="s">
        <v>316</v>
      </c>
      <c r="AE155" s="98" t="str">
        <f t="shared" ref="AE155:AE162" si="4">"*"&amp;F155&amp;"*"&amp;"( "&amp;O155&amp;", "&amp;P155&amp;" )"&amp;", "</f>
        <v xml:space="preserve">*MUZAERONI*( Pecuk, MIJEN ), </v>
      </c>
      <c r="AF155" s="94" t="s">
        <v>103</v>
      </c>
      <c r="AG155" s="81" t="s">
        <v>309</v>
      </c>
      <c r="AH155" s="79"/>
    </row>
    <row r="156" spans="1:34" s="124" customFormat="1" ht="45" customHeight="1" x14ac:dyDescent="0.35">
      <c r="A156" s="90">
        <v>153</v>
      </c>
      <c r="B156" s="100"/>
      <c r="C156" s="102">
        <v>43996</v>
      </c>
      <c r="D156" s="100" t="s">
        <v>353</v>
      </c>
      <c r="E156" s="100" t="s">
        <v>105</v>
      </c>
      <c r="F156" s="101" t="s">
        <v>1417</v>
      </c>
      <c r="G156" s="100"/>
      <c r="H156" s="100">
        <v>74</v>
      </c>
      <c r="I156" s="100" t="s">
        <v>1418</v>
      </c>
      <c r="J156" s="100"/>
      <c r="K156" s="91" t="s">
        <v>356</v>
      </c>
      <c r="L156" s="91"/>
      <c r="M156" s="91" t="s">
        <v>357</v>
      </c>
      <c r="N156" s="101" t="s">
        <v>1419</v>
      </c>
      <c r="O156" s="101" t="s">
        <v>1420</v>
      </c>
      <c r="P156" s="94" t="s">
        <v>302</v>
      </c>
      <c r="Q156" s="91" t="s">
        <v>361</v>
      </c>
      <c r="R156" s="100" t="s">
        <v>473</v>
      </c>
      <c r="S156" s="100"/>
      <c r="T156" s="100" t="s">
        <v>783</v>
      </c>
      <c r="U156" s="100"/>
      <c r="V156" s="100" t="s">
        <v>588</v>
      </c>
      <c r="W156" s="100" t="s">
        <v>1421</v>
      </c>
      <c r="X156" s="100"/>
      <c r="Y156" s="100"/>
      <c r="Z156" s="100"/>
      <c r="AA156" s="100" t="s">
        <v>615</v>
      </c>
      <c r="AB156" s="100"/>
      <c r="AC156" s="100"/>
      <c r="AD156" s="103" t="s">
        <v>316</v>
      </c>
      <c r="AE156" s="98" t="str">
        <f t="shared" si="4"/>
        <v xml:space="preserve">*DJUWARSIH*(  Bintoro, DEMAK ), </v>
      </c>
      <c r="AF156" s="101" t="s">
        <v>1420</v>
      </c>
      <c r="AG156" s="81" t="s">
        <v>302</v>
      </c>
      <c r="AH156" s="79"/>
    </row>
    <row r="157" spans="1:34" s="103" customFormat="1" ht="45" customHeight="1" x14ac:dyDescent="0.35">
      <c r="A157" s="90">
        <v>154</v>
      </c>
      <c r="B157" s="91"/>
      <c r="C157" s="102">
        <v>43996</v>
      </c>
      <c r="D157" s="100" t="s">
        <v>353</v>
      </c>
      <c r="E157" s="100" t="s">
        <v>105</v>
      </c>
      <c r="F157" s="94" t="s">
        <v>1422</v>
      </c>
      <c r="G157" s="91" t="s">
        <v>413</v>
      </c>
      <c r="H157" s="91">
        <v>57</v>
      </c>
      <c r="I157" s="91" t="s">
        <v>1423</v>
      </c>
      <c r="J157" s="91"/>
      <c r="K157" s="91" t="s">
        <v>356</v>
      </c>
      <c r="L157" s="91"/>
      <c r="M157" s="91" t="s">
        <v>357</v>
      </c>
      <c r="N157" s="94" t="s">
        <v>1424</v>
      </c>
      <c r="O157" s="94" t="s">
        <v>255</v>
      </c>
      <c r="P157" s="94" t="s">
        <v>0</v>
      </c>
      <c r="Q157" s="91"/>
      <c r="R157" s="91" t="s">
        <v>473</v>
      </c>
      <c r="S157" s="91"/>
      <c r="T157" s="100" t="s">
        <v>783</v>
      </c>
      <c r="U157" s="91"/>
      <c r="V157" s="91" t="s">
        <v>593</v>
      </c>
      <c r="W157" s="91"/>
      <c r="X157" s="91"/>
      <c r="Y157" s="91"/>
      <c r="Z157" s="91"/>
      <c r="AA157" s="91" t="s">
        <v>1425</v>
      </c>
      <c r="AB157" s="91"/>
      <c r="AC157" s="91"/>
      <c r="AD157" s="97" t="s">
        <v>316</v>
      </c>
      <c r="AE157" s="98" t="str">
        <f t="shared" si="4"/>
        <v xml:space="preserve">*KARYONO*( Karangsari, KARANGTENGAH ), </v>
      </c>
      <c r="AF157" s="94" t="s">
        <v>255</v>
      </c>
      <c r="AG157" s="81" t="s">
        <v>0</v>
      </c>
      <c r="AH157" s="79"/>
    </row>
    <row r="158" spans="1:34" s="103" customFormat="1" ht="45" customHeight="1" x14ac:dyDescent="0.35">
      <c r="A158" s="90">
        <v>155</v>
      </c>
      <c r="B158" s="91"/>
      <c r="C158" s="92">
        <v>43996</v>
      </c>
      <c r="D158" s="91" t="s">
        <v>353</v>
      </c>
      <c r="E158" s="91" t="s">
        <v>105</v>
      </c>
      <c r="F158" s="94" t="s">
        <v>1426</v>
      </c>
      <c r="G158" s="91" t="s">
        <v>355</v>
      </c>
      <c r="H158" s="100">
        <v>61</v>
      </c>
      <c r="I158" s="91" t="s">
        <v>1427</v>
      </c>
      <c r="J158" s="91"/>
      <c r="K158" s="91" t="s">
        <v>356</v>
      </c>
      <c r="L158" s="91"/>
      <c r="M158" s="91"/>
      <c r="N158" s="101" t="s">
        <v>1428</v>
      </c>
      <c r="O158" s="101" t="s">
        <v>179</v>
      </c>
      <c r="P158" s="94" t="s">
        <v>301</v>
      </c>
      <c r="Q158" s="91"/>
      <c r="R158" s="91" t="s">
        <v>473</v>
      </c>
      <c r="S158" s="91"/>
      <c r="T158" s="100" t="s">
        <v>783</v>
      </c>
      <c r="U158" s="91"/>
      <c r="V158" s="102" t="s">
        <v>410</v>
      </c>
      <c r="W158" s="99">
        <v>43994</v>
      </c>
      <c r="X158" s="95" t="s">
        <v>404</v>
      </c>
      <c r="Y158" s="91"/>
      <c r="Z158" s="91"/>
      <c r="AA158" s="91" t="s">
        <v>394</v>
      </c>
      <c r="AB158" s="96"/>
      <c r="AC158" s="95" t="s">
        <v>404</v>
      </c>
      <c r="AD158" s="97" t="s">
        <v>316</v>
      </c>
      <c r="AE158" s="98" t="str">
        <f t="shared" si="4"/>
        <v xml:space="preserve">*JUMINAH*( Jragung, KARANGAWEN ), </v>
      </c>
      <c r="AF158" s="101" t="s">
        <v>179</v>
      </c>
      <c r="AG158" s="81" t="s">
        <v>301</v>
      </c>
      <c r="AH158" s="79"/>
    </row>
    <row r="159" spans="1:34" s="103" customFormat="1" ht="45" customHeight="1" x14ac:dyDescent="0.35">
      <c r="A159" s="90">
        <v>156</v>
      </c>
      <c r="B159" s="91"/>
      <c r="C159" s="92">
        <v>43996</v>
      </c>
      <c r="D159" s="91" t="s">
        <v>353</v>
      </c>
      <c r="E159" s="91" t="s">
        <v>105</v>
      </c>
      <c r="F159" s="94" t="s">
        <v>1429</v>
      </c>
      <c r="G159" s="91" t="s">
        <v>413</v>
      </c>
      <c r="H159" s="91">
        <v>40</v>
      </c>
      <c r="I159" s="91" t="s">
        <v>1430</v>
      </c>
      <c r="J159" s="91"/>
      <c r="K159" s="91" t="s">
        <v>356</v>
      </c>
      <c r="L159" s="91"/>
      <c r="M159" s="91" t="s">
        <v>357</v>
      </c>
      <c r="N159" s="94" t="s">
        <v>1431</v>
      </c>
      <c r="O159" s="94" t="s">
        <v>1131</v>
      </c>
      <c r="P159" s="94" t="s">
        <v>0</v>
      </c>
      <c r="Q159" s="91" t="s">
        <v>361</v>
      </c>
      <c r="R159" s="91" t="s">
        <v>473</v>
      </c>
      <c r="S159" s="91"/>
      <c r="T159" s="100" t="s">
        <v>783</v>
      </c>
      <c r="U159" s="91"/>
      <c r="V159" s="91" t="s">
        <v>629</v>
      </c>
      <c r="W159" s="91"/>
      <c r="X159" s="91"/>
      <c r="Y159" s="91"/>
      <c r="Z159" s="91"/>
      <c r="AA159" s="91" t="s">
        <v>577</v>
      </c>
      <c r="AB159" s="91"/>
      <c r="AC159" s="91"/>
      <c r="AD159" s="97" t="s">
        <v>316</v>
      </c>
      <c r="AE159" s="98" t="str">
        <f t="shared" si="4"/>
        <v xml:space="preserve">*BAMBANG PURNOMO*( TAMBAKBULUSAN, KARANGTENGAH ), </v>
      </c>
      <c r="AF159" s="94" t="s">
        <v>1131</v>
      </c>
      <c r="AG159" s="81" t="s">
        <v>0</v>
      </c>
      <c r="AH159" s="77"/>
    </row>
    <row r="160" spans="1:34" customFormat="1" ht="30" customHeight="1" x14ac:dyDescent="0.35">
      <c r="A160" s="90">
        <v>157</v>
      </c>
      <c r="B160" s="91"/>
      <c r="C160" s="92">
        <v>43996</v>
      </c>
      <c r="D160" s="91" t="s">
        <v>353</v>
      </c>
      <c r="E160" s="91" t="s">
        <v>105</v>
      </c>
      <c r="F160" s="94" t="s">
        <v>401</v>
      </c>
      <c r="G160" s="91" t="s">
        <v>355</v>
      </c>
      <c r="H160" s="91">
        <v>57</v>
      </c>
      <c r="I160" s="91" t="s">
        <v>402</v>
      </c>
      <c r="J160" s="91"/>
      <c r="K160" s="91" t="s">
        <v>356</v>
      </c>
      <c r="L160" s="91"/>
      <c r="M160" s="91" t="s">
        <v>357</v>
      </c>
      <c r="N160" s="94" t="s">
        <v>403</v>
      </c>
      <c r="O160" s="94" t="s">
        <v>112</v>
      </c>
      <c r="P160" s="94" t="s">
        <v>105</v>
      </c>
      <c r="Q160" s="91"/>
      <c r="R160" s="95" t="s">
        <v>369</v>
      </c>
      <c r="S160" s="91"/>
      <c r="T160" s="91" t="s">
        <v>378</v>
      </c>
      <c r="U160" s="91"/>
      <c r="V160" s="96" t="s">
        <v>379</v>
      </c>
      <c r="W160" s="99">
        <v>43994</v>
      </c>
      <c r="X160" s="95" t="s">
        <v>404</v>
      </c>
      <c r="Y160" s="91"/>
      <c r="Z160" s="91"/>
      <c r="AA160" s="91" t="s">
        <v>405</v>
      </c>
      <c r="AB160" s="96">
        <v>43987</v>
      </c>
      <c r="AC160" s="95" t="s">
        <v>404</v>
      </c>
      <c r="AD160" s="97" t="s">
        <v>365</v>
      </c>
      <c r="AE160" s="98" t="str">
        <f t="shared" si="4"/>
        <v xml:space="preserve">*SUPARNI*( Bintoro, Demak ), </v>
      </c>
      <c r="AF160" s="94" t="s">
        <v>112</v>
      </c>
      <c r="AG160" s="81" t="s">
        <v>302</v>
      </c>
      <c r="AH160" s="79"/>
    </row>
    <row r="161" spans="1:34" customFormat="1" ht="31.5" customHeight="1" x14ac:dyDescent="0.35">
      <c r="A161" s="90">
        <v>158</v>
      </c>
      <c r="B161" s="91"/>
      <c r="C161" s="92">
        <v>43996</v>
      </c>
      <c r="D161" s="91" t="s">
        <v>353</v>
      </c>
      <c r="E161" s="91" t="s">
        <v>105</v>
      </c>
      <c r="F161" s="94" t="s">
        <v>406</v>
      </c>
      <c r="G161" s="91" t="s">
        <v>355</v>
      </c>
      <c r="H161" s="100">
        <v>52</v>
      </c>
      <c r="I161" s="91"/>
      <c r="J161" s="91"/>
      <c r="K161" s="91" t="s">
        <v>356</v>
      </c>
      <c r="L161" s="91"/>
      <c r="M161" s="91" t="s">
        <v>357</v>
      </c>
      <c r="N161" s="101" t="s">
        <v>407</v>
      </c>
      <c r="O161" s="101" t="s">
        <v>408</v>
      </c>
      <c r="P161" s="94" t="s">
        <v>226</v>
      </c>
      <c r="Q161" s="91"/>
      <c r="R161" s="91" t="s">
        <v>409</v>
      </c>
      <c r="S161" s="91"/>
      <c r="T161" s="91" t="s">
        <v>378</v>
      </c>
      <c r="U161" s="91"/>
      <c r="V161" s="102" t="s">
        <v>410</v>
      </c>
      <c r="W161" s="99">
        <v>43994</v>
      </c>
      <c r="X161" s="95" t="s">
        <v>404</v>
      </c>
      <c r="Y161" s="91"/>
      <c r="Z161" s="91"/>
      <c r="AA161" s="91" t="s">
        <v>411</v>
      </c>
      <c r="AB161" s="96">
        <v>43990</v>
      </c>
      <c r="AC161" s="95" t="s">
        <v>404</v>
      </c>
      <c r="AD161" s="97" t="s">
        <v>365</v>
      </c>
      <c r="AE161" s="98" t="str">
        <f t="shared" si="4"/>
        <v xml:space="preserve">*KASTURAH*( Kedungmutih, Wedung ), </v>
      </c>
      <c r="AF161" s="101" t="s">
        <v>408</v>
      </c>
      <c r="AG161" s="81" t="s">
        <v>312</v>
      </c>
      <c r="AH161" s="79"/>
    </row>
    <row r="162" spans="1:34" customFormat="1" ht="31.5" customHeight="1" x14ac:dyDescent="0.35">
      <c r="A162" s="90">
        <v>159</v>
      </c>
      <c r="B162" s="91"/>
      <c r="C162" s="92">
        <v>43996</v>
      </c>
      <c r="D162" s="91" t="s">
        <v>353</v>
      </c>
      <c r="E162" s="91" t="s">
        <v>105</v>
      </c>
      <c r="F162" s="94" t="s">
        <v>412</v>
      </c>
      <c r="G162" s="100" t="s">
        <v>413</v>
      </c>
      <c r="H162" s="91">
        <v>44</v>
      </c>
      <c r="I162" s="91"/>
      <c r="J162" s="91"/>
      <c r="K162" s="91" t="s">
        <v>356</v>
      </c>
      <c r="L162" s="91"/>
      <c r="M162" s="91" t="s">
        <v>357</v>
      </c>
      <c r="N162" s="101" t="s">
        <v>414</v>
      </c>
      <c r="O162" s="101" t="s">
        <v>239</v>
      </c>
      <c r="P162" s="94" t="s">
        <v>226</v>
      </c>
      <c r="Q162" s="91"/>
      <c r="R162" s="91" t="s">
        <v>409</v>
      </c>
      <c r="S162" s="91"/>
      <c r="T162" s="91" t="s">
        <v>378</v>
      </c>
      <c r="U162" s="91"/>
      <c r="V162" s="102">
        <v>43991</v>
      </c>
      <c r="W162" s="99">
        <v>43994</v>
      </c>
      <c r="X162" s="95" t="s">
        <v>404</v>
      </c>
      <c r="Y162" s="91"/>
      <c r="Z162" s="91"/>
      <c r="AA162" s="91" t="s">
        <v>415</v>
      </c>
      <c r="AB162" s="96">
        <v>43984</v>
      </c>
      <c r="AC162" s="95" t="s">
        <v>404</v>
      </c>
      <c r="AD162" s="97" t="s">
        <v>365</v>
      </c>
      <c r="AE162" s="98" t="str">
        <f t="shared" si="4"/>
        <v xml:space="preserve">*MUHAMMAD HASYIM SYAFII*( Jetak, Wedung ), </v>
      </c>
      <c r="AF162" s="101" t="s">
        <v>239</v>
      </c>
      <c r="AG162" s="81" t="s">
        <v>312</v>
      </c>
    </row>
    <row r="163" spans="1:34" customFormat="1" ht="31.5" customHeight="1" x14ac:dyDescent="0.35">
      <c r="A163" s="90">
        <v>160</v>
      </c>
      <c r="B163" s="107">
        <v>44009</v>
      </c>
      <c r="C163" s="92">
        <v>43996</v>
      </c>
      <c r="D163" s="91" t="s">
        <v>353</v>
      </c>
      <c r="E163" s="91" t="s">
        <v>105</v>
      </c>
      <c r="F163" s="94" t="s">
        <v>1042</v>
      </c>
      <c r="G163" s="91" t="s">
        <v>413</v>
      </c>
      <c r="H163" s="91">
        <v>53</v>
      </c>
      <c r="I163" s="91" t="s">
        <v>1043</v>
      </c>
      <c r="J163" s="91"/>
      <c r="K163" s="91" t="s">
        <v>356</v>
      </c>
      <c r="L163" s="91"/>
      <c r="M163" s="91" t="s">
        <v>357</v>
      </c>
      <c r="N163" s="94" t="s">
        <v>1044</v>
      </c>
      <c r="O163" s="94" t="s">
        <v>43</v>
      </c>
      <c r="P163" s="94" t="s">
        <v>38</v>
      </c>
      <c r="Q163" s="91"/>
      <c r="R163" s="91" t="s">
        <v>409</v>
      </c>
      <c r="S163" s="91"/>
      <c r="T163" s="91" t="s">
        <v>885</v>
      </c>
      <c r="U163" s="91"/>
      <c r="V163" s="102">
        <v>43989</v>
      </c>
      <c r="W163" s="99">
        <v>43994</v>
      </c>
      <c r="X163" s="95" t="s">
        <v>404</v>
      </c>
      <c r="Y163" s="91"/>
      <c r="Z163" s="91"/>
      <c r="AA163" s="91" t="s">
        <v>1045</v>
      </c>
      <c r="AB163" s="91"/>
      <c r="AC163" s="95" t="s">
        <v>404</v>
      </c>
      <c r="AD163" s="97" t="s">
        <v>890</v>
      </c>
      <c r="AE163" s="98" t="str">
        <f>"*"&amp;F163&amp;"*"&amp;"( "&amp;O163&amp;", "&amp;P163&amp;"/ "&amp;T163&amp;" )"&amp;", "</f>
        <v xml:space="preserve">*SUMARTO*( Trengguli, Wonosalam/ Rumah ), </v>
      </c>
      <c r="AF163" s="94" t="s">
        <v>43</v>
      </c>
      <c r="AG163" s="81" t="s">
        <v>305</v>
      </c>
      <c r="AH163" s="79"/>
    </row>
    <row r="164" spans="1:34" customFormat="1" ht="31.5" customHeight="1" x14ac:dyDescent="0.35">
      <c r="A164" s="90">
        <v>161</v>
      </c>
      <c r="B164" s="91"/>
      <c r="C164" s="92">
        <v>43996</v>
      </c>
      <c r="D164" s="91" t="s">
        <v>353</v>
      </c>
      <c r="E164" s="91" t="s">
        <v>105</v>
      </c>
      <c r="F164" s="94" t="s">
        <v>416</v>
      </c>
      <c r="G164" s="91" t="s">
        <v>355</v>
      </c>
      <c r="H164" s="91">
        <v>33</v>
      </c>
      <c r="I164" s="91"/>
      <c r="J164" s="91"/>
      <c r="K164" s="91" t="s">
        <v>356</v>
      </c>
      <c r="L164" s="91"/>
      <c r="M164" s="91" t="s">
        <v>357</v>
      </c>
      <c r="N164" s="94" t="s">
        <v>417</v>
      </c>
      <c r="O164" s="94" t="s">
        <v>228</v>
      </c>
      <c r="P164" s="94" t="s">
        <v>226</v>
      </c>
      <c r="Q164" s="91"/>
      <c r="R164" s="95" t="s">
        <v>369</v>
      </c>
      <c r="S164" s="91"/>
      <c r="T164" s="91" t="s">
        <v>378</v>
      </c>
      <c r="U164" s="91"/>
      <c r="V164" s="96" t="s">
        <v>418</v>
      </c>
      <c r="W164" s="99">
        <v>43994</v>
      </c>
      <c r="X164" s="95" t="s">
        <v>404</v>
      </c>
      <c r="Y164" s="91"/>
      <c r="Z164" s="91"/>
      <c r="AA164" s="91" t="s">
        <v>419</v>
      </c>
      <c r="AB164" s="96">
        <v>43986</v>
      </c>
      <c r="AC164" s="95" t="s">
        <v>404</v>
      </c>
      <c r="AD164" s="97" t="s">
        <v>365</v>
      </c>
      <c r="AE164" s="98" t="str">
        <f>"*"&amp;F164&amp;"*"&amp;"( "&amp;O164&amp;", "&amp;P164&amp;" )"&amp;", "</f>
        <v xml:space="preserve">*ROHAYATUN*( Ruwit, Wedung ), </v>
      </c>
      <c r="AF164" s="94" t="s">
        <v>228</v>
      </c>
      <c r="AG164" s="81" t="s">
        <v>312</v>
      </c>
      <c r="AH164" s="79"/>
    </row>
    <row r="165" spans="1:34" ht="31.5" customHeight="1" x14ac:dyDescent="0.35">
      <c r="A165" s="90">
        <v>162</v>
      </c>
      <c r="B165" s="91"/>
      <c r="C165" s="92">
        <v>43996</v>
      </c>
      <c r="D165" s="91" t="s">
        <v>353</v>
      </c>
      <c r="E165" s="91" t="s">
        <v>105</v>
      </c>
      <c r="F165" s="94" t="s">
        <v>420</v>
      </c>
      <c r="G165" s="91" t="s">
        <v>413</v>
      </c>
      <c r="H165" s="91">
        <v>3</v>
      </c>
      <c r="I165" s="91" t="s">
        <v>421</v>
      </c>
      <c r="J165" s="91"/>
      <c r="K165" s="91" t="s">
        <v>356</v>
      </c>
      <c r="L165" s="91"/>
      <c r="M165" s="91" t="s">
        <v>357</v>
      </c>
      <c r="N165" s="94" t="s">
        <v>422</v>
      </c>
      <c r="O165" s="94" t="s">
        <v>130</v>
      </c>
      <c r="P165" s="94" t="s">
        <v>127</v>
      </c>
      <c r="Q165" s="91"/>
      <c r="R165" s="91" t="s">
        <v>409</v>
      </c>
      <c r="S165" s="91"/>
      <c r="T165" s="91" t="s">
        <v>378</v>
      </c>
      <c r="U165" s="91"/>
      <c r="V165" s="96" t="s">
        <v>418</v>
      </c>
      <c r="W165" s="99">
        <v>43990</v>
      </c>
      <c r="X165" s="95" t="s">
        <v>404</v>
      </c>
      <c r="Y165" s="91"/>
      <c r="Z165" s="91"/>
      <c r="AA165" s="91" t="s">
        <v>423</v>
      </c>
      <c r="AB165" s="96">
        <v>43986</v>
      </c>
      <c r="AC165" s="95" t="s">
        <v>404</v>
      </c>
      <c r="AD165" s="97" t="s">
        <v>365</v>
      </c>
      <c r="AE165" s="98" t="str">
        <f>"*"&amp;F165&amp;"*"&amp;"( "&amp;O165&amp;", "&amp;P165&amp;" )"&amp;", "</f>
        <v xml:space="preserve">*MUHAMAD LAMIK UBAIDILLAH*( Purworejo, Bonang ), </v>
      </c>
      <c r="AF165" s="94" t="s">
        <v>130</v>
      </c>
      <c r="AG165" s="81" t="s">
        <v>311</v>
      </c>
    </row>
    <row r="166" spans="1:34" ht="31.5" customHeight="1" x14ac:dyDescent="0.35">
      <c r="A166" s="90">
        <v>163</v>
      </c>
      <c r="B166" s="91"/>
      <c r="C166" s="92">
        <v>43996</v>
      </c>
      <c r="D166" s="91" t="s">
        <v>353</v>
      </c>
      <c r="E166" s="91" t="s">
        <v>105</v>
      </c>
      <c r="F166" s="94" t="s">
        <v>424</v>
      </c>
      <c r="G166" s="91" t="s">
        <v>355</v>
      </c>
      <c r="H166" s="100">
        <v>35</v>
      </c>
      <c r="I166" s="91" t="s">
        <v>425</v>
      </c>
      <c r="J166" s="91"/>
      <c r="K166" s="91" t="s">
        <v>356</v>
      </c>
      <c r="L166" s="91"/>
      <c r="M166" s="91" t="s">
        <v>357</v>
      </c>
      <c r="N166" s="101" t="s">
        <v>426</v>
      </c>
      <c r="O166" s="101" t="s">
        <v>160</v>
      </c>
      <c r="P166" s="94" t="s">
        <v>159</v>
      </c>
      <c r="Q166" s="91"/>
      <c r="R166" s="91" t="s">
        <v>409</v>
      </c>
      <c r="S166" s="91"/>
      <c r="T166" s="91" t="s">
        <v>378</v>
      </c>
      <c r="U166" s="91"/>
      <c r="V166" s="102" t="s">
        <v>410</v>
      </c>
      <c r="W166" s="99">
        <v>43994</v>
      </c>
      <c r="X166" s="95" t="s">
        <v>404</v>
      </c>
      <c r="Y166" s="91"/>
      <c r="Z166" s="91"/>
      <c r="AA166" s="91" t="s">
        <v>427</v>
      </c>
      <c r="AB166" s="96"/>
      <c r="AC166" s="95" t="s">
        <v>404</v>
      </c>
      <c r="AD166" s="97" t="s">
        <v>365</v>
      </c>
      <c r="AE166" s="98" t="str">
        <f>"*"&amp;F166&amp;"*"&amp;"( "&amp;O166&amp;", "&amp;P166&amp;" )"&amp;", "</f>
        <v xml:space="preserve">*NINIK MARYATUN*( Blerong, Guntur ), </v>
      </c>
      <c r="AF166" s="101" t="s">
        <v>160</v>
      </c>
      <c r="AG166" s="81" t="s">
        <v>303</v>
      </c>
    </row>
    <row r="167" spans="1:34" ht="31.5" customHeight="1" x14ac:dyDescent="0.35">
      <c r="A167" s="90">
        <v>164</v>
      </c>
      <c r="B167" s="91"/>
      <c r="C167" s="92">
        <v>43996</v>
      </c>
      <c r="D167" s="91" t="s">
        <v>353</v>
      </c>
      <c r="E167" s="91" t="s">
        <v>105</v>
      </c>
      <c r="F167" s="94" t="s">
        <v>1432</v>
      </c>
      <c r="G167" s="100" t="s">
        <v>413</v>
      </c>
      <c r="H167" s="91">
        <v>58</v>
      </c>
      <c r="I167" s="91" t="s">
        <v>1433</v>
      </c>
      <c r="J167" s="91"/>
      <c r="K167" s="91" t="s">
        <v>356</v>
      </c>
      <c r="L167" s="91"/>
      <c r="M167" s="91" t="s">
        <v>357</v>
      </c>
      <c r="N167" s="101" t="s">
        <v>1434</v>
      </c>
      <c r="O167" s="101" t="s">
        <v>1435</v>
      </c>
      <c r="P167" s="94" t="s">
        <v>0</v>
      </c>
      <c r="Q167" s="91"/>
      <c r="R167" s="91" t="s">
        <v>409</v>
      </c>
      <c r="S167" s="91"/>
      <c r="T167" s="91" t="s">
        <v>1367</v>
      </c>
      <c r="U167" s="91"/>
      <c r="V167" s="102" t="s">
        <v>410</v>
      </c>
      <c r="W167" s="99">
        <v>43994</v>
      </c>
      <c r="X167" s="95" t="s">
        <v>404</v>
      </c>
      <c r="Y167" s="91"/>
      <c r="Z167" s="91" t="s">
        <v>1412</v>
      </c>
      <c r="AA167" s="91" t="s">
        <v>1033</v>
      </c>
      <c r="AB167" s="96"/>
      <c r="AC167" s="95" t="s">
        <v>404</v>
      </c>
      <c r="AD167" s="97" t="s">
        <v>316</v>
      </c>
      <c r="AE167" s="98" t="str">
        <f>"*"&amp;F167&amp;"*"&amp;"( "&amp;O167&amp;", "&amp;P167&amp;" )"&amp;", "</f>
        <v xml:space="preserve">*ZUHRI*( Karangsari , KARANGTENGAH ), </v>
      </c>
      <c r="AF167" s="101" t="s">
        <v>1435</v>
      </c>
      <c r="AG167" s="81" t="s">
        <v>0</v>
      </c>
    </row>
    <row r="168" spans="1:34" ht="31.5" customHeight="1" x14ac:dyDescent="0.35">
      <c r="A168" s="90">
        <v>165</v>
      </c>
      <c r="B168" s="91"/>
      <c r="C168" s="92">
        <v>43996</v>
      </c>
      <c r="D168" s="91" t="s">
        <v>353</v>
      </c>
      <c r="E168" s="91" t="s">
        <v>105</v>
      </c>
      <c r="F168" s="94" t="s">
        <v>600</v>
      </c>
      <c r="G168" s="91" t="s">
        <v>413</v>
      </c>
      <c r="H168" s="91">
        <v>75</v>
      </c>
      <c r="I168" s="91" t="s">
        <v>601</v>
      </c>
      <c r="J168" s="91"/>
      <c r="K168" s="91" t="s">
        <v>356</v>
      </c>
      <c r="L168" s="91"/>
      <c r="M168" s="91" t="s">
        <v>357</v>
      </c>
      <c r="N168" s="94" t="s">
        <v>602</v>
      </c>
      <c r="O168" s="94" t="s">
        <v>603</v>
      </c>
      <c r="P168" s="94" t="s">
        <v>385</v>
      </c>
      <c r="Q168" s="91" t="s">
        <v>361</v>
      </c>
      <c r="R168" s="91" t="s">
        <v>531</v>
      </c>
      <c r="S168" s="91"/>
      <c r="T168" s="91" t="s">
        <v>363</v>
      </c>
      <c r="U168" s="91"/>
      <c r="V168" s="91" t="s">
        <v>588</v>
      </c>
      <c r="W168" s="91"/>
      <c r="X168" s="91"/>
      <c r="Y168" s="91"/>
      <c r="Z168" s="160"/>
      <c r="AA168" s="91" t="s">
        <v>604</v>
      </c>
      <c r="AB168" s="161"/>
      <c r="AC168" s="91"/>
      <c r="AD168" s="97" t="s">
        <v>521</v>
      </c>
      <c r="AE168" s="98" t="str">
        <f>"*"&amp;F168&amp;"*"&amp;"( "&amp;O168&amp;", "&amp;P168&amp;"/ "&amp;R168&amp;" )"&amp;", "</f>
        <v xml:space="preserve">*M. ZUHRI*( menur, MRANGGEN/ RSUD K.R.M.T Wongsonegoro Semarang ), </v>
      </c>
      <c r="AF168" s="94" t="s">
        <v>603</v>
      </c>
      <c r="AG168" s="81" t="s">
        <v>385</v>
      </c>
    </row>
    <row r="169" spans="1:34" ht="37.5" customHeight="1" x14ac:dyDescent="0.35">
      <c r="A169" s="90">
        <v>166</v>
      </c>
      <c r="B169" s="91"/>
      <c r="C169" s="92">
        <v>43996</v>
      </c>
      <c r="D169" s="91" t="s">
        <v>353</v>
      </c>
      <c r="E169" s="91" t="s">
        <v>105</v>
      </c>
      <c r="F169" s="94" t="s">
        <v>1912</v>
      </c>
      <c r="G169" s="91" t="s">
        <v>355</v>
      </c>
      <c r="H169" s="91">
        <v>54</v>
      </c>
      <c r="I169" s="91" t="s">
        <v>402</v>
      </c>
      <c r="J169" s="91"/>
      <c r="K169" s="91" t="s">
        <v>356</v>
      </c>
      <c r="L169" s="91"/>
      <c r="M169" s="91" t="s">
        <v>357</v>
      </c>
      <c r="N169" s="94" t="s">
        <v>1913</v>
      </c>
      <c r="O169" s="94" t="s">
        <v>1914</v>
      </c>
      <c r="P169" s="94" t="s">
        <v>301</v>
      </c>
      <c r="Q169" s="91" t="s">
        <v>361</v>
      </c>
      <c r="R169" s="91" t="s">
        <v>531</v>
      </c>
      <c r="S169" s="91"/>
      <c r="T169" s="91" t="s">
        <v>363</v>
      </c>
      <c r="U169" s="91"/>
      <c r="V169" s="91" t="s">
        <v>629</v>
      </c>
      <c r="W169" s="91"/>
      <c r="X169" s="91"/>
      <c r="Y169" s="91"/>
      <c r="Z169" s="160"/>
      <c r="AA169" s="91" t="s">
        <v>1915</v>
      </c>
      <c r="AB169" s="161"/>
      <c r="AC169" s="154" t="s">
        <v>1916</v>
      </c>
      <c r="AD169" s="97" t="s">
        <v>1866</v>
      </c>
      <c r="AE169" s="98" t="str">
        <f>"*"&amp;F169&amp;"*"&amp;"( "&amp;O169&amp;", "&amp;P169&amp;" )"&amp;", "</f>
        <v xml:space="preserve">*SUDARSI*( jragung, KARANGAWEN ), </v>
      </c>
      <c r="AF169" s="94" t="s">
        <v>1914</v>
      </c>
      <c r="AG169" s="81" t="s">
        <v>301</v>
      </c>
    </row>
    <row r="170" spans="1:34" customFormat="1" ht="36" x14ac:dyDescent="0.35">
      <c r="A170" s="90">
        <v>167</v>
      </c>
      <c r="B170" s="91"/>
      <c r="C170" s="92">
        <v>43996</v>
      </c>
      <c r="D170" s="91" t="s">
        <v>353</v>
      </c>
      <c r="E170" s="91" t="s">
        <v>105</v>
      </c>
      <c r="F170" s="94" t="s">
        <v>1532</v>
      </c>
      <c r="G170" s="91" t="s">
        <v>355</v>
      </c>
      <c r="H170" s="91">
        <v>61</v>
      </c>
      <c r="I170" s="91" t="s">
        <v>1533</v>
      </c>
      <c r="J170" s="91"/>
      <c r="K170" s="91" t="s">
        <v>356</v>
      </c>
      <c r="L170" s="91"/>
      <c r="M170" s="91" t="s">
        <v>357</v>
      </c>
      <c r="N170" s="94" t="s">
        <v>1534</v>
      </c>
      <c r="O170" s="94" t="s">
        <v>179</v>
      </c>
      <c r="P170" s="94" t="s">
        <v>301</v>
      </c>
      <c r="Q170" s="91" t="s">
        <v>361</v>
      </c>
      <c r="R170" s="91" t="s">
        <v>539</v>
      </c>
      <c r="S170" s="91"/>
      <c r="T170" s="91" t="s">
        <v>1367</v>
      </c>
      <c r="U170" s="91"/>
      <c r="V170" s="91" t="s">
        <v>702</v>
      </c>
      <c r="W170" s="91"/>
      <c r="X170" s="91"/>
      <c r="Y170" s="91"/>
      <c r="Z170" s="91" t="s">
        <v>1412</v>
      </c>
      <c r="AA170" s="104"/>
      <c r="AB170" s="91"/>
      <c r="AC170" s="91"/>
      <c r="AD170" s="97" t="s">
        <v>1481</v>
      </c>
      <c r="AE170" s="98" t="str">
        <f>"*"&amp;F170&amp;"*"&amp;"( "&amp;O170&amp;", "&amp;P170&amp;" )"&amp;", "</f>
        <v xml:space="preserve">*SRINEM*( Jragung, KARANGAWEN ), </v>
      </c>
      <c r="AF170" s="94" t="s">
        <v>179</v>
      </c>
      <c r="AG170" s="81" t="s">
        <v>301</v>
      </c>
      <c r="AH170" s="79"/>
    </row>
    <row r="171" spans="1:34" customFormat="1" ht="36" x14ac:dyDescent="0.35">
      <c r="A171" s="90">
        <v>168</v>
      </c>
      <c r="B171" s="91"/>
      <c r="C171" s="92">
        <v>43996</v>
      </c>
      <c r="D171" s="91" t="s">
        <v>353</v>
      </c>
      <c r="E171" s="91" t="s">
        <v>105</v>
      </c>
      <c r="F171" s="94" t="s">
        <v>1046</v>
      </c>
      <c r="G171" s="91" t="s">
        <v>413</v>
      </c>
      <c r="H171" s="91">
        <v>50</v>
      </c>
      <c r="I171" s="91" t="s">
        <v>1047</v>
      </c>
      <c r="J171" s="91"/>
      <c r="K171" s="91" t="s">
        <v>356</v>
      </c>
      <c r="L171" s="91"/>
      <c r="M171" s="91" t="s">
        <v>357</v>
      </c>
      <c r="N171" s="94" t="s">
        <v>1048</v>
      </c>
      <c r="O171" s="94" t="s">
        <v>1049</v>
      </c>
      <c r="P171" s="94" t="s">
        <v>304</v>
      </c>
      <c r="Q171" s="91" t="s">
        <v>361</v>
      </c>
      <c r="R171" s="91" t="s">
        <v>539</v>
      </c>
      <c r="S171" s="91"/>
      <c r="T171" s="91" t="s">
        <v>885</v>
      </c>
      <c r="U171" s="91"/>
      <c r="V171" s="91" t="s">
        <v>639</v>
      </c>
      <c r="W171" s="91" t="s">
        <v>1050</v>
      </c>
      <c r="X171" s="91" t="s">
        <v>1051</v>
      </c>
      <c r="Y171" s="91"/>
      <c r="Z171" s="97"/>
      <c r="AA171" s="91"/>
      <c r="AB171" s="91"/>
      <c r="AC171" s="91"/>
      <c r="AD171" s="97" t="s">
        <v>890</v>
      </c>
      <c r="AE171" s="98" t="str">
        <f>"*"&amp;F171&amp;"*"&amp;"( "&amp;O171&amp;", "&amp;P171&amp;"/ "&amp;T171&amp;" )"&amp;", "</f>
        <v xml:space="preserve">*AHMAD SHOKHI*( bedono, SAYUNG/ Rumah ), </v>
      </c>
      <c r="AF171" s="94" t="s">
        <v>1049</v>
      </c>
      <c r="AG171" s="81" t="s">
        <v>304</v>
      </c>
      <c r="AH171" s="79"/>
    </row>
    <row r="172" spans="1:34" customFormat="1" ht="30" x14ac:dyDescent="0.35">
      <c r="A172" s="90">
        <v>169</v>
      </c>
      <c r="B172" s="91"/>
      <c r="C172" s="92">
        <v>43996</v>
      </c>
      <c r="D172" s="91" t="s">
        <v>353</v>
      </c>
      <c r="E172" s="91" t="s">
        <v>105</v>
      </c>
      <c r="F172" s="94" t="s">
        <v>605</v>
      </c>
      <c r="G172" s="91" t="s">
        <v>413</v>
      </c>
      <c r="H172" s="91">
        <v>72</v>
      </c>
      <c r="I172" s="91" t="s">
        <v>606</v>
      </c>
      <c r="J172" s="91"/>
      <c r="K172" s="91" t="s">
        <v>356</v>
      </c>
      <c r="L172" s="91"/>
      <c r="M172" s="91"/>
      <c r="N172" s="94" t="s">
        <v>607</v>
      </c>
      <c r="O172" s="94" t="s">
        <v>462</v>
      </c>
      <c r="P172" s="94" t="s">
        <v>301</v>
      </c>
      <c r="Q172" s="91" t="s">
        <v>361</v>
      </c>
      <c r="R172" s="91" t="s">
        <v>608</v>
      </c>
      <c r="S172" s="91"/>
      <c r="T172" s="91" t="s">
        <v>609</v>
      </c>
      <c r="U172" s="91"/>
      <c r="V172" s="91" t="s">
        <v>572</v>
      </c>
      <c r="W172" s="91"/>
      <c r="X172" s="91"/>
      <c r="Y172" s="91"/>
      <c r="Z172" s="91"/>
      <c r="AA172" s="91"/>
      <c r="AB172" s="91"/>
      <c r="AC172" s="91"/>
      <c r="AD172" s="97" t="s">
        <v>521</v>
      </c>
      <c r="AE172" s="98" t="str">
        <f>"*"&amp;F172&amp;"*"&amp;"( "&amp;O172&amp;", "&amp;P172&amp;"/ "&amp;R172&amp;" )"&amp;", "</f>
        <v xml:space="preserve">*NASRUDIN*( REJOSARI, KARANGAWEN/ RS PKU Muhammadiyah Gubug ), </v>
      </c>
      <c r="AF172" s="94" t="s">
        <v>462</v>
      </c>
      <c r="AG172" s="81" t="s">
        <v>301</v>
      </c>
      <c r="AH172" s="103"/>
    </row>
    <row r="173" spans="1:34" ht="60" customHeight="1" x14ac:dyDescent="0.35">
      <c r="A173" s="90">
        <v>170</v>
      </c>
      <c r="B173" s="91"/>
      <c r="C173" s="91" t="s">
        <v>610</v>
      </c>
      <c r="D173" s="91" t="s">
        <v>353</v>
      </c>
      <c r="E173" s="93" t="s">
        <v>105</v>
      </c>
      <c r="F173" s="94" t="s">
        <v>490</v>
      </c>
      <c r="G173" s="91" t="s">
        <v>355</v>
      </c>
      <c r="H173" s="91">
        <v>57</v>
      </c>
      <c r="I173" s="91" t="s">
        <v>402</v>
      </c>
      <c r="J173" s="91"/>
      <c r="K173" s="91" t="s">
        <v>356</v>
      </c>
      <c r="L173" s="91"/>
      <c r="M173" s="91" t="s">
        <v>357</v>
      </c>
      <c r="N173" s="94" t="s">
        <v>1535</v>
      </c>
      <c r="O173" s="94" t="s">
        <v>385</v>
      </c>
      <c r="P173" s="94" t="s">
        <v>385</v>
      </c>
      <c r="Q173" s="91"/>
      <c r="R173" s="91" t="s">
        <v>531</v>
      </c>
      <c r="S173" s="91"/>
      <c r="T173" s="91" t="s">
        <v>783</v>
      </c>
      <c r="U173" s="91"/>
      <c r="V173" s="91"/>
      <c r="W173" s="91"/>
      <c r="X173" s="91"/>
      <c r="Y173" s="91"/>
      <c r="Z173" s="91" t="s">
        <v>1536</v>
      </c>
      <c r="AA173" s="91" t="s">
        <v>615</v>
      </c>
      <c r="AB173" s="91" t="s">
        <v>485</v>
      </c>
      <c r="AC173" s="91"/>
      <c r="AD173" s="97" t="s">
        <v>1481</v>
      </c>
      <c r="AE173" s="98" t="str">
        <f>"*"&amp;F173&amp;"*"&amp;"( "&amp;O173&amp;", "&amp;P173&amp;" )"&amp;", "</f>
        <v xml:space="preserve">*SUNARTI*( MRANGGEN, MRANGGEN ), </v>
      </c>
      <c r="AF173" s="94" t="s">
        <v>385</v>
      </c>
      <c r="AG173" s="81" t="s">
        <v>385</v>
      </c>
      <c r="AH173" s="103"/>
    </row>
    <row r="174" spans="1:34" ht="60" customHeight="1" x14ac:dyDescent="0.35">
      <c r="A174" s="90">
        <v>171</v>
      </c>
      <c r="B174" s="91"/>
      <c r="C174" s="91" t="s">
        <v>610</v>
      </c>
      <c r="D174" s="91" t="s">
        <v>353</v>
      </c>
      <c r="E174" s="93" t="s">
        <v>105</v>
      </c>
      <c r="F174" s="94" t="s">
        <v>1537</v>
      </c>
      <c r="G174" s="91" t="s">
        <v>355</v>
      </c>
      <c r="H174" s="91">
        <v>80</v>
      </c>
      <c r="I174" s="91" t="s">
        <v>402</v>
      </c>
      <c r="J174" s="91"/>
      <c r="K174" s="91" t="s">
        <v>356</v>
      </c>
      <c r="L174" s="91"/>
      <c r="M174" s="91" t="s">
        <v>357</v>
      </c>
      <c r="N174" s="94" t="s">
        <v>1538</v>
      </c>
      <c r="O174" s="94" t="s">
        <v>683</v>
      </c>
      <c r="P174" s="94" t="s">
        <v>385</v>
      </c>
      <c r="Q174" s="91"/>
      <c r="R174" s="91" t="s">
        <v>531</v>
      </c>
      <c r="S174" s="91"/>
      <c r="T174" s="91" t="s">
        <v>783</v>
      </c>
      <c r="U174" s="91"/>
      <c r="V174" s="91"/>
      <c r="W174" s="91"/>
      <c r="X174" s="91"/>
      <c r="Y174" s="91"/>
      <c r="Z174" s="97" t="s">
        <v>783</v>
      </c>
      <c r="AA174" s="91" t="s">
        <v>402</v>
      </c>
      <c r="AB174" s="91" t="s">
        <v>1539</v>
      </c>
      <c r="AC174" s="91"/>
      <c r="AD174" s="97" t="s">
        <v>1481</v>
      </c>
      <c r="AE174" s="98" t="str">
        <f>"*"&amp;F174&amp;"*"&amp;"( "&amp;O174&amp;", "&amp;P174&amp;" )"&amp;", "</f>
        <v xml:space="preserve">*SULI*( SUMBEREJO, MRANGGEN ), </v>
      </c>
      <c r="AF174" s="94" t="s">
        <v>683</v>
      </c>
      <c r="AG174" s="81" t="s">
        <v>385</v>
      </c>
    </row>
    <row r="175" spans="1:34" ht="30" customHeight="1" x14ac:dyDescent="0.35">
      <c r="A175" s="90">
        <v>172</v>
      </c>
      <c r="B175" s="91"/>
      <c r="C175" s="91" t="s">
        <v>610</v>
      </c>
      <c r="D175" s="91" t="s">
        <v>353</v>
      </c>
      <c r="E175" s="93" t="s">
        <v>105</v>
      </c>
      <c r="F175" s="94" t="s">
        <v>1440</v>
      </c>
      <c r="G175" s="91" t="s">
        <v>413</v>
      </c>
      <c r="H175" s="91">
        <v>81</v>
      </c>
      <c r="I175" s="91" t="s">
        <v>1540</v>
      </c>
      <c r="J175" s="91"/>
      <c r="K175" s="91"/>
      <c r="L175" s="91"/>
      <c r="M175" s="91" t="s">
        <v>357</v>
      </c>
      <c r="N175" s="94" t="s">
        <v>1541</v>
      </c>
      <c r="O175" s="94" t="s">
        <v>564</v>
      </c>
      <c r="P175" s="94" t="s">
        <v>310</v>
      </c>
      <c r="Q175" s="91"/>
      <c r="R175" s="91" t="s">
        <v>582</v>
      </c>
      <c r="S175" s="91"/>
      <c r="T175" s="91" t="s">
        <v>1367</v>
      </c>
      <c r="U175" s="91"/>
      <c r="V175" s="91"/>
      <c r="W175" s="91"/>
      <c r="X175" s="91"/>
      <c r="Y175" s="91"/>
      <c r="Z175" s="91" t="s">
        <v>402</v>
      </c>
      <c r="AA175" s="91" t="s">
        <v>402</v>
      </c>
      <c r="AB175" s="91" t="s">
        <v>1542</v>
      </c>
      <c r="AC175" s="91"/>
      <c r="AD175" s="97" t="s">
        <v>1481</v>
      </c>
      <c r="AE175" s="98" t="str">
        <f>"*"&amp;F175&amp;"*"&amp;"( "&amp;O175&amp;", "&amp;P175&amp;" )"&amp;", "</f>
        <v xml:space="preserve">*SUKARDI*( NGALURAN, KARANGANYAR ), </v>
      </c>
      <c r="AF175" s="94" t="s">
        <v>564</v>
      </c>
      <c r="AG175" s="81" t="s">
        <v>310</v>
      </c>
      <c r="AH175" s="77"/>
    </row>
    <row r="176" spans="1:34" ht="30" customHeight="1" x14ac:dyDescent="0.35">
      <c r="A176" s="90">
        <v>173</v>
      </c>
      <c r="B176" s="91"/>
      <c r="C176" s="91" t="s">
        <v>610</v>
      </c>
      <c r="D176" s="91" t="s">
        <v>353</v>
      </c>
      <c r="E176" s="93" t="s">
        <v>105</v>
      </c>
      <c r="F176" s="94" t="s">
        <v>611</v>
      </c>
      <c r="G176" s="91" t="s">
        <v>355</v>
      </c>
      <c r="H176" s="91">
        <v>48</v>
      </c>
      <c r="I176" s="91">
        <v>0</v>
      </c>
      <c r="J176" s="91"/>
      <c r="K176" s="91" t="s">
        <v>356</v>
      </c>
      <c r="L176" s="91"/>
      <c r="M176" s="91" t="s">
        <v>357</v>
      </c>
      <c r="N176" s="94" t="s">
        <v>612</v>
      </c>
      <c r="O176" s="94" t="s">
        <v>613</v>
      </c>
      <c r="P176" s="94" t="s">
        <v>385</v>
      </c>
      <c r="Q176" s="91"/>
      <c r="R176" s="91" t="s">
        <v>531</v>
      </c>
      <c r="S176" s="91"/>
      <c r="T176" s="91" t="s">
        <v>363</v>
      </c>
      <c r="U176" s="91"/>
      <c r="V176" s="91"/>
      <c r="W176" s="91"/>
      <c r="X176" s="91"/>
      <c r="Y176" s="91"/>
      <c r="Z176" s="91" t="s">
        <v>614</v>
      </c>
      <c r="AA176" s="91" t="s">
        <v>615</v>
      </c>
      <c r="AB176" s="91" t="s">
        <v>616</v>
      </c>
      <c r="AC176" s="91"/>
      <c r="AD176" s="97" t="s">
        <v>521</v>
      </c>
      <c r="AE176" s="98" t="str">
        <f>"*"&amp;F176&amp;"*"&amp;"( "&amp;O176&amp;", "&amp;P176&amp;"/ "&amp;R176&amp;" )"&amp;", "</f>
        <v xml:space="preserve">*SRI WAHYUNI*( BATURSARI, MRANGGEN/ RSUD K.R.M.T Wongsonegoro Semarang ), </v>
      </c>
      <c r="AF176" s="94" t="s">
        <v>613</v>
      </c>
      <c r="AG176" s="81" t="s">
        <v>385</v>
      </c>
      <c r="AH176" s="103"/>
    </row>
    <row r="177" spans="1:34" ht="60" x14ac:dyDescent="0.35">
      <c r="A177" s="90">
        <v>174</v>
      </c>
      <c r="B177" s="92">
        <v>44009</v>
      </c>
      <c r="C177" s="91" t="s">
        <v>610</v>
      </c>
      <c r="D177" s="91" t="s">
        <v>353</v>
      </c>
      <c r="E177" s="93" t="s">
        <v>105</v>
      </c>
      <c r="F177" s="94" t="s">
        <v>1052</v>
      </c>
      <c r="G177" s="91" t="s">
        <v>413</v>
      </c>
      <c r="H177" s="91">
        <v>77</v>
      </c>
      <c r="I177" s="91" t="s">
        <v>1053</v>
      </c>
      <c r="J177" s="91"/>
      <c r="K177" s="91" t="s">
        <v>356</v>
      </c>
      <c r="L177" s="91"/>
      <c r="M177" s="91" t="s">
        <v>357</v>
      </c>
      <c r="N177" s="94" t="s">
        <v>1054</v>
      </c>
      <c r="O177" s="94" t="s">
        <v>308</v>
      </c>
      <c r="P177" s="94" t="s">
        <v>308</v>
      </c>
      <c r="Q177" s="91"/>
      <c r="R177" s="91" t="s">
        <v>369</v>
      </c>
      <c r="S177" s="91" t="s">
        <v>1055</v>
      </c>
      <c r="T177" s="91" t="s">
        <v>885</v>
      </c>
      <c r="U177" s="91"/>
      <c r="V177" s="91"/>
      <c r="W177" s="91"/>
      <c r="X177" s="91"/>
      <c r="Y177" s="91"/>
      <c r="Z177" s="91" t="s">
        <v>1056</v>
      </c>
      <c r="AA177" s="91" t="s">
        <v>402</v>
      </c>
      <c r="AB177" s="91" t="s">
        <v>1057</v>
      </c>
      <c r="AC177" s="91"/>
      <c r="AD177" s="97" t="s">
        <v>890</v>
      </c>
      <c r="AE177" s="98" t="str">
        <f>"*"&amp;F177&amp;"*"&amp;"( "&amp;O177&amp;", "&amp;P177&amp;"/ "&amp;T177&amp;" )"&amp;", "</f>
        <v xml:space="preserve">*MUHTAR*( GAJAH, GAJAH/ Rumah ), </v>
      </c>
      <c r="AF177" s="94" t="s">
        <v>308</v>
      </c>
      <c r="AG177" s="81" t="s">
        <v>308</v>
      </c>
      <c r="AH177" s="77"/>
    </row>
    <row r="178" spans="1:34" ht="30" customHeight="1" x14ac:dyDescent="0.35">
      <c r="A178" s="90">
        <v>175</v>
      </c>
      <c r="B178" s="91"/>
      <c r="C178" s="91" t="s">
        <v>610</v>
      </c>
      <c r="D178" s="91" t="s">
        <v>353</v>
      </c>
      <c r="E178" s="93" t="s">
        <v>105</v>
      </c>
      <c r="F178" s="94" t="s">
        <v>1436</v>
      </c>
      <c r="G178" s="91" t="s">
        <v>355</v>
      </c>
      <c r="H178" s="91">
        <v>59</v>
      </c>
      <c r="I178" s="93" t="s">
        <v>1437</v>
      </c>
      <c r="J178" s="91"/>
      <c r="K178" s="91" t="s">
        <v>356</v>
      </c>
      <c r="L178" s="91"/>
      <c r="M178" s="91" t="s">
        <v>357</v>
      </c>
      <c r="N178" s="101" t="s">
        <v>1438</v>
      </c>
      <c r="O178" s="101" t="s">
        <v>27</v>
      </c>
      <c r="P178" s="94" t="s">
        <v>0</v>
      </c>
      <c r="Q178" s="91"/>
      <c r="R178" s="91" t="s">
        <v>409</v>
      </c>
      <c r="S178" s="91"/>
      <c r="T178" s="91" t="s">
        <v>1334</v>
      </c>
      <c r="U178" s="91"/>
      <c r="V178" s="91"/>
      <c r="W178" s="91"/>
      <c r="X178" s="91"/>
      <c r="Y178" s="91"/>
      <c r="Z178" s="91"/>
      <c r="AA178" s="91" t="s">
        <v>1439</v>
      </c>
      <c r="AB178" s="91"/>
      <c r="AC178" s="91"/>
      <c r="AD178" s="97" t="s">
        <v>316</v>
      </c>
      <c r="AE178" s="98" t="str">
        <f>"*"&amp;F178&amp;"*"&amp;"( "&amp;O178&amp;", "&amp;P178&amp;" )"&amp;", "</f>
        <v xml:space="preserve">*SUNIPAH*( Pulosari, KARANGTENGAH ), </v>
      </c>
      <c r="AF178" s="101" t="s">
        <v>27</v>
      </c>
      <c r="AG178" s="81" t="s">
        <v>0</v>
      </c>
      <c r="AH178" s="103"/>
    </row>
    <row r="179" spans="1:34" ht="30" customHeight="1" x14ac:dyDescent="0.35">
      <c r="A179" s="90">
        <v>176</v>
      </c>
      <c r="B179" s="91"/>
      <c r="C179" s="91" t="s">
        <v>610</v>
      </c>
      <c r="D179" s="91" t="s">
        <v>353</v>
      </c>
      <c r="E179" s="93" t="s">
        <v>105</v>
      </c>
      <c r="F179" s="94" t="s">
        <v>1058</v>
      </c>
      <c r="G179" s="91" t="s">
        <v>355</v>
      </c>
      <c r="H179" s="91">
        <v>52</v>
      </c>
      <c r="I179" s="93" t="s">
        <v>1059</v>
      </c>
      <c r="J179" s="91"/>
      <c r="K179" s="91" t="s">
        <v>570</v>
      </c>
      <c r="L179" s="91"/>
      <c r="M179" s="91" t="s">
        <v>357</v>
      </c>
      <c r="N179" s="101" t="s">
        <v>1060</v>
      </c>
      <c r="O179" s="101" t="s">
        <v>825</v>
      </c>
      <c r="P179" s="94" t="s">
        <v>304</v>
      </c>
      <c r="Q179" s="91"/>
      <c r="R179" s="91" t="s">
        <v>905</v>
      </c>
      <c r="S179" s="91"/>
      <c r="T179" s="91" t="s">
        <v>885</v>
      </c>
      <c r="U179" s="91"/>
      <c r="V179" s="91"/>
      <c r="W179" s="91"/>
      <c r="X179" s="91"/>
      <c r="Y179" s="91"/>
      <c r="Z179" s="97"/>
      <c r="AA179" s="91"/>
      <c r="AB179" s="91"/>
      <c r="AC179" s="91"/>
      <c r="AD179" s="97" t="s">
        <v>890</v>
      </c>
      <c r="AE179" s="98" t="str">
        <f>"*"&amp;F179&amp;"*"&amp;"( "&amp;O179&amp;", "&amp;P179&amp;"/ "&amp;T179&amp;" )"&amp;", "</f>
        <v xml:space="preserve">*SUDARTI*( PURWOSARI, SAYUNG/ Rumah ), </v>
      </c>
      <c r="AF179" s="101" t="s">
        <v>825</v>
      </c>
      <c r="AG179" s="81" t="s">
        <v>304</v>
      </c>
    </row>
    <row r="180" spans="1:34" s="77" customFormat="1" ht="45" customHeight="1" x14ac:dyDescent="0.35">
      <c r="A180" s="90">
        <v>177</v>
      </c>
      <c r="B180" s="91"/>
      <c r="C180" s="91" t="s">
        <v>610</v>
      </c>
      <c r="D180" s="91" t="s">
        <v>353</v>
      </c>
      <c r="E180" s="93" t="s">
        <v>105</v>
      </c>
      <c r="F180" s="94" t="s">
        <v>792</v>
      </c>
      <c r="G180" s="91" t="s">
        <v>355</v>
      </c>
      <c r="H180" s="91">
        <v>50</v>
      </c>
      <c r="I180" s="93"/>
      <c r="J180" s="91"/>
      <c r="K180" s="91" t="s">
        <v>356</v>
      </c>
      <c r="L180" s="91"/>
      <c r="M180" s="91" t="s">
        <v>357</v>
      </c>
      <c r="N180" s="101" t="s">
        <v>1061</v>
      </c>
      <c r="O180" s="101" t="s">
        <v>700</v>
      </c>
      <c r="P180" s="94" t="s">
        <v>308</v>
      </c>
      <c r="Q180" s="91"/>
      <c r="R180" s="91" t="s">
        <v>905</v>
      </c>
      <c r="S180" s="91"/>
      <c r="T180" s="91" t="s">
        <v>885</v>
      </c>
      <c r="U180" s="91"/>
      <c r="V180" s="91"/>
      <c r="W180" s="91"/>
      <c r="X180" s="91"/>
      <c r="Y180" s="91"/>
      <c r="Z180" s="97"/>
      <c r="AA180" s="91"/>
      <c r="AB180" s="91"/>
      <c r="AC180" s="91"/>
      <c r="AD180" s="97" t="s">
        <v>890</v>
      </c>
      <c r="AE180" s="98" t="str">
        <f>"*"&amp;F180&amp;"*"&amp;"( "&amp;O180&amp;", "&amp;P180&amp;"/ "&amp;T180&amp;" )"&amp;", "</f>
        <v xml:space="preserve">*PURWATI*( SARI, GAJAH/ Rumah ), </v>
      </c>
      <c r="AF180" s="101" t="s">
        <v>700</v>
      </c>
      <c r="AG180" s="81" t="s">
        <v>308</v>
      </c>
    </row>
    <row r="181" spans="1:34" s="77" customFormat="1" ht="31.5" customHeight="1" x14ac:dyDescent="0.35">
      <c r="A181" s="90">
        <v>178</v>
      </c>
      <c r="B181" s="91"/>
      <c r="C181" s="91" t="s">
        <v>610</v>
      </c>
      <c r="D181" s="91" t="s">
        <v>353</v>
      </c>
      <c r="E181" s="93" t="s">
        <v>105</v>
      </c>
      <c r="F181" s="94" t="s">
        <v>1858</v>
      </c>
      <c r="G181" s="91" t="s">
        <v>355</v>
      </c>
      <c r="H181" s="91">
        <v>28</v>
      </c>
      <c r="I181" s="93" t="s">
        <v>1859</v>
      </c>
      <c r="J181" s="91"/>
      <c r="K181" s="91" t="s">
        <v>356</v>
      </c>
      <c r="L181" s="91"/>
      <c r="M181" s="91" t="s">
        <v>357</v>
      </c>
      <c r="N181" s="101" t="s">
        <v>1860</v>
      </c>
      <c r="O181" s="101" t="s">
        <v>1861</v>
      </c>
      <c r="P181" s="94" t="s">
        <v>385</v>
      </c>
      <c r="Q181" s="91"/>
      <c r="R181" s="91" t="s">
        <v>905</v>
      </c>
      <c r="S181" s="91"/>
      <c r="T181" s="91"/>
      <c r="U181" s="91"/>
      <c r="V181" s="91"/>
      <c r="W181" s="91"/>
      <c r="X181" s="91"/>
      <c r="Y181" s="91"/>
      <c r="Z181" s="97"/>
      <c r="AA181" s="91"/>
      <c r="AB181" s="91"/>
      <c r="AC181" s="91"/>
      <c r="AD181" s="97" t="s">
        <v>1590</v>
      </c>
      <c r="AE181" s="98" t="str">
        <f>"*"&amp;F181&amp;"*"&amp;"( "&amp;O181&amp;", "&amp;P181&amp;" )"&amp;", "</f>
        <v xml:space="preserve">*OKKY AWANG MARJAT SAMODRA*( NGEMPLAK, MRANGGEN ), </v>
      </c>
      <c r="AF181" s="101" t="s">
        <v>1861</v>
      </c>
      <c r="AG181" s="81" t="s">
        <v>385</v>
      </c>
      <c r="AH181" s="103"/>
    </row>
    <row r="182" spans="1:34" s="77" customFormat="1" ht="42" customHeight="1" x14ac:dyDescent="0.35">
      <c r="A182" s="90">
        <v>179</v>
      </c>
      <c r="B182" s="91"/>
      <c r="C182" s="91" t="s">
        <v>610</v>
      </c>
      <c r="D182" s="91" t="s">
        <v>353</v>
      </c>
      <c r="E182" s="93" t="s">
        <v>105</v>
      </c>
      <c r="F182" s="94" t="s">
        <v>1062</v>
      </c>
      <c r="G182" s="91" t="s">
        <v>413</v>
      </c>
      <c r="H182" s="91">
        <v>61</v>
      </c>
      <c r="I182" s="91">
        <v>85397183410</v>
      </c>
      <c r="J182" s="91"/>
      <c r="K182" s="91" t="s">
        <v>356</v>
      </c>
      <c r="L182" s="91"/>
      <c r="M182" s="91" t="s">
        <v>357</v>
      </c>
      <c r="N182" s="101" t="s">
        <v>1063</v>
      </c>
      <c r="O182" s="101" t="s">
        <v>1064</v>
      </c>
      <c r="P182" s="94" t="s">
        <v>311</v>
      </c>
      <c r="Q182" s="91"/>
      <c r="R182" s="91" t="s">
        <v>905</v>
      </c>
      <c r="S182" s="91"/>
      <c r="T182" s="91" t="s">
        <v>885</v>
      </c>
      <c r="U182" s="91"/>
      <c r="V182" s="91"/>
      <c r="W182" s="91"/>
      <c r="X182" s="91"/>
      <c r="Y182" s="91"/>
      <c r="Z182" s="97"/>
      <c r="AA182" s="91"/>
      <c r="AB182" s="91"/>
      <c r="AC182" s="91"/>
      <c r="AD182" s="97" t="s">
        <v>890</v>
      </c>
      <c r="AE182" s="98" t="str">
        <f>"*"&amp;F182&amp;"*"&amp;"( "&amp;O182&amp;", "&amp;P182&amp;"/ "&amp;T182&amp;" )"&amp;", "</f>
        <v xml:space="preserve">*MAGFURON*( JALI, BONANG/ Rumah ), </v>
      </c>
      <c r="AF182" s="101" t="s">
        <v>1064</v>
      </c>
      <c r="AG182" s="81" t="s">
        <v>311</v>
      </c>
      <c r="AH182" s="79"/>
    </row>
    <row r="183" spans="1:34" s="77" customFormat="1" ht="31.5" customHeight="1" x14ac:dyDescent="0.35">
      <c r="A183" s="90">
        <v>180</v>
      </c>
      <c r="B183" s="104"/>
      <c r="C183" s="92">
        <v>43999</v>
      </c>
      <c r="D183" s="104" t="s">
        <v>428</v>
      </c>
      <c r="E183" s="104" t="s">
        <v>429</v>
      </c>
      <c r="F183" s="105" t="s">
        <v>1440</v>
      </c>
      <c r="G183" s="104"/>
      <c r="H183" s="104">
        <v>57</v>
      </c>
      <c r="I183" s="104" t="s">
        <v>1441</v>
      </c>
      <c r="J183" s="104"/>
      <c r="K183" s="104"/>
      <c r="L183" s="104"/>
      <c r="M183" s="104"/>
      <c r="N183" s="105" t="s">
        <v>1442</v>
      </c>
      <c r="O183" s="105" t="s">
        <v>1131</v>
      </c>
      <c r="P183" s="105" t="s">
        <v>0</v>
      </c>
      <c r="Q183" s="104"/>
      <c r="R183" s="104" t="s">
        <v>409</v>
      </c>
      <c r="S183" s="104" t="s">
        <v>621</v>
      </c>
      <c r="T183" s="104" t="s">
        <v>783</v>
      </c>
      <c r="U183" s="104"/>
      <c r="V183" s="104"/>
      <c r="W183" s="104"/>
      <c r="X183" s="104"/>
      <c r="Y183" s="104"/>
      <c r="Z183" s="104"/>
      <c r="AA183" s="104" t="s">
        <v>1443</v>
      </c>
      <c r="AB183" s="106"/>
      <c r="AC183" s="104"/>
      <c r="AD183" s="97" t="s">
        <v>316</v>
      </c>
      <c r="AE183" s="98" t="str">
        <f>"*"&amp;F183&amp;"*"&amp;"( "&amp;O183&amp;", "&amp;P183&amp;" )"&amp;", "</f>
        <v xml:space="preserve">*SUKARDI*( TAMBAKBULUSAN, KARANGTENGAH ), </v>
      </c>
      <c r="AF183" s="105" t="s">
        <v>1131</v>
      </c>
      <c r="AG183" s="81" t="s">
        <v>0</v>
      </c>
      <c r="AH183" s="79"/>
    </row>
    <row r="184" spans="1:34" s="77" customFormat="1" ht="30" customHeight="1" x14ac:dyDescent="0.35">
      <c r="A184" s="90">
        <v>181</v>
      </c>
      <c r="B184" s="104"/>
      <c r="C184" s="92">
        <v>43999</v>
      </c>
      <c r="D184" s="104" t="s">
        <v>428</v>
      </c>
      <c r="E184" s="104" t="s">
        <v>429</v>
      </c>
      <c r="F184" s="105" t="s">
        <v>430</v>
      </c>
      <c r="G184" s="104"/>
      <c r="H184" s="104">
        <v>64</v>
      </c>
      <c r="I184" s="104" t="s">
        <v>431</v>
      </c>
      <c r="J184" s="104"/>
      <c r="K184" s="104"/>
      <c r="L184" s="104"/>
      <c r="M184" s="104"/>
      <c r="N184" s="105" t="s">
        <v>432</v>
      </c>
      <c r="O184" s="105" t="s">
        <v>433</v>
      </c>
      <c r="P184" s="105" t="s">
        <v>91</v>
      </c>
      <c r="Q184" s="104"/>
      <c r="R184" s="104" t="s">
        <v>409</v>
      </c>
      <c r="S184" s="106">
        <v>43992</v>
      </c>
      <c r="T184" s="91" t="s">
        <v>434</v>
      </c>
      <c r="U184" s="104"/>
      <c r="V184" s="104"/>
      <c r="W184" s="104"/>
      <c r="X184" s="104"/>
      <c r="Y184" s="104"/>
      <c r="Z184" s="104"/>
      <c r="AA184" s="104" t="s">
        <v>435</v>
      </c>
      <c r="AB184" s="106">
        <v>43990</v>
      </c>
      <c r="AC184" s="104"/>
      <c r="AD184" s="97" t="s">
        <v>365</v>
      </c>
      <c r="AE184" s="98" t="str">
        <f>"*"&amp;F184&amp;"*"&amp;"( "&amp;O184&amp;", "&amp;P184&amp;" )"&amp;", "</f>
        <v xml:space="preserve">*MUZDHALIFAH*( MLATEN, Mijen ), </v>
      </c>
      <c r="AF184" s="105" t="s">
        <v>433</v>
      </c>
      <c r="AG184" s="81" t="s">
        <v>309</v>
      </c>
      <c r="AH184" s="79"/>
    </row>
    <row r="185" spans="1:34" s="77" customFormat="1" ht="78.75" customHeight="1" x14ac:dyDescent="0.35">
      <c r="A185" s="90">
        <v>182</v>
      </c>
      <c r="B185" s="104"/>
      <c r="C185" s="92">
        <v>43999</v>
      </c>
      <c r="D185" s="104" t="s">
        <v>428</v>
      </c>
      <c r="E185" s="104" t="s">
        <v>429</v>
      </c>
      <c r="F185" s="105" t="s">
        <v>1444</v>
      </c>
      <c r="G185" s="104"/>
      <c r="H185" s="104">
        <v>64</v>
      </c>
      <c r="I185" s="104">
        <v>0</v>
      </c>
      <c r="J185" s="104"/>
      <c r="K185" s="104"/>
      <c r="L185" s="104"/>
      <c r="M185" s="104"/>
      <c r="N185" s="105" t="s">
        <v>1445</v>
      </c>
      <c r="O185" s="105" t="s">
        <v>1252</v>
      </c>
      <c r="P185" s="105" t="s">
        <v>312</v>
      </c>
      <c r="Q185" s="104"/>
      <c r="R185" s="104" t="s">
        <v>409</v>
      </c>
      <c r="S185" s="104" t="s">
        <v>621</v>
      </c>
      <c r="T185" s="91" t="s">
        <v>783</v>
      </c>
      <c r="U185" s="104"/>
      <c r="V185" s="104"/>
      <c r="W185" s="104"/>
      <c r="X185" s="104"/>
      <c r="Y185" s="104"/>
      <c r="Z185" s="104"/>
      <c r="AA185" s="104" t="s">
        <v>1446</v>
      </c>
      <c r="AB185" s="106"/>
      <c r="AC185" s="104"/>
      <c r="AD185" s="97" t="s">
        <v>316</v>
      </c>
      <c r="AE185" s="98" t="str">
        <f>"*"&amp;F185&amp;"*"&amp;"( "&amp;O185&amp;", "&amp;P185&amp;" )"&amp;", "</f>
        <v xml:space="preserve">*ALI AHMAD AMILIN*( JUNGPASIR, WEDUNG ), </v>
      </c>
      <c r="AF185" s="105" t="s">
        <v>1252</v>
      </c>
      <c r="AG185" s="81" t="s">
        <v>312</v>
      </c>
      <c r="AH185" s="79"/>
    </row>
    <row r="186" spans="1:34" s="77" customFormat="1" ht="31.5" customHeight="1" x14ac:dyDescent="0.35">
      <c r="A186" s="90">
        <v>183</v>
      </c>
      <c r="B186" s="104"/>
      <c r="C186" s="92">
        <v>43999</v>
      </c>
      <c r="D186" s="104" t="s">
        <v>428</v>
      </c>
      <c r="E186" s="104" t="s">
        <v>429</v>
      </c>
      <c r="F186" s="105" t="s">
        <v>617</v>
      </c>
      <c r="G186" s="104"/>
      <c r="H186" s="104">
        <v>51</v>
      </c>
      <c r="I186" s="104" t="s">
        <v>618</v>
      </c>
      <c r="J186" s="104"/>
      <c r="K186" s="104"/>
      <c r="L186" s="104"/>
      <c r="M186" s="104"/>
      <c r="N186" s="105" t="s">
        <v>619</v>
      </c>
      <c r="O186" s="105" t="s">
        <v>620</v>
      </c>
      <c r="P186" s="105" t="s">
        <v>311</v>
      </c>
      <c r="Q186" s="104"/>
      <c r="R186" s="104" t="s">
        <v>409</v>
      </c>
      <c r="S186" s="104" t="s">
        <v>621</v>
      </c>
      <c r="T186" s="91" t="s">
        <v>622</v>
      </c>
      <c r="U186" s="104"/>
      <c r="V186" s="104" t="s">
        <v>623</v>
      </c>
      <c r="W186" s="104"/>
      <c r="X186" s="104"/>
      <c r="Y186" s="104"/>
      <c r="Z186" s="104"/>
      <c r="AA186" s="104" t="s">
        <v>624</v>
      </c>
      <c r="AB186" s="106"/>
      <c r="AC186" s="104"/>
      <c r="AD186" s="121" t="s">
        <v>521</v>
      </c>
      <c r="AE186" s="98" t="str">
        <f>"*"&amp;F186&amp;"*"&amp;"( "&amp;O186&amp;", "&amp;P186&amp;"/ "&amp;R186&amp;" )"&amp;", "</f>
        <v xml:space="preserve">*NUR SALIM*( BETAHWALANG, BONANG/ RSUD  SUKA DEMAK ), </v>
      </c>
      <c r="AF186" s="105" t="s">
        <v>620</v>
      </c>
      <c r="AG186" s="81" t="s">
        <v>311</v>
      </c>
      <c r="AH186" s="79"/>
    </row>
    <row r="187" spans="1:34" s="77" customFormat="1" ht="30" customHeight="1" x14ac:dyDescent="0.35">
      <c r="A187" s="90">
        <v>184</v>
      </c>
      <c r="B187" s="92">
        <v>44009</v>
      </c>
      <c r="C187" s="92">
        <v>43999</v>
      </c>
      <c r="D187" s="104" t="s">
        <v>428</v>
      </c>
      <c r="E187" s="104" t="s">
        <v>429</v>
      </c>
      <c r="F187" s="105" t="s">
        <v>1065</v>
      </c>
      <c r="G187" s="104"/>
      <c r="H187" s="104">
        <v>0</v>
      </c>
      <c r="I187" s="104">
        <v>0</v>
      </c>
      <c r="J187" s="104"/>
      <c r="K187" s="104"/>
      <c r="L187" s="104"/>
      <c r="M187" s="104"/>
      <c r="N187" s="105" t="s">
        <v>1066</v>
      </c>
      <c r="O187" s="105" t="s">
        <v>1067</v>
      </c>
      <c r="P187" s="105" t="s">
        <v>311</v>
      </c>
      <c r="Q187" s="104"/>
      <c r="R187" s="104" t="s">
        <v>409</v>
      </c>
      <c r="S187" s="104" t="s">
        <v>1068</v>
      </c>
      <c r="T187" s="91" t="s">
        <v>885</v>
      </c>
      <c r="U187" s="104"/>
      <c r="V187" s="104"/>
      <c r="W187" s="104"/>
      <c r="X187" s="104"/>
      <c r="Y187" s="104"/>
      <c r="Z187" s="104"/>
      <c r="AA187" s="104" t="s">
        <v>1069</v>
      </c>
      <c r="AB187" s="106">
        <v>43989</v>
      </c>
      <c r="AC187" s="104"/>
      <c r="AD187" s="97" t="s">
        <v>890</v>
      </c>
      <c r="AE187" s="98" t="str">
        <f>"*"&amp;F187&amp;"*"&amp;"( "&amp;O187&amp;", "&amp;P187&amp;"/ "&amp;T187&amp;" )"&amp;", "</f>
        <v xml:space="preserve">*MUNAYIROH*( MORODEMAK, BONANG/ Rumah ), </v>
      </c>
      <c r="AF187" s="105" t="s">
        <v>1067</v>
      </c>
      <c r="AG187" s="81" t="s">
        <v>311</v>
      </c>
      <c r="AH187" s="79"/>
    </row>
    <row r="188" spans="1:34" s="103" customFormat="1" ht="21" customHeight="1" x14ac:dyDescent="0.35">
      <c r="A188" s="90">
        <v>185</v>
      </c>
      <c r="B188" s="91"/>
      <c r="C188" s="92">
        <v>43999</v>
      </c>
      <c r="D188" s="91" t="s">
        <v>428</v>
      </c>
      <c r="E188" s="91" t="s">
        <v>429</v>
      </c>
      <c r="F188" s="94" t="s">
        <v>1917</v>
      </c>
      <c r="G188" s="90" t="s">
        <v>413</v>
      </c>
      <c r="H188" s="90">
        <v>42</v>
      </c>
      <c r="I188" s="122" t="s">
        <v>1918</v>
      </c>
      <c r="J188" s="91"/>
      <c r="K188" s="91"/>
      <c r="L188" s="91"/>
      <c r="M188" s="91"/>
      <c r="N188" s="94" t="s">
        <v>1919</v>
      </c>
      <c r="O188" s="94" t="s">
        <v>633</v>
      </c>
      <c r="P188" s="94" t="s">
        <v>312</v>
      </c>
      <c r="Q188" s="91"/>
      <c r="R188" s="91" t="s">
        <v>695</v>
      </c>
      <c r="S188" s="92" t="s">
        <v>629</v>
      </c>
      <c r="T188" s="91"/>
      <c r="U188" s="123"/>
      <c r="V188" s="123"/>
      <c r="W188" s="123"/>
      <c r="X188" s="123"/>
      <c r="Y188" s="123" t="s">
        <v>1784</v>
      </c>
      <c r="Z188" s="97" t="s">
        <v>1590</v>
      </c>
      <c r="AA188" s="91">
        <v>0</v>
      </c>
      <c r="AB188" s="91" t="s">
        <v>402</v>
      </c>
      <c r="AC188" s="91"/>
      <c r="AD188" s="97" t="s">
        <v>1866</v>
      </c>
      <c r="AE188" s="98" t="str">
        <f>"*"&amp;F188&amp;"*"&amp;"( "&amp;O188&amp;", "&amp;P188&amp;" )"&amp;", "</f>
        <v xml:space="preserve">*TN. MUHYIDDIN*( BABALAN, WEDUNG ), </v>
      </c>
      <c r="AF188" s="94" t="s">
        <v>633</v>
      </c>
      <c r="AG188" s="81" t="s">
        <v>312</v>
      </c>
      <c r="AH188" s="79"/>
    </row>
    <row r="189" spans="1:34" s="103" customFormat="1" ht="21" customHeight="1" x14ac:dyDescent="0.35">
      <c r="A189" s="90">
        <v>186</v>
      </c>
      <c r="B189" s="91"/>
      <c r="C189" s="92">
        <v>43999</v>
      </c>
      <c r="D189" s="91" t="s">
        <v>428</v>
      </c>
      <c r="E189" s="91" t="s">
        <v>429</v>
      </c>
      <c r="F189" s="94" t="s">
        <v>625</v>
      </c>
      <c r="G189" s="90" t="s">
        <v>413</v>
      </c>
      <c r="H189" s="90">
        <v>45</v>
      </c>
      <c r="I189" s="122" t="s">
        <v>626</v>
      </c>
      <c r="J189" s="91"/>
      <c r="K189" s="91"/>
      <c r="L189" s="91"/>
      <c r="M189" s="91"/>
      <c r="N189" s="94" t="s">
        <v>627</v>
      </c>
      <c r="O189" s="94" t="s">
        <v>628</v>
      </c>
      <c r="P189" s="94" t="s">
        <v>304</v>
      </c>
      <c r="Q189" s="91"/>
      <c r="R189" s="91" t="s">
        <v>517</v>
      </c>
      <c r="S189" s="92" t="s">
        <v>629</v>
      </c>
      <c r="T189" s="91" t="s">
        <v>622</v>
      </c>
      <c r="U189" s="123"/>
      <c r="V189" s="123"/>
      <c r="W189" s="123"/>
      <c r="X189" s="123"/>
      <c r="Y189" s="123"/>
      <c r="Z189" s="97"/>
      <c r="AA189" s="91" t="s">
        <v>577</v>
      </c>
      <c r="AB189" s="91" t="s">
        <v>402</v>
      </c>
      <c r="AC189" s="91"/>
      <c r="AD189" s="121" t="s">
        <v>521</v>
      </c>
      <c r="AE189" s="98" t="str">
        <f>"*"&amp;F189&amp;"*"&amp;"( "&amp;O189&amp;", "&amp;P189&amp;"/ "&amp;R189&amp;" )"&amp;", "</f>
        <v xml:space="preserve">*KHOIRIL WARO*( LOIRENG, SAYUNG/ RSU Sultan Agung Semarang ), </v>
      </c>
      <c r="AF189" s="94" t="s">
        <v>628</v>
      </c>
      <c r="AG189" s="81" t="s">
        <v>304</v>
      </c>
      <c r="AH189" s="79"/>
    </row>
    <row r="190" spans="1:34" s="103" customFormat="1" ht="105" customHeight="1" x14ac:dyDescent="0.35">
      <c r="A190" s="90">
        <v>187</v>
      </c>
      <c r="B190" s="91"/>
      <c r="C190" s="92">
        <v>43999</v>
      </c>
      <c r="D190" s="91" t="s">
        <v>428</v>
      </c>
      <c r="E190" s="91" t="s">
        <v>429</v>
      </c>
      <c r="F190" s="94" t="s">
        <v>1272</v>
      </c>
      <c r="G190" s="90" t="s">
        <v>413</v>
      </c>
      <c r="H190" s="90">
        <v>36</v>
      </c>
      <c r="I190" s="122" t="s">
        <v>1273</v>
      </c>
      <c r="J190" s="91"/>
      <c r="K190" s="91"/>
      <c r="L190" s="91"/>
      <c r="M190" s="91"/>
      <c r="N190" s="94" t="s">
        <v>1274</v>
      </c>
      <c r="O190" s="94" t="s">
        <v>825</v>
      </c>
      <c r="P190" s="94" t="s">
        <v>304</v>
      </c>
      <c r="Q190" s="91"/>
      <c r="R190" s="91" t="s">
        <v>850</v>
      </c>
      <c r="S190" s="92" t="s">
        <v>639</v>
      </c>
      <c r="T190" s="91" t="s">
        <v>1087</v>
      </c>
      <c r="U190" s="123"/>
      <c r="V190" s="123"/>
      <c r="W190" s="123"/>
      <c r="X190" s="123"/>
      <c r="Y190" s="123"/>
      <c r="Z190" s="97"/>
      <c r="AA190" s="91" t="s">
        <v>577</v>
      </c>
      <c r="AB190" s="91" t="s">
        <v>402</v>
      </c>
      <c r="AC190" s="91"/>
      <c r="AD190" s="97" t="s">
        <v>1271</v>
      </c>
      <c r="AE190" s="98" t="str">
        <f>"*"&amp;F190&amp;"*"&amp;"( "&amp;O190&amp;", "&amp;P190&amp;"/ "&amp;T190&amp;" )"&amp;", "</f>
        <v xml:space="preserve">*SITI FATIMAH*( PURWOSARI, SAYUNG/ rumah ), </v>
      </c>
      <c r="AF190" s="94" t="s">
        <v>825</v>
      </c>
      <c r="AG190" s="81" t="s">
        <v>304</v>
      </c>
      <c r="AH190"/>
    </row>
    <row r="191" spans="1:34" s="103" customFormat="1" ht="78.75" customHeight="1" x14ac:dyDescent="0.35">
      <c r="A191" s="90">
        <v>188</v>
      </c>
      <c r="B191" s="104"/>
      <c r="C191" s="92">
        <v>43999</v>
      </c>
      <c r="D191" s="104" t="s">
        <v>428</v>
      </c>
      <c r="E191" s="104" t="s">
        <v>429</v>
      </c>
      <c r="F191" s="105" t="s">
        <v>1447</v>
      </c>
      <c r="G191" s="104"/>
      <c r="H191" s="104">
        <v>35</v>
      </c>
      <c r="I191" s="104">
        <v>0</v>
      </c>
      <c r="J191" s="104"/>
      <c r="K191" s="104"/>
      <c r="L191" s="104"/>
      <c r="M191" s="104"/>
      <c r="N191" s="105" t="s">
        <v>1448</v>
      </c>
      <c r="O191" s="105" t="s">
        <v>1147</v>
      </c>
      <c r="P191" s="105" t="s">
        <v>311</v>
      </c>
      <c r="Q191" s="104"/>
      <c r="R191" s="104" t="s">
        <v>409</v>
      </c>
      <c r="S191" s="104" t="s">
        <v>1068</v>
      </c>
      <c r="T191" s="104" t="s">
        <v>1449</v>
      </c>
      <c r="U191" s="104"/>
      <c r="V191" s="104"/>
      <c r="W191" s="104"/>
      <c r="X191" s="104"/>
      <c r="Y191" s="104"/>
      <c r="Z191" s="104"/>
      <c r="AA191" s="104" t="s">
        <v>1450</v>
      </c>
      <c r="AB191" s="106">
        <v>43991</v>
      </c>
      <c r="AC191" s="104"/>
      <c r="AD191" s="97" t="s">
        <v>316</v>
      </c>
      <c r="AE191" s="98" t="str">
        <f>"*"&amp;F191&amp;"*"&amp;"( "&amp;O191&amp;", "&amp;P191&amp;" )"&amp;", "</f>
        <v xml:space="preserve">*SUKANAH*( TRIDONOREJO, BONANG ), </v>
      </c>
      <c r="AF191" s="105" t="s">
        <v>1147</v>
      </c>
      <c r="AG191" s="81" t="s">
        <v>311</v>
      </c>
      <c r="AH191" s="79"/>
    </row>
    <row r="192" spans="1:34" s="103" customFormat="1" ht="47.25" customHeight="1" x14ac:dyDescent="0.35">
      <c r="A192" s="90">
        <v>189</v>
      </c>
      <c r="B192" s="104"/>
      <c r="C192" s="92">
        <v>43999</v>
      </c>
      <c r="D192" s="104" t="s">
        <v>428</v>
      </c>
      <c r="E192" s="104" t="s">
        <v>429</v>
      </c>
      <c r="F192" s="105" t="s">
        <v>1451</v>
      </c>
      <c r="G192" s="104"/>
      <c r="H192" s="104">
        <v>43</v>
      </c>
      <c r="I192" s="121" t="s">
        <v>431</v>
      </c>
      <c r="J192" s="104"/>
      <c r="K192" s="104"/>
      <c r="L192" s="104"/>
      <c r="M192" s="104"/>
      <c r="N192" s="105" t="s">
        <v>1452</v>
      </c>
      <c r="O192" s="105" t="s">
        <v>305</v>
      </c>
      <c r="P192" s="105" t="s">
        <v>305</v>
      </c>
      <c r="Q192" s="104"/>
      <c r="R192" s="104" t="s">
        <v>409</v>
      </c>
      <c r="S192" s="104">
        <v>0</v>
      </c>
      <c r="T192" s="104" t="s">
        <v>1449</v>
      </c>
      <c r="U192" s="104"/>
      <c r="V192" s="104"/>
      <c r="W192" s="104"/>
      <c r="X192" s="104"/>
      <c r="Y192" s="104"/>
      <c r="Z192" s="104"/>
      <c r="AA192" s="104">
        <v>0</v>
      </c>
      <c r="AB192" s="121" t="s">
        <v>666</v>
      </c>
      <c r="AC192" s="104"/>
      <c r="AD192" s="97" t="s">
        <v>316</v>
      </c>
      <c r="AE192" s="98" t="str">
        <f>"*"&amp;F192&amp;"*"&amp;"( "&amp;O192&amp;", "&amp;P192&amp;" )"&amp;", "</f>
        <v xml:space="preserve">*MUH SUEF*( WONOSALAM, WONOSALAM ), </v>
      </c>
      <c r="AF192" s="105" t="s">
        <v>305</v>
      </c>
      <c r="AG192" s="81" t="s">
        <v>305</v>
      </c>
      <c r="AH192" s="79"/>
    </row>
    <row r="193" spans="1:34" s="103" customFormat="1" ht="47.25" customHeight="1" x14ac:dyDescent="0.35">
      <c r="A193" s="90">
        <v>190</v>
      </c>
      <c r="B193" s="121"/>
      <c r="C193" s="92">
        <v>44000</v>
      </c>
      <c r="D193" s="121" t="s">
        <v>428</v>
      </c>
      <c r="E193" s="121" t="s">
        <v>429</v>
      </c>
      <c r="F193" s="94" t="s">
        <v>1543</v>
      </c>
      <c r="G193" s="121" t="s">
        <v>355</v>
      </c>
      <c r="H193" s="121">
        <v>57</v>
      </c>
      <c r="I193" s="121" t="s">
        <v>1544</v>
      </c>
      <c r="J193" s="121"/>
      <c r="K193" s="121"/>
      <c r="L193" s="121"/>
      <c r="M193" s="121"/>
      <c r="N193" s="94" t="s">
        <v>1545</v>
      </c>
      <c r="O193" s="94" t="s">
        <v>724</v>
      </c>
      <c r="P193" s="94" t="s">
        <v>385</v>
      </c>
      <c r="Q193" s="121"/>
      <c r="R193" s="121" t="s">
        <v>531</v>
      </c>
      <c r="S193" s="121" t="s">
        <v>639</v>
      </c>
      <c r="T193" s="121"/>
      <c r="U193" s="121"/>
      <c r="V193" s="121"/>
      <c r="W193" s="121"/>
      <c r="X193" s="121"/>
      <c r="Y193" s="121"/>
      <c r="Z193" s="121"/>
      <c r="AA193" s="121" t="s">
        <v>1546</v>
      </c>
      <c r="AB193" s="121" t="s">
        <v>402</v>
      </c>
      <c r="AC193" s="121"/>
      <c r="AD193" s="121" t="s">
        <v>1481</v>
      </c>
      <c r="AE193" s="98" t="str">
        <f>"*"&amp;F193&amp;"*"&amp;"( "&amp;O193&amp;", "&amp;P193&amp;" )"&amp;", "</f>
        <v xml:space="preserve">*SUYATI*( KEMBANGARUM, MRANGGEN ), </v>
      </c>
      <c r="AF193" s="94" t="s">
        <v>724</v>
      </c>
      <c r="AG193" s="81" t="s">
        <v>385</v>
      </c>
      <c r="AH193" s="79"/>
    </row>
    <row r="194" spans="1:34" s="103" customFormat="1" ht="31.5" customHeight="1" x14ac:dyDescent="0.35">
      <c r="A194" s="90">
        <v>191</v>
      </c>
      <c r="B194" s="121"/>
      <c r="C194" s="92">
        <v>44000</v>
      </c>
      <c r="D194" s="121" t="s">
        <v>428</v>
      </c>
      <c r="E194" s="121" t="s">
        <v>429</v>
      </c>
      <c r="F194" s="94" t="s">
        <v>1920</v>
      </c>
      <c r="G194" s="121" t="s">
        <v>413</v>
      </c>
      <c r="H194" s="121">
        <v>61</v>
      </c>
      <c r="I194" s="121" t="s">
        <v>1921</v>
      </c>
      <c r="J194" s="121"/>
      <c r="K194" s="121"/>
      <c r="L194" s="121"/>
      <c r="M194" s="121"/>
      <c r="N194" s="94" t="s">
        <v>1922</v>
      </c>
      <c r="O194" s="94" t="s">
        <v>744</v>
      </c>
      <c r="P194" s="94" t="s">
        <v>385</v>
      </c>
      <c r="Q194" s="121"/>
      <c r="R194" s="121" t="s">
        <v>531</v>
      </c>
      <c r="S194" s="121" t="s">
        <v>599</v>
      </c>
      <c r="T194" s="121" t="s">
        <v>1590</v>
      </c>
      <c r="U194" s="121"/>
      <c r="V194" s="121"/>
      <c r="W194" s="121"/>
      <c r="X194" s="121"/>
      <c r="Y194" s="121"/>
      <c r="Z194" s="121"/>
      <c r="AA194" s="121" t="s">
        <v>1539</v>
      </c>
      <c r="AB194" s="121" t="s">
        <v>402</v>
      </c>
      <c r="AC194" s="121"/>
      <c r="AD194" s="121" t="s">
        <v>1866</v>
      </c>
      <c r="AE194" s="98" t="str">
        <f>"*"&amp;F194&amp;"*"&amp;"( "&amp;O194&amp;", "&amp;P194&amp;" )"&amp;", "</f>
        <v xml:space="preserve">*SUGIYONO*( BANDUNGREJO, MRANGGEN ), </v>
      </c>
      <c r="AF194" s="94" t="s">
        <v>744</v>
      </c>
      <c r="AG194" s="81" t="s">
        <v>385</v>
      </c>
      <c r="AH194" s="79"/>
    </row>
    <row r="195" spans="1:34" ht="47.25" customHeight="1" x14ac:dyDescent="0.35">
      <c r="A195" s="90">
        <v>192</v>
      </c>
      <c r="B195" s="121"/>
      <c r="C195" s="92">
        <v>44000</v>
      </c>
      <c r="D195" s="121" t="s">
        <v>428</v>
      </c>
      <c r="E195" s="121" t="s">
        <v>429</v>
      </c>
      <c r="F195" s="94" t="s">
        <v>1547</v>
      </c>
      <c r="G195" s="121" t="s">
        <v>413</v>
      </c>
      <c r="H195" s="121">
        <v>53</v>
      </c>
      <c r="I195" s="121" t="s">
        <v>1548</v>
      </c>
      <c r="J195" s="121"/>
      <c r="K195" s="121"/>
      <c r="L195" s="121"/>
      <c r="M195" s="121"/>
      <c r="N195" s="94" t="s">
        <v>1549</v>
      </c>
      <c r="O195" s="94" t="s">
        <v>613</v>
      </c>
      <c r="P195" s="94" t="s">
        <v>385</v>
      </c>
      <c r="Q195" s="121"/>
      <c r="R195" s="121" t="s">
        <v>531</v>
      </c>
      <c r="S195" s="121" t="s">
        <v>639</v>
      </c>
      <c r="T195" s="121"/>
      <c r="U195" s="121"/>
      <c r="V195" s="121"/>
      <c r="W195" s="121"/>
      <c r="X195" s="121"/>
      <c r="Y195" s="121"/>
      <c r="Z195" s="121"/>
      <c r="AA195" s="121" t="s">
        <v>1550</v>
      </c>
      <c r="AB195" s="121" t="s">
        <v>402</v>
      </c>
      <c r="AC195" s="121"/>
      <c r="AD195" s="121" t="s">
        <v>1481</v>
      </c>
      <c r="AE195" s="98" t="str">
        <f>"*"&amp;F195&amp;"*"&amp;"( "&amp;O195&amp;", "&amp;P195&amp;" )"&amp;", "</f>
        <v xml:space="preserve">*NURUDDIN*( BATURSARI, MRANGGEN ), </v>
      </c>
      <c r="AF195" s="94" t="s">
        <v>613</v>
      </c>
      <c r="AG195" s="81" t="s">
        <v>385</v>
      </c>
    </row>
    <row r="196" spans="1:34" ht="47.25" x14ac:dyDescent="0.35">
      <c r="A196" s="90">
        <v>193</v>
      </c>
      <c r="B196" s="121"/>
      <c r="C196" s="92">
        <v>44000</v>
      </c>
      <c r="D196" s="121" t="s">
        <v>428</v>
      </c>
      <c r="E196" s="121" t="s">
        <v>429</v>
      </c>
      <c r="F196" s="94" t="s">
        <v>630</v>
      </c>
      <c r="G196" s="121" t="s">
        <v>355</v>
      </c>
      <c r="H196" s="121">
        <v>67</v>
      </c>
      <c r="I196" s="121" t="s">
        <v>631</v>
      </c>
      <c r="J196" s="121"/>
      <c r="K196" s="121"/>
      <c r="L196" s="121"/>
      <c r="M196" s="121"/>
      <c r="N196" s="94" t="s">
        <v>632</v>
      </c>
      <c r="O196" s="94" t="s">
        <v>633</v>
      </c>
      <c r="P196" s="94" t="s">
        <v>312</v>
      </c>
      <c r="Q196" s="121"/>
      <c r="R196" s="121" t="s">
        <v>634</v>
      </c>
      <c r="S196" s="121" t="s">
        <v>588</v>
      </c>
      <c r="T196" s="91" t="s">
        <v>622</v>
      </c>
      <c r="U196" s="121"/>
      <c r="V196" s="121"/>
      <c r="W196" s="121"/>
      <c r="X196" s="121"/>
      <c r="Y196" s="121"/>
      <c r="Z196" s="97"/>
      <c r="AA196" s="121" t="s">
        <v>635</v>
      </c>
      <c r="AB196" s="121" t="s">
        <v>402</v>
      </c>
      <c r="AC196" s="121"/>
      <c r="AD196" s="121" t="s">
        <v>521</v>
      </c>
      <c r="AE196" s="98" t="str">
        <f>"*"&amp;F196&amp;"*"&amp;"( "&amp;O196&amp;", "&amp;P196&amp;"/ "&amp;R196&amp;" )"&amp;", "</f>
        <v xml:space="preserve">*KASUDAH*( BABALAN, WEDUNG/ RS PKU Muhammadiyah Mayong ), </v>
      </c>
      <c r="AF196" s="94" t="s">
        <v>633</v>
      </c>
      <c r="AG196" s="81" t="s">
        <v>312</v>
      </c>
      <c r="AH196" s="103"/>
    </row>
    <row r="197" spans="1:34" ht="47.25" customHeight="1" x14ac:dyDescent="0.35">
      <c r="A197" s="90">
        <v>194</v>
      </c>
      <c r="B197" s="121"/>
      <c r="C197" s="92">
        <v>44000</v>
      </c>
      <c r="D197" s="121" t="s">
        <v>428</v>
      </c>
      <c r="E197" s="121" t="s">
        <v>429</v>
      </c>
      <c r="F197" s="94" t="s">
        <v>636</v>
      </c>
      <c r="G197" s="121" t="s">
        <v>413</v>
      </c>
      <c r="H197" s="121">
        <v>56</v>
      </c>
      <c r="I197" s="121" t="s">
        <v>637</v>
      </c>
      <c r="J197" s="121"/>
      <c r="K197" s="121"/>
      <c r="L197" s="121"/>
      <c r="M197" s="121"/>
      <c r="N197" s="94" t="s">
        <v>638</v>
      </c>
      <c r="O197" s="94" t="s">
        <v>613</v>
      </c>
      <c r="P197" s="94" t="s">
        <v>385</v>
      </c>
      <c r="Q197" s="121"/>
      <c r="R197" s="121" t="s">
        <v>531</v>
      </c>
      <c r="S197" s="121" t="s">
        <v>639</v>
      </c>
      <c r="T197" s="121"/>
      <c r="U197" s="121"/>
      <c r="V197" s="121"/>
      <c r="W197" s="121"/>
      <c r="X197" s="121"/>
      <c r="Y197" s="121"/>
      <c r="Z197" s="121"/>
      <c r="AA197" s="121" t="s">
        <v>640</v>
      </c>
      <c r="AB197" s="121" t="s">
        <v>402</v>
      </c>
      <c r="AC197" s="121"/>
      <c r="AD197" s="121" t="s">
        <v>521</v>
      </c>
      <c r="AE197" s="98" t="str">
        <f>"*"&amp;F197&amp;"*"&amp;"( "&amp;O197&amp;", "&amp;P197&amp;"/ "&amp;R197&amp;" )"&amp;", "</f>
        <v xml:space="preserve">*BAMBANG SUJATMIKO*( BATURSARI, MRANGGEN/ RSUD K.R.M.T Wongsonegoro Semarang ), </v>
      </c>
      <c r="AF197" s="94" t="s">
        <v>613</v>
      </c>
      <c r="AG197" s="81" t="s">
        <v>385</v>
      </c>
    </row>
    <row r="198" spans="1:34" ht="47.25" customHeight="1" x14ac:dyDescent="0.35">
      <c r="A198" s="90">
        <v>195</v>
      </c>
      <c r="B198" s="121"/>
      <c r="C198" s="92">
        <v>44000</v>
      </c>
      <c r="D198" s="121" t="s">
        <v>428</v>
      </c>
      <c r="E198" s="121" t="s">
        <v>429</v>
      </c>
      <c r="F198" s="94" t="s">
        <v>641</v>
      </c>
      <c r="G198" s="121" t="s">
        <v>413</v>
      </c>
      <c r="H198" s="121">
        <v>48</v>
      </c>
      <c r="I198" s="121" t="s">
        <v>642</v>
      </c>
      <c r="J198" s="121"/>
      <c r="K198" s="121"/>
      <c r="L198" s="121"/>
      <c r="M198" s="121"/>
      <c r="N198" s="94" t="s">
        <v>643</v>
      </c>
      <c r="O198" s="94" t="s">
        <v>628</v>
      </c>
      <c r="P198" s="94" t="s">
        <v>304</v>
      </c>
      <c r="Q198" s="121"/>
      <c r="R198" s="121" t="s">
        <v>644</v>
      </c>
      <c r="S198" s="121" t="s">
        <v>593</v>
      </c>
      <c r="T198" s="91" t="s">
        <v>622</v>
      </c>
      <c r="U198" s="121"/>
      <c r="V198" s="121"/>
      <c r="W198" s="121"/>
      <c r="X198" s="121"/>
      <c r="Y198" s="121"/>
      <c r="Z198" s="97"/>
      <c r="AA198" s="121" t="s">
        <v>645</v>
      </c>
      <c r="AB198" s="121" t="s">
        <v>402</v>
      </c>
      <c r="AC198" s="121"/>
      <c r="AD198" s="121" t="s">
        <v>521</v>
      </c>
      <c r="AE198" s="98" t="str">
        <f>"*"&amp;F198&amp;"*"&amp;"( "&amp;O198&amp;", "&amp;P198&amp;"/ "&amp;R198&amp;" )"&amp;", "</f>
        <v xml:space="preserve">*ALI SADIKIN TN*( LOIRENG, SAYUNG/ RS Roemani Muhammadiyah ), </v>
      </c>
      <c r="AF198" s="94" t="s">
        <v>628</v>
      </c>
      <c r="AG198" s="81" t="s">
        <v>304</v>
      </c>
    </row>
    <row r="199" spans="1:34" ht="90" customHeight="1" x14ac:dyDescent="0.35">
      <c r="A199" s="90">
        <v>196</v>
      </c>
      <c r="B199" s="121"/>
      <c r="C199" s="92">
        <v>44000</v>
      </c>
      <c r="D199" s="121" t="s">
        <v>428</v>
      </c>
      <c r="E199" s="121" t="s">
        <v>429</v>
      </c>
      <c r="F199" s="94" t="s">
        <v>646</v>
      </c>
      <c r="G199" s="121" t="s">
        <v>413</v>
      </c>
      <c r="H199" s="121">
        <v>33</v>
      </c>
      <c r="I199" s="121" t="s">
        <v>647</v>
      </c>
      <c r="J199" s="121"/>
      <c r="K199" s="121"/>
      <c r="L199" s="121"/>
      <c r="M199" s="121"/>
      <c r="N199" s="94" t="s">
        <v>648</v>
      </c>
      <c r="O199" s="94" t="s">
        <v>649</v>
      </c>
      <c r="P199" s="94" t="s">
        <v>385</v>
      </c>
      <c r="Q199" s="121"/>
      <c r="R199" s="121" t="s">
        <v>650</v>
      </c>
      <c r="S199" s="121" t="s">
        <v>651</v>
      </c>
      <c r="T199" s="121"/>
      <c r="U199" s="121"/>
      <c r="V199" s="121"/>
      <c r="W199" s="121"/>
      <c r="X199" s="121"/>
      <c r="Y199" s="121"/>
      <c r="Z199" s="121"/>
      <c r="AA199" s="121">
        <v>0</v>
      </c>
      <c r="AB199" s="121" t="s">
        <v>402</v>
      </c>
      <c r="AC199" s="121"/>
      <c r="AD199" s="121" t="s">
        <v>521</v>
      </c>
      <c r="AE199" s="98" t="str">
        <f>"*"&amp;F199&amp;"*"&amp;"( "&amp;O199&amp;", "&amp;P199&amp;"/ "&amp;R199&amp;" )"&amp;", "</f>
        <v xml:space="preserve">*ABDUL WACHID*( KANGKUNG, MRANGGEN/ RSU Bhakti Wira Tamtama Semarang ), </v>
      </c>
      <c r="AF199" s="94" t="s">
        <v>649</v>
      </c>
      <c r="AG199" s="81" t="s">
        <v>385</v>
      </c>
    </row>
    <row r="200" spans="1:34" s="103" customFormat="1" ht="60" customHeight="1" x14ac:dyDescent="0.35">
      <c r="A200" s="90">
        <v>197</v>
      </c>
      <c r="B200" s="104"/>
      <c r="C200" s="92">
        <v>44001</v>
      </c>
      <c r="D200" s="104" t="s">
        <v>428</v>
      </c>
      <c r="E200" s="104" t="s">
        <v>429</v>
      </c>
      <c r="F200" s="105" t="s">
        <v>652</v>
      </c>
      <c r="G200" s="104" t="s">
        <v>355</v>
      </c>
      <c r="H200" s="104">
        <v>51</v>
      </c>
      <c r="I200" s="104" t="s">
        <v>653</v>
      </c>
      <c r="J200" s="104"/>
      <c r="K200" s="104"/>
      <c r="L200" s="104"/>
      <c r="M200" s="104"/>
      <c r="N200" s="105" t="s">
        <v>654</v>
      </c>
      <c r="O200" s="105" t="s">
        <v>633</v>
      </c>
      <c r="P200" s="105" t="s">
        <v>312</v>
      </c>
      <c r="Q200" s="104"/>
      <c r="R200" s="104" t="s">
        <v>634</v>
      </c>
      <c r="S200" s="104" t="s">
        <v>572</v>
      </c>
      <c r="T200" s="104"/>
      <c r="U200" s="104"/>
      <c r="V200" s="104"/>
      <c r="W200" s="104"/>
      <c r="X200" s="104"/>
      <c r="Y200" s="104"/>
      <c r="Z200" s="104"/>
      <c r="AA200" s="104" t="s">
        <v>655</v>
      </c>
      <c r="AB200" s="104" t="s">
        <v>656</v>
      </c>
      <c r="AC200" s="104"/>
      <c r="AD200" s="121" t="s">
        <v>521</v>
      </c>
      <c r="AE200" s="98" t="str">
        <f>"*"&amp;F200&amp;"*"&amp;"( "&amp;O200&amp;", "&amp;P200&amp;"/ "&amp;R200&amp;" )"&amp;", "</f>
        <v xml:space="preserve">*CHUMAIDAH*( BABALAN, WEDUNG/ RS PKU Muhammadiyah Mayong ), </v>
      </c>
      <c r="AF200" s="105" t="s">
        <v>633</v>
      </c>
      <c r="AG200" s="81" t="s">
        <v>312</v>
      </c>
    </row>
    <row r="201" spans="1:34" ht="31.5" customHeight="1" x14ac:dyDescent="0.25">
      <c r="A201" s="90">
        <v>198</v>
      </c>
      <c r="B201" s="107">
        <v>44009</v>
      </c>
      <c r="C201" s="107">
        <v>44001</v>
      </c>
      <c r="D201" s="97" t="s">
        <v>428</v>
      </c>
      <c r="E201" s="97" t="s">
        <v>429</v>
      </c>
      <c r="F201" s="94" t="s">
        <v>1923</v>
      </c>
      <c r="G201" s="97" t="s">
        <v>413</v>
      </c>
      <c r="H201" s="97">
        <v>44</v>
      </c>
      <c r="I201" s="97" t="s">
        <v>1924</v>
      </c>
      <c r="J201" s="97"/>
      <c r="K201" s="97"/>
      <c r="L201" s="97"/>
      <c r="M201" s="97"/>
      <c r="N201" s="155" t="s">
        <v>1925</v>
      </c>
      <c r="O201" s="155" t="s">
        <v>304</v>
      </c>
      <c r="P201" s="155" t="s">
        <v>304</v>
      </c>
      <c r="Q201" s="97"/>
      <c r="R201" s="97" t="s">
        <v>1926</v>
      </c>
      <c r="S201" s="97" t="s">
        <v>629</v>
      </c>
      <c r="T201" s="97"/>
      <c r="U201" s="97"/>
      <c r="V201" s="97"/>
      <c r="W201" s="97"/>
      <c r="X201" s="97"/>
      <c r="Y201" s="97"/>
      <c r="Z201" s="97"/>
      <c r="AA201" s="97">
        <v>0</v>
      </c>
      <c r="AB201" s="97" t="s">
        <v>402</v>
      </c>
      <c r="AC201" s="97"/>
      <c r="AD201" s="162" t="s">
        <v>1866</v>
      </c>
      <c r="AE201" s="98" t="str">
        <f>"*"&amp;F201&amp;"*"&amp;"( "&amp;O201&amp;", "&amp;P201&amp;" )"&amp;", "</f>
        <v xml:space="preserve">*JUNAIDI*( SAYUNG, SAYUNG ), </v>
      </c>
      <c r="AF201" s="155" t="s">
        <v>304</v>
      </c>
      <c r="AG201" s="163" t="s">
        <v>304</v>
      </c>
      <c r="AH201" s="77"/>
    </row>
    <row r="202" spans="1:34" s="77" customFormat="1" ht="47.25" customHeight="1" x14ac:dyDescent="0.35">
      <c r="A202" s="90">
        <v>199</v>
      </c>
      <c r="B202" s="104"/>
      <c r="C202" s="149">
        <v>44001</v>
      </c>
      <c r="D202" s="104" t="s">
        <v>428</v>
      </c>
      <c r="E202" s="104" t="s">
        <v>429</v>
      </c>
      <c r="F202" s="109" t="s">
        <v>1551</v>
      </c>
      <c r="G202" s="104" t="s">
        <v>413</v>
      </c>
      <c r="H202" s="104">
        <v>62</v>
      </c>
      <c r="I202" s="104" t="s">
        <v>1552</v>
      </c>
      <c r="J202" s="104"/>
      <c r="K202" s="104"/>
      <c r="L202" s="104"/>
      <c r="M202" s="104"/>
      <c r="N202" s="105" t="s">
        <v>1553</v>
      </c>
      <c r="O202" s="105" t="s">
        <v>213</v>
      </c>
      <c r="P202" s="105" t="s">
        <v>304</v>
      </c>
      <c r="Q202" s="104"/>
      <c r="R202" s="104" t="s">
        <v>1554</v>
      </c>
      <c r="S202" s="104" t="s">
        <v>666</v>
      </c>
      <c r="T202" s="104"/>
      <c r="U202" s="104"/>
      <c r="V202" s="104"/>
      <c r="W202" s="104"/>
      <c r="X202" s="104"/>
      <c r="Y202" s="104"/>
      <c r="Z202" s="104"/>
      <c r="AA202" s="104" t="s">
        <v>1555</v>
      </c>
      <c r="AB202" s="104" t="s">
        <v>402</v>
      </c>
      <c r="AC202" s="104"/>
      <c r="AD202" s="162" t="s">
        <v>1481</v>
      </c>
      <c r="AE202" s="98" t="str">
        <f>"*"&amp;F202&amp;"*"&amp;"( "&amp;O202&amp;", "&amp;P202&amp;" )"&amp;", "</f>
        <v xml:space="preserve">*M CHAYIN YUSUF*( Purwosari, SAYUNG ), </v>
      </c>
      <c r="AF202" s="105" t="s">
        <v>213</v>
      </c>
      <c r="AG202" s="81" t="s">
        <v>304</v>
      </c>
      <c r="AH202" s="103"/>
    </row>
    <row r="203" spans="1:34" s="77" customFormat="1" ht="30" customHeight="1" x14ac:dyDescent="0.35">
      <c r="A203" s="90">
        <v>200</v>
      </c>
      <c r="B203" s="104"/>
      <c r="C203" s="92">
        <v>44001</v>
      </c>
      <c r="D203" s="104" t="s">
        <v>428</v>
      </c>
      <c r="E203" s="104" t="s">
        <v>429</v>
      </c>
      <c r="F203" s="109" t="s">
        <v>657</v>
      </c>
      <c r="G203" s="104" t="s">
        <v>413</v>
      </c>
      <c r="H203" s="104">
        <v>72</v>
      </c>
      <c r="I203" s="104" t="s">
        <v>402</v>
      </c>
      <c r="J203" s="104"/>
      <c r="K203" s="104"/>
      <c r="L203" s="104"/>
      <c r="M203" s="104"/>
      <c r="N203" s="105" t="s">
        <v>658</v>
      </c>
      <c r="O203" s="105" t="s">
        <v>659</v>
      </c>
      <c r="P203" s="105" t="s">
        <v>301</v>
      </c>
      <c r="Q203" s="104"/>
      <c r="R203" s="104" t="s">
        <v>531</v>
      </c>
      <c r="S203" s="104" t="s">
        <v>660</v>
      </c>
      <c r="T203" s="104"/>
      <c r="U203" s="104"/>
      <c r="V203" s="104"/>
      <c r="W203" s="104"/>
      <c r="X203" s="104"/>
      <c r="Y203" s="104"/>
      <c r="Z203" s="104"/>
      <c r="AA203" s="104" t="s">
        <v>661</v>
      </c>
      <c r="AB203" s="104" t="s">
        <v>402</v>
      </c>
      <c r="AC203" s="104"/>
      <c r="AD203" s="162" t="s">
        <v>521</v>
      </c>
      <c r="AE203" s="98" t="str">
        <f>"*"&amp;F203&amp;"*"&amp;"( "&amp;O203&amp;", "&amp;P203&amp;"/ "&amp;R203&amp;" )"&amp;", "</f>
        <v xml:space="preserve">*PONO*( JRAGUNG, KARANGAWEN/ RSUD K.R.M.T Wongsonegoro Semarang ), </v>
      </c>
      <c r="AF203" s="105" t="s">
        <v>659</v>
      </c>
      <c r="AG203" s="81" t="s">
        <v>301</v>
      </c>
      <c r="AH203" s="79"/>
    </row>
    <row r="204" spans="1:34" s="103" customFormat="1" ht="25.5" customHeight="1" x14ac:dyDescent="0.35">
      <c r="A204" s="90">
        <v>201</v>
      </c>
      <c r="B204" s="104"/>
      <c r="C204" s="92">
        <v>44001</v>
      </c>
      <c r="D204" s="104" t="s">
        <v>428</v>
      </c>
      <c r="E204" s="104" t="s">
        <v>429</v>
      </c>
      <c r="F204" s="109" t="s">
        <v>662</v>
      </c>
      <c r="G204" s="104" t="s">
        <v>413</v>
      </c>
      <c r="H204" s="104">
        <v>41</v>
      </c>
      <c r="I204" s="104" t="s">
        <v>663</v>
      </c>
      <c r="J204" s="104"/>
      <c r="K204" s="104"/>
      <c r="L204" s="104"/>
      <c r="M204" s="104"/>
      <c r="N204" s="105" t="s">
        <v>664</v>
      </c>
      <c r="O204" s="105" t="s">
        <v>665</v>
      </c>
      <c r="P204" s="105" t="s">
        <v>304</v>
      </c>
      <c r="Q204" s="104"/>
      <c r="R204" s="104" t="s">
        <v>517</v>
      </c>
      <c r="S204" s="104" t="s">
        <v>666</v>
      </c>
      <c r="T204" s="104"/>
      <c r="U204" s="104"/>
      <c r="V204" s="104"/>
      <c r="W204" s="104"/>
      <c r="X204" s="104"/>
      <c r="Y204" s="104"/>
      <c r="Z204" s="104"/>
      <c r="AA204" s="104" t="s">
        <v>577</v>
      </c>
      <c r="AB204" s="104" t="s">
        <v>402</v>
      </c>
      <c r="AC204" s="104"/>
      <c r="AD204" s="162" t="s">
        <v>521</v>
      </c>
      <c r="AE204" s="98" t="str">
        <f>"*"&amp;F204&amp;"*"&amp;"( "&amp;O204&amp;", "&amp;P204&amp;"/ "&amp;R204&amp;" )"&amp;", "</f>
        <v xml:space="preserve">*SAROFUDIN*( JETAKSARI, SAYUNG/ RSU Sultan Agung Semarang ), </v>
      </c>
      <c r="AF204" s="105" t="s">
        <v>665</v>
      </c>
      <c r="AG204" s="81" t="s">
        <v>304</v>
      </c>
      <c r="AH204" s="79"/>
    </row>
    <row r="205" spans="1:34" s="103" customFormat="1" ht="47.25" customHeight="1" x14ac:dyDescent="0.35">
      <c r="A205" s="90">
        <v>202</v>
      </c>
      <c r="B205" s="104"/>
      <c r="C205" s="92">
        <v>44001</v>
      </c>
      <c r="D205" s="104" t="s">
        <v>428</v>
      </c>
      <c r="E205" s="104" t="s">
        <v>429</v>
      </c>
      <c r="F205" s="109" t="s">
        <v>667</v>
      </c>
      <c r="G205" s="104" t="s">
        <v>355</v>
      </c>
      <c r="H205" s="104">
        <v>26</v>
      </c>
      <c r="I205" s="104" t="s">
        <v>668</v>
      </c>
      <c r="J205" s="104"/>
      <c r="K205" s="104"/>
      <c r="L205" s="104"/>
      <c r="M205" s="104"/>
      <c r="N205" s="105" t="s">
        <v>669</v>
      </c>
      <c r="O205" s="105" t="s">
        <v>670</v>
      </c>
      <c r="P205" s="105" t="s">
        <v>304</v>
      </c>
      <c r="Q205" s="104"/>
      <c r="R205" s="104" t="s">
        <v>517</v>
      </c>
      <c r="S205" s="104" t="s">
        <v>474</v>
      </c>
      <c r="T205" s="104"/>
      <c r="U205" s="104"/>
      <c r="V205" s="104"/>
      <c r="W205" s="104"/>
      <c r="X205" s="104"/>
      <c r="Y205" s="104"/>
      <c r="Z205" s="104"/>
      <c r="AA205" s="104" t="s">
        <v>577</v>
      </c>
      <c r="AB205" s="104" t="s">
        <v>402</v>
      </c>
      <c r="AC205" s="104"/>
      <c r="AD205" s="162" t="s">
        <v>521</v>
      </c>
      <c r="AE205" s="98" t="str">
        <f>"*"&amp;F205&amp;"*"&amp;"( "&amp;O205&amp;", "&amp;P205&amp;"/ "&amp;R205&amp;" )"&amp;", "</f>
        <v xml:space="preserve">*SRI NURJANAH*( SURODADI, SAYUNG/ RSU Sultan Agung Semarang ), </v>
      </c>
      <c r="AF205" s="105" t="s">
        <v>670</v>
      </c>
      <c r="AG205" s="81" t="s">
        <v>304</v>
      </c>
      <c r="AH205" s="79"/>
    </row>
    <row r="206" spans="1:34" s="103" customFormat="1" ht="30" customHeight="1" x14ac:dyDescent="0.35">
      <c r="A206" s="90">
        <v>203</v>
      </c>
      <c r="B206" s="104"/>
      <c r="C206" s="149">
        <v>44001</v>
      </c>
      <c r="D206" s="104" t="s">
        <v>428</v>
      </c>
      <c r="E206" s="104" t="s">
        <v>429</v>
      </c>
      <c r="F206" s="109" t="s">
        <v>1556</v>
      </c>
      <c r="G206" s="104" t="s">
        <v>355</v>
      </c>
      <c r="H206" s="104">
        <v>60</v>
      </c>
      <c r="I206" s="104" t="s">
        <v>1557</v>
      </c>
      <c r="J206" s="104"/>
      <c r="K206" s="104"/>
      <c r="L206" s="104"/>
      <c r="M206" s="104"/>
      <c r="N206" s="105" t="s">
        <v>1558</v>
      </c>
      <c r="O206" s="105" t="s">
        <v>18</v>
      </c>
      <c r="P206" s="105" t="s">
        <v>385</v>
      </c>
      <c r="Q206" s="104"/>
      <c r="R206" s="104" t="s">
        <v>531</v>
      </c>
      <c r="S206" s="104" t="s">
        <v>689</v>
      </c>
      <c r="T206" s="104"/>
      <c r="U206" s="104"/>
      <c r="V206" s="104"/>
      <c r="W206" s="104"/>
      <c r="X206" s="104"/>
      <c r="Y206" s="104"/>
      <c r="Z206" s="104"/>
      <c r="AA206" s="104" t="s">
        <v>821</v>
      </c>
      <c r="AB206" s="104" t="s">
        <v>402</v>
      </c>
      <c r="AC206" s="104"/>
      <c r="AD206" s="162" t="s">
        <v>1481</v>
      </c>
      <c r="AE206" s="98" t="str">
        <f>"*"&amp;F206&amp;"*"&amp;"( "&amp;O206&amp;", "&amp;P206&amp;" )"&amp;", "</f>
        <v xml:space="preserve">*SUCIATI BT TAWAR*( Tegalarum, MRANGGEN ), </v>
      </c>
      <c r="AF206" s="105" t="s">
        <v>18</v>
      </c>
      <c r="AG206" s="81" t="s">
        <v>385</v>
      </c>
      <c r="AH206" s="79"/>
    </row>
    <row r="207" spans="1:34" s="103" customFormat="1" ht="47.25" customHeight="1" x14ac:dyDescent="0.35">
      <c r="A207" s="90">
        <v>204</v>
      </c>
      <c r="B207" s="110"/>
      <c r="C207" s="107">
        <v>44001</v>
      </c>
      <c r="D207" s="110" t="s">
        <v>428</v>
      </c>
      <c r="E207" s="110" t="s">
        <v>429</v>
      </c>
      <c r="F207" s="111" t="s">
        <v>1070</v>
      </c>
      <c r="G207" s="139" t="s">
        <v>355</v>
      </c>
      <c r="H207" s="139">
        <v>55</v>
      </c>
      <c r="I207" s="110" t="s">
        <v>1071</v>
      </c>
      <c r="J207" s="110"/>
      <c r="K207" s="110"/>
      <c r="L207" s="110"/>
      <c r="M207" s="110"/>
      <c r="N207" s="94" t="s">
        <v>1072</v>
      </c>
      <c r="O207" s="111" t="s">
        <v>694</v>
      </c>
      <c r="P207" s="111" t="s">
        <v>312</v>
      </c>
      <c r="Q207" s="110"/>
      <c r="R207" s="110" t="s">
        <v>634</v>
      </c>
      <c r="S207" s="110" t="s">
        <v>696</v>
      </c>
      <c r="T207" s="110" t="s">
        <v>885</v>
      </c>
      <c r="U207" s="110"/>
      <c r="V207" s="110"/>
      <c r="W207" s="110"/>
      <c r="X207" s="110"/>
      <c r="Y207" s="110"/>
      <c r="Z207" s="110"/>
      <c r="AA207" s="110" t="s">
        <v>1073</v>
      </c>
      <c r="AB207" s="140" t="s">
        <v>402</v>
      </c>
      <c r="AC207" s="91"/>
      <c r="AD207" s="103" t="s">
        <v>890</v>
      </c>
      <c r="AE207" s="98" t="str">
        <f>"*"&amp;F207&amp;"*"&amp;"( "&amp;O207&amp;", "&amp;P207&amp;"/ "&amp;T207&amp;" )"&amp;", "</f>
        <v xml:space="preserve">*MUFALIKAH*( KEDUNGMUTIH, WEDUNG/ Rumah ), </v>
      </c>
      <c r="AF207" s="111" t="s">
        <v>694</v>
      </c>
      <c r="AG207" s="81" t="s">
        <v>312</v>
      </c>
      <c r="AH207" s="79"/>
    </row>
    <row r="208" spans="1:34" s="103" customFormat="1" ht="30" customHeight="1" x14ac:dyDescent="0.35">
      <c r="A208" s="90">
        <v>205</v>
      </c>
      <c r="B208" s="97"/>
      <c r="C208" s="107">
        <v>44002</v>
      </c>
      <c r="D208" s="97" t="s">
        <v>428</v>
      </c>
      <c r="E208" s="97" t="s">
        <v>429</v>
      </c>
      <c r="F208" s="94" t="s">
        <v>436</v>
      </c>
      <c r="G208" s="97" t="s">
        <v>413</v>
      </c>
      <c r="H208" s="97">
        <v>24</v>
      </c>
      <c r="I208" s="97">
        <v>0</v>
      </c>
      <c r="J208" s="97"/>
      <c r="K208" s="97"/>
      <c r="L208" s="97"/>
      <c r="M208" s="97"/>
      <c r="N208" s="94" t="s">
        <v>437</v>
      </c>
      <c r="O208" s="94" t="s">
        <v>438</v>
      </c>
      <c r="P208" s="94" t="s">
        <v>302</v>
      </c>
      <c r="Q208" s="97"/>
      <c r="R208" s="97" t="s">
        <v>409</v>
      </c>
      <c r="S208" s="97">
        <v>0</v>
      </c>
      <c r="T208" s="97" t="s">
        <v>363</v>
      </c>
      <c r="U208" s="97"/>
      <c r="V208" s="97"/>
      <c r="W208" s="97"/>
      <c r="X208" s="97"/>
      <c r="Y208" s="97"/>
      <c r="Z208" s="97"/>
      <c r="AA208" s="97" t="s">
        <v>439</v>
      </c>
      <c r="AB208" s="108"/>
      <c r="AC208" s="97"/>
      <c r="AD208" s="103" t="s">
        <v>365</v>
      </c>
      <c r="AE208" s="98" t="str">
        <f>"*"&amp;F208&amp;"*"&amp;"( "&amp;O208&amp;", "&amp;P208&amp;" )"&amp;", "</f>
        <v xml:space="preserve">*AHMAD ZUFAN AMRI*( BINTORO, DEMAK ), </v>
      </c>
      <c r="AF208" s="94" t="s">
        <v>438</v>
      </c>
      <c r="AG208" s="81" t="s">
        <v>302</v>
      </c>
      <c r="AH208" s="79"/>
    </row>
    <row r="209" spans="1:34" s="103" customFormat="1" ht="30" customHeight="1" x14ac:dyDescent="0.35">
      <c r="A209" s="90">
        <v>206</v>
      </c>
      <c r="B209" s="97"/>
      <c r="C209" s="107">
        <v>44002</v>
      </c>
      <c r="D209" s="97" t="s">
        <v>428</v>
      </c>
      <c r="E209" s="97" t="s">
        <v>429</v>
      </c>
      <c r="F209" s="94" t="s">
        <v>440</v>
      </c>
      <c r="G209" s="97" t="s">
        <v>413</v>
      </c>
      <c r="H209" s="97">
        <v>58</v>
      </c>
      <c r="I209" s="97">
        <v>0</v>
      </c>
      <c r="J209" s="97"/>
      <c r="K209" s="97"/>
      <c r="L209" s="97"/>
      <c r="M209" s="97"/>
      <c r="N209" s="94" t="s">
        <v>441</v>
      </c>
      <c r="O209" s="94" t="s">
        <v>126</v>
      </c>
      <c r="P209" s="94" t="s">
        <v>302</v>
      </c>
      <c r="Q209" s="97"/>
      <c r="R209" s="97" t="s">
        <v>409</v>
      </c>
      <c r="S209" s="97">
        <v>0</v>
      </c>
      <c r="T209" s="97" t="s">
        <v>363</v>
      </c>
      <c r="U209" s="97"/>
      <c r="V209" s="97"/>
      <c r="W209" s="97"/>
      <c r="X209" s="97"/>
      <c r="Y209" s="97"/>
      <c r="Z209" s="97"/>
      <c r="AA209" s="97" t="s">
        <v>439</v>
      </c>
      <c r="AB209" s="108"/>
      <c r="AC209" s="97"/>
      <c r="AD209" s="97" t="s">
        <v>365</v>
      </c>
      <c r="AE209" s="98" t="str">
        <f>"*"&amp;F209&amp;"*"&amp;"( "&amp;O209&amp;", "&amp;P209&amp;" )"&amp;", "</f>
        <v xml:space="preserve">*HERI SUNGKONO*( Mangunjiwan, DEMAK ), </v>
      </c>
      <c r="AF209" s="94" t="s">
        <v>126</v>
      </c>
      <c r="AG209" s="81" t="s">
        <v>302</v>
      </c>
      <c r="AH209" s="79"/>
    </row>
    <row r="210" spans="1:34" s="103" customFormat="1" ht="30" customHeight="1" x14ac:dyDescent="0.35">
      <c r="A210" s="90">
        <v>207</v>
      </c>
      <c r="B210" s="97"/>
      <c r="C210" s="107">
        <v>44002</v>
      </c>
      <c r="D210" s="97" t="s">
        <v>428</v>
      </c>
      <c r="E210" s="97" t="s">
        <v>429</v>
      </c>
      <c r="F210" s="94" t="s">
        <v>442</v>
      </c>
      <c r="G210" s="97" t="s">
        <v>355</v>
      </c>
      <c r="H210" s="97">
        <v>58</v>
      </c>
      <c r="I210" s="97">
        <v>0</v>
      </c>
      <c r="J210" s="97"/>
      <c r="K210" s="97"/>
      <c r="L210" s="97"/>
      <c r="M210" s="97"/>
      <c r="N210" s="94" t="s">
        <v>443</v>
      </c>
      <c r="O210" s="94" t="s">
        <v>145</v>
      </c>
      <c r="P210" s="94" t="s">
        <v>311</v>
      </c>
      <c r="Q210" s="97"/>
      <c r="R210" s="97" t="s">
        <v>409</v>
      </c>
      <c r="S210" s="97">
        <v>0</v>
      </c>
      <c r="T210" s="97" t="s">
        <v>363</v>
      </c>
      <c r="U210" s="97"/>
      <c r="V210" s="97"/>
      <c r="W210" s="97"/>
      <c r="X210" s="97"/>
      <c r="Y210" s="97"/>
      <c r="Z210" s="97"/>
      <c r="AA210" s="97" t="s">
        <v>439</v>
      </c>
      <c r="AB210" s="108"/>
      <c r="AC210" s="97"/>
      <c r="AD210" s="97" t="s">
        <v>365</v>
      </c>
      <c r="AE210" s="98" t="str">
        <f>"*"&amp;F210&amp;"*"&amp;"( "&amp;O210&amp;", "&amp;P210&amp;" )"&amp;", "</f>
        <v xml:space="preserve">*ISTIADZAH*( Betahwalang, BONANG ), </v>
      </c>
      <c r="AF210" s="94" t="s">
        <v>145</v>
      </c>
      <c r="AG210" s="81" t="s">
        <v>311</v>
      </c>
    </row>
    <row r="211" spans="1:34" s="103" customFormat="1" ht="30" x14ac:dyDescent="0.35">
      <c r="A211" s="90">
        <v>208</v>
      </c>
      <c r="B211" s="97"/>
      <c r="C211" s="107">
        <v>44002</v>
      </c>
      <c r="D211" s="97" t="s">
        <v>428</v>
      </c>
      <c r="E211" s="97" t="s">
        <v>429</v>
      </c>
      <c r="F211" s="94" t="s">
        <v>444</v>
      </c>
      <c r="G211" s="97" t="s">
        <v>355</v>
      </c>
      <c r="H211" s="97">
        <v>39</v>
      </c>
      <c r="I211" s="97" t="s">
        <v>445</v>
      </c>
      <c r="J211" s="97"/>
      <c r="K211" s="97"/>
      <c r="L211" s="97"/>
      <c r="M211" s="97"/>
      <c r="N211" s="94" t="s">
        <v>446</v>
      </c>
      <c r="O211" s="94" t="s">
        <v>31</v>
      </c>
      <c r="P211" s="94" t="s">
        <v>0</v>
      </c>
      <c r="Q211" s="97"/>
      <c r="R211" s="97" t="s">
        <v>409</v>
      </c>
      <c r="S211" s="97">
        <v>0</v>
      </c>
      <c r="T211" s="97" t="s">
        <v>363</v>
      </c>
      <c r="U211" s="97"/>
      <c r="V211" s="97"/>
      <c r="W211" s="97"/>
      <c r="X211" s="97"/>
      <c r="Y211" s="97"/>
      <c r="Z211" s="97"/>
      <c r="AA211" s="97" t="s">
        <v>439</v>
      </c>
      <c r="AB211" s="108"/>
      <c r="AC211" s="97"/>
      <c r="AD211" s="103" t="s">
        <v>365</v>
      </c>
      <c r="AE211" s="98" t="str">
        <f>"*"&amp;F211&amp;"*"&amp;"( "&amp;O211&amp;", "&amp;P211&amp;" )"&amp;", "</f>
        <v xml:space="preserve">*KARIMAH*( Batu, KARANGTENGAH ), </v>
      </c>
      <c r="AF211" s="94" t="s">
        <v>31</v>
      </c>
      <c r="AG211" s="81" t="s">
        <v>0</v>
      </c>
    </row>
    <row r="212" spans="1:34" s="103" customFormat="1" ht="30" x14ac:dyDescent="0.35">
      <c r="A212" s="90">
        <v>209</v>
      </c>
      <c r="B212" s="97"/>
      <c r="C212" s="107">
        <v>44002</v>
      </c>
      <c r="D212" s="97" t="s">
        <v>428</v>
      </c>
      <c r="E212" s="97" t="s">
        <v>429</v>
      </c>
      <c r="F212" s="94" t="s">
        <v>447</v>
      </c>
      <c r="G212" s="97" t="s">
        <v>413</v>
      </c>
      <c r="H212" s="97">
        <v>28</v>
      </c>
      <c r="I212" s="97" t="s">
        <v>448</v>
      </c>
      <c r="J212" s="97"/>
      <c r="K212" s="97"/>
      <c r="L212" s="97"/>
      <c r="M212" s="97"/>
      <c r="N212" s="94" t="s">
        <v>449</v>
      </c>
      <c r="O212" s="94" t="s">
        <v>187</v>
      </c>
      <c r="P212" s="94" t="s">
        <v>307</v>
      </c>
      <c r="Q212" s="97"/>
      <c r="R212" s="97" t="s">
        <v>409</v>
      </c>
      <c r="S212" s="97" t="s">
        <v>450</v>
      </c>
      <c r="T212" s="97" t="s">
        <v>363</v>
      </c>
      <c r="U212" s="97"/>
      <c r="V212" s="97"/>
      <c r="W212" s="97"/>
      <c r="X212" s="97"/>
      <c r="Y212" s="97"/>
      <c r="Z212" s="97"/>
      <c r="AA212" s="97" t="s">
        <v>451</v>
      </c>
      <c r="AB212" s="108"/>
      <c r="AC212" s="97"/>
      <c r="AD212" s="103" t="s">
        <v>365</v>
      </c>
      <c r="AE212" s="98" t="str">
        <f>"*"&amp;F212&amp;"*"&amp;"( "&amp;O212&amp;", "&amp;P212&amp;" )"&amp;", "</f>
        <v xml:space="preserve">*KHOIRUDIN*( Balerejo, DEMPET ), </v>
      </c>
      <c r="AF212" s="94" t="s">
        <v>187</v>
      </c>
      <c r="AG212" s="81" t="s">
        <v>307</v>
      </c>
    </row>
    <row r="213" spans="1:34" s="103" customFormat="1" ht="30" x14ac:dyDescent="0.35">
      <c r="A213" s="90">
        <v>210</v>
      </c>
      <c r="B213" s="92">
        <v>44009</v>
      </c>
      <c r="C213" s="107">
        <v>44002</v>
      </c>
      <c r="D213" s="97" t="s">
        <v>428</v>
      </c>
      <c r="E213" s="97" t="s">
        <v>429</v>
      </c>
      <c r="F213" s="94" t="s">
        <v>1074</v>
      </c>
      <c r="G213" s="97" t="s">
        <v>413</v>
      </c>
      <c r="H213" s="97">
        <v>37</v>
      </c>
      <c r="I213" s="97">
        <v>0</v>
      </c>
      <c r="J213" s="97"/>
      <c r="K213" s="97"/>
      <c r="L213" s="97"/>
      <c r="M213" s="97"/>
      <c r="N213" s="94" t="s">
        <v>1075</v>
      </c>
      <c r="O213" s="94" t="s">
        <v>145</v>
      </c>
      <c r="P213" s="94" t="s">
        <v>311</v>
      </c>
      <c r="Q213" s="97"/>
      <c r="R213" s="97" t="s">
        <v>409</v>
      </c>
      <c r="S213" s="97">
        <v>0</v>
      </c>
      <c r="T213" s="97" t="s">
        <v>1076</v>
      </c>
      <c r="U213" s="97"/>
      <c r="V213" s="97"/>
      <c r="W213" s="97"/>
      <c r="X213" s="97"/>
      <c r="Y213" s="97"/>
      <c r="Z213" s="97"/>
      <c r="AA213" s="97" t="s">
        <v>439</v>
      </c>
      <c r="AB213" s="108"/>
      <c r="AC213" s="97"/>
      <c r="AD213" s="103" t="s">
        <v>890</v>
      </c>
      <c r="AE213" s="98" t="str">
        <f>"*"&amp;F213&amp;"*"&amp;"( "&amp;O213&amp;", "&amp;P213&amp;"/ "&amp;T213&amp;" )"&amp;", "</f>
        <v xml:space="preserve">*NUR KHANDIQ*( Betahwalang, BONANG/ RUMAH ), </v>
      </c>
      <c r="AF213" s="94" t="s">
        <v>145</v>
      </c>
      <c r="AG213" s="81" t="s">
        <v>311</v>
      </c>
      <c r="AH213" s="79"/>
    </row>
    <row r="214" spans="1:34" s="103" customFormat="1" ht="30" x14ac:dyDescent="0.35">
      <c r="A214" s="90">
        <v>211</v>
      </c>
      <c r="B214" s="97"/>
      <c r="C214" s="107">
        <v>44002</v>
      </c>
      <c r="D214" s="97" t="s">
        <v>428</v>
      </c>
      <c r="E214" s="97" t="s">
        <v>429</v>
      </c>
      <c r="F214" s="94" t="s">
        <v>452</v>
      </c>
      <c r="G214" s="97" t="s">
        <v>355</v>
      </c>
      <c r="H214" s="97">
        <v>22</v>
      </c>
      <c r="I214" s="97">
        <v>0</v>
      </c>
      <c r="J214" s="97"/>
      <c r="K214" s="97"/>
      <c r="L214" s="97"/>
      <c r="M214" s="97"/>
      <c r="N214" s="94" t="s">
        <v>437</v>
      </c>
      <c r="O214" s="94" t="s">
        <v>112</v>
      </c>
      <c r="P214" s="94" t="s">
        <v>302</v>
      </c>
      <c r="Q214" s="97"/>
      <c r="R214" s="97" t="s">
        <v>409</v>
      </c>
      <c r="S214" s="97">
        <v>0</v>
      </c>
      <c r="T214" s="97" t="s">
        <v>363</v>
      </c>
      <c r="U214" s="97"/>
      <c r="V214" s="97"/>
      <c r="W214" s="97"/>
      <c r="X214" s="97"/>
      <c r="Y214" s="97"/>
      <c r="Z214" s="97"/>
      <c r="AA214" s="97" t="s">
        <v>439</v>
      </c>
      <c r="AB214" s="108"/>
      <c r="AC214" s="97"/>
      <c r="AD214" s="97" t="s">
        <v>365</v>
      </c>
      <c r="AE214" s="98" t="str">
        <f t="shared" ref="AE214:AE220" si="5">"*"&amp;F214&amp;"*"&amp;"( "&amp;O214&amp;", "&amp;P214&amp;" )"&amp;", "</f>
        <v xml:space="preserve">*NUR LAELA SETYANI*( Bintoro, DEMAK ), </v>
      </c>
      <c r="AF214" s="94" t="s">
        <v>112</v>
      </c>
      <c r="AG214" s="81" t="s">
        <v>302</v>
      </c>
    </row>
    <row r="215" spans="1:34" s="103" customFormat="1" ht="30" x14ac:dyDescent="0.35">
      <c r="A215" s="90">
        <v>212</v>
      </c>
      <c r="B215" s="97"/>
      <c r="C215" s="107">
        <v>44002</v>
      </c>
      <c r="D215" s="97" t="s">
        <v>428</v>
      </c>
      <c r="E215" s="97" t="s">
        <v>429</v>
      </c>
      <c r="F215" s="94" t="s">
        <v>453</v>
      </c>
      <c r="G215" s="97" t="s">
        <v>413</v>
      </c>
      <c r="H215" s="97">
        <v>48</v>
      </c>
      <c r="I215" s="97" t="s">
        <v>454</v>
      </c>
      <c r="J215" s="97"/>
      <c r="K215" s="97"/>
      <c r="L215" s="97"/>
      <c r="M215" s="97"/>
      <c r="N215" s="94" t="s">
        <v>455</v>
      </c>
      <c r="O215" s="94" t="s">
        <v>27</v>
      </c>
      <c r="P215" s="94" t="s">
        <v>0</v>
      </c>
      <c r="Q215" s="97"/>
      <c r="R215" s="97" t="s">
        <v>409</v>
      </c>
      <c r="S215" s="97">
        <v>0</v>
      </c>
      <c r="T215" s="97" t="s">
        <v>363</v>
      </c>
      <c r="U215" s="97"/>
      <c r="V215" s="97"/>
      <c r="W215" s="97"/>
      <c r="X215" s="97"/>
      <c r="Y215" s="97"/>
      <c r="Z215" s="97"/>
      <c r="AA215" s="97" t="s">
        <v>439</v>
      </c>
      <c r="AB215" s="108"/>
      <c r="AC215" s="97"/>
      <c r="AD215" s="97" t="s">
        <v>365</v>
      </c>
      <c r="AE215" s="98" t="str">
        <f t="shared" si="5"/>
        <v xml:space="preserve">*PAIJAN*( Pulosari, KARANGTENGAH ), </v>
      </c>
      <c r="AF215" s="94" t="s">
        <v>27</v>
      </c>
      <c r="AG215" s="81" t="s">
        <v>0</v>
      </c>
      <c r="AH215" s="79"/>
    </row>
    <row r="216" spans="1:34" s="103" customFormat="1" ht="23.25" customHeight="1" x14ac:dyDescent="0.35">
      <c r="A216" s="90">
        <v>213</v>
      </c>
      <c r="B216" s="97"/>
      <c r="C216" s="107">
        <v>44002</v>
      </c>
      <c r="D216" s="97" t="s">
        <v>428</v>
      </c>
      <c r="E216" s="97" t="s">
        <v>429</v>
      </c>
      <c r="F216" s="94" t="s">
        <v>1453</v>
      </c>
      <c r="G216" s="97" t="s">
        <v>355</v>
      </c>
      <c r="H216" s="97">
        <v>58</v>
      </c>
      <c r="I216" s="97" t="s">
        <v>1454</v>
      </c>
      <c r="J216" s="97"/>
      <c r="K216" s="97"/>
      <c r="L216" s="97"/>
      <c r="M216" s="97"/>
      <c r="N216" s="94" t="s">
        <v>1455</v>
      </c>
      <c r="O216" s="94" t="s">
        <v>222</v>
      </c>
      <c r="P216" s="94" t="s">
        <v>304</v>
      </c>
      <c r="Q216" s="97"/>
      <c r="R216" s="97" t="s">
        <v>409</v>
      </c>
      <c r="S216" s="97">
        <v>0</v>
      </c>
      <c r="T216" s="97"/>
      <c r="U216" s="97"/>
      <c r="V216" s="97"/>
      <c r="W216" s="97"/>
      <c r="X216" s="97"/>
      <c r="Y216" s="97"/>
      <c r="Z216" s="97" t="s">
        <v>783</v>
      </c>
      <c r="AA216" s="97" t="s">
        <v>439</v>
      </c>
      <c r="AB216" s="108"/>
      <c r="AC216" s="97"/>
      <c r="AD216" s="97" t="s">
        <v>316</v>
      </c>
      <c r="AE216" s="98" t="str">
        <f t="shared" si="5"/>
        <v xml:space="preserve">*SATEMI*( Prampelan, SAYUNG ), </v>
      </c>
      <c r="AF216" s="94" t="s">
        <v>222</v>
      </c>
      <c r="AG216" s="81" t="s">
        <v>304</v>
      </c>
      <c r="AH216" s="79"/>
    </row>
    <row r="217" spans="1:34" s="103" customFormat="1" ht="36" customHeight="1" x14ac:dyDescent="0.35">
      <c r="A217" s="90">
        <v>214</v>
      </c>
      <c r="B217" s="97"/>
      <c r="C217" s="107">
        <v>44002</v>
      </c>
      <c r="D217" s="97" t="s">
        <v>428</v>
      </c>
      <c r="E217" s="97" t="s">
        <v>429</v>
      </c>
      <c r="F217" s="94" t="s">
        <v>456</v>
      </c>
      <c r="G217" s="97" t="s">
        <v>355</v>
      </c>
      <c r="H217" s="97">
        <v>59</v>
      </c>
      <c r="I217" s="97">
        <v>0</v>
      </c>
      <c r="J217" s="97"/>
      <c r="K217" s="97"/>
      <c r="L217" s="97"/>
      <c r="M217" s="97"/>
      <c r="N217" s="94" t="s">
        <v>457</v>
      </c>
      <c r="O217" s="94" t="s">
        <v>126</v>
      </c>
      <c r="P217" s="94" t="s">
        <v>302</v>
      </c>
      <c r="Q217" s="97"/>
      <c r="R217" s="97" t="s">
        <v>409</v>
      </c>
      <c r="S217" s="97" t="s">
        <v>458</v>
      </c>
      <c r="T217" s="97" t="s">
        <v>363</v>
      </c>
      <c r="U217" s="97"/>
      <c r="V217" s="97"/>
      <c r="W217" s="97"/>
      <c r="X217" s="97"/>
      <c r="Y217" s="97"/>
      <c r="Z217" s="97"/>
      <c r="AA217" s="97" t="s">
        <v>459</v>
      </c>
      <c r="AB217" s="108"/>
      <c r="AC217" s="97"/>
      <c r="AD217" s="97" t="s">
        <v>365</v>
      </c>
      <c r="AE217" s="98" t="str">
        <f t="shared" si="5"/>
        <v xml:space="preserve">*SITI BADRIYAH*( Mangunjiwan, DEMAK ), </v>
      </c>
      <c r="AF217" s="94" t="s">
        <v>126</v>
      </c>
      <c r="AG217" s="81" t="s">
        <v>302</v>
      </c>
      <c r="AH217" s="79"/>
    </row>
    <row r="218" spans="1:34" s="103" customFormat="1" ht="36" customHeight="1" x14ac:dyDescent="0.35">
      <c r="A218" s="90">
        <v>215</v>
      </c>
      <c r="B218" s="97"/>
      <c r="C218" s="107">
        <v>44002</v>
      </c>
      <c r="D218" s="97" t="s">
        <v>428</v>
      </c>
      <c r="E218" s="97" t="s">
        <v>429</v>
      </c>
      <c r="F218" s="94" t="s">
        <v>460</v>
      </c>
      <c r="G218" s="97" t="s">
        <v>355</v>
      </c>
      <c r="H218" s="97">
        <v>65</v>
      </c>
      <c r="I218" s="97">
        <v>0</v>
      </c>
      <c r="J218" s="97"/>
      <c r="K218" s="97"/>
      <c r="L218" s="97"/>
      <c r="M218" s="97"/>
      <c r="N218" s="94" t="s">
        <v>461</v>
      </c>
      <c r="O218" s="94" t="s">
        <v>462</v>
      </c>
      <c r="P218" s="94" t="s">
        <v>301</v>
      </c>
      <c r="Q218" s="97"/>
      <c r="R218" s="97" t="s">
        <v>409</v>
      </c>
      <c r="S218" s="97" t="s">
        <v>463</v>
      </c>
      <c r="T218" s="97" t="s">
        <v>363</v>
      </c>
      <c r="U218" s="97"/>
      <c r="V218" s="97"/>
      <c r="W218" s="97"/>
      <c r="X218" s="97"/>
      <c r="Y218" s="97"/>
      <c r="Z218" s="97"/>
      <c r="AA218" s="97" t="s">
        <v>464</v>
      </c>
      <c r="AB218" s="108">
        <v>43993</v>
      </c>
      <c r="AC218" s="97"/>
      <c r="AD218" s="97" t="s">
        <v>365</v>
      </c>
      <c r="AE218" s="98" t="str">
        <f t="shared" si="5"/>
        <v xml:space="preserve">*SUKINI*( REJOSARI, KARANGAWEN ), </v>
      </c>
      <c r="AF218" s="94" t="s">
        <v>462</v>
      </c>
      <c r="AG218" s="81" t="s">
        <v>301</v>
      </c>
      <c r="AH218" s="79"/>
    </row>
    <row r="219" spans="1:34" s="103" customFormat="1" ht="23.25" customHeight="1" x14ac:dyDescent="0.35">
      <c r="A219" s="90">
        <v>216</v>
      </c>
      <c r="B219" s="97"/>
      <c r="C219" s="107">
        <v>44002</v>
      </c>
      <c r="D219" s="97" t="s">
        <v>428</v>
      </c>
      <c r="E219" s="97" t="s">
        <v>429</v>
      </c>
      <c r="F219" s="94" t="s">
        <v>1456</v>
      </c>
      <c r="G219" s="97" t="s">
        <v>355</v>
      </c>
      <c r="H219" s="97">
        <v>1</v>
      </c>
      <c r="I219" s="97" t="s">
        <v>1457</v>
      </c>
      <c r="J219" s="97"/>
      <c r="K219" s="97"/>
      <c r="L219" s="97"/>
      <c r="M219" s="97"/>
      <c r="N219" s="94" t="s">
        <v>1458</v>
      </c>
      <c r="O219" s="94" t="s">
        <v>134</v>
      </c>
      <c r="P219" s="94" t="s">
        <v>311</v>
      </c>
      <c r="Q219" s="97"/>
      <c r="R219" s="97" t="s">
        <v>409</v>
      </c>
      <c r="S219" s="97">
        <v>0</v>
      </c>
      <c r="T219" s="97"/>
      <c r="U219" s="97"/>
      <c r="V219" s="97"/>
      <c r="W219" s="97"/>
      <c r="X219" s="97"/>
      <c r="Y219" s="97"/>
      <c r="Z219" s="97" t="s">
        <v>1334</v>
      </c>
      <c r="AA219" s="97" t="s">
        <v>439</v>
      </c>
      <c r="AB219" s="108"/>
      <c r="AC219" s="97"/>
      <c r="AD219" s="97" t="s">
        <v>316</v>
      </c>
      <c r="AE219" s="98" t="str">
        <f t="shared" si="5"/>
        <v xml:space="preserve">*UMI QOFSHOH*( Sukodono, BONANG ), </v>
      </c>
      <c r="AF219" s="94" t="s">
        <v>134</v>
      </c>
      <c r="AG219" s="81" t="s">
        <v>311</v>
      </c>
      <c r="AH219" s="79"/>
    </row>
    <row r="220" spans="1:34" s="103" customFormat="1" ht="30" x14ac:dyDescent="0.35">
      <c r="A220" s="90">
        <v>217</v>
      </c>
      <c r="B220" s="97"/>
      <c r="C220" s="107">
        <v>44002</v>
      </c>
      <c r="D220" s="97" t="s">
        <v>428</v>
      </c>
      <c r="E220" s="97" t="s">
        <v>429</v>
      </c>
      <c r="F220" s="94" t="s">
        <v>465</v>
      </c>
      <c r="G220" s="97" t="s">
        <v>355</v>
      </c>
      <c r="H220" s="97">
        <v>31</v>
      </c>
      <c r="I220" s="97" t="s">
        <v>466</v>
      </c>
      <c r="J220" s="97"/>
      <c r="K220" s="97"/>
      <c r="L220" s="97"/>
      <c r="M220" s="97"/>
      <c r="N220" s="94" t="s">
        <v>467</v>
      </c>
      <c r="O220" s="94" t="s">
        <v>468</v>
      </c>
      <c r="P220" s="94" t="s">
        <v>303</v>
      </c>
      <c r="Q220" s="97"/>
      <c r="R220" s="97" t="s">
        <v>409</v>
      </c>
      <c r="S220" s="97" t="s">
        <v>450</v>
      </c>
      <c r="T220" s="97" t="s">
        <v>363</v>
      </c>
      <c r="U220" s="97"/>
      <c r="V220" s="97"/>
      <c r="W220" s="97"/>
      <c r="X220" s="97"/>
      <c r="Y220" s="97"/>
      <c r="Z220" s="97"/>
      <c r="AA220" s="97" t="s">
        <v>469</v>
      </c>
      <c r="AB220" s="108"/>
      <c r="AC220" s="97"/>
      <c r="AD220" s="97" t="s">
        <v>365</v>
      </c>
      <c r="AE220" s="98" t="str">
        <f t="shared" si="5"/>
        <v xml:space="preserve">*ZAKIYAH ALMISKIYAH*( BOGOSARI, GUNTUR ), </v>
      </c>
      <c r="AF220" s="94" t="s">
        <v>468</v>
      </c>
      <c r="AG220" s="81" t="s">
        <v>303</v>
      </c>
      <c r="AH220" s="79"/>
    </row>
    <row r="221" spans="1:34" s="103" customFormat="1" ht="47.25" customHeight="1" x14ac:dyDescent="0.35">
      <c r="A221" s="90">
        <v>218</v>
      </c>
      <c r="B221" s="97"/>
      <c r="C221" s="107">
        <v>44002</v>
      </c>
      <c r="D221" s="97" t="s">
        <v>428</v>
      </c>
      <c r="E221" s="97" t="s">
        <v>429</v>
      </c>
      <c r="F221" s="94" t="s">
        <v>671</v>
      </c>
      <c r="G221" s="97" t="s">
        <v>413</v>
      </c>
      <c r="H221" s="97">
        <v>43</v>
      </c>
      <c r="I221" s="97" t="s">
        <v>672</v>
      </c>
      <c r="J221" s="97"/>
      <c r="K221" s="97"/>
      <c r="L221" s="97"/>
      <c r="M221" s="97"/>
      <c r="N221" s="94" t="s">
        <v>673</v>
      </c>
      <c r="O221" s="94" t="s">
        <v>310</v>
      </c>
      <c r="P221" s="94" t="s">
        <v>310</v>
      </c>
      <c r="Q221" s="97"/>
      <c r="R221" s="97" t="s">
        <v>565</v>
      </c>
      <c r="S221" s="97" t="s">
        <v>674</v>
      </c>
      <c r="T221" s="97"/>
      <c r="U221" s="97"/>
      <c r="V221" s="97"/>
      <c r="W221" s="97"/>
      <c r="X221" s="97"/>
      <c r="Y221" s="97"/>
      <c r="Z221" s="97" t="s">
        <v>363</v>
      </c>
      <c r="AA221" s="97">
        <v>0</v>
      </c>
      <c r="AB221" s="97" t="s">
        <v>402</v>
      </c>
      <c r="AC221" s="97"/>
      <c r="AD221" s="121" t="s">
        <v>521</v>
      </c>
      <c r="AE221" s="98" t="str">
        <f>"*"&amp;F221&amp;"*"&amp;"( "&amp;O221&amp;", "&amp;P221&amp;"/ "&amp;R221&amp;" )"&amp;", "</f>
        <v xml:space="preserve">*KUSLANI*( KARANGANYAR, KARANGANYAR/ RSUD Loekmono Hadi Kudus ), </v>
      </c>
      <c r="AF221" s="94" t="s">
        <v>310</v>
      </c>
      <c r="AG221" s="81" t="s">
        <v>310</v>
      </c>
      <c r="AH221" s="79"/>
    </row>
    <row r="222" spans="1:34" s="103" customFormat="1" ht="47.25" customHeight="1" x14ac:dyDescent="0.35">
      <c r="A222" s="90">
        <v>219</v>
      </c>
      <c r="B222" s="97"/>
      <c r="C222" s="107">
        <v>44002</v>
      </c>
      <c r="D222" s="97" t="s">
        <v>428</v>
      </c>
      <c r="E222" s="97" t="s">
        <v>429</v>
      </c>
      <c r="F222" s="94" t="s">
        <v>1275</v>
      </c>
      <c r="G222" s="97" t="s">
        <v>355</v>
      </c>
      <c r="H222" s="97">
        <v>37</v>
      </c>
      <c r="I222" s="97" t="s">
        <v>1276</v>
      </c>
      <c r="J222" s="97"/>
      <c r="K222" s="97"/>
      <c r="L222" s="97"/>
      <c r="M222" s="97"/>
      <c r="N222" s="94" t="s">
        <v>1277</v>
      </c>
      <c r="O222" s="94" t="s">
        <v>776</v>
      </c>
      <c r="P222" s="94" t="s">
        <v>312</v>
      </c>
      <c r="Q222" s="97"/>
      <c r="R222" s="97" t="s">
        <v>634</v>
      </c>
      <c r="S222" s="97" t="s">
        <v>599</v>
      </c>
      <c r="T222" s="97" t="s">
        <v>885</v>
      </c>
      <c r="U222" s="97"/>
      <c r="V222" s="97"/>
      <c r="W222" s="97"/>
      <c r="X222" s="97"/>
      <c r="Y222" s="97"/>
      <c r="Z222" s="97" t="s">
        <v>767</v>
      </c>
      <c r="AA222" s="97">
        <v>0</v>
      </c>
      <c r="AB222" s="97" t="s">
        <v>402</v>
      </c>
      <c r="AC222" s="97"/>
      <c r="AD222" s="97" t="s">
        <v>1271</v>
      </c>
      <c r="AE222" s="98" t="str">
        <f>"*"&amp;F222&amp;"*"&amp;"( "&amp;O222&amp;", "&amp;P222&amp;"/ "&amp;T222&amp;" )"&amp;", "</f>
        <v xml:space="preserve">*MUAH*( KEDUNGKARANG, WEDUNG/ Rumah ), </v>
      </c>
      <c r="AF222" s="94" t="s">
        <v>776</v>
      </c>
      <c r="AG222" s="81" t="s">
        <v>312</v>
      </c>
      <c r="AH222" s="79"/>
    </row>
    <row r="223" spans="1:34" ht="45" customHeight="1" x14ac:dyDescent="0.35">
      <c r="A223" s="90">
        <v>220</v>
      </c>
      <c r="B223" s="97"/>
      <c r="C223" s="107">
        <v>44002</v>
      </c>
      <c r="D223" s="97" t="s">
        <v>428</v>
      </c>
      <c r="E223" s="97" t="s">
        <v>429</v>
      </c>
      <c r="F223" s="94" t="s">
        <v>675</v>
      </c>
      <c r="G223" s="97" t="s">
        <v>355</v>
      </c>
      <c r="H223" s="97">
        <v>42</v>
      </c>
      <c r="I223" s="97" t="s">
        <v>676</v>
      </c>
      <c r="J223" s="97"/>
      <c r="K223" s="97"/>
      <c r="L223" s="97"/>
      <c r="M223" s="97"/>
      <c r="N223" s="94" t="s">
        <v>677</v>
      </c>
      <c r="O223" s="94" t="s">
        <v>678</v>
      </c>
      <c r="P223" s="94" t="s">
        <v>302</v>
      </c>
      <c r="Q223" s="97"/>
      <c r="R223" s="97" t="s">
        <v>582</v>
      </c>
      <c r="S223" s="97" t="s">
        <v>660</v>
      </c>
      <c r="T223" s="97"/>
      <c r="U223" s="97"/>
      <c r="V223" s="97"/>
      <c r="W223" s="97"/>
      <c r="X223" s="97"/>
      <c r="Y223" s="97"/>
      <c r="Z223" s="97" t="s">
        <v>363</v>
      </c>
      <c r="AA223" s="97" t="s">
        <v>679</v>
      </c>
      <c r="AB223" s="97" t="s">
        <v>402</v>
      </c>
      <c r="AC223" s="97"/>
      <c r="AD223" s="121" t="s">
        <v>521</v>
      </c>
      <c r="AE223" s="98" t="str">
        <f t="shared" ref="AE223:AE229" si="6">"*"&amp;F223&amp;"*"&amp;"( "&amp;O223&amp;", "&amp;P223&amp;"/ "&amp;R223&amp;" )"&amp;", "</f>
        <v xml:space="preserve">*SITI MUNZAROH*( BOLO, DEMAK/ RSU Mardi Rahayu Kudus ), </v>
      </c>
      <c r="AF223" s="94" t="s">
        <v>678</v>
      </c>
      <c r="AG223" s="81" t="s">
        <v>302</v>
      </c>
    </row>
    <row r="224" spans="1:34" ht="47.25" customHeight="1" x14ac:dyDescent="0.35">
      <c r="A224" s="90">
        <v>221</v>
      </c>
      <c r="B224" s="104"/>
      <c r="C224" s="107">
        <v>44003</v>
      </c>
      <c r="D224" s="104" t="s">
        <v>428</v>
      </c>
      <c r="E224" s="104" t="s">
        <v>429</v>
      </c>
      <c r="F224" s="109" t="s">
        <v>680</v>
      </c>
      <c r="G224" s="104" t="s">
        <v>413</v>
      </c>
      <c r="H224" s="104">
        <v>45</v>
      </c>
      <c r="I224" s="104" t="s">
        <v>681</v>
      </c>
      <c r="J224" s="104"/>
      <c r="K224" s="104"/>
      <c r="L224" s="104"/>
      <c r="M224" s="104"/>
      <c r="N224" s="105" t="s">
        <v>682</v>
      </c>
      <c r="O224" s="105" t="s">
        <v>683</v>
      </c>
      <c r="P224" s="105" t="s">
        <v>385</v>
      </c>
      <c r="Q224" s="104"/>
      <c r="R224" s="104" t="s">
        <v>531</v>
      </c>
      <c r="S224" s="104" t="s">
        <v>474</v>
      </c>
      <c r="T224" s="104"/>
      <c r="U224" s="104"/>
      <c r="V224" s="104"/>
      <c r="W224" s="104"/>
      <c r="X224" s="104"/>
      <c r="Y224" s="104"/>
      <c r="Z224" s="104" t="s">
        <v>363</v>
      </c>
      <c r="AA224" s="104" t="s">
        <v>684</v>
      </c>
      <c r="AB224" s="104" t="s">
        <v>402</v>
      </c>
      <c r="AC224" s="104"/>
      <c r="AD224" s="121" t="s">
        <v>521</v>
      </c>
      <c r="AE224" s="98" t="str">
        <f t="shared" si="6"/>
        <v xml:space="preserve">*SYAFIUDIN*( SUMBEREJO, MRANGGEN/ RSUD K.R.M.T Wongsonegoro Semarang ), </v>
      </c>
      <c r="AF224" s="105" t="s">
        <v>683</v>
      </c>
      <c r="AG224" s="81" t="s">
        <v>385</v>
      </c>
    </row>
    <row r="225" spans="1:34" ht="60" customHeight="1" x14ac:dyDescent="0.35">
      <c r="A225" s="90">
        <v>222</v>
      </c>
      <c r="B225" s="104"/>
      <c r="C225" s="107">
        <v>44003</v>
      </c>
      <c r="D225" s="104" t="s">
        <v>428</v>
      </c>
      <c r="E225" s="104" t="s">
        <v>429</v>
      </c>
      <c r="F225" s="109" t="s">
        <v>685</v>
      </c>
      <c r="G225" s="104" t="s">
        <v>355</v>
      </c>
      <c r="H225" s="104">
        <v>41</v>
      </c>
      <c r="I225" s="104" t="s">
        <v>686</v>
      </c>
      <c r="J225" s="104"/>
      <c r="K225" s="104"/>
      <c r="L225" s="104"/>
      <c r="M225" s="104"/>
      <c r="N225" s="105" t="s">
        <v>687</v>
      </c>
      <c r="O225" s="105" t="s">
        <v>688</v>
      </c>
      <c r="P225" s="105" t="s">
        <v>308</v>
      </c>
      <c r="Q225" s="104"/>
      <c r="R225" s="104" t="s">
        <v>582</v>
      </c>
      <c r="S225" s="104" t="s">
        <v>689</v>
      </c>
      <c r="T225" s="104"/>
      <c r="U225" s="104"/>
      <c r="V225" s="104"/>
      <c r="W225" s="104"/>
      <c r="X225" s="104"/>
      <c r="Y225" s="104"/>
      <c r="Z225" s="104" t="s">
        <v>363</v>
      </c>
      <c r="AA225" s="104" t="s">
        <v>690</v>
      </c>
      <c r="AB225" s="104" t="s">
        <v>402</v>
      </c>
      <c r="AC225" s="104"/>
      <c r="AD225" s="121" t="s">
        <v>521</v>
      </c>
      <c r="AE225" s="98" t="str">
        <f t="shared" si="6"/>
        <v xml:space="preserve">*SITI NGATINAH*( MEDINI, GAJAH/ RSU Mardi Rahayu Kudus ), </v>
      </c>
      <c r="AF225" s="105" t="s">
        <v>688</v>
      </c>
      <c r="AG225" s="81" t="s">
        <v>308</v>
      </c>
      <c r="AH225" s="98"/>
    </row>
    <row r="226" spans="1:34" ht="47.25" customHeight="1" x14ac:dyDescent="0.35">
      <c r="A226" s="90">
        <v>223</v>
      </c>
      <c r="B226" s="104"/>
      <c r="C226" s="107">
        <v>44003</v>
      </c>
      <c r="D226" s="104" t="s">
        <v>428</v>
      </c>
      <c r="E226" s="104" t="s">
        <v>429</v>
      </c>
      <c r="F226" s="109" t="s">
        <v>691</v>
      </c>
      <c r="G226" s="104" t="s">
        <v>355</v>
      </c>
      <c r="H226" s="104">
        <v>23</v>
      </c>
      <c r="I226" s="104" t="s">
        <v>692</v>
      </c>
      <c r="J226" s="104"/>
      <c r="K226" s="104"/>
      <c r="L226" s="104"/>
      <c r="M226" s="104"/>
      <c r="N226" s="105" t="s">
        <v>693</v>
      </c>
      <c r="O226" s="105" t="s">
        <v>694</v>
      </c>
      <c r="P226" s="105" t="s">
        <v>312</v>
      </c>
      <c r="Q226" s="104"/>
      <c r="R226" s="104" t="s">
        <v>695</v>
      </c>
      <c r="S226" s="104" t="s">
        <v>696</v>
      </c>
      <c r="T226" s="104"/>
      <c r="U226" s="104"/>
      <c r="V226" s="104"/>
      <c r="W226" s="104"/>
      <c r="X226" s="104"/>
      <c r="Y226" s="104"/>
      <c r="Z226" s="104" t="s">
        <v>363</v>
      </c>
      <c r="AA226" s="104">
        <v>0</v>
      </c>
      <c r="AB226" s="104" t="s">
        <v>402</v>
      </c>
      <c r="AC226" s="104"/>
      <c r="AD226" s="121" t="s">
        <v>521</v>
      </c>
      <c r="AE226" s="98" t="str">
        <f t="shared" si="6"/>
        <v xml:space="preserve">*SITI MUTAHARROHMAH*( KEDUNGMUTIH, WEDUNG/ RSUD Kelet Jepara ), </v>
      </c>
      <c r="AF226" s="105" t="s">
        <v>694</v>
      </c>
      <c r="AG226" s="81" t="s">
        <v>312</v>
      </c>
      <c r="AH226" s="103"/>
    </row>
    <row r="227" spans="1:34" ht="47.25" customHeight="1" x14ac:dyDescent="0.35">
      <c r="A227" s="90">
        <v>224</v>
      </c>
      <c r="B227" s="104"/>
      <c r="C227" s="107">
        <v>44003</v>
      </c>
      <c r="D227" s="104" t="s">
        <v>428</v>
      </c>
      <c r="E227" s="104" t="s">
        <v>429</v>
      </c>
      <c r="F227" s="109" t="s">
        <v>697</v>
      </c>
      <c r="G227" s="104" t="s">
        <v>355</v>
      </c>
      <c r="H227" s="104">
        <v>54</v>
      </c>
      <c r="I227" s="104" t="s">
        <v>698</v>
      </c>
      <c r="J227" s="104"/>
      <c r="K227" s="104"/>
      <c r="L227" s="104"/>
      <c r="M227" s="104"/>
      <c r="N227" s="105" t="s">
        <v>699</v>
      </c>
      <c r="O227" s="105" t="s">
        <v>700</v>
      </c>
      <c r="P227" s="105" t="s">
        <v>308</v>
      </c>
      <c r="Q227" s="104"/>
      <c r="R227" s="104" t="s">
        <v>582</v>
      </c>
      <c r="S227" s="104" t="s">
        <v>474</v>
      </c>
      <c r="T227" s="104"/>
      <c r="U227" s="104"/>
      <c r="V227" s="104"/>
      <c r="W227" s="104"/>
      <c r="X227" s="104"/>
      <c r="Y227" s="104"/>
      <c r="Z227" s="104" t="s">
        <v>363</v>
      </c>
      <c r="AA227" s="104" t="s">
        <v>701</v>
      </c>
      <c r="AB227" s="104" t="s">
        <v>702</v>
      </c>
      <c r="AC227" s="104"/>
      <c r="AD227" s="121" t="s">
        <v>521</v>
      </c>
      <c r="AE227" s="98" t="str">
        <f t="shared" si="6"/>
        <v xml:space="preserve">*ROHMATUN*( SARI, GAJAH/ RSU Mardi Rahayu Kudus ), </v>
      </c>
      <c r="AF227" s="105" t="s">
        <v>700</v>
      </c>
      <c r="AG227" s="81" t="s">
        <v>308</v>
      </c>
    </row>
    <row r="228" spans="1:34" ht="47.25" customHeight="1" x14ac:dyDescent="0.35">
      <c r="A228" s="90">
        <v>225</v>
      </c>
      <c r="B228" s="104"/>
      <c r="C228" s="107">
        <v>44003</v>
      </c>
      <c r="D228" s="104" t="s">
        <v>428</v>
      </c>
      <c r="E228" s="104" t="s">
        <v>429</v>
      </c>
      <c r="F228" s="109" t="s">
        <v>703</v>
      </c>
      <c r="G228" s="104" t="s">
        <v>355</v>
      </c>
      <c r="H228" s="104">
        <v>50</v>
      </c>
      <c r="I228" s="104" t="s">
        <v>704</v>
      </c>
      <c r="J228" s="104"/>
      <c r="K228" s="104"/>
      <c r="L228" s="104"/>
      <c r="M228" s="104"/>
      <c r="N228" s="105" t="s">
        <v>705</v>
      </c>
      <c r="O228" s="105" t="s">
        <v>706</v>
      </c>
      <c r="P228" s="105" t="s">
        <v>312</v>
      </c>
      <c r="Q228" s="104"/>
      <c r="R228" s="104" t="s">
        <v>582</v>
      </c>
      <c r="S228" s="104" t="s">
        <v>689</v>
      </c>
      <c r="T228" s="104"/>
      <c r="U228" s="104"/>
      <c r="V228" s="104"/>
      <c r="W228" s="104"/>
      <c r="X228" s="104"/>
      <c r="Y228" s="104"/>
      <c r="Z228" s="104" t="s">
        <v>363</v>
      </c>
      <c r="AA228" s="104" t="s">
        <v>707</v>
      </c>
      <c r="AB228" s="104" t="s">
        <v>402</v>
      </c>
      <c r="AC228" s="104"/>
      <c r="AD228" s="121" t="s">
        <v>521</v>
      </c>
      <c r="AE228" s="98" t="str">
        <f t="shared" si="6"/>
        <v xml:space="preserve">*MUNTHOTIAH*( JETAK, WEDUNG/ RSU Mardi Rahayu Kudus ), </v>
      </c>
      <c r="AF228" s="105" t="s">
        <v>706</v>
      </c>
      <c r="AG228" s="81" t="s">
        <v>312</v>
      </c>
    </row>
    <row r="229" spans="1:34" ht="31.5" customHeight="1" x14ac:dyDescent="0.35">
      <c r="A229" s="90">
        <v>226</v>
      </c>
      <c r="B229" s="104"/>
      <c r="C229" s="107">
        <v>44003</v>
      </c>
      <c r="D229" s="104" t="s">
        <v>428</v>
      </c>
      <c r="E229" s="104" t="s">
        <v>429</v>
      </c>
      <c r="F229" s="109" t="s">
        <v>708</v>
      </c>
      <c r="G229" s="104" t="s">
        <v>355</v>
      </c>
      <c r="H229" s="104">
        <v>28</v>
      </c>
      <c r="I229" s="104" t="s">
        <v>709</v>
      </c>
      <c r="J229" s="104"/>
      <c r="K229" s="104"/>
      <c r="L229" s="104"/>
      <c r="M229" s="104"/>
      <c r="N229" s="105" t="s">
        <v>710</v>
      </c>
      <c r="O229" s="105" t="s">
        <v>711</v>
      </c>
      <c r="P229" s="105" t="s">
        <v>304</v>
      </c>
      <c r="Q229" s="104"/>
      <c r="R229" s="104" t="s">
        <v>531</v>
      </c>
      <c r="S229" s="104" t="s">
        <v>689</v>
      </c>
      <c r="T229" s="104"/>
      <c r="U229" s="104"/>
      <c r="V229" s="104"/>
      <c r="W229" s="104"/>
      <c r="X229" s="104"/>
      <c r="Y229" s="104"/>
      <c r="Z229" s="104" t="s">
        <v>363</v>
      </c>
      <c r="AA229" s="104" t="s">
        <v>712</v>
      </c>
      <c r="AB229" s="104" t="s">
        <v>402</v>
      </c>
      <c r="AC229" s="104"/>
      <c r="AD229" s="121" t="s">
        <v>521</v>
      </c>
      <c r="AE229" s="98" t="str">
        <f t="shared" si="6"/>
        <v xml:space="preserve">*MAHARANI PUSPITASARI*( SRIWULAN, SAYUNG/ RSUD K.R.M.T Wongsonegoro Semarang ), </v>
      </c>
      <c r="AF229" s="105" t="s">
        <v>711</v>
      </c>
      <c r="AG229" s="81" t="s">
        <v>304</v>
      </c>
      <c r="AH229" s="103"/>
    </row>
    <row r="230" spans="1:34" ht="45" customHeight="1" x14ac:dyDescent="0.35">
      <c r="A230" s="90">
        <v>227</v>
      </c>
      <c r="B230" s="104"/>
      <c r="C230" s="107">
        <v>44003</v>
      </c>
      <c r="D230" s="104" t="s">
        <v>428</v>
      </c>
      <c r="E230" s="104" t="s">
        <v>429</v>
      </c>
      <c r="F230" s="109" t="s">
        <v>1559</v>
      </c>
      <c r="G230" s="104" t="s">
        <v>413</v>
      </c>
      <c r="H230" s="104">
        <v>60</v>
      </c>
      <c r="I230" s="104" t="s">
        <v>402</v>
      </c>
      <c r="J230" s="104"/>
      <c r="K230" s="104"/>
      <c r="L230" s="104"/>
      <c r="M230" s="104"/>
      <c r="N230" s="105" t="s">
        <v>1560</v>
      </c>
      <c r="O230" s="105" t="s">
        <v>1353</v>
      </c>
      <c r="P230" s="105" t="s">
        <v>0</v>
      </c>
      <c r="Q230" s="104"/>
      <c r="R230" s="104" t="s">
        <v>517</v>
      </c>
      <c r="S230" s="104" t="s">
        <v>719</v>
      </c>
      <c r="T230" s="104"/>
      <c r="U230" s="104"/>
      <c r="V230" s="104"/>
      <c r="W230" s="104"/>
      <c r="X230" s="104"/>
      <c r="Y230" s="104"/>
      <c r="Z230" s="104" t="s">
        <v>363</v>
      </c>
      <c r="AA230" s="104" t="s">
        <v>577</v>
      </c>
      <c r="AB230" s="104" t="s">
        <v>402</v>
      </c>
      <c r="AC230" s="104"/>
      <c r="AD230" s="104" t="s">
        <v>1481</v>
      </c>
      <c r="AE230" s="98" t="str">
        <f>"*"&amp;F230&amp;"*"&amp;"( "&amp;O230&amp;", "&amp;P230&amp;" )"&amp;", "</f>
        <v xml:space="preserve">*M ANWAR*( PULOSARI, KARANGTENGAH ), </v>
      </c>
      <c r="AF230" s="105" t="s">
        <v>1353</v>
      </c>
      <c r="AG230" s="81" t="s">
        <v>0</v>
      </c>
    </row>
    <row r="231" spans="1:34" ht="30" customHeight="1" x14ac:dyDescent="0.35">
      <c r="A231" s="90">
        <v>228</v>
      </c>
      <c r="B231" s="104"/>
      <c r="C231" s="107">
        <v>44003</v>
      </c>
      <c r="D231" s="97" t="s">
        <v>428</v>
      </c>
      <c r="E231" s="97" t="s">
        <v>429</v>
      </c>
      <c r="F231" s="111" t="s">
        <v>1561</v>
      </c>
      <c r="G231" s="97" t="s">
        <v>413</v>
      </c>
      <c r="H231" s="97">
        <v>57</v>
      </c>
      <c r="I231" s="97" t="s">
        <v>402</v>
      </c>
      <c r="J231" s="97"/>
      <c r="K231" s="97"/>
      <c r="L231" s="97"/>
      <c r="M231" s="97"/>
      <c r="N231" s="94" t="s">
        <v>1562</v>
      </c>
      <c r="O231" s="94" t="s">
        <v>724</v>
      </c>
      <c r="P231" s="94" t="s">
        <v>385</v>
      </c>
      <c r="Q231" s="97"/>
      <c r="R231" s="97" t="s">
        <v>531</v>
      </c>
      <c r="S231" s="97" t="s">
        <v>474</v>
      </c>
      <c r="T231" s="97"/>
      <c r="U231" s="97"/>
      <c r="V231" s="97"/>
      <c r="W231" s="97"/>
      <c r="X231" s="97"/>
      <c r="Y231" s="97"/>
      <c r="Z231" s="97" t="s">
        <v>783</v>
      </c>
      <c r="AA231" s="97" t="s">
        <v>1563</v>
      </c>
      <c r="AB231" s="97" t="s">
        <v>402</v>
      </c>
      <c r="AC231" s="97"/>
      <c r="AD231" s="121" t="s">
        <v>1481</v>
      </c>
      <c r="AE231" s="98" t="str">
        <f>"*"&amp;F231&amp;"*"&amp;"( "&amp;O231&amp;", "&amp;P231&amp;" )"&amp;", "</f>
        <v xml:space="preserve">*JAMZURI*( KEMBANGARUM, MRANGGEN ), </v>
      </c>
      <c r="AF231" s="94" t="s">
        <v>724</v>
      </c>
      <c r="AG231" s="81" t="s">
        <v>385</v>
      </c>
    </row>
    <row r="232" spans="1:34" ht="45" customHeight="1" x14ac:dyDescent="0.35">
      <c r="A232" s="90">
        <v>229</v>
      </c>
      <c r="B232" s="159"/>
      <c r="C232" s="107">
        <v>44003</v>
      </c>
      <c r="D232" s="104" t="s">
        <v>428</v>
      </c>
      <c r="E232" s="104" t="s">
        <v>429</v>
      </c>
      <c r="F232" s="109" t="s">
        <v>470</v>
      </c>
      <c r="G232" s="104" t="s">
        <v>413</v>
      </c>
      <c r="H232" s="104">
        <v>57</v>
      </c>
      <c r="I232" s="104" t="s">
        <v>471</v>
      </c>
      <c r="J232" s="104"/>
      <c r="K232" s="104"/>
      <c r="L232" s="104"/>
      <c r="M232" s="104"/>
      <c r="N232" s="105" t="s">
        <v>472</v>
      </c>
      <c r="O232" s="105" t="s">
        <v>308</v>
      </c>
      <c r="P232" s="105" t="s">
        <v>308</v>
      </c>
      <c r="Q232" s="104"/>
      <c r="R232" s="104" t="s">
        <v>473</v>
      </c>
      <c r="S232" s="104" t="s">
        <v>474</v>
      </c>
      <c r="T232" s="104" t="s">
        <v>363</v>
      </c>
      <c r="U232" s="104"/>
      <c r="V232" s="104"/>
      <c r="W232" s="104"/>
      <c r="X232" s="104"/>
      <c r="Y232" s="104"/>
      <c r="Z232" s="104"/>
      <c r="AA232" s="79">
        <v>0</v>
      </c>
      <c r="AB232" s="104" t="s">
        <v>402</v>
      </c>
      <c r="AC232" s="104"/>
      <c r="AD232" s="97" t="s">
        <v>365</v>
      </c>
      <c r="AE232" s="98" t="str">
        <f>"*"&amp;F232&amp;"*"&amp;"( "&amp;O232&amp;", "&amp;P232&amp;" )"&amp;", "</f>
        <v xml:space="preserve">*SUDOMO*( GAJAH, GAJAH ), </v>
      </c>
      <c r="AF232" s="105" t="s">
        <v>308</v>
      </c>
      <c r="AG232" s="81" t="s">
        <v>308</v>
      </c>
    </row>
    <row r="233" spans="1:34" ht="31.5" customHeight="1" x14ac:dyDescent="0.35">
      <c r="A233" s="90">
        <v>230</v>
      </c>
      <c r="B233" s="97"/>
      <c r="C233" s="107">
        <v>44003</v>
      </c>
      <c r="D233" s="97" t="s">
        <v>428</v>
      </c>
      <c r="E233" s="97" t="s">
        <v>429</v>
      </c>
      <c r="F233" s="94" t="s">
        <v>1077</v>
      </c>
      <c r="G233" s="97" t="s">
        <v>355</v>
      </c>
      <c r="H233" s="97">
        <v>28</v>
      </c>
      <c r="I233" s="97">
        <v>0</v>
      </c>
      <c r="J233" s="97"/>
      <c r="K233" s="97"/>
      <c r="L233" s="97"/>
      <c r="M233" s="97"/>
      <c r="N233" s="94" t="s">
        <v>1078</v>
      </c>
      <c r="O233" s="94" t="s">
        <v>229</v>
      </c>
      <c r="P233" s="94" t="s">
        <v>312</v>
      </c>
      <c r="Q233" s="97"/>
      <c r="R233" s="97" t="s">
        <v>409</v>
      </c>
      <c r="S233" s="97">
        <v>0</v>
      </c>
      <c r="T233" s="97"/>
      <c r="U233" s="97"/>
      <c r="V233" s="97"/>
      <c r="W233" s="97"/>
      <c r="X233" s="97"/>
      <c r="Y233" s="97"/>
      <c r="Z233" s="97" t="s">
        <v>1079</v>
      </c>
      <c r="AA233" s="97" t="s">
        <v>439</v>
      </c>
      <c r="AB233" s="108"/>
      <c r="AC233" s="97"/>
      <c r="AD233" s="97" t="s">
        <v>890</v>
      </c>
      <c r="AE233" s="98" t="str">
        <f>"*"&amp;F233&amp;"*"&amp;"( "&amp;O233&amp;", "&amp;P233&amp;"/ "&amp;T233&amp;" )"&amp;", "</f>
        <v xml:space="preserve">*LINA YUNITA SARI*( Bungo, WEDUNG/  ), </v>
      </c>
      <c r="AF233" s="94" t="s">
        <v>229</v>
      </c>
      <c r="AG233" s="81" t="s">
        <v>312</v>
      </c>
    </row>
    <row r="234" spans="1:34" ht="31.5" customHeight="1" x14ac:dyDescent="0.35">
      <c r="A234" s="90">
        <v>231</v>
      </c>
      <c r="B234" s="104"/>
      <c r="C234" s="102">
        <v>44004</v>
      </c>
      <c r="D234" s="91" t="s">
        <v>353</v>
      </c>
      <c r="E234" s="93" t="s">
        <v>105</v>
      </c>
      <c r="F234" s="105" t="s">
        <v>713</v>
      </c>
      <c r="G234" s="104" t="s">
        <v>355</v>
      </c>
      <c r="H234" s="104">
        <v>55</v>
      </c>
      <c r="I234" s="104" t="s">
        <v>714</v>
      </c>
      <c r="J234" s="104"/>
      <c r="K234" s="104"/>
      <c r="L234" s="104"/>
      <c r="M234" s="104"/>
      <c r="N234" s="105" t="s">
        <v>715</v>
      </c>
      <c r="O234" s="105" t="s">
        <v>489</v>
      </c>
      <c r="P234" s="105" t="s">
        <v>301</v>
      </c>
      <c r="Q234" s="104"/>
      <c r="R234" s="104" t="s">
        <v>531</v>
      </c>
      <c r="S234" s="104" t="s">
        <v>474</v>
      </c>
      <c r="T234" s="104" t="s">
        <v>370</v>
      </c>
      <c r="U234" s="104"/>
      <c r="V234" s="104"/>
      <c r="W234" s="104"/>
      <c r="X234" s="104"/>
      <c r="Y234" s="104"/>
      <c r="Z234" s="104" t="s">
        <v>363</v>
      </c>
      <c r="AA234" s="104" t="s">
        <v>716</v>
      </c>
      <c r="AB234" s="104" t="s">
        <v>402</v>
      </c>
      <c r="AC234" s="104"/>
      <c r="AD234" s="104" t="s">
        <v>521</v>
      </c>
      <c r="AE234" s="98" t="str">
        <f>"*"&amp;F234&amp;"*"&amp;"( "&amp;O234&amp;", "&amp;P234&amp;"/ "&amp;R234&amp;" )"&amp;", "</f>
        <v xml:space="preserve">*RODHYAH*( TLOGOREJO, KARANGAWEN/ RSUD K.R.M.T Wongsonegoro Semarang ), </v>
      </c>
      <c r="AF234" s="105" t="s">
        <v>489</v>
      </c>
      <c r="AG234" s="81" t="s">
        <v>301</v>
      </c>
    </row>
    <row r="235" spans="1:34" ht="31.5" customHeight="1" x14ac:dyDescent="0.35">
      <c r="A235" s="90">
        <v>232</v>
      </c>
      <c r="B235" s="104"/>
      <c r="C235" s="102">
        <v>44004</v>
      </c>
      <c r="D235" s="91" t="s">
        <v>353</v>
      </c>
      <c r="E235" s="93" t="s">
        <v>105</v>
      </c>
      <c r="F235" s="105" t="s">
        <v>717</v>
      </c>
      <c r="G235" s="104" t="s">
        <v>413</v>
      </c>
      <c r="H235" s="104">
        <v>48</v>
      </c>
      <c r="I235" s="104" t="s">
        <v>402</v>
      </c>
      <c r="J235" s="104"/>
      <c r="K235" s="104"/>
      <c r="L235" s="104"/>
      <c r="M235" s="104"/>
      <c r="N235" s="105" t="s">
        <v>718</v>
      </c>
      <c r="O235" s="105" t="s">
        <v>560</v>
      </c>
      <c r="P235" s="105" t="s">
        <v>385</v>
      </c>
      <c r="Q235" s="104"/>
      <c r="R235" s="104" t="s">
        <v>531</v>
      </c>
      <c r="S235" s="104" t="s">
        <v>719</v>
      </c>
      <c r="T235" s="104" t="s">
        <v>370</v>
      </c>
      <c r="U235" s="104"/>
      <c r="V235" s="104"/>
      <c r="W235" s="104"/>
      <c r="X235" s="104"/>
      <c r="Y235" s="104"/>
      <c r="Z235" s="104" t="s">
        <v>363</v>
      </c>
      <c r="AA235" s="104" t="s">
        <v>720</v>
      </c>
      <c r="AB235" s="104" t="s">
        <v>402</v>
      </c>
      <c r="AC235" s="104"/>
      <c r="AD235" s="104" t="s">
        <v>521</v>
      </c>
      <c r="AE235" s="98" t="str">
        <f>"*"&amp;F235&amp;"*"&amp;"( "&amp;O235&amp;", "&amp;P235&amp;"/ "&amp;R235&amp;" )"&amp;", "</f>
        <v xml:space="preserve">*MUH SUBHAN*( WRINGINJAJAR, MRANGGEN/ RSUD K.R.M.T Wongsonegoro Semarang ), </v>
      </c>
      <c r="AF235" s="105" t="s">
        <v>560</v>
      </c>
      <c r="AG235" s="81" t="s">
        <v>385</v>
      </c>
    </row>
    <row r="236" spans="1:34" ht="31.5" customHeight="1" x14ac:dyDescent="0.35">
      <c r="A236" s="90">
        <v>233</v>
      </c>
      <c r="B236" s="104"/>
      <c r="C236" s="102">
        <v>44004</v>
      </c>
      <c r="D236" s="91" t="s">
        <v>353</v>
      </c>
      <c r="E236" s="93" t="s">
        <v>105</v>
      </c>
      <c r="F236" s="105" t="s">
        <v>721</v>
      </c>
      <c r="G236" s="104" t="s">
        <v>413</v>
      </c>
      <c r="H236" s="104">
        <v>17</v>
      </c>
      <c r="I236" s="104" t="s">
        <v>722</v>
      </c>
      <c r="J236" s="104"/>
      <c r="K236" s="104"/>
      <c r="L236" s="104"/>
      <c r="M236" s="104"/>
      <c r="N236" s="105" t="s">
        <v>723</v>
      </c>
      <c r="O236" s="105" t="s">
        <v>724</v>
      </c>
      <c r="P236" s="105" t="s">
        <v>385</v>
      </c>
      <c r="Q236" s="104"/>
      <c r="R236" s="104" t="s">
        <v>531</v>
      </c>
      <c r="S236" s="104" t="s">
        <v>689</v>
      </c>
      <c r="T236" s="104" t="s">
        <v>370</v>
      </c>
      <c r="U236" s="104"/>
      <c r="V236" s="104"/>
      <c r="W236" s="104"/>
      <c r="X236" s="104"/>
      <c r="Y236" s="104"/>
      <c r="Z236" s="104" t="s">
        <v>363</v>
      </c>
      <c r="AA236" s="104" t="s">
        <v>485</v>
      </c>
      <c r="AB236" s="104" t="s">
        <v>402</v>
      </c>
      <c r="AC236" s="104"/>
      <c r="AD236" s="104" t="s">
        <v>521</v>
      </c>
      <c r="AE236" s="98" t="str">
        <f>"*"&amp;F236&amp;"*"&amp;"( "&amp;O236&amp;", "&amp;P236&amp;"/ "&amp;R236&amp;" )"&amp;", "</f>
        <v xml:space="preserve">*M. RUMAJI*( KEMBANGARUM, MRANGGEN/ RSUD K.R.M.T Wongsonegoro Semarang ), </v>
      </c>
      <c r="AF236" s="105" t="s">
        <v>724</v>
      </c>
      <c r="AG236" s="81" t="s">
        <v>385</v>
      </c>
    </row>
    <row r="237" spans="1:34" ht="31.5" customHeight="1" x14ac:dyDescent="0.35">
      <c r="A237" s="90">
        <v>234</v>
      </c>
      <c r="C237" s="102">
        <v>44004</v>
      </c>
      <c r="D237" s="91" t="s">
        <v>353</v>
      </c>
      <c r="E237" s="93" t="s">
        <v>105</v>
      </c>
      <c r="F237" s="105" t="s">
        <v>725</v>
      </c>
      <c r="G237" s="104" t="s">
        <v>413</v>
      </c>
      <c r="H237" s="104">
        <v>55</v>
      </c>
      <c r="I237" s="104" t="s">
        <v>726</v>
      </c>
      <c r="J237" s="104"/>
      <c r="K237" s="104"/>
      <c r="L237" s="104"/>
      <c r="M237" s="104"/>
      <c r="N237" s="105" t="s">
        <v>727</v>
      </c>
      <c r="O237" s="105" t="s">
        <v>88</v>
      </c>
      <c r="P237" s="105" t="s">
        <v>310</v>
      </c>
      <c r="Q237" s="104"/>
      <c r="R237" s="104" t="s">
        <v>565</v>
      </c>
      <c r="S237" s="104" t="s">
        <v>660</v>
      </c>
      <c r="T237" s="104" t="s">
        <v>370</v>
      </c>
      <c r="U237" s="104"/>
      <c r="V237" s="104"/>
      <c r="W237" s="104"/>
      <c r="X237" s="104"/>
      <c r="Y237" s="104"/>
      <c r="Z237" s="104" t="s">
        <v>363</v>
      </c>
      <c r="AA237" s="104" t="s">
        <v>577</v>
      </c>
      <c r="AB237" s="104" t="s">
        <v>402</v>
      </c>
      <c r="AC237" s="104"/>
      <c r="AD237" s="79" t="s">
        <v>521</v>
      </c>
      <c r="AE237" s="98" t="str">
        <f>"*"&amp;F237&amp;"*"&amp;"( "&amp;O237&amp;", "&amp;P237&amp;"/ "&amp;R237&amp;" )"&amp;", "</f>
        <v xml:space="preserve">*ASMUNI*( Wonoketingal, KARANGANYAR/ RSUD Loekmono Hadi Kudus ), </v>
      </c>
      <c r="AF237" s="105" t="s">
        <v>88</v>
      </c>
      <c r="AG237" s="81" t="s">
        <v>310</v>
      </c>
      <c r="AH237" s="103"/>
    </row>
    <row r="238" spans="1:34" ht="31.5" customHeight="1" x14ac:dyDescent="0.35">
      <c r="A238" s="90">
        <v>235</v>
      </c>
      <c r="C238" s="102">
        <v>44004</v>
      </c>
      <c r="D238" s="91" t="s">
        <v>353</v>
      </c>
      <c r="E238" s="93" t="s">
        <v>105</v>
      </c>
      <c r="F238" s="105" t="s">
        <v>1278</v>
      </c>
      <c r="G238" s="104" t="s">
        <v>413</v>
      </c>
      <c r="H238" s="104">
        <v>36</v>
      </c>
      <c r="I238" s="104" t="s">
        <v>1279</v>
      </c>
      <c r="J238" s="104"/>
      <c r="K238" s="104"/>
      <c r="L238" s="104"/>
      <c r="M238" s="104"/>
      <c r="N238" s="105" t="s">
        <v>1280</v>
      </c>
      <c r="O238" s="105" t="s">
        <v>1281</v>
      </c>
      <c r="P238" s="105" t="s">
        <v>312</v>
      </c>
      <c r="Q238" s="104"/>
      <c r="R238" s="104" t="s">
        <v>565</v>
      </c>
      <c r="S238" s="104" t="s">
        <v>639</v>
      </c>
      <c r="T238" s="104" t="s">
        <v>885</v>
      </c>
      <c r="U238" s="104"/>
      <c r="V238" s="104"/>
      <c r="W238" s="104"/>
      <c r="X238" s="104"/>
      <c r="Y238" s="104"/>
      <c r="Z238" s="104" t="s">
        <v>576</v>
      </c>
      <c r="AA238" s="104">
        <v>0</v>
      </c>
      <c r="AB238" s="104" t="s">
        <v>402</v>
      </c>
      <c r="AC238" s="104"/>
      <c r="AD238" s="79" t="s">
        <v>1271</v>
      </c>
      <c r="AE238" s="98" t="str">
        <f>"*"&amp;F238&amp;"*"&amp;"( "&amp;O238&amp;", "&amp;P238&amp;"/ "&amp;T238&amp;" )"&amp;", "</f>
        <v xml:space="preserve">*SUNARTO*( BUKO, WEDUNG/ Rumah ), </v>
      </c>
      <c r="AF238" s="105" t="s">
        <v>1281</v>
      </c>
      <c r="AG238" s="81" t="s">
        <v>312</v>
      </c>
      <c r="AH238" s="103"/>
    </row>
    <row r="239" spans="1:34" ht="31.5" customHeight="1" x14ac:dyDescent="0.35">
      <c r="A239" s="90">
        <v>236</v>
      </c>
      <c r="C239" s="102">
        <v>44004</v>
      </c>
      <c r="D239" s="91" t="s">
        <v>353</v>
      </c>
      <c r="E239" s="93" t="s">
        <v>105</v>
      </c>
      <c r="F239" s="105" t="s">
        <v>1282</v>
      </c>
      <c r="G239" s="104" t="s">
        <v>355</v>
      </c>
      <c r="H239" s="104">
        <v>43</v>
      </c>
      <c r="I239" s="104" t="s">
        <v>1283</v>
      </c>
      <c r="J239" s="104"/>
      <c r="K239" s="104"/>
      <c r="L239" s="104"/>
      <c r="M239" s="104"/>
      <c r="N239" s="105" t="s">
        <v>1284</v>
      </c>
      <c r="O239" s="105" t="s">
        <v>1285</v>
      </c>
      <c r="P239" s="105" t="s">
        <v>310</v>
      </c>
      <c r="Q239" s="104"/>
      <c r="R239" s="104" t="s">
        <v>1286</v>
      </c>
      <c r="S239" s="104" t="s">
        <v>1287</v>
      </c>
      <c r="T239" s="104" t="s">
        <v>885</v>
      </c>
      <c r="U239" s="104"/>
      <c r="V239" s="104"/>
      <c r="W239" s="104"/>
      <c r="X239" s="104"/>
      <c r="Y239" s="104"/>
      <c r="Z239" s="104" t="s">
        <v>767</v>
      </c>
      <c r="AA239" s="104">
        <v>0</v>
      </c>
      <c r="AB239" s="104" t="s">
        <v>674</v>
      </c>
      <c r="AC239" s="104"/>
      <c r="AD239" s="79" t="s">
        <v>1271</v>
      </c>
      <c r="AE239" s="98" t="str">
        <f>"*"&amp;F239&amp;"*"&amp;"( "&amp;O239&amp;", "&amp;P239&amp;"/ "&amp;T239&amp;" )"&amp;", "</f>
        <v xml:space="preserve">*NUR FAIZAH*( WONOREJO, KARANGANYAR/ Rumah ), </v>
      </c>
      <c r="AF239" s="105" t="s">
        <v>1285</v>
      </c>
      <c r="AG239" s="81" t="s">
        <v>310</v>
      </c>
    </row>
    <row r="240" spans="1:34" ht="31.5" customHeight="1" x14ac:dyDescent="0.35">
      <c r="A240" s="90">
        <v>237</v>
      </c>
      <c r="C240" s="102">
        <v>44004</v>
      </c>
      <c r="D240" s="91" t="s">
        <v>353</v>
      </c>
      <c r="E240" s="93" t="s">
        <v>105</v>
      </c>
      <c r="F240" s="105" t="s">
        <v>1288</v>
      </c>
      <c r="G240" s="104" t="s">
        <v>413</v>
      </c>
      <c r="H240" s="104">
        <v>46</v>
      </c>
      <c r="I240" s="104" t="s">
        <v>1289</v>
      </c>
      <c r="J240" s="104"/>
      <c r="K240" s="104"/>
      <c r="L240" s="104"/>
      <c r="M240" s="104"/>
      <c r="N240" s="105" t="s">
        <v>1290</v>
      </c>
      <c r="O240" s="105" t="s">
        <v>1291</v>
      </c>
      <c r="P240" s="105" t="s">
        <v>305</v>
      </c>
      <c r="Q240" s="104"/>
      <c r="R240" s="104" t="s">
        <v>1292</v>
      </c>
      <c r="S240" s="104" t="s">
        <v>1293</v>
      </c>
      <c r="T240" s="104" t="s">
        <v>885</v>
      </c>
      <c r="U240" s="104"/>
      <c r="V240" s="104"/>
      <c r="W240" s="104"/>
      <c r="X240" s="104"/>
      <c r="Y240" s="104"/>
      <c r="Z240" s="104" t="s">
        <v>767</v>
      </c>
      <c r="AA240" s="104">
        <v>0</v>
      </c>
      <c r="AB240" s="104" t="s">
        <v>402</v>
      </c>
      <c r="AC240" s="104"/>
      <c r="AD240" s="104" t="s">
        <v>1271</v>
      </c>
      <c r="AE240" s="98" t="str">
        <f>"*"&amp;F240&amp;"*"&amp;"( "&amp;O240&amp;", "&amp;P240&amp;"/ "&amp;T240&amp;" )"&amp;", "</f>
        <v xml:space="preserve">*KASMIDI*( BUNDERAN, WONOSALAM/ Rumah ), </v>
      </c>
      <c r="AF240" s="105" t="s">
        <v>1291</v>
      </c>
      <c r="AG240" s="81" t="s">
        <v>305</v>
      </c>
    </row>
    <row r="241" spans="1:34" ht="31.5" customHeight="1" x14ac:dyDescent="0.35">
      <c r="A241" s="90">
        <v>238</v>
      </c>
      <c r="C241" s="102">
        <v>44004</v>
      </c>
      <c r="D241" s="91" t="s">
        <v>353</v>
      </c>
      <c r="E241" s="93" t="s">
        <v>105</v>
      </c>
      <c r="F241" s="105" t="s">
        <v>1294</v>
      </c>
      <c r="G241" s="104" t="s">
        <v>355</v>
      </c>
      <c r="H241" s="104">
        <v>47</v>
      </c>
      <c r="I241" s="104" t="s">
        <v>1295</v>
      </c>
      <c r="J241" s="104"/>
      <c r="K241" s="104"/>
      <c r="L241" s="104"/>
      <c r="M241" s="104"/>
      <c r="N241" s="105" t="s">
        <v>1296</v>
      </c>
      <c r="O241" s="105" t="s">
        <v>1252</v>
      </c>
      <c r="P241" s="105" t="s">
        <v>312</v>
      </c>
      <c r="Q241" s="104"/>
      <c r="R241" s="104" t="s">
        <v>634</v>
      </c>
      <c r="S241" s="104" t="s">
        <v>660</v>
      </c>
      <c r="T241" s="104" t="s">
        <v>885</v>
      </c>
      <c r="U241" s="104"/>
      <c r="V241" s="104"/>
      <c r="W241" s="104"/>
      <c r="X241" s="104"/>
      <c r="Y241" s="104"/>
      <c r="Z241" s="104" t="s">
        <v>767</v>
      </c>
      <c r="AA241" s="104" t="s">
        <v>1297</v>
      </c>
      <c r="AB241" s="104" t="s">
        <v>402</v>
      </c>
      <c r="AC241" s="104"/>
      <c r="AD241" s="104" t="s">
        <v>1271</v>
      </c>
      <c r="AE241" s="98" t="str">
        <f>"*"&amp;F241&amp;"*"&amp;"( "&amp;O241&amp;", "&amp;P241&amp;"/ "&amp;T241&amp;" )"&amp;", "</f>
        <v xml:space="preserve">*MUSDALIFAH*( JUNGPASIR, WEDUNG/ Rumah ), </v>
      </c>
      <c r="AF241" s="105" t="s">
        <v>1252</v>
      </c>
      <c r="AG241" s="81" t="s">
        <v>312</v>
      </c>
    </row>
    <row r="242" spans="1:34" s="103" customFormat="1" ht="42" customHeight="1" x14ac:dyDescent="0.35">
      <c r="A242" s="90">
        <v>239</v>
      </c>
      <c r="B242" s="104"/>
      <c r="C242" s="102">
        <v>44004</v>
      </c>
      <c r="D242" s="91" t="s">
        <v>353</v>
      </c>
      <c r="E242" s="93" t="s">
        <v>105</v>
      </c>
      <c r="F242" s="105" t="s">
        <v>1564</v>
      </c>
      <c r="G242" s="104" t="s">
        <v>355</v>
      </c>
      <c r="H242" s="104">
        <v>45</v>
      </c>
      <c r="I242" s="104" t="s">
        <v>1565</v>
      </c>
      <c r="J242" s="104"/>
      <c r="K242" s="104"/>
      <c r="L242" s="104"/>
      <c r="M242" s="104"/>
      <c r="N242" s="105" t="s">
        <v>1566</v>
      </c>
      <c r="O242" s="105" t="s">
        <v>301</v>
      </c>
      <c r="P242" s="105" t="s">
        <v>301</v>
      </c>
      <c r="Q242" s="104"/>
      <c r="R242" s="104" t="s">
        <v>608</v>
      </c>
      <c r="S242" s="104" t="s">
        <v>599</v>
      </c>
      <c r="T242" s="104" t="s">
        <v>1449</v>
      </c>
      <c r="U242" s="104"/>
      <c r="V242" s="104"/>
      <c r="W242" s="104"/>
      <c r="X242" s="104"/>
      <c r="Y242" s="104"/>
      <c r="Z242" s="104" t="s">
        <v>783</v>
      </c>
      <c r="AA242" s="104" t="s">
        <v>690</v>
      </c>
      <c r="AB242" s="104" t="s">
        <v>402</v>
      </c>
      <c r="AC242" s="104"/>
      <c r="AD242" s="104" t="s">
        <v>1481</v>
      </c>
      <c r="AE242" s="98" t="str">
        <f>"*"&amp;F242&amp;"*"&amp;"( "&amp;O242&amp;", "&amp;P242&amp;" )"&amp;", "</f>
        <v xml:space="preserve">*SUPARTIAH*( KARANGAWEN, KARANGAWEN ), </v>
      </c>
      <c r="AF242" s="105" t="s">
        <v>301</v>
      </c>
      <c r="AG242" s="81" t="s">
        <v>301</v>
      </c>
      <c r="AH242" s="79"/>
    </row>
    <row r="243" spans="1:34" s="103" customFormat="1" ht="46.5" customHeight="1" x14ac:dyDescent="0.35">
      <c r="A243" s="90">
        <v>240</v>
      </c>
      <c r="B243" s="97"/>
      <c r="C243" s="102">
        <v>44005</v>
      </c>
      <c r="D243" s="91" t="s">
        <v>353</v>
      </c>
      <c r="E243" s="93" t="s">
        <v>105</v>
      </c>
      <c r="F243" s="94" t="s">
        <v>728</v>
      </c>
      <c r="G243" s="97" t="s">
        <v>355</v>
      </c>
      <c r="H243" s="97">
        <v>41</v>
      </c>
      <c r="I243" s="97" t="s">
        <v>729</v>
      </c>
      <c r="J243" s="97"/>
      <c r="K243" s="97"/>
      <c r="L243" s="97"/>
      <c r="M243" s="97"/>
      <c r="N243" s="94" t="s">
        <v>730</v>
      </c>
      <c r="O243" s="94" t="s">
        <v>649</v>
      </c>
      <c r="P243" s="94" t="s">
        <v>385</v>
      </c>
      <c r="Q243" s="97"/>
      <c r="R243" s="97" t="s">
        <v>531</v>
      </c>
      <c r="S243" s="97" t="s">
        <v>731</v>
      </c>
      <c r="T243" s="97"/>
      <c r="U243" s="97"/>
      <c r="V243" s="97"/>
      <c r="W243" s="97"/>
      <c r="X243" s="97"/>
      <c r="Y243" s="97"/>
      <c r="Z243" s="97" t="s">
        <v>363</v>
      </c>
      <c r="AA243" s="97" t="s">
        <v>732</v>
      </c>
      <c r="AB243" s="97" t="s">
        <v>402</v>
      </c>
      <c r="AC243" s="97"/>
      <c r="AD243" s="97" t="s">
        <v>521</v>
      </c>
      <c r="AE243" s="98" t="str">
        <f>"*"&amp;F243&amp;"*"&amp;"( "&amp;O243&amp;", "&amp;P243&amp;"/ "&amp;R243&amp;" )"&amp;", "</f>
        <v xml:space="preserve">*PUJI MASLAKHAH*( KANGKUNG, MRANGGEN/ RSUD K.R.M.T Wongsonegoro Semarang ), </v>
      </c>
      <c r="AF243" s="94" t="s">
        <v>649</v>
      </c>
      <c r="AG243" s="81" t="s">
        <v>385</v>
      </c>
      <c r="AH243" s="79"/>
    </row>
    <row r="244" spans="1:34" s="103" customFormat="1" ht="30" customHeight="1" x14ac:dyDescent="0.35">
      <c r="A244" s="90">
        <v>241</v>
      </c>
      <c r="C244" s="102">
        <v>44005</v>
      </c>
      <c r="D244" s="91" t="s">
        <v>353</v>
      </c>
      <c r="E244" s="93" t="s">
        <v>105</v>
      </c>
      <c r="F244" s="94" t="s">
        <v>733</v>
      </c>
      <c r="G244" s="97" t="s">
        <v>413</v>
      </c>
      <c r="H244" s="97">
        <v>44</v>
      </c>
      <c r="I244" s="97" t="s">
        <v>734</v>
      </c>
      <c r="J244" s="97"/>
      <c r="K244" s="97"/>
      <c r="L244" s="97"/>
      <c r="M244" s="97"/>
      <c r="N244" s="94" t="s">
        <v>735</v>
      </c>
      <c r="O244" s="94" t="s">
        <v>678</v>
      </c>
      <c r="P244" s="94" t="s">
        <v>302</v>
      </c>
      <c r="Q244" s="97"/>
      <c r="R244" s="97" t="s">
        <v>582</v>
      </c>
      <c r="S244" s="97" t="s">
        <v>484</v>
      </c>
      <c r="T244" s="97"/>
      <c r="U244" s="97"/>
      <c r="V244" s="97"/>
      <c r="W244" s="97"/>
      <c r="X244" s="97"/>
      <c r="Y244" s="97"/>
      <c r="Z244" s="97" t="s">
        <v>363</v>
      </c>
      <c r="AA244" s="97" t="s">
        <v>736</v>
      </c>
      <c r="AB244" s="97" t="s">
        <v>402</v>
      </c>
      <c r="AC244" s="97"/>
      <c r="AD244" s="97" t="s">
        <v>521</v>
      </c>
      <c r="AE244" s="98" t="str">
        <f>"*"&amp;F244&amp;"*"&amp;"( "&amp;O244&amp;", "&amp;P244&amp;"/ "&amp;R244&amp;" )"&amp;", "</f>
        <v xml:space="preserve">*AGUS SUSANTO*( BOLO, DEMAK/ RSU Mardi Rahayu Kudus ), </v>
      </c>
      <c r="AF244" s="94" t="s">
        <v>678</v>
      </c>
      <c r="AG244" s="81" t="s">
        <v>302</v>
      </c>
      <c r="AH244" s="79"/>
    </row>
    <row r="245" spans="1:34" s="103" customFormat="1" ht="30" customHeight="1" x14ac:dyDescent="0.35">
      <c r="A245" s="90">
        <v>242</v>
      </c>
      <c r="C245" s="102">
        <v>44006</v>
      </c>
      <c r="D245" s="91" t="s">
        <v>428</v>
      </c>
      <c r="E245" s="93" t="s">
        <v>429</v>
      </c>
      <c r="F245" s="94" t="s">
        <v>737</v>
      </c>
      <c r="G245" s="97" t="s">
        <v>413</v>
      </c>
      <c r="H245" s="97">
        <v>56</v>
      </c>
      <c r="I245" s="97" t="s">
        <v>738</v>
      </c>
      <c r="J245" s="97"/>
      <c r="K245" s="97"/>
      <c r="L245" s="97"/>
      <c r="M245" s="97"/>
      <c r="N245" s="94" t="s">
        <v>739</v>
      </c>
      <c r="O245" s="94" t="s">
        <v>740</v>
      </c>
      <c r="P245" s="94" t="s">
        <v>307</v>
      </c>
      <c r="Q245" s="97"/>
      <c r="R245" s="97" t="s">
        <v>565</v>
      </c>
      <c r="S245" s="97" t="s">
        <v>507</v>
      </c>
      <c r="T245" s="97"/>
      <c r="U245" s="97"/>
      <c r="V245" s="97"/>
      <c r="W245" s="97"/>
      <c r="X245" s="97"/>
      <c r="Y245" s="97"/>
      <c r="Z245" s="97" t="s">
        <v>363</v>
      </c>
      <c r="AA245" s="97" t="s">
        <v>741</v>
      </c>
      <c r="AB245" s="97" t="s">
        <v>402</v>
      </c>
      <c r="AC245" s="97"/>
      <c r="AD245" s="97" t="s">
        <v>521</v>
      </c>
      <c r="AE245" s="98" t="str">
        <f>"*"&amp;F245&amp;"*"&amp;"( "&amp;O245&amp;", "&amp;P245&amp;"/ "&amp;R245&amp;" )"&amp;", "</f>
        <v xml:space="preserve">*SUTIKWAN*( SIDOMULYO, DEMPET/ RSUD Loekmono Hadi Kudus ), </v>
      </c>
      <c r="AF245" s="94" t="s">
        <v>740</v>
      </c>
      <c r="AG245" s="81" t="s">
        <v>307</v>
      </c>
      <c r="AH245" s="79"/>
    </row>
    <row r="246" spans="1:34" s="103" customFormat="1" ht="30" customHeight="1" x14ac:dyDescent="0.35">
      <c r="A246" s="90">
        <v>243</v>
      </c>
      <c r="C246" s="102">
        <v>44006</v>
      </c>
      <c r="D246" s="91" t="s">
        <v>428</v>
      </c>
      <c r="E246" s="93" t="s">
        <v>429</v>
      </c>
      <c r="F246" s="94" t="s">
        <v>742</v>
      </c>
      <c r="G246" s="97" t="s">
        <v>413</v>
      </c>
      <c r="H246" s="97">
        <v>55</v>
      </c>
      <c r="I246" s="97" t="s">
        <v>569</v>
      </c>
      <c r="J246" s="97"/>
      <c r="K246" s="97"/>
      <c r="L246" s="97"/>
      <c r="M246" s="97"/>
      <c r="N246" s="94" t="s">
        <v>743</v>
      </c>
      <c r="O246" s="94" t="s">
        <v>744</v>
      </c>
      <c r="P246" s="94" t="s">
        <v>310</v>
      </c>
      <c r="Q246" s="97"/>
      <c r="R246" s="97" t="s">
        <v>565</v>
      </c>
      <c r="S246" s="97" t="s">
        <v>745</v>
      </c>
      <c r="T246" s="97"/>
      <c r="U246" s="97"/>
      <c r="V246" s="97"/>
      <c r="W246" s="97"/>
      <c r="X246" s="97"/>
      <c r="Y246" s="97"/>
      <c r="Z246" s="97" t="s">
        <v>363</v>
      </c>
      <c r="AA246" s="97">
        <v>0</v>
      </c>
      <c r="AB246" s="97" t="s">
        <v>402</v>
      </c>
      <c r="AC246" s="97"/>
      <c r="AD246" s="97" t="s">
        <v>521</v>
      </c>
      <c r="AE246" s="98" t="str">
        <f>"*"&amp;F246&amp;"*"&amp;"( "&amp;O246&amp;", "&amp;P246&amp;"/ "&amp;R246&amp;" )"&amp;", "</f>
        <v xml:space="preserve">*SUMONO*( BANDUNGREJO, KARANGANYAR/ RSUD Loekmono Hadi Kudus ), </v>
      </c>
      <c r="AF246" s="94" t="s">
        <v>744</v>
      </c>
      <c r="AG246" s="81" t="s">
        <v>310</v>
      </c>
      <c r="AH246" s="79"/>
    </row>
    <row r="247" spans="1:34" s="103" customFormat="1" ht="30" x14ac:dyDescent="0.35">
      <c r="A247" s="90">
        <v>244</v>
      </c>
      <c r="C247" s="102">
        <v>44006</v>
      </c>
      <c r="D247" s="91" t="s">
        <v>428</v>
      </c>
      <c r="E247" s="93" t="s">
        <v>429</v>
      </c>
      <c r="F247" s="94" t="s">
        <v>475</v>
      </c>
      <c r="G247" s="97" t="s">
        <v>355</v>
      </c>
      <c r="H247" s="97">
        <v>52</v>
      </c>
      <c r="I247" s="97" t="s">
        <v>471</v>
      </c>
      <c r="J247" s="97"/>
      <c r="K247" s="97"/>
      <c r="L247" s="97"/>
      <c r="M247" s="97"/>
      <c r="N247" s="94" t="s">
        <v>476</v>
      </c>
      <c r="O247" s="94" t="s">
        <v>477</v>
      </c>
      <c r="P247" s="94" t="s">
        <v>304</v>
      </c>
      <c r="Q247" s="97"/>
      <c r="R247" s="97" t="s">
        <v>473</v>
      </c>
      <c r="S247" s="97" t="s">
        <v>478</v>
      </c>
      <c r="T247" s="97" t="s">
        <v>363</v>
      </c>
      <c r="U247" s="97"/>
      <c r="V247" s="97"/>
      <c r="W247" s="97"/>
      <c r="X247" s="97"/>
      <c r="Y247" s="97"/>
      <c r="Z247" s="97"/>
      <c r="AA247" s="97" t="s">
        <v>479</v>
      </c>
      <c r="AB247" s="97" t="s">
        <v>402</v>
      </c>
      <c r="AC247" s="97"/>
      <c r="AD247" s="97" t="s">
        <v>365</v>
      </c>
      <c r="AE247" s="98" t="str">
        <f>"*"&amp;F247&amp;"*"&amp;"( "&amp;O247&amp;", "&amp;P247&amp;" )"&amp;", "</f>
        <v xml:space="preserve">*SUJIWATI*( BANJARSARI, SAYUNG ), </v>
      </c>
      <c r="AF247" s="94" t="s">
        <v>477</v>
      </c>
      <c r="AG247" s="81" t="s">
        <v>304</v>
      </c>
    </row>
    <row r="248" spans="1:34" s="103" customFormat="1" ht="30" customHeight="1" x14ac:dyDescent="0.35">
      <c r="A248" s="90">
        <v>245</v>
      </c>
      <c r="B248" s="77"/>
      <c r="C248" s="102">
        <v>44006</v>
      </c>
      <c r="D248" s="91" t="s">
        <v>428</v>
      </c>
      <c r="E248" s="93" t="s">
        <v>429</v>
      </c>
      <c r="F248" s="111" t="s">
        <v>1459</v>
      </c>
      <c r="G248" s="97" t="s">
        <v>413</v>
      </c>
      <c r="H248" s="97">
        <v>53</v>
      </c>
      <c r="I248" s="97" t="s">
        <v>471</v>
      </c>
      <c r="J248" s="97"/>
      <c r="K248" s="97"/>
      <c r="L248" s="97"/>
      <c r="M248" s="97"/>
      <c r="N248" s="94" t="s">
        <v>1460</v>
      </c>
      <c r="O248" s="94" t="s">
        <v>1461</v>
      </c>
      <c r="P248" s="94" t="s">
        <v>311</v>
      </c>
      <c r="Q248" s="97"/>
      <c r="R248" s="97" t="s">
        <v>473</v>
      </c>
      <c r="S248" s="97" t="s">
        <v>494</v>
      </c>
      <c r="T248" s="97" t="s">
        <v>1449</v>
      </c>
      <c r="U248" s="97"/>
      <c r="V248" s="97"/>
      <c r="W248" s="97"/>
      <c r="X248" s="97"/>
      <c r="Y248" s="97"/>
      <c r="Z248" s="97"/>
      <c r="AA248" s="97">
        <v>0</v>
      </c>
      <c r="AB248" s="97" t="s">
        <v>402</v>
      </c>
      <c r="AC248" s="97"/>
      <c r="AD248" s="97" t="s">
        <v>316</v>
      </c>
      <c r="AE248" s="98" t="str">
        <f>"*"&amp;F248&amp;"*"&amp;"( "&amp;O248&amp;", "&amp;P248&amp;" )"&amp;", "</f>
        <v xml:space="preserve">*SUBAKIR*( BONANGREJO, BONANG ), </v>
      </c>
      <c r="AF248" s="94" t="s">
        <v>1461</v>
      </c>
      <c r="AG248" s="81" t="s">
        <v>311</v>
      </c>
      <c r="AH248" s="79"/>
    </row>
    <row r="249" spans="1:34" s="103" customFormat="1" ht="30" x14ac:dyDescent="0.35">
      <c r="A249" s="90">
        <v>246</v>
      </c>
      <c r="B249" s="77"/>
      <c r="C249" s="102">
        <v>44006</v>
      </c>
      <c r="D249" s="91" t="s">
        <v>428</v>
      </c>
      <c r="E249" s="93" t="s">
        <v>429</v>
      </c>
      <c r="F249" s="111" t="s">
        <v>480</v>
      </c>
      <c r="G249" s="97" t="s">
        <v>355</v>
      </c>
      <c r="H249" s="97">
        <v>40</v>
      </c>
      <c r="I249" s="97" t="s">
        <v>481</v>
      </c>
      <c r="J249" s="97"/>
      <c r="K249" s="97"/>
      <c r="L249" s="97"/>
      <c r="M249" s="97"/>
      <c r="N249" s="94" t="s">
        <v>482</v>
      </c>
      <c r="O249" s="94" t="s">
        <v>483</v>
      </c>
      <c r="P249" s="94" t="s">
        <v>305</v>
      </c>
      <c r="Q249" s="97"/>
      <c r="R249" s="97" t="s">
        <v>473</v>
      </c>
      <c r="S249" s="97" t="s">
        <v>484</v>
      </c>
      <c r="T249" s="97" t="s">
        <v>363</v>
      </c>
      <c r="U249" s="97"/>
      <c r="V249" s="97"/>
      <c r="W249" s="97"/>
      <c r="X249" s="97"/>
      <c r="Y249" s="97"/>
      <c r="Z249" s="97"/>
      <c r="AA249" s="97" t="s">
        <v>485</v>
      </c>
      <c r="AB249" s="97" t="s">
        <v>402</v>
      </c>
      <c r="AC249" s="97"/>
      <c r="AD249" s="97" t="s">
        <v>365</v>
      </c>
      <c r="AE249" s="98" t="str">
        <f>"*"&amp;F249&amp;"*"&amp;"( "&amp;O249&amp;", "&amp;P249&amp;" )"&amp;", "</f>
        <v xml:space="preserve">*SRI UTAMI*( BOTOREJO, WONOSALAM ), </v>
      </c>
      <c r="AF249" s="94" t="s">
        <v>483</v>
      </c>
      <c r="AG249" s="81" t="s">
        <v>305</v>
      </c>
    </row>
    <row r="250" spans="1:34" s="103" customFormat="1" ht="30" x14ac:dyDescent="0.35">
      <c r="A250" s="90">
        <v>247</v>
      </c>
      <c r="B250" s="92">
        <v>44009</v>
      </c>
      <c r="C250" s="102">
        <v>44006</v>
      </c>
      <c r="D250" s="91" t="s">
        <v>428</v>
      </c>
      <c r="E250" s="93" t="s">
        <v>429</v>
      </c>
      <c r="F250" s="111" t="s">
        <v>1080</v>
      </c>
      <c r="G250" s="97" t="s">
        <v>355</v>
      </c>
      <c r="H250" s="97">
        <v>50</v>
      </c>
      <c r="I250" s="97" t="s">
        <v>1081</v>
      </c>
      <c r="J250" s="97"/>
      <c r="K250" s="97"/>
      <c r="L250" s="97"/>
      <c r="M250" s="97"/>
      <c r="N250" s="94" t="s">
        <v>1082</v>
      </c>
      <c r="O250" s="94" t="s">
        <v>1083</v>
      </c>
      <c r="P250" s="94" t="s">
        <v>311</v>
      </c>
      <c r="Q250" s="97"/>
      <c r="R250" s="97" t="s">
        <v>473</v>
      </c>
      <c r="S250" s="97" t="s">
        <v>478</v>
      </c>
      <c r="T250" s="97" t="s">
        <v>885</v>
      </c>
      <c r="U250" s="97"/>
      <c r="V250" s="97"/>
      <c r="W250" s="97"/>
      <c r="X250" s="97"/>
      <c r="Y250" s="97"/>
      <c r="Z250" s="97"/>
      <c r="AA250" s="97" t="s">
        <v>479</v>
      </c>
      <c r="AB250" s="97" t="s">
        <v>402</v>
      </c>
      <c r="AC250" s="97"/>
      <c r="AD250" s="97" t="s">
        <v>890</v>
      </c>
      <c r="AE250" s="98" t="str">
        <f>"*"&amp;F250&amp;"*"&amp;"( "&amp;O250&amp;", "&amp;P250&amp;"/ "&amp;T250&amp;" )"&amp;", "</f>
        <v xml:space="preserve">*SITI HAYAH AZIZAH*( PURWOREJO, BONANG/ Rumah ), </v>
      </c>
      <c r="AF250" s="94" t="s">
        <v>1083</v>
      </c>
      <c r="AG250" s="81" t="s">
        <v>311</v>
      </c>
    </row>
    <row r="251" spans="1:34" s="103" customFormat="1" ht="30" x14ac:dyDescent="0.35">
      <c r="A251" s="90">
        <v>248</v>
      </c>
      <c r="B251" s="158">
        <v>44009</v>
      </c>
      <c r="C251" s="102">
        <v>44006</v>
      </c>
      <c r="D251" s="91" t="s">
        <v>428</v>
      </c>
      <c r="E251" s="93" t="s">
        <v>429</v>
      </c>
      <c r="F251" s="111" t="s">
        <v>1084</v>
      </c>
      <c r="G251" s="97" t="s">
        <v>355</v>
      </c>
      <c r="H251" s="97">
        <v>50</v>
      </c>
      <c r="I251" s="97" t="s">
        <v>1085</v>
      </c>
      <c r="J251" s="97"/>
      <c r="K251" s="97"/>
      <c r="L251" s="97"/>
      <c r="M251" s="97"/>
      <c r="N251" s="94" t="s">
        <v>1086</v>
      </c>
      <c r="O251" s="94" t="s">
        <v>678</v>
      </c>
      <c r="P251" s="94" t="s">
        <v>302</v>
      </c>
      <c r="Q251" s="97"/>
      <c r="R251" s="97" t="s">
        <v>473</v>
      </c>
      <c r="S251" s="97" t="s">
        <v>484</v>
      </c>
      <c r="T251" s="97"/>
      <c r="U251" s="97"/>
      <c r="V251" s="97"/>
      <c r="W251" s="97"/>
      <c r="X251" s="97"/>
      <c r="Y251" s="97"/>
      <c r="Z251" s="97" t="s">
        <v>1087</v>
      </c>
      <c r="AA251" s="97">
        <v>0</v>
      </c>
      <c r="AB251" s="97" t="s">
        <v>402</v>
      </c>
      <c r="AC251" s="97"/>
      <c r="AD251" s="97" t="s">
        <v>890</v>
      </c>
      <c r="AE251" s="98" t="str">
        <f>"*"&amp;F251&amp;"*"&amp;"( "&amp;O251&amp;", "&amp;P251&amp;"/ "&amp;T251&amp;" )"&amp;", "</f>
        <v xml:space="preserve">*RUSTINAH*( BOLO, DEMAK/  ), </v>
      </c>
      <c r="AF251" s="94" t="s">
        <v>678</v>
      </c>
      <c r="AG251" s="81" t="s">
        <v>302</v>
      </c>
      <c r="AH251" s="79"/>
    </row>
    <row r="252" spans="1:34" s="103" customFormat="1" x14ac:dyDescent="0.35">
      <c r="A252" s="90">
        <v>249</v>
      </c>
      <c r="B252" s="77"/>
      <c r="C252" s="102">
        <v>44006</v>
      </c>
      <c r="D252" s="91" t="s">
        <v>428</v>
      </c>
      <c r="E252" s="93" t="s">
        <v>429</v>
      </c>
      <c r="F252" s="111" t="s">
        <v>1462</v>
      </c>
      <c r="G252" s="97" t="s">
        <v>413</v>
      </c>
      <c r="H252" s="97">
        <v>46</v>
      </c>
      <c r="I252" s="97" t="s">
        <v>1463</v>
      </c>
      <c r="J252" s="97"/>
      <c r="K252" s="97"/>
      <c r="L252" s="97"/>
      <c r="M252" s="97"/>
      <c r="N252" s="94" t="s">
        <v>1464</v>
      </c>
      <c r="O252" s="94" t="s">
        <v>1218</v>
      </c>
      <c r="P252" s="94" t="s">
        <v>303</v>
      </c>
      <c r="Q252" s="97"/>
      <c r="R252" s="97" t="s">
        <v>473</v>
      </c>
      <c r="S252" s="97" t="s">
        <v>484</v>
      </c>
      <c r="T252" s="97"/>
      <c r="U252" s="97"/>
      <c r="V252" s="97"/>
      <c r="W252" s="97"/>
      <c r="X252" s="97"/>
      <c r="Y252" s="97"/>
      <c r="Z252" s="97" t="s">
        <v>783</v>
      </c>
      <c r="AA252" s="97">
        <v>0</v>
      </c>
      <c r="AB252" s="97" t="s">
        <v>402</v>
      </c>
      <c r="AC252" s="97"/>
      <c r="AD252" s="97" t="s">
        <v>316</v>
      </c>
      <c r="AE252" s="98" t="str">
        <f t="shared" ref="AE252:AE257" si="7">"*"&amp;F252&amp;"*"&amp;"( "&amp;O252&amp;", "&amp;P252&amp;" )"&amp;", "</f>
        <v xml:space="preserve">*MUH ROZIKAN*( BLERONG, GUNTUR ), </v>
      </c>
      <c r="AF252" s="94" t="s">
        <v>1218</v>
      </c>
      <c r="AG252" s="81" t="s">
        <v>303</v>
      </c>
      <c r="AH252" s="79"/>
    </row>
    <row r="253" spans="1:34" s="103" customFormat="1" ht="47.25" customHeight="1" x14ac:dyDescent="0.35">
      <c r="A253" s="90">
        <v>250</v>
      </c>
      <c r="B253" s="77"/>
      <c r="C253" s="102">
        <v>44006</v>
      </c>
      <c r="D253" s="91" t="s">
        <v>428</v>
      </c>
      <c r="E253" s="93" t="s">
        <v>429</v>
      </c>
      <c r="F253" s="111" t="s">
        <v>486</v>
      </c>
      <c r="G253" s="97" t="s">
        <v>413</v>
      </c>
      <c r="H253" s="97">
        <v>60</v>
      </c>
      <c r="I253" s="97" t="s">
        <v>487</v>
      </c>
      <c r="J253" s="97"/>
      <c r="K253" s="97"/>
      <c r="L253" s="97"/>
      <c r="M253" s="97"/>
      <c r="N253" s="94" t="s">
        <v>488</v>
      </c>
      <c r="O253" s="94" t="s">
        <v>489</v>
      </c>
      <c r="P253" s="94" t="s">
        <v>301</v>
      </c>
      <c r="Q253" s="97"/>
      <c r="R253" s="97" t="s">
        <v>473</v>
      </c>
      <c r="S253" s="97" t="s">
        <v>478</v>
      </c>
      <c r="T253" s="97" t="s">
        <v>363</v>
      </c>
      <c r="U253" s="97"/>
      <c r="V253" s="97"/>
      <c r="W253" s="97"/>
      <c r="X253" s="97"/>
      <c r="Y253" s="97"/>
      <c r="Z253" s="97"/>
      <c r="AA253" s="97" t="s">
        <v>485</v>
      </c>
      <c r="AB253" s="97" t="s">
        <v>402</v>
      </c>
      <c r="AC253" s="97"/>
      <c r="AD253" s="97" t="s">
        <v>365</v>
      </c>
      <c r="AE253" s="98" t="str">
        <f t="shared" si="7"/>
        <v xml:space="preserve">*MAHFUD*( TLOGOREJO, KARANGAWEN ), </v>
      </c>
      <c r="AF253" s="94" t="s">
        <v>489</v>
      </c>
      <c r="AG253" s="81" t="s">
        <v>301</v>
      </c>
      <c r="AH253" s="77"/>
    </row>
    <row r="254" spans="1:34" s="103" customFormat="1" ht="30" customHeight="1" x14ac:dyDescent="0.35">
      <c r="A254" s="90">
        <v>251</v>
      </c>
      <c r="B254" s="77"/>
      <c r="C254" s="102">
        <v>44006</v>
      </c>
      <c r="D254" s="91" t="s">
        <v>428</v>
      </c>
      <c r="E254" s="93" t="s">
        <v>429</v>
      </c>
      <c r="F254" s="111" t="s">
        <v>1465</v>
      </c>
      <c r="G254" s="97" t="s">
        <v>413</v>
      </c>
      <c r="H254" s="97">
        <v>79</v>
      </c>
      <c r="I254" s="97" t="s">
        <v>1466</v>
      </c>
      <c r="J254" s="97"/>
      <c r="K254" s="97"/>
      <c r="L254" s="97"/>
      <c r="M254" s="97"/>
      <c r="N254" s="94" t="s">
        <v>1467</v>
      </c>
      <c r="O254" s="94" t="s">
        <v>1353</v>
      </c>
      <c r="P254" s="94" t="s">
        <v>0</v>
      </c>
      <c r="Q254" s="97"/>
      <c r="R254" s="97" t="s">
        <v>473</v>
      </c>
      <c r="S254" s="97" t="s">
        <v>478</v>
      </c>
      <c r="T254" s="97"/>
      <c r="U254" s="97"/>
      <c r="V254" s="97"/>
      <c r="W254" s="97"/>
      <c r="X254" s="97"/>
      <c r="Y254" s="97"/>
      <c r="Z254" s="97" t="s">
        <v>783</v>
      </c>
      <c r="AA254" s="97">
        <v>0</v>
      </c>
      <c r="AB254" s="97" t="s">
        <v>402</v>
      </c>
      <c r="AC254" s="97"/>
      <c r="AD254" s="97" t="s">
        <v>316</v>
      </c>
      <c r="AE254" s="98" t="str">
        <f t="shared" si="7"/>
        <v xml:space="preserve">*LAMIDI HARYANTO*( PULOSARI, KARANGTENGAH ), </v>
      </c>
      <c r="AF254" s="94" t="s">
        <v>1353</v>
      </c>
      <c r="AG254" s="81" t="s">
        <v>0</v>
      </c>
      <c r="AH254" s="2"/>
    </row>
    <row r="255" spans="1:34" s="103" customFormat="1" ht="23.25" customHeight="1" x14ac:dyDescent="0.35">
      <c r="A255" s="90">
        <v>252</v>
      </c>
      <c r="B255" s="77"/>
      <c r="C255" s="102">
        <v>44006</v>
      </c>
      <c r="D255" s="91" t="s">
        <v>428</v>
      </c>
      <c r="E255" s="93" t="s">
        <v>429</v>
      </c>
      <c r="F255" s="111" t="s">
        <v>1468</v>
      </c>
      <c r="G255" s="97" t="s">
        <v>355</v>
      </c>
      <c r="H255" s="97">
        <v>23</v>
      </c>
      <c r="I255" s="97" t="s">
        <v>1469</v>
      </c>
      <c r="J255" s="97"/>
      <c r="K255" s="97"/>
      <c r="L255" s="97"/>
      <c r="M255" s="97"/>
      <c r="N255" s="94" t="s">
        <v>1470</v>
      </c>
      <c r="O255" s="94" t="s">
        <v>1245</v>
      </c>
      <c r="P255" s="94" t="s">
        <v>312</v>
      </c>
      <c r="Q255" s="97"/>
      <c r="R255" s="97" t="s">
        <v>473</v>
      </c>
      <c r="S255" s="97" t="s">
        <v>827</v>
      </c>
      <c r="T255" s="97"/>
      <c r="U255" s="97"/>
      <c r="V255" s="97"/>
      <c r="W255" s="97"/>
      <c r="X255" s="97"/>
      <c r="Y255" s="97"/>
      <c r="Z255" s="97" t="s">
        <v>783</v>
      </c>
      <c r="AA255" s="97">
        <v>0</v>
      </c>
      <c r="AB255" s="97" t="s">
        <v>402</v>
      </c>
      <c r="AC255" s="97"/>
      <c r="AD255" s="97" t="s">
        <v>316</v>
      </c>
      <c r="AE255" s="98" t="str">
        <f t="shared" si="7"/>
        <v xml:space="preserve">*LAILATUL MA'RIFAH*( BUNGO, WEDUNG ), </v>
      </c>
      <c r="AF255" s="94" t="s">
        <v>1245</v>
      </c>
      <c r="AG255" s="81" t="s">
        <v>312</v>
      </c>
      <c r="AH255" s="79"/>
    </row>
    <row r="256" spans="1:34" s="103" customFormat="1" ht="23.25" customHeight="1" x14ac:dyDescent="0.35">
      <c r="A256" s="90">
        <v>253</v>
      </c>
      <c r="B256" s="110"/>
      <c r="C256" s="102">
        <v>44006</v>
      </c>
      <c r="D256" s="110" t="s">
        <v>428</v>
      </c>
      <c r="E256" s="110" t="s">
        <v>429</v>
      </c>
      <c r="F256" s="111" t="s">
        <v>490</v>
      </c>
      <c r="G256" s="97" t="s">
        <v>355</v>
      </c>
      <c r="H256" s="97">
        <v>38</v>
      </c>
      <c r="I256" s="97" t="s">
        <v>491</v>
      </c>
      <c r="J256" s="97"/>
      <c r="K256" s="97"/>
      <c r="L256" s="97"/>
      <c r="M256" s="97"/>
      <c r="N256" s="94" t="s">
        <v>492</v>
      </c>
      <c r="O256" s="94" t="s">
        <v>493</v>
      </c>
      <c r="P256" s="94" t="s">
        <v>0</v>
      </c>
      <c r="Q256" s="97"/>
      <c r="R256" s="97" t="s">
        <v>473</v>
      </c>
      <c r="S256" s="97" t="s">
        <v>494</v>
      </c>
      <c r="T256" s="97" t="s">
        <v>363</v>
      </c>
      <c r="U256" s="97"/>
      <c r="V256" s="97"/>
      <c r="W256" s="97"/>
      <c r="X256" s="97"/>
      <c r="Y256" s="97"/>
      <c r="Z256" s="97"/>
      <c r="AA256" s="97">
        <v>0</v>
      </c>
      <c r="AB256" s="97" t="s">
        <v>402</v>
      </c>
      <c r="AC256" s="97"/>
      <c r="AD256" s="97" t="s">
        <v>365</v>
      </c>
      <c r="AE256" s="98" t="str">
        <f t="shared" si="7"/>
        <v xml:space="preserve">*SUNARTI*( SAMPANG, KARANGTENGAH ), </v>
      </c>
      <c r="AF256" s="94" t="s">
        <v>493</v>
      </c>
      <c r="AG256" s="81" t="s">
        <v>0</v>
      </c>
    </row>
    <row r="257" spans="1:34" ht="30" customHeight="1" x14ac:dyDescent="0.35">
      <c r="A257" s="90">
        <v>254</v>
      </c>
      <c r="B257" s="91"/>
      <c r="C257" s="92">
        <v>44006</v>
      </c>
      <c r="D257" s="91" t="s">
        <v>353</v>
      </c>
      <c r="E257" s="91" t="s">
        <v>105</v>
      </c>
      <c r="F257" s="94" t="s">
        <v>495</v>
      </c>
      <c r="G257" s="91"/>
      <c r="H257" s="91">
        <v>46</v>
      </c>
      <c r="I257" s="91"/>
      <c r="J257" s="91"/>
      <c r="K257" s="91"/>
      <c r="L257" s="91"/>
      <c r="M257" s="91"/>
      <c r="N257" s="94" t="s">
        <v>496</v>
      </c>
      <c r="O257" s="94" t="s">
        <v>497</v>
      </c>
      <c r="P257" s="94" t="s">
        <v>301</v>
      </c>
      <c r="Q257" s="91"/>
      <c r="R257" s="112" t="s">
        <v>369</v>
      </c>
      <c r="S257" s="91"/>
      <c r="T257" s="91" t="s">
        <v>363</v>
      </c>
      <c r="U257" s="91"/>
      <c r="V257" s="113" t="s">
        <v>494</v>
      </c>
      <c r="W257" s="91"/>
      <c r="X257" s="91"/>
      <c r="Y257" s="91"/>
      <c r="Z257" s="91"/>
      <c r="AA257" s="112" t="s">
        <v>498</v>
      </c>
      <c r="AB257" s="114">
        <v>44141</v>
      </c>
      <c r="AC257" s="91"/>
      <c r="AD257" s="97" t="s">
        <v>365</v>
      </c>
      <c r="AE257" s="98" t="str">
        <f t="shared" si="7"/>
        <v xml:space="preserve">*SRI RAHAYU*( BRAMBANG, KARANGAWEN ), </v>
      </c>
      <c r="AF257" s="94" t="s">
        <v>497</v>
      </c>
      <c r="AG257" s="148" t="s">
        <v>301</v>
      </c>
    </row>
    <row r="258" spans="1:34" ht="30" customHeight="1" x14ac:dyDescent="0.35">
      <c r="A258" s="90">
        <v>255</v>
      </c>
      <c r="B258" s="104"/>
      <c r="C258" s="92">
        <v>44007</v>
      </c>
      <c r="D258" s="91" t="s">
        <v>428</v>
      </c>
      <c r="E258" s="91" t="s">
        <v>429</v>
      </c>
      <c r="F258" s="109" t="s">
        <v>746</v>
      </c>
      <c r="G258" s="104" t="s">
        <v>355</v>
      </c>
      <c r="H258" s="104">
        <v>27</v>
      </c>
      <c r="I258" s="104" t="s">
        <v>747</v>
      </c>
      <c r="J258" s="104"/>
      <c r="K258" s="104"/>
      <c r="L258" s="104"/>
      <c r="M258" s="104"/>
      <c r="N258" s="105" t="s">
        <v>748</v>
      </c>
      <c r="O258" s="105" t="s">
        <v>749</v>
      </c>
      <c r="P258" s="105" t="s">
        <v>308</v>
      </c>
      <c r="Q258" s="104"/>
      <c r="R258" s="104" t="s">
        <v>582</v>
      </c>
      <c r="S258" s="104" t="s">
        <v>731</v>
      </c>
      <c r="T258" s="104"/>
      <c r="U258" s="104"/>
      <c r="V258" s="104"/>
      <c r="W258" s="104"/>
      <c r="X258" s="104"/>
      <c r="Y258" s="104"/>
      <c r="Z258" s="104" t="s">
        <v>363</v>
      </c>
      <c r="AA258" s="104" t="s">
        <v>750</v>
      </c>
      <c r="AB258" s="104" t="s">
        <v>402</v>
      </c>
      <c r="AC258" s="104"/>
      <c r="AD258" s="97" t="s">
        <v>521</v>
      </c>
      <c r="AE258" s="98" t="str">
        <f>"*"&amp;F258&amp;"*"&amp;"( "&amp;O258&amp;", "&amp;P258&amp;"/ "&amp;R258&amp;" )"&amp;", "</f>
        <v xml:space="preserve">*NOR CHANIFAH*( MLATIHARJO, GAJAH/ RSU Mardi Rahayu Kudus ), </v>
      </c>
      <c r="AF258" s="105" t="s">
        <v>749</v>
      </c>
      <c r="AG258" s="148" t="s">
        <v>308</v>
      </c>
    </row>
    <row r="259" spans="1:34" ht="37.5" x14ac:dyDescent="0.35">
      <c r="A259" s="90">
        <v>256</v>
      </c>
      <c r="B259" s="104"/>
      <c r="C259" s="92">
        <v>44007</v>
      </c>
      <c r="D259" s="91" t="s">
        <v>428</v>
      </c>
      <c r="E259" s="91" t="s">
        <v>429</v>
      </c>
      <c r="F259" s="109" t="s">
        <v>751</v>
      </c>
      <c r="G259" s="104" t="s">
        <v>413</v>
      </c>
      <c r="H259" s="104">
        <v>61</v>
      </c>
      <c r="I259" s="104" t="s">
        <v>752</v>
      </c>
      <c r="J259" s="104"/>
      <c r="K259" s="104"/>
      <c r="L259" s="104"/>
      <c r="M259" s="104"/>
      <c r="N259" s="105" t="s">
        <v>753</v>
      </c>
      <c r="O259" s="105" t="s">
        <v>385</v>
      </c>
      <c r="P259" s="105" t="s">
        <v>385</v>
      </c>
      <c r="Q259" s="104"/>
      <c r="R259" s="104" t="s">
        <v>644</v>
      </c>
      <c r="S259" s="104" t="s">
        <v>478</v>
      </c>
      <c r="T259" s="104"/>
      <c r="U259" s="104"/>
      <c r="V259" s="104"/>
      <c r="W259" s="104"/>
      <c r="X259" s="104"/>
      <c r="Y259" s="104"/>
      <c r="Z259" s="104" t="s">
        <v>363</v>
      </c>
      <c r="AA259" s="104" t="s">
        <v>754</v>
      </c>
      <c r="AB259" s="104" t="s">
        <v>402</v>
      </c>
      <c r="AC259" s="104"/>
      <c r="AD259" s="97" t="s">
        <v>521</v>
      </c>
      <c r="AE259" s="98" t="str">
        <f>"*"&amp;F259&amp;"*"&amp;"( "&amp;O259&amp;", "&amp;P259&amp;"/ "&amp;R259&amp;" )"&amp;", "</f>
        <v xml:space="preserve">*SRI WIDODO SPD TN*( MRANGGEN, MRANGGEN/ RS Roemani Muhammadiyah ), </v>
      </c>
      <c r="AF259" s="105" t="s">
        <v>385</v>
      </c>
      <c r="AG259" s="148" t="s">
        <v>385</v>
      </c>
    </row>
    <row r="260" spans="1:34" ht="31.5" x14ac:dyDescent="0.35">
      <c r="A260" s="90">
        <v>257</v>
      </c>
      <c r="B260" s="104"/>
      <c r="C260" s="92">
        <v>44007</v>
      </c>
      <c r="D260" s="91" t="s">
        <v>428</v>
      </c>
      <c r="E260" s="91" t="s">
        <v>429</v>
      </c>
      <c r="F260" s="109" t="s">
        <v>755</v>
      </c>
      <c r="G260" s="104" t="s">
        <v>355</v>
      </c>
      <c r="H260" s="104">
        <v>36</v>
      </c>
      <c r="I260" s="104" t="s">
        <v>756</v>
      </c>
      <c r="J260" s="104"/>
      <c r="K260" s="104"/>
      <c r="L260" s="104"/>
      <c r="M260" s="104"/>
      <c r="N260" s="105" t="s">
        <v>757</v>
      </c>
      <c r="O260" s="105" t="s">
        <v>649</v>
      </c>
      <c r="P260" s="105" t="s">
        <v>385</v>
      </c>
      <c r="Q260" s="104"/>
      <c r="R260" s="104" t="s">
        <v>531</v>
      </c>
      <c r="S260" s="104" t="s">
        <v>507</v>
      </c>
      <c r="T260" s="104"/>
      <c r="U260" s="104"/>
      <c r="V260" s="104"/>
      <c r="W260" s="104"/>
      <c r="X260" s="104"/>
      <c r="Y260" s="104"/>
      <c r="Z260" s="104" t="s">
        <v>363</v>
      </c>
      <c r="AA260" s="104" t="s">
        <v>758</v>
      </c>
      <c r="AB260" s="104" t="s">
        <v>402</v>
      </c>
      <c r="AC260" s="104"/>
      <c r="AD260" s="97" t="s">
        <v>521</v>
      </c>
      <c r="AE260" s="98" t="str">
        <f>"*"&amp;F260&amp;"*"&amp;"( "&amp;O260&amp;", "&amp;P260&amp;"/ "&amp;R260&amp;" )"&amp;", "</f>
        <v xml:space="preserve">*SUGIYARTI*( KANGKUNG, MRANGGEN/ RSUD K.R.M.T Wongsonegoro Semarang ), </v>
      </c>
      <c r="AF260" s="105" t="s">
        <v>649</v>
      </c>
      <c r="AG260" s="148" t="s">
        <v>385</v>
      </c>
    </row>
    <row r="261" spans="1:34" ht="30" x14ac:dyDescent="0.35">
      <c r="A261" s="90">
        <v>258</v>
      </c>
      <c r="B261" s="104"/>
      <c r="C261" s="92">
        <v>44007</v>
      </c>
      <c r="D261" s="91" t="s">
        <v>428</v>
      </c>
      <c r="E261" s="91" t="s">
        <v>429</v>
      </c>
      <c r="F261" s="109" t="s">
        <v>1088</v>
      </c>
      <c r="G261" s="104" t="s">
        <v>355</v>
      </c>
      <c r="H261" s="104">
        <v>60</v>
      </c>
      <c r="I261" s="104"/>
      <c r="J261" s="104"/>
      <c r="K261" s="104"/>
      <c r="L261" s="104"/>
      <c r="M261" s="104"/>
      <c r="N261" s="105" t="s">
        <v>1089</v>
      </c>
      <c r="O261" s="105" t="s">
        <v>304</v>
      </c>
      <c r="P261" s="105" t="s">
        <v>304</v>
      </c>
      <c r="Q261" s="104"/>
      <c r="R261" s="104" t="s">
        <v>890</v>
      </c>
      <c r="S261" s="104"/>
      <c r="T261" s="104" t="s">
        <v>885</v>
      </c>
      <c r="U261" s="104"/>
      <c r="V261" s="104"/>
      <c r="W261" s="104"/>
      <c r="X261" s="104"/>
      <c r="Y261" s="104"/>
      <c r="Z261" s="104"/>
      <c r="AB261" s="104"/>
      <c r="AC261" s="104"/>
      <c r="AD261" s="97" t="s">
        <v>890</v>
      </c>
      <c r="AE261" s="98" t="str">
        <f t="shared" ref="AE261:AE284" si="8">"*"&amp;F261&amp;"*"&amp;"( "&amp;O261&amp;", "&amp;P261&amp;"/ "&amp;T261&amp;" )"&amp;", "</f>
        <v xml:space="preserve">*SITI AMINAH*( SAYUNG, SAYUNG/ Rumah ), </v>
      </c>
      <c r="AF261" s="105" t="s">
        <v>304</v>
      </c>
      <c r="AG261" s="148" t="s">
        <v>304</v>
      </c>
    </row>
    <row r="262" spans="1:34" ht="30" x14ac:dyDescent="0.35">
      <c r="A262" s="90">
        <v>259</v>
      </c>
      <c r="B262" s="104"/>
      <c r="C262" s="92">
        <v>44007</v>
      </c>
      <c r="D262" s="91" t="s">
        <v>428</v>
      </c>
      <c r="E262" s="91" t="s">
        <v>429</v>
      </c>
      <c r="F262" s="109" t="s">
        <v>1090</v>
      </c>
      <c r="G262" s="104" t="s">
        <v>413</v>
      </c>
      <c r="H262" s="104">
        <v>34</v>
      </c>
      <c r="I262" s="104"/>
      <c r="J262" s="104"/>
      <c r="K262" s="104"/>
      <c r="L262" s="104"/>
      <c r="M262" s="104"/>
      <c r="N262" s="105" t="s">
        <v>432</v>
      </c>
      <c r="O262" s="105" t="s">
        <v>433</v>
      </c>
      <c r="P262" s="105" t="s">
        <v>309</v>
      </c>
      <c r="Q262" s="104"/>
      <c r="R262" s="104" t="s">
        <v>890</v>
      </c>
      <c r="S262" s="104"/>
      <c r="T262" s="104" t="s">
        <v>885</v>
      </c>
      <c r="U262" s="104"/>
      <c r="V262" s="104"/>
      <c r="W262" s="104"/>
      <c r="X262" s="104"/>
      <c r="Y262" s="104"/>
      <c r="Z262" s="104"/>
      <c r="AB262" s="104"/>
      <c r="AC262" s="104"/>
      <c r="AD262" s="97" t="s">
        <v>890</v>
      </c>
      <c r="AE262" s="98" t="str">
        <f t="shared" si="8"/>
        <v xml:space="preserve">*FENDI WIBOWO*( MLATEN, MIJEN/ Rumah ), </v>
      </c>
      <c r="AF262" s="105" t="s">
        <v>433</v>
      </c>
      <c r="AG262" s="148" t="s">
        <v>309</v>
      </c>
    </row>
    <row r="263" spans="1:34" ht="30" x14ac:dyDescent="0.35">
      <c r="A263" s="90">
        <v>260</v>
      </c>
      <c r="B263" s="104"/>
      <c r="C263" s="92">
        <v>44007</v>
      </c>
      <c r="D263" s="91" t="s">
        <v>428</v>
      </c>
      <c r="E263" s="91" t="s">
        <v>429</v>
      </c>
      <c r="F263" s="109" t="s">
        <v>1091</v>
      </c>
      <c r="G263" s="104" t="s">
        <v>413</v>
      </c>
      <c r="H263" s="104">
        <v>32</v>
      </c>
      <c r="I263" s="104"/>
      <c r="J263" s="104"/>
      <c r="K263" s="104"/>
      <c r="L263" s="104"/>
      <c r="M263" s="104"/>
      <c r="N263" s="105" t="s">
        <v>1092</v>
      </c>
      <c r="O263" s="105" t="s">
        <v>433</v>
      </c>
      <c r="P263" s="105" t="s">
        <v>1093</v>
      </c>
      <c r="Q263" s="104"/>
      <c r="R263" s="104" t="s">
        <v>890</v>
      </c>
      <c r="S263" s="104"/>
      <c r="T263" s="104" t="s">
        <v>885</v>
      </c>
      <c r="U263" s="104"/>
      <c r="V263" s="104"/>
      <c r="W263" s="104"/>
      <c r="X263" s="104"/>
      <c r="Y263" s="104"/>
      <c r="Z263" s="104"/>
      <c r="AB263" s="104"/>
      <c r="AC263" s="104"/>
      <c r="AD263" s="97" t="s">
        <v>890</v>
      </c>
      <c r="AE263" s="98" t="str">
        <f t="shared" si="8"/>
        <v xml:space="preserve">*RUKANTO*( MLATEN, MIJJEN/ Rumah ), </v>
      </c>
      <c r="AF263" s="105" t="s">
        <v>433</v>
      </c>
      <c r="AG263" s="148" t="s">
        <v>309</v>
      </c>
      <c r="AH263"/>
    </row>
    <row r="264" spans="1:34" ht="30" x14ac:dyDescent="0.35">
      <c r="A264" s="90">
        <v>261</v>
      </c>
      <c r="B264" s="104"/>
      <c r="C264" s="92">
        <v>44007</v>
      </c>
      <c r="D264" s="91" t="s">
        <v>428</v>
      </c>
      <c r="E264" s="91" t="s">
        <v>429</v>
      </c>
      <c r="F264" s="109" t="s">
        <v>1094</v>
      </c>
      <c r="G264" s="104" t="s">
        <v>413</v>
      </c>
      <c r="H264" s="104">
        <v>71</v>
      </c>
      <c r="I264" s="104"/>
      <c r="J264" s="104"/>
      <c r="K264" s="104"/>
      <c r="L264" s="104"/>
      <c r="M264" s="104"/>
      <c r="N264" s="105" t="s">
        <v>1095</v>
      </c>
      <c r="O264" s="105" t="s">
        <v>694</v>
      </c>
      <c r="P264" s="105" t="s">
        <v>312</v>
      </c>
      <c r="Q264" s="104"/>
      <c r="R264" s="104" t="s">
        <v>890</v>
      </c>
      <c r="S264" s="104"/>
      <c r="T264" s="104" t="s">
        <v>885</v>
      </c>
      <c r="U264" s="104"/>
      <c r="V264" s="104"/>
      <c r="W264" s="104"/>
      <c r="X264" s="104"/>
      <c r="Y264" s="104"/>
      <c r="Z264" s="104"/>
      <c r="AB264" s="104"/>
      <c r="AC264" s="104"/>
      <c r="AD264" s="97" t="s">
        <v>890</v>
      </c>
      <c r="AE264" s="98" t="str">
        <f t="shared" si="8"/>
        <v xml:space="preserve">*KHOLIL*( KEDUNGMUTIH, WEDUNG/ Rumah ), </v>
      </c>
      <c r="AF264" s="105" t="s">
        <v>694</v>
      </c>
      <c r="AG264" s="148" t="s">
        <v>312</v>
      </c>
    </row>
    <row r="265" spans="1:34" ht="30" x14ac:dyDescent="0.35">
      <c r="A265" s="90">
        <v>262</v>
      </c>
      <c r="B265" s="104"/>
      <c r="C265" s="92">
        <v>44007</v>
      </c>
      <c r="D265" s="91" t="s">
        <v>428</v>
      </c>
      <c r="E265" s="91" t="s">
        <v>429</v>
      </c>
      <c r="F265" s="109" t="s">
        <v>1096</v>
      </c>
      <c r="G265" s="104" t="s">
        <v>413</v>
      </c>
      <c r="H265" s="104">
        <v>43</v>
      </c>
      <c r="I265" s="104"/>
      <c r="J265" s="104"/>
      <c r="K265" s="104"/>
      <c r="L265" s="104"/>
      <c r="M265" s="104"/>
      <c r="N265" s="105" t="s">
        <v>1097</v>
      </c>
      <c r="O265" s="105" t="s">
        <v>694</v>
      </c>
      <c r="P265" s="105" t="s">
        <v>312</v>
      </c>
      <c r="Q265" s="104"/>
      <c r="R265" s="104" t="s">
        <v>890</v>
      </c>
      <c r="S265" s="104"/>
      <c r="T265" s="104" t="s">
        <v>885</v>
      </c>
      <c r="U265" s="104"/>
      <c r="V265" s="104"/>
      <c r="W265" s="104"/>
      <c r="X265" s="104"/>
      <c r="Y265" s="104"/>
      <c r="Z265" s="104"/>
      <c r="AB265" s="104"/>
      <c r="AC265" s="104"/>
      <c r="AD265" s="97" t="s">
        <v>890</v>
      </c>
      <c r="AE265" s="98" t="str">
        <f t="shared" si="8"/>
        <v xml:space="preserve">*NUR AKHWAN*( KEDUNGMUTIH, WEDUNG/ Rumah ), </v>
      </c>
      <c r="AF265" s="105" t="s">
        <v>694</v>
      </c>
      <c r="AG265" s="148" t="s">
        <v>312</v>
      </c>
    </row>
    <row r="266" spans="1:34" ht="30" x14ac:dyDescent="0.35">
      <c r="A266" s="90">
        <v>263</v>
      </c>
      <c r="B266" s="104"/>
      <c r="C266" s="92">
        <v>44007</v>
      </c>
      <c r="D266" s="91" t="s">
        <v>428</v>
      </c>
      <c r="E266" s="91" t="s">
        <v>429</v>
      </c>
      <c r="F266" s="109" t="s">
        <v>1098</v>
      </c>
      <c r="G266" s="104" t="s">
        <v>413</v>
      </c>
      <c r="H266" s="104">
        <v>23</v>
      </c>
      <c r="I266" s="104"/>
      <c r="J266" s="104"/>
      <c r="K266" s="104"/>
      <c r="L266" s="104"/>
      <c r="M266" s="104"/>
      <c r="N266" s="105" t="s">
        <v>1099</v>
      </c>
      <c r="O266" s="105" t="s">
        <v>1100</v>
      </c>
      <c r="P266" s="105" t="s">
        <v>303</v>
      </c>
      <c r="Q266" s="104"/>
      <c r="R266" s="104" t="s">
        <v>890</v>
      </c>
      <c r="S266" s="104"/>
      <c r="T266" s="104" t="s">
        <v>885</v>
      </c>
      <c r="U266" s="104"/>
      <c r="V266" s="104"/>
      <c r="W266" s="104"/>
      <c r="X266" s="104"/>
      <c r="Y266" s="104"/>
      <c r="Z266" s="104"/>
      <c r="AB266" s="104"/>
      <c r="AC266" s="104"/>
      <c r="AD266" s="97" t="s">
        <v>890</v>
      </c>
      <c r="AE266" s="98" t="str">
        <f t="shared" si="8"/>
        <v xml:space="preserve">*MUHAMMAD KAMALUDIN ASSAIPI*( SUKOREJO, GUNTUR/ Rumah ), </v>
      </c>
      <c r="AF266" s="105" t="s">
        <v>1100</v>
      </c>
      <c r="AG266" s="148" t="s">
        <v>303</v>
      </c>
      <c r="AH266" s="2"/>
    </row>
    <row r="267" spans="1:34" ht="30" x14ac:dyDescent="0.35">
      <c r="A267" s="90">
        <v>264</v>
      </c>
      <c r="B267" s="104"/>
      <c r="C267" s="92">
        <v>44007</v>
      </c>
      <c r="D267" s="91" t="s">
        <v>428</v>
      </c>
      <c r="E267" s="91" t="s">
        <v>429</v>
      </c>
      <c r="F267" s="109" t="s">
        <v>1101</v>
      </c>
      <c r="G267" s="104" t="s">
        <v>355</v>
      </c>
      <c r="H267" s="104">
        <v>20</v>
      </c>
      <c r="I267" s="104"/>
      <c r="J267" s="104"/>
      <c r="K267" s="104"/>
      <c r="L267" s="104"/>
      <c r="M267" s="104"/>
      <c r="N267" s="105" t="s">
        <v>1099</v>
      </c>
      <c r="O267" s="105" t="s">
        <v>1100</v>
      </c>
      <c r="P267" s="105" t="s">
        <v>303</v>
      </c>
      <c r="Q267" s="104"/>
      <c r="R267" s="104" t="s">
        <v>890</v>
      </c>
      <c r="S267" s="104"/>
      <c r="T267" s="104" t="s">
        <v>885</v>
      </c>
      <c r="U267" s="104"/>
      <c r="V267" s="104"/>
      <c r="W267" s="104"/>
      <c r="X267" s="104"/>
      <c r="Y267" s="104"/>
      <c r="Z267" s="104"/>
      <c r="AB267" s="104"/>
      <c r="AC267" s="104"/>
      <c r="AD267" s="97" t="s">
        <v>890</v>
      </c>
      <c r="AE267" s="98" t="str">
        <f t="shared" si="8"/>
        <v xml:space="preserve">*INDRI SETIAWATI*( SUKOREJO, GUNTUR/ Rumah ), </v>
      </c>
      <c r="AF267" s="105" t="s">
        <v>1100</v>
      </c>
      <c r="AG267" s="148" t="s">
        <v>303</v>
      </c>
    </row>
    <row r="268" spans="1:34" ht="30" x14ac:dyDescent="0.35">
      <c r="A268" s="90">
        <v>265</v>
      </c>
      <c r="B268" s="104"/>
      <c r="C268" s="92">
        <v>44007</v>
      </c>
      <c r="D268" s="91" t="s">
        <v>428</v>
      </c>
      <c r="E268" s="91" t="s">
        <v>429</v>
      </c>
      <c r="F268" s="109" t="s">
        <v>1102</v>
      </c>
      <c r="G268" s="104" t="s">
        <v>413</v>
      </c>
      <c r="H268" s="104">
        <v>50</v>
      </c>
      <c r="I268" s="104"/>
      <c r="J268" s="104"/>
      <c r="K268" s="104"/>
      <c r="L268" s="104"/>
      <c r="M268" s="104"/>
      <c r="N268" s="105" t="s">
        <v>1103</v>
      </c>
      <c r="O268" s="105" t="s">
        <v>694</v>
      </c>
      <c r="P268" s="105" t="s">
        <v>312</v>
      </c>
      <c r="Q268" s="104"/>
      <c r="R268" s="104" t="s">
        <v>890</v>
      </c>
      <c r="S268" s="104"/>
      <c r="T268" s="104" t="s">
        <v>885</v>
      </c>
      <c r="U268" s="104"/>
      <c r="V268" s="104"/>
      <c r="W268" s="104"/>
      <c r="X268" s="104"/>
      <c r="Y268" s="104"/>
      <c r="Z268" s="104"/>
      <c r="AB268" s="104"/>
      <c r="AC268" s="104"/>
      <c r="AD268" s="97" t="s">
        <v>890</v>
      </c>
      <c r="AE268" s="98" t="str">
        <f t="shared" si="8"/>
        <v xml:space="preserve">*TARWIYAH*( KEDUNGMUTIH, WEDUNG/ Rumah ), </v>
      </c>
      <c r="AF268" s="105" t="s">
        <v>694</v>
      </c>
      <c r="AG268" s="148" t="s">
        <v>312</v>
      </c>
      <c r="AH268" s="103"/>
    </row>
    <row r="269" spans="1:34" ht="30" x14ac:dyDescent="0.35">
      <c r="A269" s="90">
        <v>266</v>
      </c>
      <c r="B269" s="104"/>
      <c r="C269" s="92">
        <v>44007</v>
      </c>
      <c r="D269" s="91" t="s">
        <v>428</v>
      </c>
      <c r="E269" s="91" t="s">
        <v>429</v>
      </c>
      <c r="F269" s="109" t="s">
        <v>1104</v>
      </c>
      <c r="G269" s="104" t="s">
        <v>355</v>
      </c>
      <c r="H269" s="104">
        <v>24</v>
      </c>
      <c r="I269" s="104"/>
      <c r="J269" s="104"/>
      <c r="K269" s="104"/>
      <c r="L269" s="104"/>
      <c r="M269" s="104"/>
      <c r="N269" s="105" t="s">
        <v>1103</v>
      </c>
      <c r="O269" s="105" t="s">
        <v>694</v>
      </c>
      <c r="P269" s="105" t="s">
        <v>312</v>
      </c>
      <c r="Q269" s="104"/>
      <c r="R269" s="104" t="s">
        <v>890</v>
      </c>
      <c r="S269" s="104"/>
      <c r="T269" s="104" t="s">
        <v>885</v>
      </c>
      <c r="U269" s="104"/>
      <c r="V269" s="104"/>
      <c r="W269" s="104"/>
      <c r="X269" s="104"/>
      <c r="Y269" s="104"/>
      <c r="Z269" s="104"/>
      <c r="AB269" s="104"/>
      <c r="AC269" s="104"/>
      <c r="AD269" s="97" t="s">
        <v>890</v>
      </c>
      <c r="AE269" s="98" t="str">
        <f t="shared" si="8"/>
        <v xml:space="preserve">*YASMIN ALAWIYAH*( KEDUNGMUTIH, WEDUNG/ Rumah ), </v>
      </c>
      <c r="AF269" s="105" t="s">
        <v>694</v>
      </c>
      <c r="AG269" s="148" t="s">
        <v>312</v>
      </c>
      <c r="AH269"/>
    </row>
    <row r="270" spans="1:34" ht="30" x14ac:dyDescent="0.35">
      <c r="A270" s="90">
        <v>267</v>
      </c>
      <c r="B270" s="104"/>
      <c r="C270" s="92">
        <v>44007</v>
      </c>
      <c r="D270" s="91" t="s">
        <v>428</v>
      </c>
      <c r="E270" s="91" t="s">
        <v>429</v>
      </c>
      <c r="F270" s="109" t="s">
        <v>1105</v>
      </c>
      <c r="G270" s="104" t="s">
        <v>355</v>
      </c>
      <c r="H270" s="104">
        <v>49</v>
      </c>
      <c r="I270" s="104"/>
      <c r="J270" s="104"/>
      <c r="K270" s="104"/>
      <c r="L270" s="104"/>
      <c r="M270" s="104"/>
      <c r="N270" s="105" t="s">
        <v>1106</v>
      </c>
      <c r="O270" s="105" t="s">
        <v>694</v>
      </c>
      <c r="P270" s="105" t="s">
        <v>312</v>
      </c>
      <c r="Q270" s="104"/>
      <c r="R270" s="104" t="s">
        <v>890</v>
      </c>
      <c r="S270" s="104"/>
      <c r="T270" s="104" t="s">
        <v>885</v>
      </c>
      <c r="U270" s="104"/>
      <c r="V270" s="104"/>
      <c r="W270" s="104"/>
      <c r="X270" s="104"/>
      <c r="Y270" s="104"/>
      <c r="Z270" s="104"/>
      <c r="AB270" s="104"/>
      <c r="AC270" s="104"/>
      <c r="AD270" s="97" t="s">
        <v>890</v>
      </c>
      <c r="AE270" s="98" t="str">
        <f t="shared" si="8"/>
        <v xml:space="preserve">*SITI MUTMAINAH*( KEDUNGMUTIH, WEDUNG/ Rumah ), </v>
      </c>
      <c r="AF270" s="105" t="s">
        <v>694</v>
      </c>
      <c r="AG270" s="148" t="s">
        <v>312</v>
      </c>
      <c r="AH270" s="103"/>
    </row>
    <row r="271" spans="1:34" ht="30" x14ac:dyDescent="0.35">
      <c r="A271" s="90">
        <v>268</v>
      </c>
      <c r="B271" s="104"/>
      <c r="C271" s="92">
        <v>44007</v>
      </c>
      <c r="D271" s="91" t="s">
        <v>428</v>
      </c>
      <c r="E271" s="91" t="s">
        <v>429</v>
      </c>
      <c r="F271" s="109" t="s">
        <v>1107</v>
      </c>
      <c r="G271" s="104" t="s">
        <v>355</v>
      </c>
      <c r="H271" s="104">
        <v>27</v>
      </c>
      <c r="I271" s="104"/>
      <c r="J271" s="104"/>
      <c r="K271" s="104"/>
      <c r="L271" s="104"/>
      <c r="M271" s="104"/>
      <c r="N271" s="105" t="s">
        <v>1108</v>
      </c>
      <c r="O271" s="105" t="s">
        <v>694</v>
      </c>
      <c r="P271" s="105" t="s">
        <v>312</v>
      </c>
      <c r="Q271" s="104"/>
      <c r="R271" s="104" t="s">
        <v>890</v>
      </c>
      <c r="S271" s="104"/>
      <c r="T271" s="104" t="s">
        <v>885</v>
      </c>
      <c r="U271" s="104"/>
      <c r="V271" s="104"/>
      <c r="W271" s="104"/>
      <c r="X271" s="104"/>
      <c r="Y271" s="104"/>
      <c r="Z271" s="104"/>
      <c r="AB271" s="104"/>
      <c r="AC271" s="104"/>
      <c r="AD271" s="97" t="s">
        <v>890</v>
      </c>
      <c r="AE271" s="98" t="str">
        <f t="shared" si="8"/>
        <v xml:space="preserve">*RUKOYAH*( KEDUNGMUTIH, WEDUNG/ Rumah ), </v>
      </c>
      <c r="AF271" s="105" t="s">
        <v>694</v>
      </c>
      <c r="AG271" s="148" t="s">
        <v>312</v>
      </c>
    </row>
    <row r="272" spans="1:34" ht="30" x14ac:dyDescent="0.35">
      <c r="A272" s="90">
        <v>269</v>
      </c>
      <c r="B272" s="104"/>
      <c r="C272" s="92">
        <v>44007</v>
      </c>
      <c r="D272" s="91" t="s">
        <v>428</v>
      </c>
      <c r="E272" s="91" t="s">
        <v>429</v>
      </c>
      <c r="F272" s="109" t="s">
        <v>1109</v>
      </c>
      <c r="G272" s="104" t="s">
        <v>355</v>
      </c>
      <c r="H272" s="104">
        <v>49</v>
      </c>
      <c r="I272" s="104"/>
      <c r="J272" s="104"/>
      <c r="K272" s="104"/>
      <c r="L272" s="104"/>
      <c r="M272" s="104"/>
      <c r="N272" s="105" t="s">
        <v>1110</v>
      </c>
      <c r="O272" s="105" t="s">
        <v>1111</v>
      </c>
      <c r="P272" s="105" t="s">
        <v>312</v>
      </c>
      <c r="Q272" s="104"/>
      <c r="R272" s="104" t="s">
        <v>890</v>
      </c>
      <c r="S272" s="104"/>
      <c r="T272" s="104" t="s">
        <v>885</v>
      </c>
      <c r="U272" s="104"/>
      <c r="V272" s="104"/>
      <c r="W272" s="104"/>
      <c r="X272" s="104"/>
      <c r="Y272" s="104"/>
      <c r="Z272" s="104"/>
      <c r="AB272" s="104"/>
      <c r="AC272" s="104"/>
      <c r="AD272" s="97" t="s">
        <v>890</v>
      </c>
      <c r="AE272" s="98" t="str">
        <f t="shared" si="8"/>
        <v xml:space="preserve">*FAIZATUL AKMALA*( MUTIH WETAN, WEDUNG/ Rumah ), </v>
      </c>
      <c r="AF272" s="105" t="s">
        <v>1111</v>
      </c>
      <c r="AG272" s="148" t="s">
        <v>312</v>
      </c>
    </row>
    <row r="273" spans="1:34" ht="30" x14ac:dyDescent="0.35">
      <c r="A273" s="90">
        <v>270</v>
      </c>
      <c r="B273" s="104"/>
      <c r="C273" s="92">
        <v>44007</v>
      </c>
      <c r="D273" s="91" t="s">
        <v>428</v>
      </c>
      <c r="E273" s="91" t="s">
        <v>429</v>
      </c>
      <c r="F273" s="109" t="s">
        <v>1112</v>
      </c>
      <c r="G273" s="104" t="s">
        <v>355</v>
      </c>
      <c r="H273" s="104">
        <v>45</v>
      </c>
      <c r="I273" s="104"/>
      <c r="J273" s="104"/>
      <c r="K273" s="104"/>
      <c r="L273" s="104"/>
      <c r="M273" s="104"/>
      <c r="N273" s="105" t="s">
        <v>1113</v>
      </c>
      <c r="O273" s="105" t="s">
        <v>776</v>
      </c>
      <c r="P273" s="105" t="s">
        <v>312</v>
      </c>
      <c r="Q273" s="104"/>
      <c r="R273" s="104" t="s">
        <v>890</v>
      </c>
      <c r="S273" s="104"/>
      <c r="T273" s="104" t="s">
        <v>885</v>
      </c>
      <c r="U273" s="104"/>
      <c r="V273" s="104"/>
      <c r="W273" s="104"/>
      <c r="X273" s="104"/>
      <c r="Y273" s="104"/>
      <c r="Z273" s="104"/>
      <c r="AB273" s="104"/>
      <c r="AC273" s="104"/>
      <c r="AD273" s="97" t="s">
        <v>890</v>
      </c>
      <c r="AE273" s="98" t="str">
        <f t="shared" si="8"/>
        <v xml:space="preserve">*KHAIZUR ULA*( KEDUNGKARANG, WEDUNG/ Rumah ), </v>
      </c>
      <c r="AF273" s="105" t="s">
        <v>776</v>
      </c>
      <c r="AG273" s="148" t="s">
        <v>312</v>
      </c>
      <c r="AH273" s="103"/>
    </row>
    <row r="274" spans="1:34" ht="30" x14ac:dyDescent="0.35">
      <c r="A274" s="90">
        <v>271</v>
      </c>
      <c r="B274" s="104"/>
      <c r="C274" s="92">
        <v>44007</v>
      </c>
      <c r="D274" s="91" t="s">
        <v>428</v>
      </c>
      <c r="E274" s="91" t="s">
        <v>429</v>
      </c>
      <c r="F274" s="109" t="s">
        <v>1114</v>
      </c>
      <c r="G274" s="104" t="s">
        <v>355</v>
      </c>
      <c r="H274" s="104">
        <v>49</v>
      </c>
      <c r="I274" s="104"/>
      <c r="J274" s="104"/>
      <c r="K274" s="104"/>
      <c r="L274" s="104"/>
      <c r="M274" s="104"/>
      <c r="N274" s="105" t="s">
        <v>1115</v>
      </c>
      <c r="O274" s="105" t="s">
        <v>776</v>
      </c>
      <c r="P274" s="105" t="s">
        <v>312</v>
      </c>
      <c r="Q274" s="104"/>
      <c r="R274" s="104" t="s">
        <v>890</v>
      </c>
      <c r="S274" s="104"/>
      <c r="T274" s="104" t="s">
        <v>885</v>
      </c>
      <c r="U274" s="104"/>
      <c r="V274" s="104"/>
      <c r="W274" s="104"/>
      <c r="X274" s="104"/>
      <c r="Y274" s="104"/>
      <c r="Z274" s="104"/>
      <c r="AB274" s="104"/>
      <c r="AC274" s="104"/>
      <c r="AD274" s="97" t="s">
        <v>890</v>
      </c>
      <c r="AE274" s="98" t="str">
        <f t="shared" si="8"/>
        <v xml:space="preserve">*MILATUS ZAIROH*( KEDUNGKARANG, WEDUNG/ Rumah ), </v>
      </c>
      <c r="AF274" s="105" t="s">
        <v>776</v>
      </c>
      <c r="AG274" s="148" t="s">
        <v>312</v>
      </c>
    </row>
    <row r="275" spans="1:34" ht="30" x14ac:dyDescent="0.35">
      <c r="A275" s="90">
        <v>272</v>
      </c>
      <c r="B275" s="104"/>
      <c r="C275" s="92">
        <v>44007</v>
      </c>
      <c r="D275" s="91" t="s">
        <v>428</v>
      </c>
      <c r="E275" s="91" t="s">
        <v>429</v>
      </c>
      <c r="F275" s="109" t="s">
        <v>1116</v>
      </c>
      <c r="G275" s="104" t="s">
        <v>355</v>
      </c>
      <c r="H275" s="104">
        <v>27</v>
      </c>
      <c r="I275" s="104"/>
      <c r="J275" s="104"/>
      <c r="K275" s="104"/>
      <c r="L275" s="104"/>
      <c r="M275" s="104"/>
      <c r="N275" s="105" t="s">
        <v>1113</v>
      </c>
      <c r="O275" s="105" t="s">
        <v>776</v>
      </c>
      <c r="P275" s="105" t="s">
        <v>312</v>
      </c>
      <c r="Q275" s="104"/>
      <c r="R275" s="104" t="s">
        <v>890</v>
      </c>
      <c r="S275" s="104"/>
      <c r="T275" s="104" t="s">
        <v>885</v>
      </c>
      <c r="U275" s="104"/>
      <c r="V275" s="104"/>
      <c r="W275" s="104"/>
      <c r="X275" s="104"/>
      <c r="Y275" s="104"/>
      <c r="Z275" s="104"/>
      <c r="AB275" s="104"/>
      <c r="AC275" s="104"/>
      <c r="AD275" s="97" t="s">
        <v>890</v>
      </c>
      <c r="AE275" s="98" t="str">
        <f t="shared" si="8"/>
        <v xml:space="preserve">*NAILA HULALA*( KEDUNGKARANG, WEDUNG/ Rumah ), </v>
      </c>
      <c r="AF275" s="105" t="s">
        <v>776</v>
      </c>
      <c r="AG275" s="148" t="s">
        <v>312</v>
      </c>
    </row>
    <row r="276" spans="1:34" ht="30" customHeight="1" x14ac:dyDescent="0.35">
      <c r="A276" s="90">
        <v>273</v>
      </c>
      <c r="B276" s="104"/>
      <c r="C276" s="92">
        <v>44007</v>
      </c>
      <c r="D276" s="91" t="s">
        <v>428</v>
      </c>
      <c r="E276" s="91" t="s">
        <v>429</v>
      </c>
      <c r="F276" s="109" t="s">
        <v>1117</v>
      </c>
      <c r="G276" s="104"/>
      <c r="H276" s="104">
        <v>16</v>
      </c>
      <c r="I276" s="104"/>
      <c r="J276" s="104"/>
      <c r="K276" s="104"/>
      <c r="L276" s="104"/>
      <c r="M276" s="104"/>
      <c r="N276" s="105" t="s">
        <v>1115</v>
      </c>
      <c r="O276" s="105" t="s">
        <v>776</v>
      </c>
      <c r="P276" s="105" t="s">
        <v>312</v>
      </c>
      <c r="Q276" s="104"/>
      <c r="R276" s="104" t="s">
        <v>890</v>
      </c>
      <c r="S276" s="104"/>
      <c r="T276" s="104" t="s">
        <v>885</v>
      </c>
      <c r="U276" s="104"/>
      <c r="V276" s="104"/>
      <c r="W276" s="104"/>
      <c r="X276" s="104"/>
      <c r="Y276" s="104"/>
      <c r="Z276" s="104"/>
      <c r="AB276" s="104"/>
      <c r="AC276" s="104"/>
      <c r="AD276" s="97" t="s">
        <v>890</v>
      </c>
      <c r="AE276" s="98" t="str">
        <f t="shared" si="8"/>
        <v xml:space="preserve">*M IZZUL MUTHO*( KEDUNGKARANG, WEDUNG/ Rumah ), </v>
      </c>
      <c r="AF276" s="105" t="s">
        <v>776</v>
      </c>
      <c r="AG276" s="148" t="s">
        <v>312</v>
      </c>
    </row>
    <row r="277" spans="1:34" ht="30" customHeight="1" x14ac:dyDescent="0.35">
      <c r="A277" s="90">
        <v>274</v>
      </c>
      <c r="B277" s="104"/>
      <c r="C277" s="92">
        <v>44007</v>
      </c>
      <c r="D277" s="91" t="s">
        <v>428</v>
      </c>
      <c r="E277" s="91" t="s">
        <v>429</v>
      </c>
      <c r="F277" s="105" t="s">
        <v>1118</v>
      </c>
      <c r="G277" s="104" t="s">
        <v>413</v>
      </c>
      <c r="H277" s="104">
        <v>25</v>
      </c>
      <c r="I277" s="104"/>
      <c r="J277" s="104"/>
      <c r="K277" s="104"/>
      <c r="L277" s="104"/>
      <c r="M277" s="104"/>
      <c r="N277" s="105" t="s">
        <v>633</v>
      </c>
      <c r="O277" s="105" t="s">
        <v>633</v>
      </c>
      <c r="P277" s="105" t="s">
        <v>312</v>
      </c>
      <c r="Q277" s="104"/>
      <c r="R277" s="104" t="s">
        <v>890</v>
      </c>
      <c r="S277" s="104"/>
      <c r="T277" s="104" t="s">
        <v>885</v>
      </c>
      <c r="U277" s="104"/>
      <c r="V277" s="104"/>
      <c r="W277" s="104"/>
      <c r="X277" s="104"/>
      <c r="Y277" s="104"/>
      <c r="Z277" s="104"/>
      <c r="AB277" s="104"/>
      <c r="AC277" s="104"/>
      <c r="AD277" s="97" t="s">
        <v>890</v>
      </c>
      <c r="AE277" s="98" t="str">
        <f t="shared" si="8"/>
        <v xml:space="preserve">*DZAKIYATUL FAHMI*( BABALAN, WEDUNG/ Rumah ), </v>
      </c>
      <c r="AF277" s="105" t="s">
        <v>633</v>
      </c>
      <c r="AG277" s="148" t="s">
        <v>312</v>
      </c>
      <c r="AH277" s="103"/>
    </row>
    <row r="278" spans="1:34" ht="30" customHeight="1" x14ac:dyDescent="0.35">
      <c r="A278" s="90">
        <v>275</v>
      </c>
      <c r="B278" s="104"/>
      <c r="C278" s="92">
        <v>44007</v>
      </c>
      <c r="D278" s="91" t="s">
        <v>428</v>
      </c>
      <c r="E278" s="91" t="s">
        <v>429</v>
      </c>
      <c r="F278" s="105" t="s">
        <v>1119</v>
      </c>
      <c r="G278" s="104" t="s">
        <v>413</v>
      </c>
      <c r="H278" s="104">
        <v>62</v>
      </c>
      <c r="I278" s="104"/>
      <c r="J278" s="104"/>
      <c r="K278" s="104"/>
      <c r="L278" s="104"/>
      <c r="M278" s="104"/>
      <c r="N278" s="105" t="s">
        <v>1120</v>
      </c>
      <c r="O278" s="105" t="s">
        <v>965</v>
      </c>
      <c r="P278" s="105" t="s">
        <v>304</v>
      </c>
      <c r="Q278" s="104"/>
      <c r="R278" s="104" t="s">
        <v>890</v>
      </c>
      <c r="S278" s="104"/>
      <c r="T278" s="104" t="s">
        <v>885</v>
      </c>
      <c r="U278" s="104"/>
      <c r="V278" s="104"/>
      <c r="W278" s="104"/>
      <c r="X278" s="104"/>
      <c r="Y278" s="104"/>
      <c r="Z278" s="104"/>
      <c r="AB278" s="104"/>
      <c r="AC278" s="104"/>
      <c r="AD278" s="97" t="s">
        <v>890</v>
      </c>
      <c r="AE278" s="98" t="str">
        <f t="shared" si="8"/>
        <v xml:space="preserve">*MUNAWAKIB*( PILANGSARI, SAYUNG/ Rumah ), </v>
      </c>
      <c r="AF278" s="105" t="s">
        <v>965</v>
      </c>
      <c r="AG278" s="148" t="s">
        <v>304</v>
      </c>
    </row>
    <row r="279" spans="1:34" ht="30" customHeight="1" x14ac:dyDescent="0.35">
      <c r="A279" s="90">
        <v>276</v>
      </c>
      <c r="B279" s="104"/>
      <c r="C279" s="92">
        <v>44007</v>
      </c>
      <c r="D279" s="91" t="s">
        <v>428</v>
      </c>
      <c r="E279" s="91" t="s">
        <v>429</v>
      </c>
      <c r="F279" s="105" t="s">
        <v>1121</v>
      </c>
      <c r="G279" s="104" t="s">
        <v>355</v>
      </c>
      <c r="H279" s="104">
        <v>36</v>
      </c>
      <c r="I279" s="104"/>
      <c r="J279" s="104"/>
      <c r="K279" s="104"/>
      <c r="L279" s="104"/>
      <c r="M279" s="104"/>
      <c r="N279" s="105" t="s">
        <v>1122</v>
      </c>
      <c r="O279" s="105" t="s">
        <v>965</v>
      </c>
      <c r="P279" s="105" t="s">
        <v>304</v>
      </c>
      <c r="Q279" s="104"/>
      <c r="R279" s="104" t="s">
        <v>890</v>
      </c>
      <c r="S279" s="104"/>
      <c r="T279" s="104" t="s">
        <v>885</v>
      </c>
      <c r="U279" s="104"/>
      <c r="V279" s="104"/>
      <c r="W279" s="104"/>
      <c r="X279" s="104"/>
      <c r="Y279" s="104"/>
      <c r="Z279" s="104"/>
      <c r="AB279" s="104"/>
      <c r="AC279" s="104"/>
      <c r="AD279" s="97" t="s">
        <v>890</v>
      </c>
      <c r="AE279" s="98" t="str">
        <f t="shared" si="8"/>
        <v xml:space="preserve">*MUSTOFIAH*( PILANGSARI, SAYUNG/ Rumah ), </v>
      </c>
      <c r="AF279" s="105" t="s">
        <v>965</v>
      </c>
      <c r="AG279" s="148" t="s">
        <v>304</v>
      </c>
    </row>
    <row r="280" spans="1:34" ht="30" customHeight="1" x14ac:dyDescent="0.35">
      <c r="A280" s="90">
        <v>277</v>
      </c>
      <c r="B280" s="104"/>
      <c r="C280" s="92">
        <v>44007</v>
      </c>
      <c r="D280" s="91" t="s">
        <v>428</v>
      </c>
      <c r="E280" s="91" t="s">
        <v>429</v>
      </c>
      <c r="F280" s="105" t="s">
        <v>1123</v>
      </c>
      <c r="G280" s="104" t="s">
        <v>355</v>
      </c>
      <c r="H280" s="104">
        <v>43</v>
      </c>
      <c r="I280" s="104"/>
      <c r="J280" s="104"/>
      <c r="K280" s="104"/>
      <c r="L280" s="104"/>
      <c r="M280" s="104"/>
      <c r="N280" s="105" t="s">
        <v>1124</v>
      </c>
      <c r="O280" s="105" t="s">
        <v>825</v>
      </c>
      <c r="P280" s="105" t="s">
        <v>304</v>
      </c>
      <c r="Q280" s="104"/>
      <c r="R280" s="104" t="s">
        <v>890</v>
      </c>
      <c r="S280" s="104"/>
      <c r="T280" s="104" t="s">
        <v>885</v>
      </c>
      <c r="U280" s="104"/>
      <c r="V280" s="104"/>
      <c r="W280" s="104"/>
      <c r="X280" s="104"/>
      <c r="Y280" s="104"/>
      <c r="Z280" s="104"/>
      <c r="AB280" s="104"/>
      <c r="AC280" s="104"/>
      <c r="AD280" s="97" t="s">
        <v>890</v>
      </c>
      <c r="AE280" s="98" t="str">
        <f t="shared" si="8"/>
        <v xml:space="preserve">*MUSTIANAH*( PURWOSARI, SAYUNG/ Rumah ), </v>
      </c>
      <c r="AF280" s="105" t="s">
        <v>825</v>
      </c>
      <c r="AG280" s="148" t="s">
        <v>304</v>
      </c>
      <c r="AH280" s="103"/>
    </row>
    <row r="281" spans="1:34" ht="30" customHeight="1" x14ac:dyDescent="0.35">
      <c r="A281" s="90">
        <v>278</v>
      </c>
      <c r="B281" s="104"/>
      <c r="C281" s="92">
        <v>44007</v>
      </c>
      <c r="D281" s="91" t="s">
        <v>428</v>
      </c>
      <c r="E281" s="91" t="s">
        <v>429</v>
      </c>
      <c r="F281" s="105" t="s">
        <v>1125</v>
      </c>
      <c r="G281" s="104" t="s">
        <v>413</v>
      </c>
      <c r="H281" s="104">
        <v>50</v>
      </c>
      <c r="I281" s="104"/>
      <c r="J281" s="104"/>
      <c r="K281" s="104"/>
      <c r="L281" s="104"/>
      <c r="M281" s="104"/>
      <c r="N281" s="105" t="s">
        <v>1124</v>
      </c>
      <c r="O281" s="105" t="s">
        <v>825</v>
      </c>
      <c r="P281" s="105" t="s">
        <v>304</v>
      </c>
      <c r="Q281" s="104"/>
      <c r="R281" s="104" t="s">
        <v>890</v>
      </c>
      <c r="S281" s="104"/>
      <c r="T281" s="104" t="s">
        <v>885</v>
      </c>
      <c r="U281" s="104"/>
      <c r="V281" s="104"/>
      <c r="W281" s="104"/>
      <c r="X281" s="104"/>
      <c r="Y281" s="104"/>
      <c r="Z281" s="104"/>
      <c r="AB281" s="104"/>
      <c r="AC281" s="104"/>
      <c r="AD281" s="97" t="s">
        <v>890</v>
      </c>
      <c r="AE281" s="98" t="str">
        <f t="shared" si="8"/>
        <v xml:space="preserve">*NASIRUN*( PURWOSARI, SAYUNG/ Rumah ), </v>
      </c>
      <c r="AF281" s="105" t="s">
        <v>825</v>
      </c>
      <c r="AG281" s="148" t="s">
        <v>304</v>
      </c>
    </row>
    <row r="282" spans="1:34" ht="30" customHeight="1" x14ac:dyDescent="0.35">
      <c r="A282" s="90">
        <v>279</v>
      </c>
      <c r="B282" s="104"/>
      <c r="C282" s="92">
        <v>44007</v>
      </c>
      <c r="D282" s="91" t="s">
        <v>428</v>
      </c>
      <c r="E282" s="91" t="s">
        <v>429</v>
      </c>
      <c r="F282" s="105" t="s">
        <v>1126</v>
      </c>
      <c r="G282" s="104" t="s">
        <v>355</v>
      </c>
      <c r="H282" s="104">
        <v>86</v>
      </c>
      <c r="I282" s="104"/>
      <c r="J282" s="104"/>
      <c r="K282" s="104"/>
      <c r="L282" s="104"/>
      <c r="M282" s="104"/>
      <c r="N282" s="105" t="s">
        <v>1127</v>
      </c>
      <c r="O282" s="105" t="s">
        <v>1128</v>
      </c>
      <c r="P282" s="105" t="s">
        <v>308</v>
      </c>
      <c r="Q282" s="104"/>
      <c r="R282" s="104" t="s">
        <v>890</v>
      </c>
      <c r="S282" s="104"/>
      <c r="T282" s="104" t="s">
        <v>885</v>
      </c>
      <c r="U282" s="104"/>
      <c r="V282" s="104"/>
      <c r="W282" s="104"/>
      <c r="X282" s="104"/>
      <c r="Y282" s="104"/>
      <c r="Z282" s="104"/>
      <c r="AB282" s="104"/>
      <c r="AC282" s="104"/>
      <c r="AD282" s="97" t="s">
        <v>890</v>
      </c>
      <c r="AE282" s="98" t="str">
        <f t="shared" si="8"/>
        <v xml:space="preserve">*AMINAH*( GEDANGALAS, GAJAH/ Rumah ), </v>
      </c>
      <c r="AF282" s="105" t="s">
        <v>1128</v>
      </c>
      <c r="AG282" s="148" t="s">
        <v>308</v>
      </c>
    </row>
    <row r="283" spans="1:34" ht="30" customHeight="1" x14ac:dyDescent="0.35">
      <c r="A283" s="90">
        <v>280</v>
      </c>
      <c r="B283" s="104"/>
      <c r="C283" s="92">
        <v>44007</v>
      </c>
      <c r="D283" s="91" t="s">
        <v>428</v>
      </c>
      <c r="E283" s="91" t="s">
        <v>429</v>
      </c>
      <c r="F283" s="105" t="s">
        <v>1129</v>
      </c>
      <c r="G283" s="104" t="s">
        <v>355</v>
      </c>
      <c r="H283" s="104">
        <v>36</v>
      </c>
      <c r="I283" s="104"/>
      <c r="J283" s="104"/>
      <c r="K283" s="104"/>
      <c r="L283" s="104"/>
      <c r="M283" s="104"/>
      <c r="N283" s="105" t="s">
        <v>1130</v>
      </c>
      <c r="O283" s="105" t="s">
        <v>1131</v>
      </c>
      <c r="P283" s="105" t="s">
        <v>0</v>
      </c>
      <c r="Q283" s="104"/>
      <c r="R283" s="104" t="s">
        <v>890</v>
      </c>
      <c r="S283" s="104"/>
      <c r="T283" s="104" t="s">
        <v>885</v>
      </c>
      <c r="U283" s="104"/>
      <c r="V283" s="104"/>
      <c r="W283" s="104"/>
      <c r="X283" s="104"/>
      <c r="Y283" s="104"/>
      <c r="Z283" s="104"/>
      <c r="AB283" s="104"/>
      <c r="AC283" s="104"/>
      <c r="AD283" s="97" t="s">
        <v>890</v>
      </c>
      <c r="AE283" s="98" t="str">
        <f t="shared" si="8"/>
        <v xml:space="preserve">*AGUSTINA SURYANI*( TAMBAKBULUSAN, KARANGTENGAH/ Rumah ), </v>
      </c>
      <c r="AF283" s="105" t="s">
        <v>1131</v>
      </c>
      <c r="AG283" s="148" t="s">
        <v>0</v>
      </c>
    </row>
    <row r="284" spans="1:34" ht="30" customHeight="1" x14ac:dyDescent="0.35">
      <c r="A284" s="90">
        <v>281</v>
      </c>
      <c r="B284" s="104"/>
      <c r="C284" s="92">
        <v>44007</v>
      </c>
      <c r="D284" s="91" t="s">
        <v>428</v>
      </c>
      <c r="E284" s="91" t="s">
        <v>429</v>
      </c>
      <c r="F284" s="105" t="s">
        <v>1132</v>
      </c>
      <c r="G284" s="104" t="s">
        <v>355</v>
      </c>
      <c r="H284" s="104">
        <v>50</v>
      </c>
      <c r="I284" s="104"/>
      <c r="J284" s="104"/>
      <c r="K284" s="104"/>
      <c r="L284" s="104"/>
      <c r="M284" s="104"/>
      <c r="N284" s="105" t="s">
        <v>1133</v>
      </c>
      <c r="O284" s="105" t="s">
        <v>1134</v>
      </c>
      <c r="P284" s="105" t="s">
        <v>303</v>
      </c>
      <c r="Q284" s="104"/>
      <c r="R284" s="104" t="s">
        <v>890</v>
      </c>
      <c r="S284" s="104"/>
      <c r="T284" s="104" t="s">
        <v>885</v>
      </c>
      <c r="U284" s="104"/>
      <c r="V284" s="104"/>
      <c r="W284" s="104"/>
      <c r="X284" s="104"/>
      <c r="Y284" s="104"/>
      <c r="Z284" s="104"/>
      <c r="AB284" s="104"/>
      <c r="AC284" s="104"/>
      <c r="AD284" s="97" t="s">
        <v>890</v>
      </c>
      <c r="AE284" s="98" t="str">
        <f t="shared" si="8"/>
        <v xml:space="preserve">*FAIZAH*( BAKALREJO, GUNTUR/ Rumah ), </v>
      </c>
      <c r="AF284" s="105" t="s">
        <v>1134</v>
      </c>
      <c r="AG284" s="148" t="s">
        <v>303</v>
      </c>
    </row>
    <row r="285" spans="1:34" ht="30" customHeight="1" x14ac:dyDescent="0.35">
      <c r="A285" s="90">
        <v>282</v>
      </c>
      <c r="B285" s="104"/>
      <c r="C285" s="92">
        <v>44007</v>
      </c>
      <c r="D285" s="91" t="s">
        <v>428</v>
      </c>
      <c r="E285" s="91" t="s">
        <v>429</v>
      </c>
      <c r="F285" s="105" t="s">
        <v>499</v>
      </c>
      <c r="G285" s="104" t="s">
        <v>355</v>
      </c>
      <c r="H285" s="104">
        <v>30</v>
      </c>
      <c r="I285" s="104"/>
      <c r="J285" s="104"/>
      <c r="K285" s="104"/>
      <c r="L285" s="104"/>
      <c r="M285" s="104"/>
      <c r="N285" s="105" t="s">
        <v>500</v>
      </c>
      <c r="O285" s="105" t="s">
        <v>501</v>
      </c>
      <c r="P285" s="105" t="s">
        <v>303</v>
      </c>
      <c r="Q285" s="104"/>
      <c r="R285" s="104" t="s">
        <v>369</v>
      </c>
      <c r="S285" s="104"/>
      <c r="T285" s="104" t="s">
        <v>378</v>
      </c>
      <c r="U285" s="104"/>
      <c r="V285" s="104"/>
      <c r="W285" s="104"/>
      <c r="X285" s="104"/>
      <c r="Y285" s="104"/>
      <c r="Z285" s="104"/>
      <c r="AB285" s="104"/>
      <c r="AC285" s="104"/>
      <c r="AD285" s="97" t="s">
        <v>365</v>
      </c>
      <c r="AE285" s="98" t="str">
        <f>"*"&amp;F285&amp;"*"&amp;"( "&amp;O285&amp;", "&amp;P285&amp;" )"&amp;", "</f>
        <v xml:space="preserve">*MUZDALIFAH*( SIDOHARJO, GUNTUR ), </v>
      </c>
      <c r="AF285" s="105" t="s">
        <v>501</v>
      </c>
      <c r="AG285" s="148" t="s">
        <v>303</v>
      </c>
    </row>
    <row r="286" spans="1:34" ht="30" customHeight="1" x14ac:dyDescent="0.35">
      <c r="A286" s="90">
        <v>283</v>
      </c>
      <c r="B286" s="107">
        <v>44009</v>
      </c>
      <c r="C286" s="92">
        <v>44007</v>
      </c>
      <c r="D286" s="91" t="s">
        <v>428</v>
      </c>
      <c r="E286" s="91" t="s">
        <v>429</v>
      </c>
      <c r="F286" s="105" t="s">
        <v>1135</v>
      </c>
      <c r="G286" s="104" t="s">
        <v>413</v>
      </c>
      <c r="H286" s="104">
        <v>55</v>
      </c>
      <c r="I286" s="104"/>
      <c r="J286" s="104"/>
      <c r="K286" s="104"/>
      <c r="L286" s="104"/>
      <c r="M286" s="104"/>
      <c r="N286" s="105" t="s">
        <v>1136</v>
      </c>
      <c r="O286" s="105" t="s">
        <v>1137</v>
      </c>
      <c r="P286" s="105" t="s">
        <v>309</v>
      </c>
      <c r="Q286" s="104"/>
      <c r="R286" s="104" t="s">
        <v>369</v>
      </c>
      <c r="S286" s="104"/>
      <c r="T286" s="104" t="s">
        <v>885</v>
      </c>
      <c r="U286" s="104"/>
      <c r="V286" s="104"/>
      <c r="W286" s="104"/>
      <c r="X286" s="104"/>
      <c r="Y286" s="104"/>
      <c r="Z286" s="104"/>
      <c r="AB286" s="104"/>
      <c r="AC286" s="104"/>
      <c r="AD286" s="97" t="s">
        <v>890</v>
      </c>
      <c r="AE286" s="98" t="str">
        <f>"*"&amp;F286&amp;"*"&amp;"( "&amp;O286&amp;", "&amp;P286&amp;"/ "&amp;T286&amp;" )"&amp;", "</f>
        <v xml:space="preserve">*SUKANDAR*( BAKUNG, MIJEN/ Rumah ), </v>
      </c>
      <c r="AF286" s="105" t="s">
        <v>1137</v>
      </c>
      <c r="AG286" s="148" t="s">
        <v>309</v>
      </c>
    </row>
    <row r="287" spans="1:34" ht="30" customHeight="1" x14ac:dyDescent="0.35">
      <c r="A287" s="90">
        <v>284</v>
      </c>
      <c r="B287" s="104"/>
      <c r="C287" s="92">
        <v>44007</v>
      </c>
      <c r="D287" s="91" t="s">
        <v>428</v>
      </c>
      <c r="E287" s="91" t="s">
        <v>429</v>
      </c>
      <c r="F287" s="105" t="s">
        <v>1471</v>
      </c>
      <c r="G287" s="104" t="s">
        <v>355</v>
      </c>
      <c r="H287" s="104">
        <v>85</v>
      </c>
      <c r="I287" s="104"/>
      <c r="J287" s="104"/>
      <c r="K287" s="104"/>
      <c r="L287" s="104"/>
      <c r="M287" s="104"/>
      <c r="N287" s="105" t="s">
        <v>1472</v>
      </c>
      <c r="O287" s="105" t="s">
        <v>103</v>
      </c>
      <c r="P287" s="105" t="s">
        <v>309</v>
      </c>
      <c r="Q287" s="104"/>
      <c r="R287" s="104" t="s">
        <v>369</v>
      </c>
      <c r="S287" s="104"/>
      <c r="T287" s="104" t="s">
        <v>1449</v>
      </c>
      <c r="U287" s="104"/>
      <c r="V287" s="104"/>
      <c r="W287" s="104"/>
      <c r="X287" s="104"/>
      <c r="Y287" s="104"/>
      <c r="Z287" s="104"/>
      <c r="AB287" s="104"/>
      <c r="AC287" s="104"/>
      <c r="AD287" s="97" t="s">
        <v>316</v>
      </c>
      <c r="AE287" s="98" t="str">
        <f>"*"&amp;F287&amp;"*"&amp;"( "&amp;O287&amp;", "&amp;P287&amp;" )"&amp;", "</f>
        <v xml:space="preserve">*SINAH*( Pecuk, MIJEN ), </v>
      </c>
      <c r="AF287" s="105" t="s">
        <v>103</v>
      </c>
      <c r="AG287" s="148" t="s">
        <v>309</v>
      </c>
    </row>
    <row r="288" spans="1:34" x14ac:dyDescent="0.35">
      <c r="A288" s="90">
        <v>285</v>
      </c>
      <c r="B288" s="104"/>
      <c r="C288" s="92">
        <v>44007</v>
      </c>
      <c r="D288" s="91" t="s">
        <v>428</v>
      </c>
      <c r="E288" s="91" t="s">
        <v>429</v>
      </c>
      <c r="F288" s="105" t="s">
        <v>1473</v>
      </c>
      <c r="G288" s="104" t="s">
        <v>413</v>
      </c>
      <c r="H288" s="104">
        <v>65</v>
      </c>
      <c r="I288" s="104"/>
      <c r="J288" s="104"/>
      <c r="K288" s="104"/>
      <c r="L288" s="104"/>
      <c r="M288" s="104"/>
      <c r="N288" s="105" t="s">
        <v>1474</v>
      </c>
      <c r="O288" s="105" t="s">
        <v>1083</v>
      </c>
      <c r="P288" s="105" t="s">
        <v>311</v>
      </c>
      <c r="Q288" s="104"/>
      <c r="R288" s="104" t="s">
        <v>369</v>
      </c>
      <c r="S288" s="104"/>
      <c r="T288" s="104" t="s">
        <v>1449</v>
      </c>
      <c r="U288" s="104"/>
      <c r="V288" s="104"/>
      <c r="W288" s="104"/>
      <c r="X288" s="104"/>
      <c r="Y288" s="104"/>
      <c r="Z288" s="104"/>
      <c r="AB288" s="104"/>
      <c r="AC288" s="104"/>
      <c r="AD288" s="97" t="s">
        <v>316</v>
      </c>
      <c r="AE288" s="98" t="str">
        <f>"*"&amp;F288&amp;"*"&amp;"( "&amp;O288&amp;", "&amp;P288&amp;" )"&amp;", "</f>
        <v xml:space="preserve">*HASRUDIN*( PURWOREJO, BONANG ), </v>
      </c>
      <c r="AF288" s="105" t="s">
        <v>1083</v>
      </c>
      <c r="AG288" s="81" t="s">
        <v>311</v>
      </c>
      <c r="AH288" s="77"/>
    </row>
    <row r="289" spans="1:34" ht="37.5" x14ac:dyDescent="0.35">
      <c r="A289" s="90">
        <v>286</v>
      </c>
      <c r="B289" s="104"/>
      <c r="C289" s="92">
        <v>44008</v>
      </c>
      <c r="D289" s="91" t="s">
        <v>428</v>
      </c>
      <c r="E289" s="91" t="s">
        <v>429</v>
      </c>
      <c r="F289" s="105" t="s">
        <v>1138</v>
      </c>
      <c r="G289" s="104" t="s">
        <v>413</v>
      </c>
      <c r="H289" s="104">
        <v>7</v>
      </c>
      <c r="I289" s="104"/>
      <c r="J289" s="104"/>
      <c r="K289" s="104"/>
      <c r="L289" s="104"/>
      <c r="M289" s="104"/>
      <c r="N289" s="105" t="s">
        <v>1006</v>
      </c>
      <c r="O289" s="105" t="s">
        <v>1139</v>
      </c>
      <c r="P289" s="105" t="s">
        <v>309</v>
      </c>
      <c r="Q289" s="104"/>
      <c r="R289" s="104" t="s">
        <v>905</v>
      </c>
      <c r="S289" s="104"/>
      <c r="T289" s="104" t="s">
        <v>885</v>
      </c>
      <c r="U289" s="104"/>
      <c r="V289" s="104"/>
      <c r="W289" s="104"/>
      <c r="X289" s="104"/>
      <c r="Y289" s="104" t="s">
        <v>1140</v>
      </c>
      <c r="Z289" s="104"/>
      <c r="AB289" s="104"/>
      <c r="AC289" s="104" t="s">
        <v>1141</v>
      </c>
      <c r="AD289" s="97" t="s">
        <v>890</v>
      </c>
      <c r="AE289" s="98" t="str">
        <f t="shared" ref="AE289:AE311" si="9">"*"&amp;F289&amp;"*"&amp;"( "&amp;O289&amp;", "&amp;P289&amp;"/ "&amp;T289&amp;" )"&amp;", "</f>
        <v xml:space="preserve">*GILANG RESTA ALFIANSYAH*( GENENG, MIJEN/ Rumah ), </v>
      </c>
      <c r="AF289" s="105" t="s">
        <v>1139</v>
      </c>
      <c r="AG289" s="81" t="s">
        <v>309</v>
      </c>
    </row>
    <row r="290" spans="1:34" ht="31.5" x14ac:dyDescent="0.35">
      <c r="A290" s="90">
        <v>287</v>
      </c>
      <c r="B290" s="104"/>
      <c r="C290" s="92">
        <v>44008</v>
      </c>
      <c r="D290" s="91" t="s">
        <v>428</v>
      </c>
      <c r="E290" s="91" t="s">
        <v>429</v>
      </c>
      <c r="F290" s="105" t="s">
        <v>1142</v>
      </c>
      <c r="G290" s="104" t="s">
        <v>355</v>
      </c>
      <c r="H290" s="104">
        <v>58</v>
      </c>
      <c r="I290" s="104"/>
      <c r="J290" s="104"/>
      <c r="K290" s="104"/>
      <c r="L290" s="104"/>
      <c r="M290" s="104"/>
      <c r="N290" s="105" t="s">
        <v>1006</v>
      </c>
      <c r="O290" s="105" t="s">
        <v>1139</v>
      </c>
      <c r="P290" s="105" t="s">
        <v>309</v>
      </c>
      <c r="Q290" s="104"/>
      <c r="R290" s="104" t="s">
        <v>905</v>
      </c>
      <c r="S290" s="104"/>
      <c r="T290" s="104" t="s">
        <v>885</v>
      </c>
      <c r="U290" s="104"/>
      <c r="V290" s="104"/>
      <c r="W290" s="104"/>
      <c r="X290" s="104"/>
      <c r="Y290" s="104" t="s">
        <v>1140</v>
      </c>
      <c r="Z290" s="104"/>
      <c r="AB290" s="104"/>
      <c r="AC290" s="104" t="s">
        <v>1141</v>
      </c>
      <c r="AD290" s="97" t="s">
        <v>890</v>
      </c>
      <c r="AE290" s="98" t="str">
        <f t="shared" si="9"/>
        <v xml:space="preserve">*ISWATI*( GENENG, MIJEN/ Rumah ), </v>
      </c>
      <c r="AF290" s="105" t="s">
        <v>1139</v>
      </c>
      <c r="AG290" s="81" t="s">
        <v>309</v>
      </c>
    </row>
    <row r="291" spans="1:34" ht="31.5" x14ac:dyDescent="0.35">
      <c r="A291" s="90">
        <v>288</v>
      </c>
      <c r="B291" s="104"/>
      <c r="C291" s="92">
        <v>44008</v>
      </c>
      <c r="D291" s="91" t="s">
        <v>428</v>
      </c>
      <c r="E291" s="91" t="s">
        <v>429</v>
      </c>
      <c r="F291" s="105" t="s">
        <v>1143</v>
      </c>
      <c r="G291" s="104" t="s">
        <v>355</v>
      </c>
      <c r="H291" s="104">
        <v>35</v>
      </c>
      <c r="I291" s="104"/>
      <c r="J291" s="104"/>
      <c r="K291" s="104"/>
      <c r="L291" s="104"/>
      <c r="M291" s="104"/>
      <c r="N291" s="105" t="s">
        <v>1144</v>
      </c>
      <c r="O291" s="105" t="s">
        <v>965</v>
      </c>
      <c r="P291" s="105" t="s">
        <v>304</v>
      </c>
      <c r="Q291" s="104"/>
      <c r="R291" s="104" t="s">
        <v>905</v>
      </c>
      <c r="S291" s="104"/>
      <c r="T291" s="104" t="s">
        <v>885</v>
      </c>
      <c r="U291" s="104"/>
      <c r="V291" s="104"/>
      <c r="W291" s="104"/>
      <c r="X291" s="104"/>
      <c r="Y291" s="104" t="s">
        <v>1140</v>
      </c>
      <c r="Z291" s="104"/>
      <c r="AB291" s="104"/>
      <c r="AC291" s="104" t="s">
        <v>1141</v>
      </c>
      <c r="AD291" s="97" t="s">
        <v>890</v>
      </c>
      <c r="AE291" s="98" t="str">
        <f t="shared" si="9"/>
        <v xml:space="preserve">*MUASYAROH*( PILANGSARI, SAYUNG/ Rumah ), </v>
      </c>
      <c r="AF291" s="105" t="s">
        <v>965</v>
      </c>
      <c r="AG291" s="81" t="s">
        <v>304</v>
      </c>
    </row>
    <row r="292" spans="1:34" ht="31.5" x14ac:dyDescent="0.35">
      <c r="A292" s="90">
        <v>289</v>
      </c>
      <c r="B292" s="104"/>
      <c r="C292" s="92">
        <v>44008</v>
      </c>
      <c r="D292" s="91" t="s">
        <v>428</v>
      </c>
      <c r="E292" s="91" t="s">
        <v>429</v>
      </c>
      <c r="F292" s="105" t="s">
        <v>1145</v>
      </c>
      <c r="G292" s="104" t="s">
        <v>355</v>
      </c>
      <c r="H292" s="104">
        <v>40</v>
      </c>
      <c r="I292" s="104"/>
      <c r="J292" s="104"/>
      <c r="K292" s="104"/>
      <c r="L292" s="104"/>
      <c r="M292" s="104"/>
      <c r="N292" s="105" t="s">
        <v>1146</v>
      </c>
      <c r="O292" s="105" t="s">
        <v>1147</v>
      </c>
      <c r="P292" s="105" t="s">
        <v>311</v>
      </c>
      <c r="Q292" s="104"/>
      <c r="R292" s="104" t="s">
        <v>905</v>
      </c>
      <c r="S292" s="104"/>
      <c r="T292" s="104" t="s">
        <v>885</v>
      </c>
      <c r="U292" s="104"/>
      <c r="V292" s="104"/>
      <c r="W292" s="104"/>
      <c r="X292" s="104"/>
      <c r="Y292" s="104" t="s">
        <v>1140</v>
      </c>
      <c r="Z292" s="104"/>
      <c r="AB292" s="104"/>
      <c r="AC292" s="104" t="s">
        <v>1141</v>
      </c>
      <c r="AD292" s="97" t="s">
        <v>890</v>
      </c>
      <c r="AE292" s="98" t="str">
        <f t="shared" si="9"/>
        <v xml:space="preserve">*SRI NINGSIH*( TRIDONOREJO, BONANG/ Rumah ), </v>
      </c>
      <c r="AF292" s="105" t="s">
        <v>1147</v>
      </c>
      <c r="AG292" s="81" t="s">
        <v>311</v>
      </c>
    </row>
    <row r="293" spans="1:34" ht="31.5" x14ac:dyDescent="0.35">
      <c r="A293" s="90">
        <v>290</v>
      </c>
      <c r="B293" s="104"/>
      <c r="C293" s="92">
        <v>44008</v>
      </c>
      <c r="D293" s="91" t="s">
        <v>428</v>
      </c>
      <c r="E293" s="91" t="s">
        <v>429</v>
      </c>
      <c r="F293" s="105" t="s">
        <v>1148</v>
      </c>
      <c r="G293" s="104" t="s">
        <v>355</v>
      </c>
      <c r="H293" s="104">
        <v>55</v>
      </c>
      <c r="I293" s="104"/>
      <c r="J293" s="104"/>
      <c r="K293" s="104"/>
      <c r="L293" s="104"/>
      <c r="M293" s="104"/>
      <c r="N293" s="105" t="s">
        <v>1149</v>
      </c>
      <c r="O293" s="105" t="s">
        <v>825</v>
      </c>
      <c r="P293" s="105" t="s">
        <v>304</v>
      </c>
      <c r="Q293" s="104"/>
      <c r="R293" s="104" t="s">
        <v>905</v>
      </c>
      <c r="S293" s="104"/>
      <c r="T293" s="104" t="s">
        <v>885</v>
      </c>
      <c r="U293" s="104"/>
      <c r="V293" s="104"/>
      <c r="W293" s="104"/>
      <c r="X293" s="104"/>
      <c r="Y293" s="104" t="s">
        <v>1140</v>
      </c>
      <c r="Z293" s="104"/>
      <c r="AB293" s="104"/>
      <c r="AC293" s="104" t="s">
        <v>1141</v>
      </c>
      <c r="AD293" s="97" t="s">
        <v>890</v>
      </c>
      <c r="AE293" s="98" t="str">
        <f t="shared" si="9"/>
        <v xml:space="preserve">*ZUMROCHATI*( PURWOSARI, SAYUNG/ Rumah ), </v>
      </c>
      <c r="AF293" s="105" t="s">
        <v>825</v>
      </c>
      <c r="AG293" s="81" t="s">
        <v>304</v>
      </c>
    </row>
    <row r="294" spans="1:34" ht="31.5" x14ac:dyDescent="0.35">
      <c r="A294" s="90">
        <v>291</v>
      </c>
      <c r="B294" s="104"/>
      <c r="C294" s="92">
        <v>44008</v>
      </c>
      <c r="D294" s="91" t="s">
        <v>428</v>
      </c>
      <c r="E294" s="91" t="s">
        <v>429</v>
      </c>
      <c r="F294" s="105" t="s">
        <v>1150</v>
      </c>
      <c r="G294" s="104" t="s">
        <v>413</v>
      </c>
      <c r="H294" s="104">
        <v>37</v>
      </c>
      <c r="I294" s="104"/>
      <c r="J294" s="104"/>
      <c r="K294" s="104"/>
      <c r="L294" s="104"/>
      <c r="M294" s="104"/>
      <c r="N294" s="105" t="s">
        <v>1151</v>
      </c>
      <c r="O294" s="105" t="s">
        <v>1152</v>
      </c>
      <c r="P294" s="105" t="s">
        <v>0</v>
      </c>
      <c r="Q294" s="104"/>
      <c r="R294" s="104" t="s">
        <v>905</v>
      </c>
      <c r="S294" s="104"/>
      <c r="T294" s="104" t="s">
        <v>885</v>
      </c>
      <c r="U294" s="104"/>
      <c r="V294" s="104"/>
      <c r="W294" s="104"/>
      <c r="X294" s="104"/>
      <c r="Y294" s="104" t="s">
        <v>1140</v>
      </c>
      <c r="Z294" s="104"/>
      <c r="AB294" s="104"/>
      <c r="AC294" s="104" t="s">
        <v>1141</v>
      </c>
      <c r="AD294" s="97" t="s">
        <v>890</v>
      </c>
      <c r="AE294" s="98" t="str">
        <f t="shared" si="9"/>
        <v xml:space="preserve">*Abdul Rochim*( karangsari, KARANGTENGAH/ Rumah ), </v>
      </c>
      <c r="AF294" s="105" t="s">
        <v>1152</v>
      </c>
      <c r="AG294" s="81" t="s">
        <v>0</v>
      </c>
      <c r="AH294" s="103"/>
    </row>
    <row r="295" spans="1:34" ht="31.5" x14ac:dyDescent="0.35">
      <c r="A295" s="90">
        <v>292</v>
      </c>
      <c r="B295" s="104"/>
      <c r="C295" s="92">
        <v>44008</v>
      </c>
      <c r="D295" s="91" t="s">
        <v>428</v>
      </c>
      <c r="E295" s="91" t="s">
        <v>429</v>
      </c>
      <c r="F295" s="105" t="s">
        <v>1153</v>
      </c>
      <c r="G295" s="104" t="s">
        <v>413</v>
      </c>
      <c r="H295" s="104">
        <v>60</v>
      </c>
      <c r="I295" s="141" t="s">
        <v>1154</v>
      </c>
      <c r="J295" s="104"/>
      <c r="K295" s="104"/>
      <c r="L295" s="104"/>
      <c r="M295" s="104"/>
      <c r="N295" s="105" t="s">
        <v>1155</v>
      </c>
      <c r="O295" s="105" t="s">
        <v>1067</v>
      </c>
      <c r="P295" s="105" t="s">
        <v>311</v>
      </c>
      <c r="Q295" s="104"/>
      <c r="R295" s="104" t="s">
        <v>905</v>
      </c>
      <c r="S295" s="104"/>
      <c r="T295" s="104" t="s">
        <v>885</v>
      </c>
      <c r="U295" s="104"/>
      <c r="V295" s="104"/>
      <c r="W295" s="104"/>
      <c r="X295" s="104"/>
      <c r="Y295" s="104" t="s">
        <v>1140</v>
      </c>
      <c r="Z295" s="104"/>
      <c r="AB295" s="104"/>
      <c r="AC295" s="104" t="s">
        <v>1141</v>
      </c>
      <c r="AD295" s="97" t="s">
        <v>890</v>
      </c>
      <c r="AE295" s="98" t="str">
        <f t="shared" si="9"/>
        <v xml:space="preserve">*Abdul Rohman*( MORODEMAK, BONANG/ Rumah ), </v>
      </c>
      <c r="AF295" s="105" t="s">
        <v>1067</v>
      </c>
      <c r="AG295" s="81" t="s">
        <v>311</v>
      </c>
    </row>
    <row r="296" spans="1:34" ht="31.5" x14ac:dyDescent="0.35">
      <c r="A296" s="90">
        <v>293</v>
      </c>
      <c r="B296" s="104"/>
      <c r="C296" s="92">
        <v>44008</v>
      </c>
      <c r="D296" s="91" t="s">
        <v>428</v>
      </c>
      <c r="E296" s="91" t="s">
        <v>429</v>
      </c>
      <c r="F296" s="105" t="s">
        <v>1156</v>
      </c>
      <c r="G296" s="104" t="s">
        <v>355</v>
      </c>
      <c r="H296" s="104">
        <v>33</v>
      </c>
      <c r="I296" s="104" t="s">
        <v>1157</v>
      </c>
      <c r="J296" s="104"/>
      <c r="K296" s="104"/>
      <c r="L296" s="104"/>
      <c r="M296" s="104"/>
      <c r="N296" s="105" t="s">
        <v>1158</v>
      </c>
      <c r="O296" s="105" t="s">
        <v>1159</v>
      </c>
      <c r="P296" s="105" t="s">
        <v>385</v>
      </c>
      <c r="Q296" s="104"/>
      <c r="R296" s="104" t="s">
        <v>905</v>
      </c>
      <c r="S296" s="104"/>
      <c r="T296" s="104" t="s">
        <v>885</v>
      </c>
      <c r="U296" s="104"/>
      <c r="V296" s="104"/>
      <c r="W296" s="104"/>
      <c r="X296" s="104"/>
      <c r="Y296" s="104" t="s">
        <v>1140</v>
      </c>
      <c r="Z296" s="104"/>
      <c r="AB296" s="104"/>
      <c r="AC296" s="104" t="s">
        <v>1141</v>
      </c>
      <c r="AD296" s="97" t="s">
        <v>890</v>
      </c>
      <c r="AE296" s="98" t="str">
        <f t="shared" si="9"/>
        <v xml:space="preserve">*Anis Megawati*( JAMUS, MRANGGEN/ Rumah ), </v>
      </c>
      <c r="AF296" s="105" t="s">
        <v>1159</v>
      </c>
      <c r="AG296" s="81" t="s">
        <v>385</v>
      </c>
    </row>
    <row r="297" spans="1:34" ht="31.5" x14ac:dyDescent="0.35">
      <c r="A297" s="90">
        <v>294</v>
      </c>
      <c r="B297" s="104"/>
      <c r="C297" s="92">
        <v>44008</v>
      </c>
      <c r="D297" s="91" t="s">
        <v>428</v>
      </c>
      <c r="E297" s="91" t="s">
        <v>429</v>
      </c>
      <c r="F297" s="105" t="s">
        <v>1160</v>
      </c>
      <c r="G297" s="104" t="s">
        <v>355</v>
      </c>
      <c r="H297" s="104">
        <v>40</v>
      </c>
      <c r="I297" s="104" t="s">
        <v>1161</v>
      </c>
      <c r="J297" s="104"/>
      <c r="K297" s="104"/>
      <c r="L297" s="104"/>
      <c r="M297" s="104"/>
      <c r="N297" s="105" t="s">
        <v>1162</v>
      </c>
      <c r="O297" s="105" t="s">
        <v>1163</v>
      </c>
      <c r="P297" s="105" t="s">
        <v>312</v>
      </c>
      <c r="Q297" s="104"/>
      <c r="R297" s="104" t="s">
        <v>905</v>
      </c>
      <c r="S297" s="104"/>
      <c r="T297" s="104" t="s">
        <v>885</v>
      </c>
      <c r="U297" s="104"/>
      <c r="V297" s="104"/>
      <c r="W297" s="104"/>
      <c r="X297" s="104"/>
      <c r="Y297" s="104" t="s">
        <v>1140</v>
      </c>
      <c r="Z297" s="104"/>
      <c r="AB297" s="104"/>
      <c r="AC297" s="104" t="s">
        <v>1141</v>
      </c>
      <c r="AD297" s="97" t="s">
        <v>890</v>
      </c>
      <c r="AE297" s="98" t="str">
        <f t="shared" si="9"/>
        <v xml:space="preserve">*Hartatik*( jetak, WEDUNG/ Rumah ), </v>
      </c>
      <c r="AF297" s="105" t="s">
        <v>1163</v>
      </c>
      <c r="AG297" s="81" t="s">
        <v>312</v>
      </c>
    </row>
    <row r="298" spans="1:34" ht="31.5" x14ac:dyDescent="0.35">
      <c r="A298" s="90">
        <v>295</v>
      </c>
      <c r="B298" s="104"/>
      <c r="C298" s="92">
        <v>44008</v>
      </c>
      <c r="D298" s="91" t="s">
        <v>428</v>
      </c>
      <c r="E298" s="91" t="s">
        <v>429</v>
      </c>
      <c r="F298" s="105" t="s">
        <v>1164</v>
      </c>
      <c r="G298" s="104"/>
      <c r="H298" s="104">
        <v>33</v>
      </c>
      <c r="I298" s="104" t="s">
        <v>1165</v>
      </c>
      <c r="J298" s="104"/>
      <c r="K298" s="104"/>
      <c r="L298" s="104"/>
      <c r="M298" s="104"/>
      <c r="N298" s="105" t="s">
        <v>1166</v>
      </c>
      <c r="O298" s="105" t="s">
        <v>1167</v>
      </c>
      <c r="P298" s="105" t="s">
        <v>312</v>
      </c>
      <c r="Q298" s="104"/>
      <c r="R298" s="104" t="s">
        <v>905</v>
      </c>
      <c r="S298" s="104"/>
      <c r="T298" s="104" t="s">
        <v>885</v>
      </c>
      <c r="U298" s="104"/>
      <c r="V298" s="104"/>
      <c r="W298" s="104"/>
      <c r="X298" s="104"/>
      <c r="Y298" s="104" t="s">
        <v>1140</v>
      </c>
      <c r="Z298" s="104"/>
      <c r="AB298" s="104"/>
      <c r="AC298" s="104" t="s">
        <v>1141</v>
      </c>
      <c r="AD298" s="97" t="s">
        <v>890</v>
      </c>
      <c r="AE298" s="98" t="str">
        <f t="shared" si="9"/>
        <v xml:space="preserve">*Khairon*( jungpasir, WEDUNG/ Rumah ), </v>
      </c>
      <c r="AF298" s="105" t="s">
        <v>1167</v>
      </c>
      <c r="AG298" s="81" t="s">
        <v>312</v>
      </c>
    </row>
    <row r="299" spans="1:34" ht="31.5" x14ac:dyDescent="0.35">
      <c r="A299" s="90">
        <v>296</v>
      </c>
      <c r="B299" s="104"/>
      <c r="C299" s="92">
        <v>44008</v>
      </c>
      <c r="D299" s="91" t="s">
        <v>428</v>
      </c>
      <c r="E299" s="91" t="s">
        <v>429</v>
      </c>
      <c r="F299" s="105" t="s">
        <v>1168</v>
      </c>
      <c r="G299" s="104" t="s">
        <v>355</v>
      </c>
      <c r="H299" s="104">
        <v>62</v>
      </c>
      <c r="I299" s="104"/>
      <c r="J299" s="104"/>
      <c r="K299" s="104"/>
      <c r="L299" s="104"/>
      <c r="M299" s="104"/>
      <c r="N299" s="105" t="s">
        <v>1169</v>
      </c>
      <c r="O299" s="105" t="s">
        <v>694</v>
      </c>
      <c r="P299" s="105" t="s">
        <v>312</v>
      </c>
      <c r="Q299" s="104"/>
      <c r="R299" s="104" t="s">
        <v>905</v>
      </c>
      <c r="S299" s="104"/>
      <c r="T299" s="104" t="s">
        <v>885</v>
      </c>
      <c r="U299" s="104"/>
      <c r="V299" s="104"/>
      <c r="W299" s="104"/>
      <c r="X299" s="104"/>
      <c r="Y299" s="104" t="s">
        <v>1140</v>
      </c>
      <c r="Z299" s="104"/>
      <c r="AB299" s="104"/>
      <c r="AC299" s="104" t="s">
        <v>1141</v>
      </c>
      <c r="AD299" s="97" t="s">
        <v>890</v>
      </c>
      <c r="AE299" s="98" t="str">
        <f t="shared" si="9"/>
        <v xml:space="preserve">*Mardinah*( KEDUNGMUTIH, WEDUNG/ Rumah ), </v>
      </c>
      <c r="AF299" s="105" t="s">
        <v>694</v>
      </c>
      <c r="AG299" s="81" t="s">
        <v>312</v>
      </c>
    </row>
    <row r="300" spans="1:34" ht="31.5" x14ac:dyDescent="0.35">
      <c r="A300" s="90">
        <v>297</v>
      </c>
      <c r="B300" s="104"/>
      <c r="C300" s="92">
        <v>44008</v>
      </c>
      <c r="D300" s="91" t="s">
        <v>428</v>
      </c>
      <c r="E300" s="91" t="s">
        <v>429</v>
      </c>
      <c r="F300" s="105" t="s">
        <v>1170</v>
      </c>
      <c r="G300" s="104" t="s">
        <v>355</v>
      </c>
      <c r="H300" s="104">
        <v>21</v>
      </c>
      <c r="I300" s="104"/>
      <c r="J300" s="104"/>
      <c r="K300" s="104"/>
      <c r="L300" s="104"/>
      <c r="M300" s="104"/>
      <c r="N300" s="105" t="s">
        <v>1171</v>
      </c>
      <c r="O300" s="105" t="s">
        <v>1128</v>
      </c>
      <c r="P300" s="105" t="s">
        <v>308</v>
      </c>
      <c r="Q300" s="104"/>
      <c r="R300" s="104" t="s">
        <v>905</v>
      </c>
      <c r="S300" s="104"/>
      <c r="T300" s="104" t="s">
        <v>885</v>
      </c>
      <c r="U300" s="104"/>
      <c r="V300" s="104"/>
      <c r="W300" s="104"/>
      <c r="X300" s="104"/>
      <c r="Y300" s="104" t="s">
        <v>1140</v>
      </c>
      <c r="Z300" s="104"/>
      <c r="AB300" s="104"/>
      <c r="AC300" s="104" t="s">
        <v>1141</v>
      </c>
      <c r="AD300" s="97" t="s">
        <v>890</v>
      </c>
      <c r="AE300" s="98" t="str">
        <f t="shared" si="9"/>
        <v xml:space="preserve">*Mediana Nur*( GEDANGALAS, GAJAH/ Rumah ), </v>
      </c>
      <c r="AF300" s="105" t="s">
        <v>1128</v>
      </c>
      <c r="AG300" s="81" t="s">
        <v>308</v>
      </c>
    </row>
    <row r="301" spans="1:34" ht="31.5" x14ac:dyDescent="0.35">
      <c r="A301" s="90">
        <v>298</v>
      </c>
      <c r="B301" s="104"/>
      <c r="C301" s="92">
        <v>44008</v>
      </c>
      <c r="D301" s="91" t="s">
        <v>428</v>
      </c>
      <c r="E301" s="91" t="s">
        <v>429</v>
      </c>
      <c r="F301" s="105" t="s">
        <v>1172</v>
      </c>
      <c r="G301" s="104" t="s">
        <v>413</v>
      </c>
      <c r="H301" s="104">
        <v>63</v>
      </c>
      <c r="I301" s="104"/>
      <c r="J301" s="104"/>
      <c r="K301" s="104"/>
      <c r="L301" s="104"/>
      <c r="M301" s="104"/>
      <c r="N301" s="105" t="s">
        <v>1171</v>
      </c>
      <c r="O301" s="105" t="s">
        <v>1128</v>
      </c>
      <c r="P301" s="105" t="s">
        <v>308</v>
      </c>
      <c r="Q301" s="104"/>
      <c r="R301" s="104" t="s">
        <v>905</v>
      </c>
      <c r="S301" s="104"/>
      <c r="T301" s="104" t="s">
        <v>885</v>
      </c>
      <c r="U301" s="104"/>
      <c r="V301" s="104"/>
      <c r="W301" s="104"/>
      <c r="X301" s="104"/>
      <c r="Y301" s="104" t="s">
        <v>1140</v>
      </c>
      <c r="Z301" s="104"/>
      <c r="AB301" s="104"/>
      <c r="AC301" s="104" t="s">
        <v>1141</v>
      </c>
      <c r="AD301" s="97" t="s">
        <v>890</v>
      </c>
      <c r="AE301" s="98" t="str">
        <f t="shared" si="9"/>
        <v xml:space="preserve">*Muh Nursidik*( GEDANGALAS, GAJAH/ Rumah ), </v>
      </c>
      <c r="AF301" s="105" t="s">
        <v>1128</v>
      </c>
      <c r="AG301" s="81" t="s">
        <v>308</v>
      </c>
    </row>
    <row r="302" spans="1:34" ht="75" customHeight="1" x14ac:dyDescent="0.35">
      <c r="A302" s="90">
        <v>299</v>
      </c>
      <c r="B302" s="104"/>
      <c r="C302" s="92">
        <v>44008</v>
      </c>
      <c r="D302" s="91" t="s">
        <v>428</v>
      </c>
      <c r="E302" s="91" t="s">
        <v>429</v>
      </c>
      <c r="F302" s="105" t="s">
        <v>1173</v>
      </c>
      <c r="G302" s="104" t="s">
        <v>355</v>
      </c>
      <c r="H302" s="104">
        <v>55</v>
      </c>
      <c r="I302" s="104"/>
      <c r="J302" s="104"/>
      <c r="K302" s="104"/>
      <c r="L302" s="104"/>
      <c r="M302" s="104"/>
      <c r="N302" s="105" t="s">
        <v>1174</v>
      </c>
      <c r="O302" s="105" t="s">
        <v>243</v>
      </c>
      <c r="P302" s="105" t="s">
        <v>312</v>
      </c>
      <c r="Q302" s="104"/>
      <c r="R302" s="104" t="s">
        <v>905</v>
      </c>
      <c r="S302" s="104"/>
      <c r="T302" s="104" t="s">
        <v>885</v>
      </c>
      <c r="U302" s="104"/>
      <c r="V302" s="104"/>
      <c r="W302" s="104"/>
      <c r="X302" s="104"/>
      <c r="Y302" s="104" t="s">
        <v>1140</v>
      </c>
      <c r="Z302" s="104"/>
      <c r="AB302" s="104"/>
      <c r="AC302" s="104" t="s">
        <v>1141</v>
      </c>
      <c r="AD302" s="97" t="s">
        <v>890</v>
      </c>
      <c r="AE302" s="98" t="str">
        <f t="shared" si="9"/>
        <v xml:space="preserve">*Musidah*( Kendalasem, WEDUNG/ Rumah ), </v>
      </c>
      <c r="AF302" s="105" t="s">
        <v>243</v>
      </c>
      <c r="AG302" s="81" t="s">
        <v>312</v>
      </c>
    </row>
    <row r="303" spans="1:34" ht="31.5" x14ac:dyDescent="0.35">
      <c r="A303" s="90">
        <v>300</v>
      </c>
      <c r="B303" s="104"/>
      <c r="C303" s="92">
        <v>44008</v>
      </c>
      <c r="D303" s="91" t="s">
        <v>428</v>
      </c>
      <c r="E303" s="91" t="s">
        <v>429</v>
      </c>
      <c r="F303" s="105" t="s">
        <v>1175</v>
      </c>
      <c r="G303" s="104" t="s">
        <v>413</v>
      </c>
      <c r="H303" s="104">
        <v>56</v>
      </c>
      <c r="I303" s="141" t="s">
        <v>1176</v>
      </c>
      <c r="J303" s="104"/>
      <c r="K303" s="104"/>
      <c r="L303" s="104"/>
      <c r="M303" s="104"/>
      <c r="N303" s="105" t="s">
        <v>1177</v>
      </c>
      <c r="O303" s="105" t="s">
        <v>88</v>
      </c>
      <c r="P303" s="105" t="s">
        <v>310</v>
      </c>
      <c r="Q303" s="104"/>
      <c r="R303" s="104" t="s">
        <v>905</v>
      </c>
      <c r="S303" s="104"/>
      <c r="T303" s="104" t="s">
        <v>885</v>
      </c>
      <c r="U303" s="104"/>
      <c r="V303" s="104"/>
      <c r="W303" s="104"/>
      <c r="X303" s="104"/>
      <c r="Y303" s="104" t="s">
        <v>1140</v>
      </c>
      <c r="Z303" s="104"/>
      <c r="AB303" s="104"/>
      <c r="AC303" s="104" t="s">
        <v>1141</v>
      </c>
      <c r="AD303" s="97" t="s">
        <v>890</v>
      </c>
      <c r="AE303" s="98" t="str">
        <f t="shared" si="9"/>
        <v xml:space="preserve">*Ngadimin*( Wonoketingal, KARANGANYAR/ Rumah ), </v>
      </c>
      <c r="AF303" s="105" t="s">
        <v>88</v>
      </c>
      <c r="AG303" s="81" t="s">
        <v>310</v>
      </c>
    </row>
    <row r="304" spans="1:34" ht="31.5" x14ac:dyDescent="0.35">
      <c r="A304" s="90">
        <v>301</v>
      </c>
      <c r="B304" s="104"/>
      <c r="C304" s="92">
        <v>44008</v>
      </c>
      <c r="D304" s="91" t="s">
        <v>428</v>
      </c>
      <c r="E304" s="91" t="s">
        <v>429</v>
      </c>
      <c r="F304" s="105" t="s">
        <v>1178</v>
      </c>
      <c r="G304" s="104" t="s">
        <v>355</v>
      </c>
      <c r="H304" s="104">
        <v>51</v>
      </c>
      <c r="I304" s="104"/>
      <c r="J304" s="104"/>
      <c r="K304" s="104"/>
      <c r="L304" s="104"/>
      <c r="M304" s="104"/>
      <c r="N304" s="105" t="s">
        <v>1179</v>
      </c>
      <c r="O304" s="105" t="s">
        <v>497</v>
      </c>
      <c r="P304" s="105" t="s">
        <v>301</v>
      </c>
      <c r="Q304" s="104"/>
      <c r="R304" s="104" t="s">
        <v>905</v>
      </c>
      <c r="S304" s="104"/>
      <c r="T304" s="104" t="s">
        <v>885</v>
      </c>
      <c r="U304" s="104"/>
      <c r="V304" s="104"/>
      <c r="W304" s="104"/>
      <c r="X304" s="104"/>
      <c r="Y304" s="104" t="s">
        <v>1140</v>
      </c>
      <c r="Z304" s="104"/>
      <c r="AB304" s="104"/>
      <c r="AC304" s="104" t="s">
        <v>1141</v>
      </c>
      <c r="AD304" s="97" t="s">
        <v>890</v>
      </c>
      <c r="AE304" s="98" t="str">
        <f t="shared" si="9"/>
        <v xml:space="preserve">*Pariyem*( BRAMBANG, KARANGAWEN/ Rumah ), </v>
      </c>
      <c r="AF304" s="105" t="s">
        <v>497</v>
      </c>
      <c r="AG304" s="81" t="s">
        <v>301</v>
      </c>
      <c r="AH304" s="103"/>
    </row>
    <row r="305" spans="1:33" ht="31.5" x14ac:dyDescent="0.35">
      <c r="A305" s="90">
        <v>302</v>
      </c>
      <c r="B305" s="104"/>
      <c r="C305" s="92">
        <v>44008</v>
      </c>
      <c r="D305" s="91" t="s">
        <v>428</v>
      </c>
      <c r="E305" s="91" t="s">
        <v>429</v>
      </c>
      <c r="F305" s="105" t="s">
        <v>1180</v>
      </c>
      <c r="G305" s="104" t="s">
        <v>355</v>
      </c>
      <c r="H305" s="104">
        <v>27</v>
      </c>
      <c r="I305" s="141" t="s">
        <v>1181</v>
      </c>
      <c r="J305" s="104"/>
      <c r="K305" s="104"/>
      <c r="L305" s="104"/>
      <c r="M305" s="104"/>
      <c r="N305" s="105" t="s">
        <v>1182</v>
      </c>
      <c r="O305" s="105" t="s">
        <v>1183</v>
      </c>
      <c r="P305" s="105" t="s">
        <v>311</v>
      </c>
      <c r="Q305" s="104"/>
      <c r="R305" s="104" t="s">
        <v>905</v>
      </c>
      <c r="S305" s="104"/>
      <c r="T305" s="104" t="s">
        <v>885</v>
      </c>
      <c r="U305" s="104"/>
      <c r="V305" s="104"/>
      <c r="W305" s="104"/>
      <c r="X305" s="104"/>
      <c r="Y305" s="104" t="s">
        <v>1140</v>
      </c>
      <c r="Z305" s="104"/>
      <c r="AB305" s="104"/>
      <c r="AC305" s="104" t="s">
        <v>1141</v>
      </c>
      <c r="AD305" s="97" t="s">
        <v>890</v>
      </c>
      <c r="AE305" s="98" t="str">
        <f t="shared" si="9"/>
        <v xml:space="preserve">*Riska Fatiyaturrohmah*( gebangarum, BONANG/ Rumah ), </v>
      </c>
      <c r="AF305" s="105" t="s">
        <v>1183</v>
      </c>
      <c r="AG305" s="81" t="s">
        <v>311</v>
      </c>
    </row>
    <row r="306" spans="1:33" ht="31.5" x14ac:dyDescent="0.35">
      <c r="A306" s="90">
        <v>303</v>
      </c>
      <c r="B306" s="104"/>
      <c r="C306" s="92">
        <v>44008</v>
      </c>
      <c r="D306" s="91" t="s">
        <v>428</v>
      </c>
      <c r="E306" s="91" t="s">
        <v>429</v>
      </c>
      <c r="F306" s="105" t="s">
        <v>1184</v>
      </c>
      <c r="G306" s="104" t="s">
        <v>355</v>
      </c>
      <c r="H306" s="104">
        <v>41</v>
      </c>
      <c r="I306" s="104"/>
      <c r="J306" s="104"/>
      <c r="K306" s="104"/>
      <c r="L306" s="104"/>
      <c r="M306" s="104"/>
      <c r="N306" s="105" t="s">
        <v>1185</v>
      </c>
      <c r="O306" s="105" t="s">
        <v>659</v>
      </c>
      <c r="P306" s="105" t="s">
        <v>301</v>
      </c>
      <c r="Q306" s="104"/>
      <c r="R306" s="104" t="s">
        <v>905</v>
      </c>
      <c r="S306" s="104"/>
      <c r="T306" s="104" t="s">
        <v>885</v>
      </c>
      <c r="U306" s="104"/>
      <c r="V306" s="104"/>
      <c r="W306" s="104"/>
      <c r="X306" s="104"/>
      <c r="Y306" s="104" t="s">
        <v>1140</v>
      </c>
      <c r="Z306" s="104"/>
      <c r="AB306" s="104"/>
      <c r="AC306" s="104" t="s">
        <v>1141</v>
      </c>
      <c r="AD306" s="97" t="s">
        <v>890</v>
      </c>
      <c r="AE306" s="98" t="str">
        <f t="shared" si="9"/>
        <v xml:space="preserve">*Siti Mukaromah*( JRAGUNG, KARANGAWEN/ Rumah ), </v>
      </c>
      <c r="AF306" s="105" t="s">
        <v>659</v>
      </c>
      <c r="AG306" s="81" t="s">
        <v>301</v>
      </c>
    </row>
    <row r="307" spans="1:33" ht="31.5" customHeight="1" x14ac:dyDescent="0.35">
      <c r="A307" s="90">
        <v>304</v>
      </c>
      <c r="B307" s="104"/>
      <c r="C307" s="92">
        <v>44008</v>
      </c>
      <c r="D307" s="91" t="s">
        <v>428</v>
      </c>
      <c r="E307" s="91" t="s">
        <v>429</v>
      </c>
      <c r="F307" s="105" t="s">
        <v>1186</v>
      </c>
      <c r="G307" s="104" t="s">
        <v>355</v>
      </c>
      <c r="H307" s="104">
        <v>65</v>
      </c>
      <c r="I307" s="141" t="s">
        <v>1187</v>
      </c>
      <c r="J307" s="104"/>
      <c r="K307" s="104"/>
      <c r="L307" s="104"/>
      <c r="M307" s="104"/>
      <c r="N307" s="105" t="s">
        <v>1188</v>
      </c>
      <c r="O307" s="105" t="s">
        <v>1189</v>
      </c>
      <c r="P307" s="105" t="s">
        <v>312</v>
      </c>
      <c r="Q307" s="104"/>
      <c r="R307" s="104" t="s">
        <v>905</v>
      </c>
      <c r="S307" s="104"/>
      <c r="T307" s="104" t="s">
        <v>885</v>
      </c>
      <c r="U307" s="104"/>
      <c r="V307" s="104"/>
      <c r="W307" s="104"/>
      <c r="X307" s="104"/>
      <c r="Y307" s="104" t="s">
        <v>1140</v>
      </c>
      <c r="Z307" s="104"/>
      <c r="AB307" s="104"/>
      <c r="AC307" s="104" t="s">
        <v>1141</v>
      </c>
      <c r="AD307" s="97" t="s">
        <v>890</v>
      </c>
      <c r="AE307" s="98" t="str">
        <f t="shared" si="9"/>
        <v xml:space="preserve">*Suatmi*( TEDUNAN, WEDUNG/ Rumah ), </v>
      </c>
      <c r="AF307" s="105" t="s">
        <v>1189</v>
      </c>
      <c r="AG307" s="81" t="s">
        <v>312</v>
      </c>
    </row>
    <row r="308" spans="1:33" ht="31.5" customHeight="1" x14ac:dyDescent="0.35">
      <c r="A308" s="90">
        <v>305</v>
      </c>
      <c r="B308" s="104"/>
      <c r="C308" s="92">
        <v>44008</v>
      </c>
      <c r="D308" s="91" t="s">
        <v>428</v>
      </c>
      <c r="E308" s="91" t="s">
        <v>429</v>
      </c>
      <c r="F308" s="105" t="s">
        <v>1190</v>
      </c>
      <c r="G308" s="104" t="s">
        <v>355</v>
      </c>
      <c r="H308" s="104">
        <v>42</v>
      </c>
      <c r="I308" s="142" t="s">
        <v>1191</v>
      </c>
      <c r="J308" s="104"/>
      <c r="K308" s="104"/>
      <c r="L308" s="104"/>
      <c r="M308" s="104"/>
      <c r="N308" s="105" t="s">
        <v>1192</v>
      </c>
      <c r="O308" s="105" t="s">
        <v>193</v>
      </c>
      <c r="P308" s="105" t="s">
        <v>307</v>
      </c>
      <c r="Q308" s="104"/>
      <c r="R308" s="104" t="s">
        <v>905</v>
      </c>
      <c r="S308" s="104"/>
      <c r="T308" s="104" t="s">
        <v>885</v>
      </c>
      <c r="U308" s="104"/>
      <c r="V308" s="104"/>
      <c r="W308" s="104"/>
      <c r="X308" s="104"/>
      <c r="Y308" s="104" t="s">
        <v>1140</v>
      </c>
      <c r="Z308" s="104"/>
      <c r="AB308" s="104"/>
      <c r="AC308" s="104" t="s">
        <v>1141</v>
      </c>
      <c r="AD308" s="97" t="s">
        <v>890</v>
      </c>
      <c r="AE308" s="98" t="str">
        <f t="shared" si="9"/>
        <v xml:space="preserve">*Sumini*( Kramat, DEMPET/ Rumah ), </v>
      </c>
      <c r="AF308" s="105" t="s">
        <v>193</v>
      </c>
      <c r="AG308" s="81" t="s">
        <v>307</v>
      </c>
    </row>
    <row r="309" spans="1:33" ht="31.5" customHeight="1" x14ac:dyDescent="0.35">
      <c r="A309" s="90">
        <v>306</v>
      </c>
      <c r="B309" s="104"/>
      <c r="C309" s="92">
        <v>44008</v>
      </c>
      <c r="D309" s="91" t="s">
        <v>428</v>
      </c>
      <c r="E309" s="91" t="s">
        <v>429</v>
      </c>
      <c r="F309" s="105" t="s">
        <v>1193</v>
      </c>
      <c r="G309" s="104" t="s">
        <v>355</v>
      </c>
      <c r="H309" s="104">
        <v>33</v>
      </c>
      <c r="I309" s="104"/>
      <c r="J309" s="104"/>
      <c r="K309" s="104"/>
      <c r="L309" s="104"/>
      <c r="M309" s="104"/>
      <c r="N309" s="105" t="s">
        <v>1171</v>
      </c>
      <c r="O309" s="105" t="s">
        <v>1128</v>
      </c>
      <c r="P309" s="105" t="s">
        <v>308</v>
      </c>
      <c r="Q309" s="104"/>
      <c r="R309" s="104" t="s">
        <v>905</v>
      </c>
      <c r="S309" s="104"/>
      <c r="T309" s="104" t="s">
        <v>885</v>
      </c>
      <c r="U309" s="104"/>
      <c r="V309" s="104"/>
      <c r="W309" s="104"/>
      <c r="X309" s="104"/>
      <c r="Y309" s="104" t="s">
        <v>1140</v>
      </c>
      <c r="Z309" s="104"/>
      <c r="AB309" s="104"/>
      <c r="AC309" s="104" t="s">
        <v>1141</v>
      </c>
      <c r="AD309" s="97" t="s">
        <v>890</v>
      </c>
      <c r="AE309" s="98" t="str">
        <f t="shared" si="9"/>
        <v xml:space="preserve">*Umi Marya Ulfa*( GEDANGALAS, GAJAH/ Rumah ), </v>
      </c>
      <c r="AF309" s="105" t="s">
        <v>1128</v>
      </c>
      <c r="AG309" s="81" t="s">
        <v>308</v>
      </c>
    </row>
    <row r="310" spans="1:33" ht="31.5" x14ac:dyDescent="0.35">
      <c r="A310" s="90">
        <v>307</v>
      </c>
      <c r="B310" s="104"/>
      <c r="C310" s="92">
        <v>44008</v>
      </c>
      <c r="D310" s="91" t="s">
        <v>428</v>
      </c>
      <c r="E310" s="91" t="s">
        <v>429</v>
      </c>
      <c r="F310" s="105" t="s">
        <v>1194</v>
      </c>
      <c r="G310" s="104" t="s">
        <v>355</v>
      </c>
      <c r="H310" s="104">
        <v>19</v>
      </c>
      <c r="I310" s="142" t="s">
        <v>1195</v>
      </c>
      <c r="J310" s="104"/>
      <c r="K310" s="104"/>
      <c r="L310" s="104"/>
      <c r="M310" s="104"/>
      <c r="N310" s="104" t="s">
        <v>1196</v>
      </c>
      <c r="O310" s="105" t="s">
        <v>740</v>
      </c>
      <c r="P310" s="105" t="s">
        <v>307</v>
      </c>
      <c r="Q310" s="104"/>
      <c r="R310" s="104" t="s">
        <v>905</v>
      </c>
      <c r="S310" s="104"/>
      <c r="T310" s="104" t="s">
        <v>885</v>
      </c>
      <c r="U310" s="104"/>
      <c r="V310" s="104"/>
      <c r="W310" s="104"/>
      <c r="X310" s="104"/>
      <c r="Y310" s="104" t="s">
        <v>1197</v>
      </c>
      <c r="Z310" s="104"/>
      <c r="AB310" s="104"/>
      <c r="AC310" s="104" t="s">
        <v>1198</v>
      </c>
      <c r="AD310" s="97" t="s">
        <v>890</v>
      </c>
      <c r="AE310" s="98" t="str">
        <f t="shared" si="9"/>
        <v xml:space="preserve">*Maya Aryana Sari*( SIDOMULYO, DEMPET/ Rumah ), </v>
      </c>
      <c r="AF310" s="105" t="s">
        <v>740</v>
      </c>
      <c r="AG310" s="148" t="s">
        <v>307</v>
      </c>
    </row>
    <row r="311" spans="1:33" ht="45" customHeight="1" x14ac:dyDescent="0.25">
      <c r="A311" s="90">
        <v>308</v>
      </c>
      <c r="B311" s="104"/>
      <c r="C311" s="92">
        <v>44008</v>
      </c>
      <c r="D311" s="91" t="s">
        <v>428</v>
      </c>
      <c r="E311" s="91" t="s">
        <v>429</v>
      </c>
      <c r="F311" s="105" t="s">
        <v>1298</v>
      </c>
      <c r="G311" s="104" t="s">
        <v>413</v>
      </c>
      <c r="H311" s="104">
        <v>48</v>
      </c>
      <c r="I311" s="104" t="s">
        <v>1299</v>
      </c>
      <c r="J311" s="104"/>
      <c r="K311" s="104"/>
      <c r="L311" s="104"/>
      <c r="M311" s="104"/>
      <c r="N311" s="105" t="s">
        <v>1300</v>
      </c>
      <c r="O311" s="105" t="s">
        <v>462</v>
      </c>
      <c r="P311" s="105" t="s">
        <v>309</v>
      </c>
      <c r="Q311" s="104"/>
      <c r="R311" s="104" t="s">
        <v>634</v>
      </c>
      <c r="S311" s="104" t="s">
        <v>478</v>
      </c>
      <c r="T311" s="104" t="s">
        <v>885</v>
      </c>
      <c r="U311" s="104"/>
      <c r="V311" s="104"/>
      <c r="W311" s="104"/>
      <c r="X311" s="104"/>
      <c r="Y311" s="104"/>
      <c r="Z311" s="104" t="s">
        <v>767</v>
      </c>
      <c r="AA311" s="104" t="s">
        <v>1301</v>
      </c>
      <c r="AB311" s="104" t="s">
        <v>634</v>
      </c>
      <c r="AC311" s="104"/>
      <c r="AD311" s="104" t="s">
        <v>1271</v>
      </c>
      <c r="AE311" s="98" t="str">
        <f t="shared" si="9"/>
        <v xml:space="preserve">*ABDULLAH MAHFUD*( REJOSARI, MIJEN/ Rumah ), </v>
      </c>
      <c r="AF311" s="105" t="s">
        <v>462</v>
      </c>
      <c r="AG311" s="105" t="s">
        <v>309</v>
      </c>
    </row>
    <row r="312" spans="1:33" ht="36" customHeight="1" x14ac:dyDescent="0.25">
      <c r="A312" s="90">
        <v>309</v>
      </c>
      <c r="B312" s="104"/>
      <c r="C312" s="92">
        <v>44008</v>
      </c>
      <c r="D312" s="91" t="s">
        <v>428</v>
      </c>
      <c r="E312" s="91" t="s">
        <v>429</v>
      </c>
      <c r="F312" s="105" t="s">
        <v>1440</v>
      </c>
      <c r="G312" s="104" t="s">
        <v>413</v>
      </c>
      <c r="H312" s="104">
        <v>58</v>
      </c>
      <c r="I312" s="104" t="s">
        <v>1567</v>
      </c>
      <c r="J312" s="104"/>
      <c r="K312" s="104"/>
      <c r="L312" s="104"/>
      <c r="M312" s="104"/>
      <c r="N312" s="105" t="s">
        <v>1568</v>
      </c>
      <c r="O312" s="105" t="s">
        <v>1569</v>
      </c>
      <c r="P312" s="105" t="s">
        <v>0</v>
      </c>
      <c r="Q312" s="104"/>
      <c r="R312" s="104" t="s">
        <v>473</v>
      </c>
      <c r="S312" s="104" t="s">
        <v>1570</v>
      </c>
      <c r="T312" s="104"/>
      <c r="U312" s="104"/>
      <c r="V312" s="104"/>
      <c r="W312" s="104"/>
      <c r="X312" s="104"/>
      <c r="Y312" s="104"/>
      <c r="Z312" s="104" t="s">
        <v>783</v>
      </c>
      <c r="AA312" s="104" t="s">
        <v>577</v>
      </c>
      <c r="AB312" s="104" t="s">
        <v>473</v>
      </c>
      <c r="AC312" s="104"/>
      <c r="AD312" s="104" t="s">
        <v>1481</v>
      </c>
      <c r="AE312" s="98" t="str">
        <f>"*"&amp;F312&amp;"*"&amp;"( "&amp;O312&amp;", "&amp;P312&amp;" )"&amp;", "</f>
        <v xml:space="preserve">*SUKARDI*( WONOAGUNG, KARANGTENGAH ), </v>
      </c>
      <c r="AF312" s="105" t="s">
        <v>1569</v>
      </c>
      <c r="AG312" s="105" t="s">
        <v>0</v>
      </c>
    </row>
    <row r="313" spans="1:33" ht="45" customHeight="1" x14ac:dyDescent="0.25">
      <c r="A313" s="90">
        <v>310</v>
      </c>
      <c r="B313" s="104"/>
      <c r="C313" s="92">
        <v>44008</v>
      </c>
      <c r="D313" s="91" t="s">
        <v>428</v>
      </c>
      <c r="E313" s="91" t="s">
        <v>429</v>
      </c>
      <c r="F313" s="105" t="s">
        <v>391</v>
      </c>
      <c r="G313" s="104" t="s">
        <v>355</v>
      </c>
      <c r="H313" s="104">
        <v>48</v>
      </c>
      <c r="I313" s="104" t="s">
        <v>759</v>
      </c>
      <c r="J313" s="104"/>
      <c r="K313" s="104"/>
      <c r="L313" s="104"/>
      <c r="M313" s="104"/>
      <c r="N313" s="105" t="s">
        <v>760</v>
      </c>
      <c r="O313" s="105" t="s">
        <v>761</v>
      </c>
      <c r="P313" s="105" t="s">
        <v>303</v>
      </c>
      <c r="Q313" s="104"/>
      <c r="R313" s="104" t="s">
        <v>531</v>
      </c>
      <c r="S313" s="104" t="s">
        <v>507</v>
      </c>
      <c r="T313" s="104"/>
      <c r="U313" s="104"/>
      <c r="V313" s="104"/>
      <c r="W313" s="104"/>
      <c r="X313" s="104"/>
      <c r="Y313" s="104"/>
      <c r="Z313" s="104" t="s">
        <v>363</v>
      </c>
      <c r="AA313" s="104" t="s">
        <v>589</v>
      </c>
      <c r="AB313" s="104" t="s">
        <v>531</v>
      </c>
      <c r="AC313" s="104"/>
      <c r="AD313" s="104" t="s">
        <v>521</v>
      </c>
      <c r="AE313" s="98" t="str">
        <f t="shared" ref="AE313:AE318" si="10">"*"&amp;F313&amp;"*"&amp;"( "&amp;O313&amp;", "&amp;P313&amp;"/ "&amp;R313&amp;" )"&amp;", "</f>
        <v xml:space="preserve">*SULASMI*( TLOGOWERU, GUNTUR/ RSUD K.R.M.T Wongsonegoro Semarang ), </v>
      </c>
      <c r="AF313" s="105" t="s">
        <v>761</v>
      </c>
      <c r="AG313" s="105" t="s">
        <v>303</v>
      </c>
    </row>
    <row r="314" spans="1:33" ht="45" customHeight="1" x14ac:dyDescent="0.25">
      <c r="A314" s="90">
        <v>311</v>
      </c>
      <c r="B314" s="104"/>
      <c r="C314" s="92">
        <v>44008</v>
      </c>
      <c r="D314" s="91" t="s">
        <v>428</v>
      </c>
      <c r="E314" s="91" t="s">
        <v>429</v>
      </c>
      <c r="F314" s="105" t="s">
        <v>762</v>
      </c>
      <c r="G314" s="104" t="s">
        <v>355</v>
      </c>
      <c r="H314" s="104">
        <v>47</v>
      </c>
      <c r="I314" s="104" t="s">
        <v>763</v>
      </c>
      <c r="J314" s="104"/>
      <c r="K314" s="104"/>
      <c r="L314" s="104"/>
      <c r="M314" s="104"/>
      <c r="N314" s="105" t="s">
        <v>764</v>
      </c>
      <c r="O314" s="105" t="s">
        <v>765</v>
      </c>
      <c r="P314" s="105" t="s">
        <v>301</v>
      </c>
      <c r="Q314" s="104"/>
      <c r="R314" s="104" t="s">
        <v>531</v>
      </c>
      <c r="S314" s="104" t="s">
        <v>766</v>
      </c>
      <c r="T314" s="104"/>
      <c r="U314" s="104"/>
      <c r="V314" s="104"/>
      <c r="W314" s="104"/>
      <c r="X314" s="104"/>
      <c r="Y314" s="104"/>
      <c r="Z314" s="104" t="s">
        <v>767</v>
      </c>
      <c r="AA314" s="104" t="s">
        <v>768</v>
      </c>
      <c r="AB314" s="104" t="s">
        <v>531</v>
      </c>
      <c r="AC314" s="104"/>
      <c r="AD314" s="104" t="s">
        <v>521</v>
      </c>
      <c r="AE314" s="98" t="str">
        <f t="shared" si="10"/>
        <v xml:space="preserve">*SULASTRI*( TELUK, KARANGAWEN/ RSUD K.R.M.T Wongsonegoro Semarang ), </v>
      </c>
      <c r="AF314" s="105" t="s">
        <v>765</v>
      </c>
      <c r="AG314" s="105" t="s">
        <v>301</v>
      </c>
    </row>
    <row r="315" spans="1:33" ht="108" customHeight="1" x14ac:dyDescent="0.25">
      <c r="A315" s="90">
        <v>312</v>
      </c>
      <c r="B315" s="104"/>
      <c r="C315" s="92">
        <v>44008</v>
      </c>
      <c r="D315" s="91" t="s">
        <v>428</v>
      </c>
      <c r="E315" s="91" t="s">
        <v>429</v>
      </c>
      <c r="F315" s="105" t="s">
        <v>769</v>
      </c>
      <c r="G315" s="104" t="s">
        <v>413</v>
      </c>
      <c r="H315" s="104">
        <v>26</v>
      </c>
      <c r="I315" s="104" t="s">
        <v>770</v>
      </c>
      <c r="J315" s="104"/>
      <c r="K315" s="104"/>
      <c r="L315" s="104"/>
      <c r="M315" s="104"/>
      <c r="N315" s="105" t="s">
        <v>771</v>
      </c>
      <c r="O315" s="105" t="s">
        <v>772</v>
      </c>
      <c r="P315" s="105" t="s">
        <v>385</v>
      </c>
      <c r="Q315" s="104"/>
      <c r="R315" s="104" t="s">
        <v>531</v>
      </c>
      <c r="S315" s="104" t="s">
        <v>731</v>
      </c>
      <c r="T315" s="104"/>
      <c r="U315" s="104"/>
      <c r="V315" s="104"/>
      <c r="W315" s="104"/>
      <c r="X315" s="104"/>
      <c r="Y315" s="104"/>
      <c r="Z315" s="104" t="s">
        <v>363</v>
      </c>
      <c r="AA315" s="104" t="s">
        <v>589</v>
      </c>
      <c r="AB315" s="104" t="s">
        <v>531</v>
      </c>
      <c r="AC315" s="104"/>
      <c r="AD315" s="104" t="s">
        <v>521</v>
      </c>
      <c r="AE315" s="98" t="str">
        <f t="shared" si="10"/>
        <v xml:space="preserve">*SURANTO*( PUCANGGADING, MRANGGEN/ RSUD K.R.M.T Wongsonegoro Semarang ), </v>
      </c>
      <c r="AF315" s="105" t="s">
        <v>772</v>
      </c>
      <c r="AG315" s="105" t="s">
        <v>385</v>
      </c>
    </row>
    <row r="316" spans="1:33" ht="45" customHeight="1" x14ac:dyDescent="0.25">
      <c r="A316" s="90">
        <v>313</v>
      </c>
      <c r="B316" s="104"/>
      <c r="C316" s="92">
        <v>44008</v>
      </c>
      <c r="D316" s="91" t="s">
        <v>428</v>
      </c>
      <c r="E316" s="91" t="s">
        <v>429</v>
      </c>
      <c r="F316" s="105" t="s">
        <v>773</v>
      </c>
      <c r="G316" s="104" t="s">
        <v>355</v>
      </c>
      <c r="H316" s="104">
        <v>46</v>
      </c>
      <c r="I316" s="104" t="s">
        <v>774</v>
      </c>
      <c r="J316" s="104"/>
      <c r="K316" s="104"/>
      <c r="L316" s="104"/>
      <c r="M316" s="104"/>
      <c r="N316" s="105" t="s">
        <v>775</v>
      </c>
      <c r="O316" s="105" t="s">
        <v>776</v>
      </c>
      <c r="P316" s="105" t="s">
        <v>312</v>
      </c>
      <c r="Q316" s="104"/>
      <c r="R316" s="104" t="s">
        <v>634</v>
      </c>
      <c r="S316" s="104" t="s">
        <v>766</v>
      </c>
      <c r="T316" s="104"/>
      <c r="U316" s="104"/>
      <c r="V316" s="104"/>
      <c r="W316" s="104"/>
      <c r="X316" s="104"/>
      <c r="Y316" s="104"/>
      <c r="Z316" s="104" t="s">
        <v>767</v>
      </c>
      <c r="AA316" s="104" t="s">
        <v>777</v>
      </c>
      <c r="AB316" s="104" t="s">
        <v>634</v>
      </c>
      <c r="AC316" s="104"/>
      <c r="AD316" s="104" t="s">
        <v>521</v>
      </c>
      <c r="AE316" s="98" t="str">
        <f t="shared" si="10"/>
        <v xml:space="preserve">*SUTRIYAH*( KEDUNGKARANG, WEDUNG/ RS PKU Muhammadiyah Mayong ), </v>
      </c>
      <c r="AF316" s="105" t="s">
        <v>776</v>
      </c>
      <c r="AG316" s="105" t="s">
        <v>312</v>
      </c>
    </row>
    <row r="317" spans="1:33" ht="30" customHeight="1" x14ac:dyDescent="0.25">
      <c r="A317" s="90">
        <v>314</v>
      </c>
      <c r="B317" s="104"/>
      <c r="C317" s="92">
        <v>44008</v>
      </c>
      <c r="D317" s="91" t="s">
        <v>428</v>
      </c>
      <c r="E317" s="91" t="s">
        <v>429</v>
      </c>
      <c r="F317" s="105" t="s">
        <v>778</v>
      </c>
      <c r="G317" s="104" t="s">
        <v>413</v>
      </c>
      <c r="H317" s="104">
        <v>68</v>
      </c>
      <c r="I317" s="104" t="s">
        <v>779</v>
      </c>
      <c r="J317" s="104"/>
      <c r="K317" s="104"/>
      <c r="L317" s="104"/>
      <c r="M317" s="104"/>
      <c r="N317" s="105" t="s">
        <v>780</v>
      </c>
      <c r="O317" s="105" t="s">
        <v>633</v>
      </c>
      <c r="P317" s="105" t="s">
        <v>312</v>
      </c>
      <c r="Q317" s="104"/>
      <c r="R317" s="104" t="s">
        <v>781</v>
      </c>
      <c r="S317" s="104" t="s">
        <v>782</v>
      </c>
      <c r="T317" s="104"/>
      <c r="U317" s="104"/>
      <c r="V317" s="104"/>
      <c r="W317" s="104"/>
      <c r="X317" s="104"/>
      <c r="Y317" s="104"/>
      <c r="Z317" s="104" t="s">
        <v>783</v>
      </c>
      <c r="AA317" s="104" t="s">
        <v>547</v>
      </c>
      <c r="AB317" s="104" t="s">
        <v>781</v>
      </c>
      <c r="AC317" s="104"/>
      <c r="AD317" s="104" t="s">
        <v>521</v>
      </c>
      <c r="AE317" s="98" t="str">
        <f t="shared" si="10"/>
        <v xml:space="preserve">*KHUMAIDI*( BABALAN, WEDUNG/ RSUD RA Kartini Jepara ), </v>
      </c>
      <c r="AF317" s="105" t="s">
        <v>633</v>
      </c>
      <c r="AG317" s="105" t="s">
        <v>312</v>
      </c>
    </row>
    <row r="318" spans="1:33" ht="45" customHeight="1" x14ac:dyDescent="0.25">
      <c r="A318" s="90">
        <v>315</v>
      </c>
      <c r="B318" s="104"/>
      <c r="C318" s="92">
        <v>44008</v>
      </c>
      <c r="D318" s="91" t="s">
        <v>428</v>
      </c>
      <c r="E318" s="91" t="s">
        <v>429</v>
      </c>
      <c r="F318" s="105" t="s">
        <v>784</v>
      </c>
      <c r="G318" s="104" t="s">
        <v>413</v>
      </c>
      <c r="H318" s="104">
        <v>62</v>
      </c>
      <c r="I318" s="104" t="s">
        <v>785</v>
      </c>
      <c r="J318" s="104"/>
      <c r="K318" s="104"/>
      <c r="L318" s="104"/>
      <c r="M318" s="104"/>
      <c r="N318" s="105" t="s">
        <v>786</v>
      </c>
      <c r="O318" s="105" t="s">
        <v>787</v>
      </c>
      <c r="P318" s="105" t="s">
        <v>304</v>
      </c>
      <c r="Q318" s="104"/>
      <c r="R318" s="104" t="s">
        <v>517</v>
      </c>
      <c r="S318" s="104" t="s">
        <v>788</v>
      </c>
      <c r="T318" s="104"/>
      <c r="U318" s="104"/>
      <c r="V318" s="104"/>
      <c r="W318" s="104"/>
      <c r="X318" s="104"/>
      <c r="Y318" s="104"/>
      <c r="Z318" s="104" t="s">
        <v>363</v>
      </c>
      <c r="AA318" s="104" t="s">
        <v>577</v>
      </c>
      <c r="AB318" s="104" t="s">
        <v>517</v>
      </c>
      <c r="AC318" s="104"/>
      <c r="AD318" s="104" t="s">
        <v>521</v>
      </c>
      <c r="AE318" s="98" t="str">
        <f t="shared" si="10"/>
        <v xml:space="preserve">*JAMARI*( TUGU, SAYUNG/ RSU Sultan Agung Semarang ), </v>
      </c>
      <c r="AF318" s="105" t="s">
        <v>787</v>
      </c>
      <c r="AG318" s="105" t="s">
        <v>304</v>
      </c>
    </row>
    <row r="319" spans="1:33" ht="30" customHeight="1" x14ac:dyDescent="0.25">
      <c r="A319" s="90">
        <v>316</v>
      </c>
      <c r="B319" s="104"/>
      <c r="C319" s="92">
        <v>44008</v>
      </c>
      <c r="D319" s="91" t="s">
        <v>428</v>
      </c>
      <c r="E319" s="91" t="s">
        <v>429</v>
      </c>
      <c r="F319" s="105" t="s">
        <v>502</v>
      </c>
      <c r="G319" s="104" t="s">
        <v>355</v>
      </c>
      <c r="H319" s="104">
        <v>41</v>
      </c>
      <c r="I319" s="104" t="s">
        <v>503</v>
      </c>
      <c r="J319" s="104"/>
      <c r="K319" s="104"/>
      <c r="L319" s="104"/>
      <c r="M319" s="104"/>
      <c r="N319" s="105" t="s">
        <v>504</v>
      </c>
      <c r="O319" s="105" t="s">
        <v>505</v>
      </c>
      <c r="P319" s="105" t="s">
        <v>0</v>
      </c>
      <c r="Q319" s="104"/>
      <c r="R319" s="104" t="s">
        <v>506</v>
      </c>
      <c r="S319" s="104" t="s">
        <v>507</v>
      </c>
      <c r="T319" s="104" t="s">
        <v>363</v>
      </c>
      <c r="U319" s="104"/>
      <c r="V319" s="104"/>
      <c r="W319" s="104"/>
      <c r="X319" s="104"/>
      <c r="Y319" s="104"/>
      <c r="Z319" s="104"/>
      <c r="AA319" s="104">
        <v>0</v>
      </c>
      <c r="AB319" s="104" t="s">
        <v>506</v>
      </c>
      <c r="AC319" s="104"/>
      <c r="AD319" s="104" t="s">
        <v>365</v>
      </c>
      <c r="AE319" s="98" t="str">
        <f>"*"&amp;F319&amp;"*"&amp;"( "&amp;O319&amp;", "&amp;P319&amp;" )"&amp;", "</f>
        <v xml:space="preserve">*FAOZAH*( BATU, KARANGTENGAH ), </v>
      </c>
      <c r="AF319" s="105" t="s">
        <v>505</v>
      </c>
      <c r="AG319" s="105" t="s">
        <v>0</v>
      </c>
    </row>
    <row r="320" spans="1:33" ht="45" customHeight="1" x14ac:dyDescent="0.25">
      <c r="A320" s="90">
        <v>317</v>
      </c>
      <c r="B320" s="104"/>
      <c r="C320" s="92">
        <v>44009</v>
      </c>
      <c r="D320" s="104" t="s">
        <v>428</v>
      </c>
      <c r="E320" s="104" t="s">
        <v>429</v>
      </c>
      <c r="F320" s="105" t="s">
        <v>512</v>
      </c>
      <c r="G320" s="104" t="s">
        <v>413</v>
      </c>
      <c r="H320" s="104">
        <v>35</v>
      </c>
      <c r="I320" s="104" t="s">
        <v>789</v>
      </c>
      <c r="J320" s="104"/>
      <c r="K320" s="104"/>
      <c r="L320" s="104"/>
      <c r="M320" s="104"/>
      <c r="N320" s="105" t="s">
        <v>790</v>
      </c>
      <c r="O320" s="105" t="s">
        <v>649</v>
      </c>
      <c r="P320" s="105" t="s">
        <v>385</v>
      </c>
      <c r="Q320" s="104"/>
      <c r="R320" s="104" t="s">
        <v>531</v>
      </c>
      <c r="S320" s="104" t="s">
        <v>484</v>
      </c>
      <c r="T320" s="104"/>
      <c r="U320" s="104"/>
      <c r="V320" s="104"/>
      <c r="W320" s="104"/>
      <c r="X320" s="104"/>
      <c r="Y320" s="104"/>
      <c r="Z320" s="104" t="s">
        <v>363</v>
      </c>
      <c r="AA320" s="104" t="s">
        <v>791</v>
      </c>
      <c r="AB320" s="104" t="s">
        <v>402</v>
      </c>
      <c r="AC320" s="104"/>
      <c r="AD320" s="104" t="s">
        <v>521</v>
      </c>
      <c r="AE320" s="98" t="str">
        <f>"*"&amp;F320&amp;"*"&amp;"( "&amp;O320&amp;", "&amp;P320&amp;"/ "&amp;R320&amp;" )"&amp;", "</f>
        <v xml:space="preserve">*MUZAROAH*( KANGKUNG, MRANGGEN/ RSUD K.R.M.T Wongsonegoro Semarang ), </v>
      </c>
      <c r="AF320" s="105" t="s">
        <v>649</v>
      </c>
      <c r="AG320" s="105" t="s">
        <v>385</v>
      </c>
    </row>
    <row r="321" spans="1:33" ht="30" customHeight="1" x14ac:dyDescent="0.25">
      <c r="A321" s="90">
        <v>318</v>
      </c>
      <c r="B321" s="104"/>
      <c r="C321" s="92">
        <v>44009</v>
      </c>
      <c r="D321" s="104" t="s">
        <v>428</v>
      </c>
      <c r="E321" s="104" t="s">
        <v>429</v>
      </c>
      <c r="F321" s="105" t="s">
        <v>792</v>
      </c>
      <c r="G321" s="104" t="s">
        <v>355</v>
      </c>
      <c r="H321" s="104">
        <v>53</v>
      </c>
      <c r="I321" s="104" t="s">
        <v>793</v>
      </c>
      <c r="J321" s="104"/>
      <c r="K321" s="104"/>
      <c r="L321" s="104"/>
      <c r="M321" s="104"/>
      <c r="N321" s="105" t="s">
        <v>794</v>
      </c>
      <c r="O321" s="105" t="s">
        <v>795</v>
      </c>
      <c r="P321" s="105" t="s">
        <v>385</v>
      </c>
      <c r="Q321" s="104"/>
      <c r="R321" s="104" t="s">
        <v>531</v>
      </c>
      <c r="S321" s="104" t="s">
        <v>484</v>
      </c>
      <c r="T321" s="104"/>
      <c r="U321" s="104"/>
      <c r="V321" s="104"/>
      <c r="W321" s="104"/>
      <c r="X321" s="104"/>
      <c r="Y321" s="104"/>
      <c r="Z321" s="104" t="s">
        <v>363</v>
      </c>
      <c r="AA321" s="104" t="s">
        <v>796</v>
      </c>
      <c r="AB321" s="104" t="s">
        <v>402</v>
      </c>
      <c r="AC321" s="104"/>
      <c r="AD321" s="104" t="s">
        <v>521</v>
      </c>
      <c r="AE321" s="98" t="str">
        <f>"*"&amp;F321&amp;"*"&amp;"( "&amp;O321&amp;", "&amp;P321&amp;"/ "&amp;R321&amp;" )"&amp;", "</f>
        <v xml:space="preserve">*PURWATI*( WARU, MRANGGEN/ RSUD K.R.M.T Wongsonegoro Semarang ), </v>
      </c>
      <c r="AF321" s="105" t="s">
        <v>795</v>
      </c>
      <c r="AG321" s="105" t="s">
        <v>385</v>
      </c>
    </row>
    <row r="322" spans="1:33" ht="30" customHeight="1" x14ac:dyDescent="0.25">
      <c r="A322" s="90">
        <v>319</v>
      </c>
      <c r="B322" s="104"/>
      <c r="C322" s="92">
        <v>44009</v>
      </c>
      <c r="D322" s="104" t="s">
        <v>428</v>
      </c>
      <c r="E322" s="104" t="s">
        <v>429</v>
      </c>
      <c r="F322" s="105" t="s">
        <v>797</v>
      </c>
      <c r="G322" s="104" t="s">
        <v>413</v>
      </c>
      <c r="H322" s="104">
        <v>59</v>
      </c>
      <c r="I322" s="104" t="s">
        <v>798</v>
      </c>
      <c r="J322" s="104"/>
      <c r="K322" s="104"/>
      <c r="L322" s="104"/>
      <c r="M322" s="104"/>
      <c r="N322" s="105" t="s">
        <v>799</v>
      </c>
      <c r="O322" s="105" t="s">
        <v>744</v>
      </c>
      <c r="P322" s="105" t="s">
        <v>385</v>
      </c>
      <c r="Q322" s="104"/>
      <c r="R322" s="104" t="s">
        <v>531</v>
      </c>
      <c r="S322" s="104" t="s">
        <v>745</v>
      </c>
      <c r="T322" s="104"/>
      <c r="U322" s="104"/>
      <c r="V322" s="104"/>
      <c r="W322" s="104"/>
      <c r="X322" s="104"/>
      <c r="Y322" s="104"/>
      <c r="Z322" s="104" t="s">
        <v>363</v>
      </c>
      <c r="AA322" s="104" t="s">
        <v>589</v>
      </c>
      <c r="AB322" s="104" t="s">
        <v>402</v>
      </c>
      <c r="AC322" s="104"/>
      <c r="AD322" s="104" t="s">
        <v>521</v>
      </c>
      <c r="AE322" s="98" t="str">
        <f>"*"&amp;F322&amp;"*"&amp;"( "&amp;O322&amp;", "&amp;P322&amp;"/ "&amp;R322&amp;" )"&amp;", "</f>
        <v xml:space="preserve">*SABAR*( BANDUNGREJO, MRANGGEN/ RSUD K.R.M.T Wongsonegoro Semarang ), </v>
      </c>
      <c r="AF322" s="105" t="s">
        <v>744</v>
      </c>
      <c r="AG322" s="105" t="s">
        <v>385</v>
      </c>
    </row>
    <row r="323" spans="1:33" ht="30" customHeight="1" x14ac:dyDescent="0.25">
      <c r="A323" s="90">
        <v>320</v>
      </c>
      <c r="B323" s="92">
        <v>44009</v>
      </c>
      <c r="C323" s="92">
        <v>44009</v>
      </c>
      <c r="D323" s="104" t="s">
        <v>428</v>
      </c>
      <c r="E323" s="104" t="s">
        <v>429</v>
      </c>
      <c r="F323" s="105" t="s">
        <v>508</v>
      </c>
      <c r="G323" s="104" t="s">
        <v>413</v>
      </c>
      <c r="H323" s="104">
        <v>69</v>
      </c>
      <c r="I323" s="104" t="s">
        <v>509</v>
      </c>
      <c r="J323" s="104"/>
      <c r="K323" s="104"/>
      <c r="L323" s="104"/>
      <c r="M323" s="104"/>
      <c r="N323" s="105" t="s">
        <v>510</v>
      </c>
      <c r="O323" s="105" t="s">
        <v>511</v>
      </c>
      <c r="P323" s="105" t="s">
        <v>307</v>
      </c>
      <c r="Q323" s="104"/>
      <c r="R323" s="104" t="s">
        <v>506</v>
      </c>
      <c r="S323" s="104" t="s">
        <v>484</v>
      </c>
      <c r="T323" s="104" t="s">
        <v>363</v>
      </c>
      <c r="U323" s="104"/>
      <c r="V323" s="104"/>
      <c r="W323" s="104"/>
      <c r="X323" s="104"/>
      <c r="Y323" s="104"/>
      <c r="Z323" s="104"/>
      <c r="AA323" s="104">
        <v>0</v>
      </c>
      <c r="AB323" s="104" t="s">
        <v>402</v>
      </c>
      <c r="AC323" s="104"/>
      <c r="AD323" s="104" t="s">
        <v>365</v>
      </c>
      <c r="AE323" s="98" t="str">
        <f>"*"&amp;F323&amp;"*"&amp;"( "&amp;O323&amp;", "&amp;P323&amp;" )"&amp;", "</f>
        <v xml:space="preserve">*NASIRI*( KRAMAT, DEMPET ), </v>
      </c>
      <c r="AF323" s="105" t="s">
        <v>511</v>
      </c>
      <c r="AG323" s="105" t="s">
        <v>307</v>
      </c>
    </row>
    <row r="324" spans="1:33" ht="36" customHeight="1" x14ac:dyDescent="0.25">
      <c r="A324" s="90">
        <v>321</v>
      </c>
      <c r="B324" s="104"/>
      <c r="C324" s="92">
        <v>44009</v>
      </c>
      <c r="D324" s="104" t="s">
        <v>428</v>
      </c>
      <c r="E324" s="104" t="s">
        <v>429</v>
      </c>
      <c r="F324" s="105" t="s">
        <v>800</v>
      </c>
      <c r="G324" s="104" t="s">
        <v>413</v>
      </c>
      <c r="H324" s="104">
        <v>53</v>
      </c>
      <c r="I324" s="104" t="s">
        <v>801</v>
      </c>
      <c r="J324" s="104"/>
      <c r="K324" s="104"/>
      <c r="L324" s="104"/>
      <c r="M324" s="104"/>
      <c r="N324" s="105" t="s">
        <v>802</v>
      </c>
      <c r="O324" s="105" t="s">
        <v>385</v>
      </c>
      <c r="P324" s="105" t="s">
        <v>385</v>
      </c>
      <c r="Q324" s="104"/>
      <c r="R324" s="104" t="s">
        <v>803</v>
      </c>
      <c r="S324" s="104" t="s">
        <v>745</v>
      </c>
      <c r="T324" s="104"/>
      <c r="U324" s="104"/>
      <c r="V324" s="104"/>
      <c r="W324" s="104"/>
      <c r="X324" s="104"/>
      <c r="Y324" s="104"/>
      <c r="Z324" s="104" t="s">
        <v>363</v>
      </c>
      <c r="AA324" s="104">
        <v>0</v>
      </c>
      <c r="AB324" s="104" t="s">
        <v>402</v>
      </c>
      <c r="AC324" s="104"/>
      <c r="AD324" s="104" t="s">
        <v>521</v>
      </c>
      <c r="AE324" s="98" t="str">
        <f t="shared" ref="AE324:AE329" si="11">"*"&amp;F324&amp;"*"&amp;"( "&amp;O324&amp;", "&amp;P324&amp;"/ "&amp;R324&amp;" )"&amp;", "</f>
        <v xml:space="preserve">*SUYADI*( MRANGGEN, MRANGGEN/ RSJD Dr. Amino Gondohutomo ), </v>
      </c>
      <c r="AF324" s="105" t="s">
        <v>385</v>
      </c>
      <c r="AG324" s="105" t="s">
        <v>385</v>
      </c>
    </row>
    <row r="325" spans="1:33" ht="30" customHeight="1" x14ac:dyDescent="0.25">
      <c r="A325" s="90">
        <v>322</v>
      </c>
      <c r="B325" s="104"/>
      <c r="C325" s="92">
        <v>44009</v>
      </c>
      <c r="D325" s="104" t="s">
        <v>428</v>
      </c>
      <c r="E325" s="104" t="s">
        <v>429</v>
      </c>
      <c r="F325" s="105" t="s">
        <v>804</v>
      </c>
      <c r="G325" s="104" t="s">
        <v>355</v>
      </c>
      <c r="H325" s="104">
        <v>53</v>
      </c>
      <c r="I325" s="104" t="s">
        <v>805</v>
      </c>
      <c r="J325" s="104"/>
      <c r="K325" s="104"/>
      <c r="L325" s="104"/>
      <c r="M325" s="104"/>
      <c r="N325" s="105" t="s">
        <v>806</v>
      </c>
      <c r="O325" s="105" t="s">
        <v>807</v>
      </c>
      <c r="P325" s="105" t="s">
        <v>308</v>
      </c>
      <c r="Q325" s="104"/>
      <c r="R325" s="104" t="s">
        <v>582</v>
      </c>
      <c r="S325" s="104" t="s">
        <v>745</v>
      </c>
      <c r="T325" s="104"/>
      <c r="U325" s="104"/>
      <c r="V325" s="104"/>
      <c r="W325" s="104"/>
      <c r="X325" s="104"/>
      <c r="Y325" s="104"/>
      <c r="Z325" s="104" t="s">
        <v>363</v>
      </c>
      <c r="AA325" s="104" t="s">
        <v>808</v>
      </c>
      <c r="AB325" s="104" t="s">
        <v>402</v>
      </c>
      <c r="AC325" s="104"/>
      <c r="AD325" s="104" t="s">
        <v>521</v>
      </c>
      <c r="AE325" s="98" t="str">
        <f t="shared" si="11"/>
        <v xml:space="preserve">*RAMELAH*( JATISONO, GAJAH/ RSU Mardi Rahayu Kudus ), </v>
      </c>
      <c r="AF325" s="105" t="s">
        <v>807</v>
      </c>
      <c r="AG325" s="105" t="s">
        <v>308</v>
      </c>
    </row>
    <row r="326" spans="1:33" ht="36" customHeight="1" x14ac:dyDescent="0.25">
      <c r="A326" s="90">
        <v>323</v>
      </c>
      <c r="B326" s="104"/>
      <c r="C326" s="92">
        <v>44009</v>
      </c>
      <c r="D326" s="104" t="s">
        <v>428</v>
      </c>
      <c r="E326" s="104" t="s">
        <v>429</v>
      </c>
      <c r="F326" s="105" t="s">
        <v>809</v>
      </c>
      <c r="G326" s="104" t="s">
        <v>413</v>
      </c>
      <c r="H326" s="104">
        <v>56</v>
      </c>
      <c r="I326" s="104" t="s">
        <v>810</v>
      </c>
      <c r="J326" s="104"/>
      <c r="K326" s="104"/>
      <c r="L326" s="104"/>
      <c r="M326" s="104"/>
      <c r="N326" s="105" t="s">
        <v>811</v>
      </c>
      <c r="O326" s="105" t="s">
        <v>812</v>
      </c>
      <c r="P326" s="105" t="s">
        <v>304</v>
      </c>
      <c r="Q326" s="104"/>
      <c r="R326" s="104" t="s">
        <v>517</v>
      </c>
      <c r="S326" s="104" t="s">
        <v>494</v>
      </c>
      <c r="T326" s="104"/>
      <c r="U326" s="104"/>
      <c r="V326" s="104"/>
      <c r="W326" s="104"/>
      <c r="X326" s="104"/>
      <c r="Y326" s="104"/>
      <c r="Z326" s="104" t="s">
        <v>363</v>
      </c>
      <c r="AA326" s="104" t="s">
        <v>577</v>
      </c>
      <c r="AB326" s="104" t="s">
        <v>402</v>
      </c>
      <c r="AC326" s="104"/>
      <c r="AD326" s="104" t="s">
        <v>521</v>
      </c>
      <c r="AE326" s="98" t="str">
        <f t="shared" si="11"/>
        <v xml:space="preserve">*MOHAMAD AS'LOR*( TAMBAKROTO, SAYUNG/ RSU Sultan Agung Semarang ), </v>
      </c>
      <c r="AF326" s="105" t="s">
        <v>812</v>
      </c>
      <c r="AG326" s="105" t="s">
        <v>304</v>
      </c>
    </row>
    <row r="327" spans="1:33" ht="30" customHeight="1" x14ac:dyDescent="0.25">
      <c r="A327" s="90">
        <v>324</v>
      </c>
      <c r="B327" s="104"/>
      <c r="C327" s="92">
        <v>44009</v>
      </c>
      <c r="D327" s="104" t="s">
        <v>428</v>
      </c>
      <c r="E327" s="104" t="s">
        <v>429</v>
      </c>
      <c r="F327" s="105" t="s">
        <v>813</v>
      </c>
      <c r="G327" s="104" t="s">
        <v>355</v>
      </c>
      <c r="H327" s="104">
        <v>76</v>
      </c>
      <c r="I327" s="104" t="s">
        <v>814</v>
      </c>
      <c r="J327" s="104"/>
      <c r="K327" s="104"/>
      <c r="L327" s="104"/>
      <c r="M327" s="104"/>
      <c r="N327" s="105" t="s">
        <v>815</v>
      </c>
      <c r="O327" s="105" t="s">
        <v>816</v>
      </c>
      <c r="P327" s="105" t="s">
        <v>301</v>
      </c>
      <c r="Q327" s="104"/>
      <c r="R327" s="104" t="s">
        <v>531</v>
      </c>
      <c r="S327" s="104" t="s">
        <v>745</v>
      </c>
      <c r="T327" s="104"/>
      <c r="U327" s="104"/>
      <c r="V327" s="104"/>
      <c r="W327" s="104"/>
      <c r="X327" s="104"/>
      <c r="Y327" s="104"/>
      <c r="Z327" s="104" t="s">
        <v>363</v>
      </c>
      <c r="AA327" s="104" t="s">
        <v>542</v>
      </c>
      <c r="AB327" s="104" t="s">
        <v>402</v>
      </c>
      <c r="AC327" s="104"/>
      <c r="AD327" s="104" t="s">
        <v>521</v>
      </c>
      <c r="AE327" s="98" t="str">
        <f t="shared" si="11"/>
        <v xml:space="preserve">*MIR`AH*( SIDOREJO, KARANGAWEN/ RSUD K.R.M.T Wongsonegoro Semarang ), </v>
      </c>
      <c r="AF327" s="105" t="s">
        <v>816</v>
      </c>
      <c r="AG327" s="105" t="s">
        <v>301</v>
      </c>
    </row>
    <row r="328" spans="1:33" ht="30" customHeight="1" x14ac:dyDescent="0.25">
      <c r="A328" s="90">
        <v>325</v>
      </c>
      <c r="B328" s="104"/>
      <c r="C328" s="92">
        <v>44009</v>
      </c>
      <c r="D328" s="104" t="s">
        <v>428</v>
      </c>
      <c r="E328" s="104" t="s">
        <v>429</v>
      </c>
      <c r="F328" s="105" t="s">
        <v>817</v>
      </c>
      <c r="G328" s="104" t="s">
        <v>413</v>
      </c>
      <c r="H328" s="104">
        <v>62</v>
      </c>
      <c r="I328" s="104" t="s">
        <v>818</v>
      </c>
      <c r="J328" s="104"/>
      <c r="K328" s="104"/>
      <c r="L328" s="104"/>
      <c r="M328" s="104"/>
      <c r="N328" s="105" t="s">
        <v>819</v>
      </c>
      <c r="O328" s="105" t="s">
        <v>820</v>
      </c>
      <c r="P328" s="105" t="s">
        <v>385</v>
      </c>
      <c r="Q328" s="104"/>
      <c r="R328" s="104" t="s">
        <v>531</v>
      </c>
      <c r="S328" s="104" t="s">
        <v>745</v>
      </c>
      <c r="T328" s="104"/>
      <c r="U328" s="104"/>
      <c r="V328" s="104"/>
      <c r="W328" s="104"/>
      <c r="X328" s="104"/>
      <c r="Y328" s="104"/>
      <c r="Z328" s="104" t="s">
        <v>363</v>
      </c>
      <c r="AA328" s="104" t="s">
        <v>821</v>
      </c>
      <c r="AB328" s="104" t="s">
        <v>402</v>
      </c>
      <c r="AC328" s="104"/>
      <c r="AD328" s="104" t="s">
        <v>521</v>
      </c>
      <c r="AE328" s="98" t="str">
        <f t="shared" si="11"/>
        <v xml:space="preserve">*J BEJO*( KEBONBATUR, MRANGGEN/ RSUD K.R.M.T Wongsonegoro Semarang ), </v>
      </c>
      <c r="AF328" s="105" t="s">
        <v>820</v>
      </c>
      <c r="AG328" s="105" t="s">
        <v>385</v>
      </c>
    </row>
    <row r="329" spans="1:33" ht="36" customHeight="1" x14ac:dyDescent="0.25">
      <c r="A329" s="90">
        <v>326</v>
      </c>
      <c r="B329" s="104"/>
      <c r="C329" s="92">
        <v>44009</v>
      </c>
      <c r="D329" s="104" t="s">
        <v>428</v>
      </c>
      <c r="E329" s="104" t="s">
        <v>429</v>
      </c>
      <c r="F329" s="105" t="s">
        <v>822</v>
      </c>
      <c r="G329" s="104" t="s">
        <v>413</v>
      </c>
      <c r="H329" s="104">
        <v>63</v>
      </c>
      <c r="I329" s="104" t="s">
        <v>823</v>
      </c>
      <c r="J329" s="104"/>
      <c r="K329" s="104"/>
      <c r="L329" s="104"/>
      <c r="M329" s="104"/>
      <c r="N329" s="105" t="s">
        <v>824</v>
      </c>
      <c r="O329" s="105" t="s">
        <v>825</v>
      </c>
      <c r="P329" s="105" t="s">
        <v>304</v>
      </c>
      <c r="Q329" s="104"/>
      <c r="R329" s="104" t="s">
        <v>826</v>
      </c>
      <c r="S329" s="104" t="s">
        <v>827</v>
      </c>
      <c r="T329" s="104"/>
      <c r="U329" s="104"/>
      <c r="V329" s="104"/>
      <c r="W329" s="104"/>
      <c r="X329" s="104"/>
      <c r="Y329" s="104"/>
      <c r="Z329" s="104" t="s">
        <v>828</v>
      </c>
      <c r="AA329" s="104" t="s">
        <v>577</v>
      </c>
      <c r="AB329" s="104" t="s">
        <v>629</v>
      </c>
      <c r="AC329" s="104"/>
      <c r="AD329" s="104" t="s">
        <v>521</v>
      </c>
      <c r="AE329" s="98" t="str">
        <f t="shared" si="11"/>
        <v xml:space="preserve">*TN M.CHAYIN YUSUF*( PURWOSARI, SAYUNG/ RS Hermina Pandanaran Kota Semarang ), </v>
      </c>
      <c r="AF329" s="105" t="s">
        <v>825</v>
      </c>
      <c r="AG329" s="105" t="s">
        <v>304</v>
      </c>
    </row>
    <row r="330" spans="1:33" ht="30" customHeight="1" x14ac:dyDescent="0.25">
      <c r="A330" s="90">
        <v>327</v>
      </c>
      <c r="B330" s="104"/>
      <c r="C330" s="92">
        <v>44009</v>
      </c>
      <c r="D330" s="104" t="s">
        <v>428</v>
      </c>
      <c r="E330" s="104" t="s">
        <v>429</v>
      </c>
      <c r="F330" s="105" t="s">
        <v>1302</v>
      </c>
      <c r="G330" s="104" t="s">
        <v>355</v>
      </c>
      <c r="H330" s="104">
        <v>70</v>
      </c>
      <c r="I330" s="104" t="s">
        <v>1303</v>
      </c>
      <c r="J330" s="104"/>
      <c r="K330" s="104"/>
      <c r="L330" s="104"/>
      <c r="M330" s="104"/>
      <c r="N330" s="105" t="s">
        <v>1304</v>
      </c>
      <c r="O330" s="105" t="s">
        <v>1252</v>
      </c>
      <c r="P330" s="105" t="s">
        <v>312</v>
      </c>
      <c r="Q330" s="104"/>
      <c r="R330" s="104" t="s">
        <v>634</v>
      </c>
      <c r="S330" s="104" t="s">
        <v>478</v>
      </c>
      <c r="T330" s="104" t="s">
        <v>885</v>
      </c>
      <c r="U330" s="104"/>
      <c r="V330" s="104"/>
      <c r="W330" s="104"/>
      <c r="X330" s="104"/>
      <c r="Y330" s="104"/>
      <c r="Z330" s="104" t="s">
        <v>767</v>
      </c>
      <c r="AA330" s="104" t="s">
        <v>589</v>
      </c>
      <c r="AB330" s="104" t="s">
        <v>402</v>
      </c>
      <c r="AC330" s="104"/>
      <c r="AD330" s="104" t="s">
        <v>1271</v>
      </c>
      <c r="AE330" s="98" t="str">
        <f>"*"&amp;F330&amp;"*"&amp;"( "&amp;O330&amp;", "&amp;P330&amp;"/ "&amp;T330&amp;" )"&amp;", "</f>
        <v xml:space="preserve">*SRI HAYAH*( JUNGPASIR, WEDUNG/ Rumah ), </v>
      </c>
      <c r="AF330" s="105" t="s">
        <v>1252</v>
      </c>
      <c r="AG330" s="105" t="s">
        <v>312</v>
      </c>
    </row>
    <row r="331" spans="1:33" ht="36" customHeight="1" x14ac:dyDescent="0.25">
      <c r="A331" s="90">
        <v>328</v>
      </c>
      <c r="B331" s="104"/>
      <c r="C331" s="92">
        <v>44009</v>
      </c>
      <c r="D331" s="104" t="s">
        <v>428</v>
      </c>
      <c r="E331" s="104" t="s">
        <v>429</v>
      </c>
      <c r="F331" s="105" t="s">
        <v>1305</v>
      </c>
      <c r="G331" s="104" t="s">
        <v>413</v>
      </c>
      <c r="H331" s="104">
        <v>1</v>
      </c>
      <c r="I331" s="104" t="s">
        <v>1306</v>
      </c>
      <c r="J331" s="104"/>
      <c r="K331" s="104"/>
      <c r="L331" s="104"/>
      <c r="M331" s="104"/>
      <c r="N331" s="105" t="s">
        <v>1307</v>
      </c>
      <c r="O331" s="105" t="s">
        <v>776</v>
      </c>
      <c r="P331" s="105" t="s">
        <v>312</v>
      </c>
      <c r="Q331" s="104"/>
      <c r="R331" s="104" t="s">
        <v>634</v>
      </c>
      <c r="S331" s="104" t="s">
        <v>731</v>
      </c>
      <c r="T331" s="104" t="s">
        <v>885</v>
      </c>
      <c r="U331" s="104"/>
      <c r="V331" s="104"/>
      <c r="W331" s="104"/>
      <c r="X331" s="104"/>
      <c r="Y331" s="104"/>
      <c r="Z331" s="104" t="s">
        <v>767</v>
      </c>
      <c r="AA331" s="104" t="s">
        <v>577</v>
      </c>
      <c r="AB331" s="104" t="s">
        <v>402</v>
      </c>
      <c r="AC331" s="104"/>
      <c r="AD331" s="104" t="s">
        <v>1271</v>
      </c>
      <c r="AE331" s="98" t="str">
        <f>"*"&amp;F331&amp;"*"&amp;"( "&amp;O331&amp;", "&amp;P331&amp;"/ "&amp;T331&amp;" )"&amp;", "</f>
        <v xml:space="preserve">*MUH. TAFUZA KAMAL*( KEDUNGKARANG, WEDUNG/ Rumah ), </v>
      </c>
      <c r="AF331" s="105" t="s">
        <v>776</v>
      </c>
      <c r="AG331" s="105" t="s">
        <v>312</v>
      </c>
    </row>
    <row r="332" spans="1:33" ht="30" customHeight="1" x14ac:dyDescent="0.25">
      <c r="A332" s="90">
        <v>329</v>
      </c>
      <c r="B332" s="104"/>
      <c r="C332" s="92">
        <v>44009</v>
      </c>
      <c r="D332" s="104" t="s">
        <v>428</v>
      </c>
      <c r="E332" s="104" t="s">
        <v>429</v>
      </c>
      <c r="F332" s="105" t="s">
        <v>1308</v>
      </c>
      <c r="G332" s="104" t="s">
        <v>413</v>
      </c>
      <c r="H332" s="104">
        <v>67</v>
      </c>
      <c r="I332" s="104" t="s">
        <v>1309</v>
      </c>
      <c r="J332" s="104"/>
      <c r="K332" s="104"/>
      <c r="L332" s="104"/>
      <c r="M332" s="104"/>
      <c r="N332" s="105" t="s">
        <v>1304</v>
      </c>
      <c r="O332" s="105" t="s">
        <v>1252</v>
      </c>
      <c r="P332" s="105" t="s">
        <v>312</v>
      </c>
      <c r="Q332" s="104"/>
      <c r="R332" s="104" t="s">
        <v>634</v>
      </c>
      <c r="S332" s="104" t="s">
        <v>1310</v>
      </c>
      <c r="T332" s="104" t="s">
        <v>885</v>
      </c>
      <c r="U332" s="104"/>
      <c r="V332" s="104"/>
      <c r="W332" s="104"/>
      <c r="X332" s="104"/>
      <c r="Y332" s="104"/>
      <c r="Z332" s="104" t="s">
        <v>767</v>
      </c>
      <c r="AA332" s="104" t="s">
        <v>552</v>
      </c>
      <c r="AB332" s="104" t="s">
        <v>402</v>
      </c>
      <c r="AC332" s="104"/>
      <c r="AD332" s="104" t="s">
        <v>1271</v>
      </c>
      <c r="AE332" s="98" t="str">
        <f>"*"&amp;F332&amp;"*"&amp;"( "&amp;O332&amp;", "&amp;P332&amp;"/ "&amp;T332&amp;" )"&amp;", "</f>
        <v xml:space="preserve">*ASKURI*( JUNGPASIR, WEDUNG/ Rumah ), </v>
      </c>
      <c r="AF332" s="105" t="s">
        <v>1252</v>
      </c>
      <c r="AG332" s="105" t="s">
        <v>312</v>
      </c>
    </row>
    <row r="333" spans="1:33" ht="36" customHeight="1" x14ac:dyDescent="0.25">
      <c r="A333" s="90">
        <v>330</v>
      </c>
      <c r="B333" s="104"/>
      <c r="C333" s="92">
        <v>44009</v>
      </c>
      <c r="D333" s="104" t="s">
        <v>428</v>
      </c>
      <c r="E333" s="104" t="s">
        <v>429</v>
      </c>
      <c r="F333" s="105" t="s">
        <v>1311</v>
      </c>
      <c r="G333" s="104" t="s">
        <v>413</v>
      </c>
      <c r="H333" s="104">
        <v>4</v>
      </c>
      <c r="I333" s="104" t="s">
        <v>569</v>
      </c>
      <c r="J333" s="104"/>
      <c r="K333" s="104"/>
      <c r="L333" s="104"/>
      <c r="M333" s="104"/>
      <c r="N333" s="105" t="s">
        <v>1312</v>
      </c>
      <c r="O333" s="105" t="s">
        <v>694</v>
      </c>
      <c r="P333" s="105" t="s">
        <v>312</v>
      </c>
      <c r="Q333" s="104"/>
      <c r="R333" s="104" t="s">
        <v>634</v>
      </c>
      <c r="S333" s="104" t="s">
        <v>478</v>
      </c>
      <c r="T333" s="104" t="s">
        <v>885</v>
      </c>
      <c r="U333" s="104"/>
      <c r="V333" s="104"/>
      <c r="W333" s="104"/>
      <c r="X333" s="104"/>
      <c r="Y333" s="104"/>
      <c r="Z333" s="104" t="s">
        <v>767</v>
      </c>
      <c r="AA333" s="104" t="s">
        <v>1313</v>
      </c>
      <c r="AB333" s="104" t="s">
        <v>402</v>
      </c>
      <c r="AC333" s="104"/>
      <c r="AD333" s="104" t="s">
        <v>1271</v>
      </c>
      <c r="AE333" s="98" t="str">
        <f>"*"&amp;F333&amp;"*"&amp;"( "&amp;O333&amp;", "&amp;P333&amp;"/ "&amp;T333&amp;" )"&amp;", "</f>
        <v xml:space="preserve">*AHMAD AISAR WAFI*( KEDUNGMUTIH, WEDUNG/ Rumah ), </v>
      </c>
      <c r="AF333" s="105" t="s">
        <v>694</v>
      </c>
      <c r="AG333" s="105" t="s">
        <v>312</v>
      </c>
    </row>
    <row r="334" spans="1:33" ht="36" customHeight="1" x14ac:dyDescent="0.25">
      <c r="A334" s="90">
        <v>331</v>
      </c>
      <c r="B334" s="104"/>
      <c r="C334" s="92">
        <v>44009</v>
      </c>
      <c r="D334" s="104" t="s">
        <v>428</v>
      </c>
      <c r="E334" s="104" t="s">
        <v>429</v>
      </c>
      <c r="F334" s="105" t="s">
        <v>1571</v>
      </c>
      <c r="G334" s="104" t="s">
        <v>413</v>
      </c>
      <c r="H334" s="104">
        <v>67</v>
      </c>
      <c r="I334" s="104" t="s">
        <v>1572</v>
      </c>
      <c r="J334" s="104"/>
      <c r="K334" s="104"/>
      <c r="L334" s="104"/>
      <c r="M334" s="104"/>
      <c r="N334" s="105" t="s">
        <v>1573</v>
      </c>
      <c r="O334" s="105" t="s">
        <v>665</v>
      </c>
      <c r="P334" s="105" t="s">
        <v>304</v>
      </c>
      <c r="Q334" s="104"/>
      <c r="R334" s="104" t="s">
        <v>517</v>
      </c>
      <c r="S334" s="104" t="s">
        <v>494</v>
      </c>
      <c r="T334" s="104"/>
      <c r="U334" s="104"/>
      <c r="V334" s="104"/>
      <c r="W334" s="104"/>
      <c r="X334" s="104"/>
      <c r="Y334" s="104"/>
      <c r="Z334" s="104" t="s">
        <v>783</v>
      </c>
      <c r="AA334" s="104" t="s">
        <v>577</v>
      </c>
      <c r="AB334" s="104" t="s">
        <v>402</v>
      </c>
      <c r="AC334" s="104"/>
      <c r="AD334" s="104" t="s">
        <v>1481</v>
      </c>
      <c r="AE334" s="98" t="str">
        <f>"*"&amp;F334&amp;"*"&amp;"( "&amp;O334&amp;", "&amp;P334&amp;" )"&amp;", "</f>
        <v xml:space="preserve">*SAMSUL*( JETAKSARI, SAYUNG ), </v>
      </c>
      <c r="AF334" s="105" t="s">
        <v>665</v>
      </c>
      <c r="AG334" s="105" t="s">
        <v>304</v>
      </c>
    </row>
    <row r="335" spans="1:33" ht="30" customHeight="1" x14ac:dyDescent="0.25">
      <c r="A335" s="90">
        <v>332</v>
      </c>
      <c r="B335" s="104"/>
      <c r="C335" s="92">
        <v>44009</v>
      </c>
      <c r="D335" s="104" t="s">
        <v>428</v>
      </c>
      <c r="E335" s="104" t="s">
        <v>429</v>
      </c>
      <c r="F335" s="105" t="s">
        <v>1199</v>
      </c>
      <c r="G335" s="104" t="s">
        <v>413</v>
      </c>
      <c r="H335" s="104">
        <v>24</v>
      </c>
      <c r="I335" s="104" t="s">
        <v>1200</v>
      </c>
      <c r="J335" s="104"/>
      <c r="K335" s="104"/>
      <c r="L335" s="104"/>
      <c r="M335" s="104"/>
      <c r="N335" s="105" t="s">
        <v>1201</v>
      </c>
      <c r="O335" s="105" t="s">
        <v>620</v>
      </c>
      <c r="P335" s="105" t="s">
        <v>311</v>
      </c>
      <c r="Q335" s="104"/>
      <c r="R335" s="104" t="s">
        <v>905</v>
      </c>
      <c r="S335" s="104"/>
      <c r="T335" s="104" t="s">
        <v>885</v>
      </c>
      <c r="U335" s="104"/>
      <c r="V335" s="104"/>
      <c r="W335" s="104"/>
      <c r="X335" s="104"/>
      <c r="Y335" s="104"/>
      <c r="Z335" s="104" t="s">
        <v>767</v>
      </c>
      <c r="AB335" s="104"/>
      <c r="AC335" s="104"/>
      <c r="AD335" s="104" t="s">
        <v>890</v>
      </c>
      <c r="AE335" s="98" t="str">
        <f t="shared" ref="AE335:AE357" si="12">"*"&amp;F335&amp;"*"&amp;"( "&amp;O335&amp;", "&amp;P335&amp;"/ "&amp;T335&amp;" )"&amp;", "</f>
        <v xml:space="preserve">*Muhammad Ali Ircam*( BETAHWALANG, BONANG/ Rumah ), </v>
      </c>
      <c r="AF335" s="105" t="s">
        <v>620</v>
      </c>
      <c r="AG335" s="105" t="s">
        <v>311</v>
      </c>
    </row>
    <row r="336" spans="1:33" ht="30" customHeight="1" x14ac:dyDescent="0.25">
      <c r="A336" s="90">
        <v>333</v>
      </c>
      <c r="B336" s="104"/>
      <c r="C336" s="92">
        <v>44009</v>
      </c>
      <c r="D336" s="104" t="s">
        <v>428</v>
      </c>
      <c r="E336" s="104" t="s">
        <v>429</v>
      </c>
      <c r="F336" s="105" t="s">
        <v>1202</v>
      </c>
      <c r="G336" s="104" t="s">
        <v>413</v>
      </c>
      <c r="H336" s="104">
        <v>40</v>
      </c>
      <c r="I336" s="104" t="s">
        <v>1203</v>
      </c>
      <c r="J336" s="104"/>
      <c r="K336" s="104"/>
      <c r="L336" s="104"/>
      <c r="M336" s="104"/>
      <c r="N336" s="105" t="s">
        <v>1204</v>
      </c>
      <c r="O336" s="105" t="s">
        <v>620</v>
      </c>
      <c r="P336" s="105" t="s">
        <v>311</v>
      </c>
      <c r="Q336" s="104"/>
      <c r="R336" s="104" t="s">
        <v>905</v>
      </c>
      <c r="S336" s="104"/>
      <c r="T336" s="104" t="s">
        <v>885</v>
      </c>
      <c r="U336" s="104"/>
      <c r="V336" s="104"/>
      <c r="W336" s="104"/>
      <c r="X336" s="104"/>
      <c r="Y336" s="104"/>
      <c r="Z336" s="104" t="s">
        <v>767</v>
      </c>
      <c r="AB336" s="104"/>
      <c r="AC336" s="104"/>
      <c r="AD336" s="104" t="s">
        <v>890</v>
      </c>
      <c r="AE336" s="98" t="str">
        <f t="shared" si="12"/>
        <v xml:space="preserve">*Ali Sodikin*( BETAHWALANG, BONANG/ Rumah ), </v>
      </c>
      <c r="AF336" s="105" t="s">
        <v>620</v>
      </c>
      <c r="AG336" s="105" t="s">
        <v>311</v>
      </c>
    </row>
    <row r="337" spans="1:33" ht="31.5" x14ac:dyDescent="0.35">
      <c r="A337" s="90">
        <v>334</v>
      </c>
      <c r="B337" s="104"/>
      <c r="C337" s="92">
        <v>44009</v>
      </c>
      <c r="D337" s="104" t="s">
        <v>428</v>
      </c>
      <c r="E337" s="104" t="s">
        <v>429</v>
      </c>
      <c r="F337" s="105" t="s">
        <v>1205</v>
      </c>
      <c r="G337" s="104" t="s">
        <v>355</v>
      </c>
      <c r="H337" s="104">
        <v>26</v>
      </c>
      <c r="I337" s="104" t="s">
        <v>1206</v>
      </c>
      <c r="J337" s="104"/>
      <c r="K337" s="104"/>
      <c r="L337" s="104"/>
      <c r="M337" s="104"/>
      <c r="N337" s="105" t="s">
        <v>1207</v>
      </c>
      <c r="O337" s="105" t="s">
        <v>438</v>
      </c>
      <c r="P337" s="105" t="s">
        <v>302</v>
      </c>
      <c r="Q337" s="104"/>
      <c r="R337" s="104" t="s">
        <v>905</v>
      </c>
      <c r="S337" s="104"/>
      <c r="T337" s="104" t="s">
        <v>885</v>
      </c>
      <c r="U337" s="104"/>
      <c r="V337" s="104"/>
      <c r="W337" s="104"/>
      <c r="X337" s="104"/>
      <c r="Y337" s="104"/>
      <c r="Z337" s="104" t="s">
        <v>767</v>
      </c>
      <c r="AB337" s="104"/>
      <c r="AC337" s="104"/>
      <c r="AD337" s="104" t="s">
        <v>890</v>
      </c>
      <c r="AE337" s="98" t="str">
        <f t="shared" si="12"/>
        <v xml:space="preserve">*Zuhriyah*( BINTORO, DEMAK/ Rumah ), </v>
      </c>
      <c r="AF337" s="105" t="s">
        <v>438</v>
      </c>
      <c r="AG337" s="148" t="s">
        <v>302</v>
      </c>
    </row>
    <row r="338" spans="1:33" ht="30" customHeight="1" x14ac:dyDescent="0.25">
      <c r="A338" s="90">
        <v>335</v>
      </c>
      <c r="B338" s="104"/>
      <c r="C338" s="92">
        <v>44009</v>
      </c>
      <c r="D338" s="104" t="s">
        <v>428</v>
      </c>
      <c r="E338" s="104" t="s">
        <v>429</v>
      </c>
      <c r="F338" s="105" t="s">
        <v>1208</v>
      </c>
      <c r="G338" s="104" t="s">
        <v>413</v>
      </c>
      <c r="H338" s="104">
        <v>29</v>
      </c>
      <c r="I338" s="104" t="s">
        <v>1209</v>
      </c>
      <c r="J338" s="104"/>
      <c r="K338" s="104"/>
      <c r="L338" s="104"/>
      <c r="M338" s="104"/>
      <c r="N338" s="105" t="s">
        <v>1210</v>
      </c>
      <c r="O338" s="105" t="s">
        <v>308</v>
      </c>
      <c r="P338" s="105" t="s">
        <v>308</v>
      </c>
      <c r="Q338" s="104"/>
      <c r="R338" s="104" t="s">
        <v>905</v>
      </c>
      <c r="S338" s="104"/>
      <c r="T338" s="104" t="s">
        <v>885</v>
      </c>
      <c r="U338" s="104"/>
      <c r="V338" s="104"/>
      <c r="W338" s="104"/>
      <c r="X338" s="104"/>
      <c r="Y338" s="104"/>
      <c r="Z338" s="104" t="s">
        <v>767</v>
      </c>
      <c r="AB338" s="104"/>
      <c r="AC338" s="104"/>
      <c r="AD338" s="104" t="s">
        <v>890</v>
      </c>
      <c r="AE338" s="98" t="str">
        <f t="shared" si="12"/>
        <v xml:space="preserve">*Selamet Wahyudi*( GAJAH, GAJAH/ Rumah ), </v>
      </c>
      <c r="AF338" s="105" t="s">
        <v>308</v>
      </c>
      <c r="AG338" s="105" t="s">
        <v>308</v>
      </c>
    </row>
    <row r="339" spans="1:33" ht="30" customHeight="1" x14ac:dyDescent="0.25">
      <c r="A339" s="90">
        <v>336</v>
      </c>
      <c r="B339" s="104"/>
      <c r="C339" s="92">
        <v>44009</v>
      </c>
      <c r="D339" s="104" t="s">
        <v>428</v>
      </c>
      <c r="E339" s="104" t="s">
        <v>429</v>
      </c>
      <c r="F339" s="105" t="s">
        <v>1211</v>
      </c>
      <c r="G339" s="104" t="s">
        <v>355</v>
      </c>
      <c r="H339" s="104">
        <v>59</v>
      </c>
      <c r="I339" s="104" t="s">
        <v>1209</v>
      </c>
      <c r="J339" s="104"/>
      <c r="K339" s="104"/>
      <c r="L339" s="104"/>
      <c r="M339" s="104"/>
      <c r="N339" s="105" t="s">
        <v>1210</v>
      </c>
      <c r="O339" s="105" t="s">
        <v>308</v>
      </c>
      <c r="P339" s="105" t="s">
        <v>308</v>
      </c>
      <c r="Q339" s="104"/>
      <c r="R339" s="104" t="s">
        <v>905</v>
      </c>
      <c r="S339" s="104"/>
      <c r="T339" s="104" t="s">
        <v>885</v>
      </c>
      <c r="U339" s="104"/>
      <c r="V339" s="104"/>
      <c r="W339" s="104"/>
      <c r="X339" s="104"/>
      <c r="Y339" s="104"/>
      <c r="Z339" s="104" t="s">
        <v>767</v>
      </c>
      <c r="AB339" s="104"/>
      <c r="AC339" s="104"/>
      <c r="AD339" s="104" t="s">
        <v>890</v>
      </c>
      <c r="AE339" s="98" t="str">
        <f t="shared" si="12"/>
        <v xml:space="preserve">*Sri Budi Susilowati*( GAJAH, GAJAH/ Rumah ), </v>
      </c>
      <c r="AF339" s="105" t="s">
        <v>308</v>
      </c>
      <c r="AG339" s="105" t="s">
        <v>308</v>
      </c>
    </row>
    <row r="340" spans="1:33" ht="30" customHeight="1" x14ac:dyDescent="0.25">
      <c r="A340" s="90">
        <v>337</v>
      </c>
      <c r="B340" s="104"/>
      <c r="C340" s="92">
        <v>44009</v>
      </c>
      <c r="D340" s="104" t="s">
        <v>428</v>
      </c>
      <c r="E340" s="104" t="s">
        <v>429</v>
      </c>
      <c r="F340" s="105" t="s">
        <v>1212</v>
      </c>
      <c r="G340" s="104" t="s">
        <v>355</v>
      </c>
      <c r="H340" s="104">
        <v>20</v>
      </c>
      <c r="I340" s="104" t="s">
        <v>1213</v>
      </c>
      <c r="J340" s="104"/>
      <c r="K340" s="104"/>
      <c r="L340" s="104"/>
      <c r="M340" s="104"/>
      <c r="N340" s="105" t="s">
        <v>1214</v>
      </c>
      <c r="O340" s="105" t="s">
        <v>688</v>
      </c>
      <c r="P340" s="105" t="s">
        <v>308</v>
      </c>
      <c r="Q340" s="104"/>
      <c r="R340" s="104" t="s">
        <v>905</v>
      </c>
      <c r="S340" s="104"/>
      <c r="T340" s="104" t="s">
        <v>885</v>
      </c>
      <c r="U340" s="104"/>
      <c r="V340" s="104"/>
      <c r="W340" s="104"/>
      <c r="X340" s="104"/>
      <c r="Y340" s="104"/>
      <c r="Z340" s="104" t="s">
        <v>767</v>
      </c>
      <c r="AB340" s="104"/>
      <c r="AC340" s="104"/>
      <c r="AD340" s="104" t="s">
        <v>890</v>
      </c>
      <c r="AE340" s="98" t="str">
        <f t="shared" si="12"/>
        <v xml:space="preserve">*Siti Chumaedah*( MEDINI, GAJAH/ Rumah ), </v>
      </c>
      <c r="AF340" s="105" t="s">
        <v>688</v>
      </c>
      <c r="AG340" s="105" t="s">
        <v>308</v>
      </c>
    </row>
    <row r="341" spans="1:33" ht="31.5" x14ac:dyDescent="0.35">
      <c r="A341" s="90">
        <v>338</v>
      </c>
      <c r="B341" s="104"/>
      <c r="C341" s="92">
        <v>44009</v>
      </c>
      <c r="D341" s="104" t="s">
        <v>428</v>
      </c>
      <c r="E341" s="104" t="s">
        <v>429</v>
      </c>
      <c r="F341" s="105" t="s">
        <v>1215</v>
      </c>
      <c r="G341" s="104" t="s">
        <v>355</v>
      </c>
      <c r="H341" s="104">
        <v>38</v>
      </c>
      <c r="I341" s="104" t="s">
        <v>1216</v>
      </c>
      <c r="J341" s="104"/>
      <c r="K341" s="104"/>
      <c r="L341" s="104"/>
      <c r="M341" s="104"/>
      <c r="N341" s="105" t="s">
        <v>1217</v>
      </c>
      <c r="O341" s="105" t="s">
        <v>1218</v>
      </c>
      <c r="P341" s="105" t="s">
        <v>303</v>
      </c>
      <c r="Q341" s="104"/>
      <c r="R341" s="104" t="s">
        <v>905</v>
      </c>
      <c r="S341" s="104"/>
      <c r="T341" s="104" t="s">
        <v>885</v>
      </c>
      <c r="U341" s="104"/>
      <c r="V341" s="104"/>
      <c r="W341" s="104"/>
      <c r="X341" s="104"/>
      <c r="Y341" s="104"/>
      <c r="Z341" s="104" t="s">
        <v>767</v>
      </c>
      <c r="AB341" s="104"/>
      <c r="AC341" s="104"/>
      <c r="AD341" s="104" t="s">
        <v>890</v>
      </c>
      <c r="AE341" s="98" t="str">
        <f t="shared" si="12"/>
        <v xml:space="preserve">*Istianah*( BLERONG, GUNTUR/ Rumah ), </v>
      </c>
      <c r="AF341" s="105" t="s">
        <v>1218</v>
      </c>
      <c r="AG341" s="148" t="s">
        <v>303</v>
      </c>
    </row>
    <row r="342" spans="1:33" ht="31.5" x14ac:dyDescent="0.35">
      <c r="A342" s="90">
        <v>339</v>
      </c>
      <c r="B342" s="104"/>
      <c r="C342" s="92">
        <v>44009</v>
      </c>
      <c r="D342" s="104" t="s">
        <v>428</v>
      </c>
      <c r="E342" s="104" t="s">
        <v>429</v>
      </c>
      <c r="F342" s="105" t="s">
        <v>1219</v>
      </c>
      <c r="G342" s="104" t="s">
        <v>355</v>
      </c>
      <c r="H342" s="104">
        <v>39</v>
      </c>
      <c r="I342" s="104" t="s">
        <v>1220</v>
      </c>
      <c r="J342" s="104"/>
      <c r="K342" s="104"/>
      <c r="L342" s="104"/>
      <c r="M342" s="104"/>
      <c r="N342" s="105" t="s">
        <v>1221</v>
      </c>
      <c r="O342" s="105" t="s">
        <v>1222</v>
      </c>
      <c r="P342" s="105" t="s">
        <v>303</v>
      </c>
      <c r="Q342" s="104"/>
      <c r="R342" s="104" t="s">
        <v>905</v>
      </c>
      <c r="S342" s="104"/>
      <c r="T342" s="104" t="s">
        <v>885</v>
      </c>
      <c r="U342" s="104"/>
      <c r="V342" s="104"/>
      <c r="W342" s="104"/>
      <c r="X342" s="104"/>
      <c r="Y342" s="104"/>
      <c r="Z342" s="104" t="s">
        <v>767</v>
      </c>
      <c r="AB342" s="104"/>
      <c r="AC342" s="104"/>
      <c r="AD342" s="104" t="s">
        <v>890</v>
      </c>
      <c r="AE342" s="98" t="str">
        <f t="shared" si="12"/>
        <v xml:space="preserve">*Endang Sri Rahayu*( GAJI, GUNTUR/ Rumah ), </v>
      </c>
      <c r="AF342" s="105" t="s">
        <v>1222</v>
      </c>
      <c r="AG342" s="148" t="s">
        <v>303</v>
      </c>
    </row>
    <row r="343" spans="1:33" ht="31.5" x14ac:dyDescent="0.35">
      <c r="A343" s="90">
        <v>340</v>
      </c>
      <c r="B343" s="104"/>
      <c r="C343" s="92">
        <v>44009</v>
      </c>
      <c r="D343" s="104" t="s">
        <v>428</v>
      </c>
      <c r="E343" s="104" t="s">
        <v>429</v>
      </c>
      <c r="F343" s="105" t="s">
        <v>1223</v>
      </c>
      <c r="G343" s="104" t="s">
        <v>413</v>
      </c>
      <c r="H343" s="104">
        <v>45</v>
      </c>
      <c r="I343" s="104" t="s">
        <v>1220</v>
      </c>
      <c r="J343" s="104"/>
      <c r="K343" s="104"/>
      <c r="L343" s="104"/>
      <c r="M343" s="104"/>
      <c r="N343" s="105" t="s">
        <v>1221</v>
      </c>
      <c r="O343" s="105" t="s">
        <v>1222</v>
      </c>
      <c r="P343" s="105" t="s">
        <v>303</v>
      </c>
      <c r="Q343" s="104"/>
      <c r="R343" s="104" t="s">
        <v>905</v>
      </c>
      <c r="S343" s="104"/>
      <c r="T343" s="104" t="s">
        <v>885</v>
      </c>
      <c r="U343" s="104"/>
      <c r="V343" s="104"/>
      <c r="W343" s="104"/>
      <c r="X343" s="104"/>
      <c r="Y343" s="104"/>
      <c r="Z343" s="104" t="s">
        <v>767</v>
      </c>
      <c r="AB343" s="104"/>
      <c r="AC343" s="104"/>
      <c r="AD343" s="104" t="s">
        <v>890</v>
      </c>
      <c r="AE343" s="98" t="str">
        <f t="shared" si="12"/>
        <v xml:space="preserve">*Nur Yasin*( GAJI, GUNTUR/ Rumah ), </v>
      </c>
      <c r="AF343" s="105" t="s">
        <v>1222</v>
      </c>
      <c r="AG343" s="148" t="s">
        <v>303</v>
      </c>
    </row>
    <row r="344" spans="1:33" ht="31.5" x14ac:dyDescent="0.35">
      <c r="A344" s="90">
        <v>341</v>
      </c>
      <c r="B344" s="104"/>
      <c r="C344" s="92">
        <v>44009</v>
      </c>
      <c r="D344" s="104" t="s">
        <v>428</v>
      </c>
      <c r="E344" s="104" t="s">
        <v>429</v>
      </c>
      <c r="F344" s="105" t="s">
        <v>1224</v>
      </c>
      <c r="G344" s="104" t="s">
        <v>355</v>
      </c>
      <c r="H344" s="104">
        <v>55</v>
      </c>
      <c r="I344" s="104" t="s">
        <v>1225</v>
      </c>
      <c r="J344" s="104"/>
      <c r="K344" s="104"/>
      <c r="L344" s="104"/>
      <c r="M344" s="104"/>
      <c r="N344" s="105" t="s">
        <v>1226</v>
      </c>
      <c r="O344" s="105" t="s">
        <v>462</v>
      </c>
      <c r="P344" s="105" t="s">
        <v>301</v>
      </c>
      <c r="Q344" s="104"/>
      <c r="R344" s="104" t="s">
        <v>905</v>
      </c>
      <c r="S344" s="104"/>
      <c r="T344" s="104" t="s">
        <v>885</v>
      </c>
      <c r="U344" s="104"/>
      <c r="V344" s="104"/>
      <c r="W344" s="104"/>
      <c r="X344" s="104"/>
      <c r="Y344" s="104"/>
      <c r="Z344" s="104" t="s">
        <v>767</v>
      </c>
      <c r="AB344" s="104"/>
      <c r="AC344" s="104"/>
      <c r="AD344" s="104" t="s">
        <v>890</v>
      </c>
      <c r="AE344" s="98" t="str">
        <f t="shared" si="12"/>
        <v xml:space="preserve">*Zaenab*( REJOSARI, KARANGAWEN/ Rumah ), </v>
      </c>
      <c r="AF344" s="105" t="s">
        <v>462</v>
      </c>
      <c r="AG344" s="148" t="s">
        <v>301</v>
      </c>
    </row>
    <row r="345" spans="1:33" ht="31.5" x14ac:dyDescent="0.35">
      <c r="A345" s="90">
        <v>342</v>
      </c>
      <c r="B345" s="104"/>
      <c r="C345" s="92">
        <v>44009</v>
      </c>
      <c r="D345" s="104" t="s">
        <v>428</v>
      </c>
      <c r="E345" s="104" t="s">
        <v>429</v>
      </c>
      <c r="F345" s="105" t="s">
        <v>1227</v>
      </c>
      <c r="G345" s="104" t="s">
        <v>413</v>
      </c>
      <c r="H345" s="104">
        <v>49</v>
      </c>
      <c r="I345" s="104"/>
      <c r="J345" s="104"/>
      <c r="K345" s="104"/>
      <c r="L345" s="104"/>
      <c r="M345" s="104"/>
      <c r="N345" s="105" t="s">
        <v>1228</v>
      </c>
      <c r="O345" s="105" t="s">
        <v>816</v>
      </c>
      <c r="P345" s="105" t="s">
        <v>301</v>
      </c>
      <c r="Q345" s="104"/>
      <c r="R345" s="104" t="s">
        <v>905</v>
      </c>
      <c r="S345" s="104"/>
      <c r="T345" s="104" t="s">
        <v>885</v>
      </c>
      <c r="U345" s="104"/>
      <c r="V345" s="104"/>
      <c r="W345" s="104"/>
      <c r="X345" s="104"/>
      <c r="Y345" s="104"/>
      <c r="Z345" s="104" t="s">
        <v>767</v>
      </c>
      <c r="AB345" s="104"/>
      <c r="AC345" s="104"/>
      <c r="AD345" s="104" t="s">
        <v>890</v>
      </c>
      <c r="AE345" s="98" t="str">
        <f t="shared" si="12"/>
        <v xml:space="preserve">*Joko yoso*( SIDOREJO, KARANGAWEN/ Rumah ), </v>
      </c>
      <c r="AF345" s="105" t="s">
        <v>816</v>
      </c>
      <c r="AG345" s="148" t="s">
        <v>301</v>
      </c>
    </row>
    <row r="346" spans="1:33" ht="30" customHeight="1" x14ac:dyDescent="0.25">
      <c r="A346" s="90">
        <v>343</v>
      </c>
      <c r="B346" s="104"/>
      <c r="C346" s="92">
        <v>44009</v>
      </c>
      <c r="D346" s="104" t="s">
        <v>428</v>
      </c>
      <c r="E346" s="104" t="s">
        <v>429</v>
      </c>
      <c r="F346" s="105" t="s">
        <v>1229</v>
      </c>
      <c r="G346" s="104" t="s">
        <v>355</v>
      </c>
      <c r="H346" s="104">
        <v>45</v>
      </c>
      <c r="I346" s="104" t="s">
        <v>1230</v>
      </c>
      <c r="J346" s="104"/>
      <c r="K346" s="104"/>
      <c r="L346" s="104"/>
      <c r="M346" s="104"/>
      <c r="N346" s="105" t="s">
        <v>1231</v>
      </c>
      <c r="O346" s="105" t="s">
        <v>1232</v>
      </c>
      <c r="P346" s="105" t="s">
        <v>309</v>
      </c>
      <c r="Q346" s="104"/>
      <c r="R346" s="104" t="s">
        <v>905</v>
      </c>
      <c r="S346" s="104"/>
      <c r="T346" s="104" t="s">
        <v>885</v>
      </c>
      <c r="U346" s="104"/>
      <c r="V346" s="104"/>
      <c r="W346" s="104"/>
      <c r="X346" s="104"/>
      <c r="Y346" s="104"/>
      <c r="Z346" s="104" t="s">
        <v>767</v>
      </c>
      <c r="AB346" s="104"/>
      <c r="AC346" s="104"/>
      <c r="AD346" s="104" t="s">
        <v>890</v>
      </c>
      <c r="AE346" s="98" t="str">
        <f t="shared" si="12"/>
        <v xml:space="preserve">*Aliyah*( PECUK, MIJEN/ Rumah ), </v>
      </c>
      <c r="AF346" s="105" t="s">
        <v>1232</v>
      </c>
      <c r="AG346" s="105" t="s">
        <v>309</v>
      </c>
    </row>
    <row r="347" spans="1:33" ht="30" customHeight="1" x14ac:dyDescent="0.25">
      <c r="A347" s="90">
        <v>344</v>
      </c>
      <c r="B347" s="104"/>
      <c r="C347" s="92">
        <v>44009</v>
      </c>
      <c r="D347" s="104" t="s">
        <v>428</v>
      </c>
      <c r="E347" s="104" t="s">
        <v>429</v>
      </c>
      <c r="F347" s="105" t="s">
        <v>1233</v>
      </c>
      <c r="G347" s="104" t="s">
        <v>413</v>
      </c>
      <c r="H347" s="104">
        <v>45</v>
      </c>
      <c r="I347" s="104" t="s">
        <v>1230</v>
      </c>
      <c r="J347" s="104"/>
      <c r="K347" s="104"/>
      <c r="L347" s="104"/>
      <c r="M347" s="104"/>
      <c r="N347" s="105" t="s">
        <v>1234</v>
      </c>
      <c r="O347" s="105" t="s">
        <v>1232</v>
      </c>
      <c r="P347" s="105" t="s">
        <v>309</v>
      </c>
      <c r="Q347" s="104"/>
      <c r="R347" s="104" t="s">
        <v>905</v>
      </c>
      <c r="S347" s="104"/>
      <c r="T347" s="104" t="s">
        <v>885</v>
      </c>
      <c r="U347" s="104"/>
      <c r="V347" s="104"/>
      <c r="W347" s="104"/>
      <c r="X347" s="104"/>
      <c r="Y347" s="104"/>
      <c r="Z347" s="104" t="s">
        <v>767</v>
      </c>
      <c r="AB347" s="104"/>
      <c r="AC347" s="104"/>
      <c r="AD347" s="104" t="s">
        <v>890</v>
      </c>
      <c r="AE347" s="98" t="str">
        <f t="shared" si="12"/>
        <v xml:space="preserve">*Budi*( PECUK, MIJEN/ Rumah ), </v>
      </c>
      <c r="AF347" s="105" t="s">
        <v>1232</v>
      </c>
      <c r="AG347" s="105" t="s">
        <v>309</v>
      </c>
    </row>
    <row r="348" spans="1:33" ht="30" customHeight="1" x14ac:dyDescent="0.25">
      <c r="A348" s="90">
        <v>345</v>
      </c>
      <c r="B348" s="104"/>
      <c r="C348" s="92">
        <v>44009</v>
      </c>
      <c r="D348" s="104" t="s">
        <v>428</v>
      </c>
      <c r="E348" s="104" t="s">
        <v>429</v>
      </c>
      <c r="F348" s="105" t="s">
        <v>1235</v>
      </c>
      <c r="G348" s="104" t="s">
        <v>355</v>
      </c>
      <c r="H348" s="104">
        <v>39</v>
      </c>
      <c r="I348" s="104"/>
      <c r="J348" s="104"/>
      <c r="K348" s="104"/>
      <c r="L348" s="104"/>
      <c r="M348" s="104"/>
      <c r="N348" s="105" t="s">
        <v>1234</v>
      </c>
      <c r="O348" s="105" t="s">
        <v>1232</v>
      </c>
      <c r="P348" s="105" t="s">
        <v>309</v>
      </c>
      <c r="Q348" s="104"/>
      <c r="R348" s="104" t="s">
        <v>905</v>
      </c>
      <c r="S348" s="104"/>
      <c r="T348" s="104" t="s">
        <v>885</v>
      </c>
      <c r="U348" s="104"/>
      <c r="V348" s="104"/>
      <c r="W348" s="104"/>
      <c r="X348" s="104"/>
      <c r="Y348" s="104"/>
      <c r="Z348" s="104" t="s">
        <v>767</v>
      </c>
      <c r="AB348" s="104"/>
      <c r="AC348" s="104"/>
      <c r="AD348" s="104" t="s">
        <v>890</v>
      </c>
      <c r="AE348" s="98" t="str">
        <f t="shared" si="12"/>
        <v xml:space="preserve">*Eni Mustofiah*( PECUK, MIJEN/ Rumah ), </v>
      </c>
      <c r="AF348" s="105" t="s">
        <v>1232</v>
      </c>
      <c r="AG348" s="105" t="s">
        <v>309</v>
      </c>
    </row>
    <row r="349" spans="1:33" ht="31.5" customHeight="1" x14ac:dyDescent="0.25">
      <c r="A349" s="90">
        <v>346</v>
      </c>
      <c r="B349" s="104"/>
      <c r="C349" s="92">
        <v>44009</v>
      </c>
      <c r="D349" s="104" t="s">
        <v>428</v>
      </c>
      <c r="E349" s="104" t="s">
        <v>429</v>
      </c>
      <c r="F349" s="105" t="s">
        <v>1236</v>
      </c>
      <c r="G349" s="104" t="s">
        <v>413</v>
      </c>
      <c r="H349" s="104">
        <v>39</v>
      </c>
      <c r="I349" s="104"/>
      <c r="J349" s="104"/>
      <c r="K349" s="104"/>
      <c r="L349" s="104"/>
      <c r="M349" s="104"/>
      <c r="N349" s="105" t="s">
        <v>1234</v>
      </c>
      <c r="O349" s="105" t="s">
        <v>1232</v>
      </c>
      <c r="P349" s="105" t="s">
        <v>309</v>
      </c>
      <c r="Q349" s="104"/>
      <c r="R349" s="104" t="s">
        <v>905</v>
      </c>
      <c r="S349" s="104"/>
      <c r="T349" s="104" t="s">
        <v>885</v>
      </c>
      <c r="U349" s="104"/>
      <c r="V349" s="104"/>
      <c r="W349" s="104"/>
      <c r="X349" s="104"/>
      <c r="Y349" s="104"/>
      <c r="Z349" s="104" t="s">
        <v>767</v>
      </c>
      <c r="AB349" s="104"/>
      <c r="AC349" s="104"/>
      <c r="AD349" s="104" t="s">
        <v>890</v>
      </c>
      <c r="AE349" s="98" t="str">
        <f t="shared" si="12"/>
        <v xml:space="preserve">*Hendi Korompis*( PECUK, MIJEN/ Rumah ), </v>
      </c>
      <c r="AF349" s="105" t="s">
        <v>1232</v>
      </c>
      <c r="AG349" s="105" t="s">
        <v>309</v>
      </c>
    </row>
    <row r="350" spans="1:33" ht="31.5" x14ac:dyDescent="0.35">
      <c r="A350" s="90">
        <v>347</v>
      </c>
      <c r="B350" s="104"/>
      <c r="C350" s="92">
        <v>44009</v>
      </c>
      <c r="D350" s="104" t="s">
        <v>428</v>
      </c>
      <c r="E350" s="104" t="s">
        <v>429</v>
      </c>
      <c r="F350" s="105" t="s">
        <v>1237</v>
      </c>
      <c r="G350" s="104" t="s">
        <v>355</v>
      </c>
      <c r="H350" s="104">
        <v>60</v>
      </c>
      <c r="I350" s="104"/>
      <c r="J350" s="104"/>
      <c r="K350" s="104"/>
      <c r="L350" s="104"/>
      <c r="M350" s="104"/>
      <c r="N350" s="105" t="s">
        <v>1234</v>
      </c>
      <c r="O350" s="105" t="s">
        <v>1232</v>
      </c>
      <c r="P350" s="105" t="s">
        <v>309</v>
      </c>
      <c r="Q350" s="104"/>
      <c r="R350" s="104" t="s">
        <v>905</v>
      </c>
      <c r="S350" s="104"/>
      <c r="T350" s="104" t="s">
        <v>885</v>
      </c>
      <c r="U350" s="104"/>
      <c r="V350" s="104"/>
      <c r="W350" s="104"/>
      <c r="X350" s="104"/>
      <c r="Y350" s="104"/>
      <c r="Z350" s="104" t="s">
        <v>767</v>
      </c>
      <c r="AB350" s="104"/>
      <c r="AC350" s="104"/>
      <c r="AD350" s="104" t="s">
        <v>890</v>
      </c>
      <c r="AE350" s="98" t="str">
        <f t="shared" si="12"/>
        <v xml:space="preserve">*Sundari*( PECUK, MIJEN/ Rumah ), </v>
      </c>
      <c r="AF350" s="105" t="s">
        <v>1232</v>
      </c>
      <c r="AG350" s="81" t="s">
        <v>309</v>
      </c>
    </row>
    <row r="351" spans="1:33" ht="30" customHeight="1" x14ac:dyDescent="0.25">
      <c r="A351" s="90">
        <v>348</v>
      </c>
      <c r="B351" s="104"/>
      <c r="C351" s="92">
        <v>44009</v>
      </c>
      <c r="D351" s="104" t="s">
        <v>428</v>
      </c>
      <c r="E351" s="104" t="s">
        <v>429</v>
      </c>
      <c r="F351" s="105" t="s">
        <v>1238</v>
      </c>
      <c r="G351" s="104" t="s">
        <v>413</v>
      </c>
      <c r="H351" s="104">
        <v>53</v>
      </c>
      <c r="I351" s="104"/>
      <c r="J351" s="104"/>
      <c r="K351" s="104"/>
      <c r="L351" s="104"/>
      <c r="M351" s="104"/>
      <c r="N351" s="105" t="s">
        <v>1239</v>
      </c>
      <c r="O351" s="105" t="s">
        <v>825</v>
      </c>
      <c r="P351" s="105" t="s">
        <v>304</v>
      </c>
      <c r="Q351" s="104"/>
      <c r="R351" s="104" t="s">
        <v>905</v>
      </c>
      <c r="S351" s="104"/>
      <c r="T351" s="104" t="s">
        <v>885</v>
      </c>
      <c r="U351" s="104"/>
      <c r="V351" s="104"/>
      <c r="W351" s="104"/>
      <c r="X351" s="104"/>
      <c r="Y351" s="104"/>
      <c r="Z351" s="104" t="s">
        <v>767</v>
      </c>
      <c r="AB351" s="104"/>
      <c r="AC351" s="104"/>
      <c r="AD351" s="104" t="s">
        <v>890</v>
      </c>
      <c r="AE351" s="98" t="str">
        <f t="shared" si="12"/>
        <v xml:space="preserve">*Abdullah Taufiq*( PURWOSARI, SAYUNG/ Rumah ), </v>
      </c>
      <c r="AF351" s="105" t="s">
        <v>825</v>
      </c>
      <c r="AG351" s="115" t="s">
        <v>304</v>
      </c>
    </row>
    <row r="352" spans="1:33" ht="30" customHeight="1" x14ac:dyDescent="0.25">
      <c r="A352" s="90">
        <v>349</v>
      </c>
      <c r="B352" s="104"/>
      <c r="C352" s="92">
        <v>44009</v>
      </c>
      <c r="D352" s="104" t="s">
        <v>428</v>
      </c>
      <c r="E352" s="104" t="s">
        <v>429</v>
      </c>
      <c r="F352" s="105" t="s">
        <v>1240</v>
      </c>
      <c r="G352" s="104" t="s">
        <v>355</v>
      </c>
      <c r="H352" s="104">
        <v>18</v>
      </c>
      <c r="I352" s="104"/>
      <c r="J352" s="104"/>
      <c r="K352" s="104"/>
      <c r="L352" s="104"/>
      <c r="M352" s="104"/>
      <c r="N352" s="105" t="s">
        <v>1241</v>
      </c>
      <c r="O352" s="105" t="s">
        <v>787</v>
      </c>
      <c r="P352" s="105" t="s">
        <v>304</v>
      </c>
      <c r="Q352" s="104"/>
      <c r="R352" s="104" t="s">
        <v>905</v>
      </c>
      <c r="S352" s="104"/>
      <c r="T352" s="104" t="s">
        <v>885</v>
      </c>
      <c r="U352" s="104"/>
      <c r="V352" s="104"/>
      <c r="W352" s="104"/>
      <c r="X352" s="104"/>
      <c r="Y352" s="104"/>
      <c r="Z352" s="104" t="s">
        <v>767</v>
      </c>
      <c r="AB352" s="104"/>
      <c r="AC352" s="104"/>
      <c r="AD352" s="104" t="s">
        <v>890</v>
      </c>
      <c r="AE352" s="98" t="str">
        <f t="shared" si="12"/>
        <v xml:space="preserve">*Septiana Melati*( TUGU, SAYUNG/ Rumah ), </v>
      </c>
      <c r="AF352" s="105" t="s">
        <v>787</v>
      </c>
      <c r="AG352" s="115" t="s">
        <v>304</v>
      </c>
    </row>
    <row r="353" spans="1:33" ht="30" customHeight="1" x14ac:dyDescent="0.25">
      <c r="A353" s="90">
        <v>350</v>
      </c>
      <c r="B353" s="104"/>
      <c r="C353" s="92">
        <v>44009</v>
      </c>
      <c r="D353" s="104" t="s">
        <v>428</v>
      </c>
      <c r="E353" s="104" t="s">
        <v>429</v>
      </c>
      <c r="F353" s="105" t="s">
        <v>1242</v>
      </c>
      <c r="G353" s="104" t="s">
        <v>413</v>
      </c>
      <c r="H353" s="104">
        <v>20</v>
      </c>
      <c r="I353" s="104" t="s">
        <v>1243</v>
      </c>
      <c r="J353" s="104"/>
      <c r="K353" s="104"/>
      <c r="L353" s="104"/>
      <c r="M353" s="104"/>
      <c r="N353" s="105" t="s">
        <v>1244</v>
      </c>
      <c r="O353" s="105" t="s">
        <v>1245</v>
      </c>
      <c r="P353" s="105" t="s">
        <v>312</v>
      </c>
      <c r="Q353" s="104"/>
      <c r="R353" s="104" t="s">
        <v>905</v>
      </c>
      <c r="S353" s="104"/>
      <c r="T353" s="104" t="s">
        <v>885</v>
      </c>
      <c r="U353" s="104"/>
      <c r="V353" s="104"/>
      <c r="W353" s="104"/>
      <c r="X353" s="104"/>
      <c r="Y353" s="104"/>
      <c r="Z353" s="104" t="s">
        <v>767</v>
      </c>
      <c r="AB353" s="104"/>
      <c r="AC353" s="104"/>
      <c r="AD353" s="104" t="s">
        <v>890</v>
      </c>
      <c r="AE353" s="98" t="str">
        <f t="shared" si="12"/>
        <v xml:space="preserve">*Noorti Wahono*( BUNGO, WEDUNG/ Rumah ), </v>
      </c>
      <c r="AF353" s="105" t="s">
        <v>1245</v>
      </c>
      <c r="AG353" s="115" t="s">
        <v>312</v>
      </c>
    </row>
    <row r="354" spans="1:33" ht="30" customHeight="1" x14ac:dyDescent="0.25">
      <c r="A354" s="90">
        <v>351</v>
      </c>
      <c r="B354" s="104"/>
      <c r="C354" s="92">
        <v>44009</v>
      </c>
      <c r="D354" s="104" t="s">
        <v>428</v>
      </c>
      <c r="E354" s="104" t="s">
        <v>429</v>
      </c>
      <c r="F354" s="105" t="s">
        <v>1246</v>
      </c>
      <c r="G354" s="104" t="s">
        <v>413</v>
      </c>
      <c r="H354" s="104">
        <v>32</v>
      </c>
      <c r="I354" s="104" t="s">
        <v>1243</v>
      </c>
      <c r="J354" s="104"/>
      <c r="K354" s="104"/>
      <c r="L354" s="104"/>
      <c r="M354" s="104"/>
      <c r="N354" s="105" t="s">
        <v>1244</v>
      </c>
      <c r="O354" s="105" t="s">
        <v>1245</v>
      </c>
      <c r="P354" s="105" t="s">
        <v>312</v>
      </c>
      <c r="Q354" s="104"/>
      <c r="R354" s="104" t="s">
        <v>905</v>
      </c>
      <c r="S354" s="104"/>
      <c r="T354" s="104" t="s">
        <v>885</v>
      </c>
      <c r="U354" s="104"/>
      <c r="V354" s="104"/>
      <c r="W354" s="104"/>
      <c r="X354" s="104"/>
      <c r="Y354" s="104"/>
      <c r="Z354" s="104" t="s">
        <v>767</v>
      </c>
      <c r="AB354" s="104"/>
      <c r="AC354" s="104"/>
      <c r="AD354" s="104" t="s">
        <v>890</v>
      </c>
      <c r="AE354" s="98" t="str">
        <f t="shared" si="12"/>
        <v xml:space="preserve">*Siswanto*( BUNGO, WEDUNG/ Rumah ), </v>
      </c>
      <c r="AF354" s="105" t="s">
        <v>1245</v>
      </c>
      <c r="AG354" s="115" t="s">
        <v>312</v>
      </c>
    </row>
    <row r="355" spans="1:33" ht="30" customHeight="1" x14ac:dyDescent="0.25">
      <c r="A355" s="90">
        <v>352</v>
      </c>
      <c r="B355" s="104"/>
      <c r="C355" s="92">
        <v>44009</v>
      </c>
      <c r="D355" s="104" t="s">
        <v>428</v>
      </c>
      <c r="E355" s="104" t="s">
        <v>429</v>
      </c>
      <c r="F355" s="105" t="s">
        <v>1247</v>
      </c>
      <c r="G355" s="104" t="s">
        <v>413</v>
      </c>
      <c r="H355" s="104">
        <v>45</v>
      </c>
      <c r="I355" s="104" t="s">
        <v>1248</v>
      </c>
      <c r="J355" s="104"/>
      <c r="K355" s="104"/>
      <c r="L355" s="104"/>
      <c r="M355" s="104"/>
      <c r="N355" s="105" t="s">
        <v>1249</v>
      </c>
      <c r="O355" s="105" t="s">
        <v>1245</v>
      </c>
      <c r="P355" s="105" t="s">
        <v>312</v>
      </c>
      <c r="Q355" s="104"/>
      <c r="R355" s="104" t="s">
        <v>905</v>
      </c>
      <c r="S355" s="104"/>
      <c r="T355" s="104" t="s">
        <v>885</v>
      </c>
      <c r="U355" s="104"/>
      <c r="V355" s="104"/>
      <c r="W355" s="104"/>
      <c r="X355" s="104"/>
      <c r="Y355" s="104"/>
      <c r="Z355" s="104" t="s">
        <v>767</v>
      </c>
      <c r="AB355" s="104"/>
      <c r="AC355" s="104"/>
      <c r="AD355" s="104" t="s">
        <v>890</v>
      </c>
      <c r="AE355" s="98" t="str">
        <f t="shared" si="12"/>
        <v xml:space="preserve">*Makruf*( BUNGO, WEDUNG/ Rumah ), </v>
      </c>
      <c r="AF355" s="105" t="s">
        <v>1245</v>
      </c>
      <c r="AG355" s="115" t="s">
        <v>312</v>
      </c>
    </row>
    <row r="356" spans="1:33" ht="31.5" customHeight="1" x14ac:dyDescent="0.25">
      <c r="A356" s="90">
        <v>353</v>
      </c>
      <c r="B356" s="104"/>
      <c r="C356" s="92">
        <v>44009</v>
      </c>
      <c r="D356" s="104" t="s">
        <v>428</v>
      </c>
      <c r="E356" s="104" t="s">
        <v>429</v>
      </c>
      <c r="F356" s="105" t="s">
        <v>1250</v>
      </c>
      <c r="G356" s="104" t="s">
        <v>355</v>
      </c>
      <c r="H356" s="104">
        <v>33</v>
      </c>
      <c r="I356" s="104"/>
      <c r="J356" s="104"/>
      <c r="K356" s="104"/>
      <c r="L356" s="104"/>
      <c r="M356" s="104"/>
      <c r="N356" s="105" t="s">
        <v>1251</v>
      </c>
      <c r="O356" s="105" t="s">
        <v>1252</v>
      </c>
      <c r="P356" s="105" t="s">
        <v>312</v>
      </c>
      <c r="Q356" s="104"/>
      <c r="R356" s="104" t="s">
        <v>905</v>
      </c>
      <c r="S356" s="104"/>
      <c r="T356" s="104" t="s">
        <v>885</v>
      </c>
      <c r="U356" s="104"/>
      <c r="V356" s="104"/>
      <c r="W356" s="104"/>
      <c r="X356" s="104"/>
      <c r="Y356" s="104"/>
      <c r="Z356" s="104" t="s">
        <v>767</v>
      </c>
      <c r="AB356" s="104"/>
      <c r="AC356" s="104"/>
      <c r="AD356" s="104" t="s">
        <v>890</v>
      </c>
      <c r="AE356" s="98" t="str">
        <f t="shared" si="12"/>
        <v xml:space="preserve">*Siti sholehah*( JUNGPASIR, WEDUNG/ Rumah ), </v>
      </c>
      <c r="AF356" s="105" t="s">
        <v>1252</v>
      </c>
      <c r="AG356" s="115" t="s">
        <v>312</v>
      </c>
    </row>
    <row r="357" spans="1:33" ht="30" customHeight="1" x14ac:dyDescent="0.25">
      <c r="A357" s="90">
        <v>354</v>
      </c>
      <c r="B357" s="106"/>
      <c r="C357" s="92">
        <v>44009</v>
      </c>
      <c r="D357" s="121" t="s">
        <v>428</v>
      </c>
      <c r="E357" s="121" t="s">
        <v>429</v>
      </c>
      <c r="F357" s="105" t="s">
        <v>1314</v>
      </c>
      <c r="G357" s="104" t="s">
        <v>413</v>
      </c>
      <c r="H357" s="104">
        <v>29</v>
      </c>
      <c r="I357" s="104" t="s">
        <v>1315</v>
      </c>
      <c r="J357" s="104"/>
      <c r="K357" s="104"/>
      <c r="L357" s="104"/>
      <c r="M357" s="104"/>
      <c r="N357" s="105" t="s">
        <v>1316</v>
      </c>
      <c r="O357" s="105" t="s">
        <v>1266</v>
      </c>
      <c r="P357" s="105" t="s">
        <v>302</v>
      </c>
      <c r="Q357" s="104"/>
      <c r="R357" s="104" t="s">
        <v>555</v>
      </c>
      <c r="S357" s="104" t="s">
        <v>1317</v>
      </c>
      <c r="T357" s="104" t="s">
        <v>885</v>
      </c>
      <c r="U357" s="104"/>
      <c r="V357" s="104"/>
      <c r="W357" s="104"/>
      <c r="X357" s="104"/>
      <c r="Y357" s="104"/>
      <c r="Z357" s="104" t="s">
        <v>767</v>
      </c>
      <c r="AA357" s="104">
        <v>0</v>
      </c>
      <c r="AB357" s="104" t="s">
        <v>402</v>
      </c>
      <c r="AC357" s="104"/>
      <c r="AD357" s="104" t="s">
        <v>1271</v>
      </c>
      <c r="AE357" s="98" t="str">
        <f t="shared" si="12"/>
        <v xml:space="preserve">*SYAMSUL MAARIF*( BETOKAN, DEMAK/ Rumah ), </v>
      </c>
      <c r="AF357" s="105" t="s">
        <v>1266</v>
      </c>
      <c r="AG357" s="105" t="s">
        <v>302</v>
      </c>
    </row>
    <row r="358" spans="1:33" s="153" customFormat="1" ht="28.5" customHeight="1" x14ac:dyDescent="0.25">
      <c r="A358" s="90">
        <v>355</v>
      </c>
      <c r="B358" s="125"/>
      <c r="C358" s="126">
        <v>44010</v>
      </c>
      <c r="D358" s="127" t="s">
        <v>428</v>
      </c>
      <c r="E358" s="127" t="s">
        <v>429</v>
      </c>
      <c r="F358" s="143" t="s">
        <v>1253</v>
      </c>
      <c r="G358" s="129"/>
      <c r="H358" s="129">
        <v>58</v>
      </c>
      <c r="I358" s="129" t="s">
        <v>1254</v>
      </c>
      <c r="J358" s="129"/>
      <c r="K358" s="129"/>
      <c r="L358" s="129"/>
      <c r="M358" s="129"/>
      <c r="N358" s="143" t="s">
        <v>1255</v>
      </c>
      <c r="O358" s="143" t="s">
        <v>514</v>
      </c>
      <c r="P358" s="143" t="s">
        <v>0</v>
      </c>
      <c r="Q358" s="129"/>
      <c r="R358" s="129" t="s">
        <v>905</v>
      </c>
      <c r="S358" s="129"/>
      <c r="T358" s="129"/>
      <c r="U358" s="129"/>
      <c r="V358" s="129"/>
      <c r="W358" s="129"/>
      <c r="X358" s="129"/>
      <c r="Y358" s="129"/>
      <c r="Z358" s="129" t="s">
        <v>767</v>
      </c>
      <c r="AA358" s="129"/>
      <c r="AB358" s="129"/>
      <c r="AC358" s="129"/>
      <c r="AD358" s="129" t="s">
        <v>890</v>
      </c>
      <c r="AE358" s="98" t="str">
        <f t="shared" ref="AE358:AE378" si="13">"*"&amp;F358&amp;"*"&amp;"( "&amp;O358&amp;", "&amp;P358&amp;" )"&amp;", "</f>
        <v xml:space="preserve">*sriyatun*( KARANGSARI, KARANGTENGAH ), </v>
      </c>
      <c r="AF358" s="143" t="s">
        <v>514</v>
      </c>
      <c r="AG358" s="143" t="s">
        <v>0</v>
      </c>
    </row>
    <row r="359" spans="1:33" ht="29.25" customHeight="1" x14ac:dyDescent="0.25">
      <c r="A359" s="90">
        <v>356</v>
      </c>
      <c r="B359" s="125"/>
      <c r="C359" s="126">
        <v>44010</v>
      </c>
      <c r="D359" s="127" t="s">
        <v>428</v>
      </c>
      <c r="E359" s="127" t="s">
        <v>429</v>
      </c>
      <c r="F359" s="143" t="s">
        <v>1256</v>
      </c>
      <c r="G359" s="129" t="s">
        <v>355</v>
      </c>
      <c r="H359" s="129">
        <v>59</v>
      </c>
      <c r="I359" s="129" t="s">
        <v>1257</v>
      </c>
      <c r="J359" s="129"/>
      <c r="K359" s="129"/>
      <c r="L359" s="129"/>
      <c r="M359" s="129"/>
      <c r="N359" s="143" t="s">
        <v>1258</v>
      </c>
      <c r="O359" s="143" t="s">
        <v>825</v>
      </c>
      <c r="P359" s="143" t="s">
        <v>304</v>
      </c>
      <c r="Q359" s="129"/>
      <c r="R359" s="129" t="s">
        <v>905</v>
      </c>
      <c r="S359" s="129"/>
      <c r="T359" s="129"/>
      <c r="U359" s="129"/>
      <c r="V359" s="129"/>
      <c r="W359" s="129"/>
      <c r="X359" s="129"/>
      <c r="Y359" s="144">
        <v>43997</v>
      </c>
      <c r="Z359" s="129" t="s">
        <v>767</v>
      </c>
      <c r="AA359" s="129"/>
      <c r="AB359" s="129"/>
      <c r="AC359" s="129"/>
      <c r="AD359" s="129" t="s">
        <v>890</v>
      </c>
      <c r="AE359" s="98" t="str">
        <f t="shared" si="13"/>
        <v xml:space="preserve">*Sofiah*( PURWOSARI, SAYUNG ), </v>
      </c>
      <c r="AF359" s="143" t="s">
        <v>825</v>
      </c>
      <c r="AG359" s="143" t="s">
        <v>304</v>
      </c>
    </row>
    <row r="360" spans="1:33" ht="30" customHeight="1" x14ac:dyDescent="0.25">
      <c r="A360" s="90">
        <v>357</v>
      </c>
      <c r="B360" s="129"/>
      <c r="C360" s="130">
        <v>44010</v>
      </c>
      <c r="D360" s="131" t="s">
        <v>353</v>
      </c>
      <c r="E360" s="132" t="s">
        <v>105</v>
      </c>
      <c r="F360" s="128" t="s">
        <v>1259</v>
      </c>
      <c r="G360" s="125" t="s">
        <v>413</v>
      </c>
      <c r="H360" s="125">
        <v>72</v>
      </c>
      <c r="I360" s="125" t="s">
        <v>1260</v>
      </c>
      <c r="J360" s="125"/>
      <c r="K360" s="125"/>
      <c r="L360" s="125"/>
      <c r="M360" s="125"/>
      <c r="N360" s="128" t="s">
        <v>1261</v>
      </c>
      <c r="O360" s="128" t="s">
        <v>1262</v>
      </c>
      <c r="P360" s="128" t="s">
        <v>312</v>
      </c>
      <c r="Q360" s="125"/>
      <c r="R360" s="125" t="s">
        <v>905</v>
      </c>
      <c r="S360" s="125"/>
      <c r="T360" s="125"/>
      <c r="U360" s="125"/>
      <c r="V360" s="125"/>
      <c r="W360" s="125"/>
      <c r="X360" s="125"/>
      <c r="Y360" s="145">
        <v>44000</v>
      </c>
      <c r="Z360" s="125" t="s">
        <v>767</v>
      </c>
      <c r="AA360" s="125"/>
      <c r="AB360" s="125"/>
      <c r="AC360" s="125"/>
      <c r="AD360" s="125" t="s">
        <v>890</v>
      </c>
      <c r="AE360" s="98" t="str">
        <f t="shared" si="13"/>
        <v xml:space="preserve">*Abdul Aziz*( KENDALASEM, WEDUNG ), </v>
      </c>
      <c r="AF360" s="128" t="s">
        <v>1262</v>
      </c>
      <c r="AG360" s="128" t="s">
        <v>312</v>
      </c>
    </row>
    <row r="361" spans="1:33" ht="30" customHeight="1" x14ac:dyDescent="0.25">
      <c r="A361" s="90">
        <v>358</v>
      </c>
      <c r="B361" s="125"/>
      <c r="C361" s="126">
        <v>44010</v>
      </c>
      <c r="D361" s="127" t="s">
        <v>428</v>
      </c>
      <c r="E361" s="127" t="s">
        <v>429</v>
      </c>
      <c r="F361" s="128" t="s">
        <v>829</v>
      </c>
      <c r="G361" s="125" t="s">
        <v>355</v>
      </c>
      <c r="H361" s="125">
        <v>64</v>
      </c>
      <c r="I361" s="125" t="s">
        <v>830</v>
      </c>
      <c r="J361" s="125"/>
      <c r="K361" s="125"/>
      <c r="L361" s="125"/>
      <c r="M361" s="125"/>
      <c r="N361" s="128" t="s">
        <v>831</v>
      </c>
      <c r="O361" s="128" t="s">
        <v>385</v>
      </c>
      <c r="P361" s="128" t="s">
        <v>385</v>
      </c>
      <c r="Q361" s="125"/>
      <c r="R361" s="125" t="s">
        <v>832</v>
      </c>
      <c r="S361" s="125" t="s">
        <v>788</v>
      </c>
      <c r="T361" s="125"/>
      <c r="U361" s="125"/>
      <c r="V361" s="125"/>
      <c r="W361" s="125"/>
      <c r="X361" s="125"/>
      <c r="Y361" s="125"/>
      <c r="Z361" s="125" t="s">
        <v>363</v>
      </c>
      <c r="AA361" s="125" t="s">
        <v>833</v>
      </c>
      <c r="AB361" s="125" t="s">
        <v>402</v>
      </c>
      <c r="AC361" s="125"/>
      <c r="AD361" s="125" t="s">
        <v>521</v>
      </c>
      <c r="AE361" s="98" t="str">
        <f t="shared" si="13"/>
        <v xml:space="preserve">*SUWARTI*( MRANGGEN, MRANGGEN ), </v>
      </c>
      <c r="AF361" s="128" t="s">
        <v>385</v>
      </c>
      <c r="AG361" s="128" t="s">
        <v>385</v>
      </c>
    </row>
    <row r="362" spans="1:33" ht="36" customHeight="1" x14ac:dyDescent="0.25">
      <c r="A362" s="90">
        <v>359</v>
      </c>
      <c r="B362" s="125"/>
      <c r="C362" s="126">
        <v>44010</v>
      </c>
      <c r="D362" s="127" t="s">
        <v>428</v>
      </c>
      <c r="E362" s="127" t="s">
        <v>429</v>
      </c>
      <c r="F362" s="128" t="s">
        <v>834</v>
      </c>
      <c r="G362" s="125" t="s">
        <v>413</v>
      </c>
      <c r="H362" s="125">
        <v>36</v>
      </c>
      <c r="I362" s="125" t="s">
        <v>835</v>
      </c>
      <c r="J362" s="125"/>
      <c r="K362" s="125"/>
      <c r="L362" s="125"/>
      <c r="M362" s="125"/>
      <c r="N362" s="128" t="s">
        <v>836</v>
      </c>
      <c r="O362" s="128" t="s">
        <v>304</v>
      </c>
      <c r="P362" s="128" t="s">
        <v>304</v>
      </c>
      <c r="Q362" s="125"/>
      <c r="R362" s="125" t="s">
        <v>832</v>
      </c>
      <c r="S362" s="125" t="s">
        <v>837</v>
      </c>
      <c r="T362" s="125"/>
      <c r="U362" s="125"/>
      <c r="V362" s="125"/>
      <c r="W362" s="125"/>
      <c r="X362" s="125"/>
      <c r="Y362" s="125"/>
      <c r="Z362" s="125" t="s">
        <v>363</v>
      </c>
      <c r="AA362" s="125" t="s">
        <v>838</v>
      </c>
      <c r="AB362" s="125" t="s">
        <v>402</v>
      </c>
      <c r="AC362" s="125"/>
      <c r="AD362" s="125" t="s">
        <v>521</v>
      </c>
      <c r="AE362" s="98" t="str">
        <f t="shared" si="13"/>
        <v xml:space="preserve">*SETYO GUNAWAN*( SAYUNG, SAYUNG ), </v>
      </c>
      <c r="AF362" s="128" t="s">
        <v>304</v>
      </c>
      <c r="AG362" s="128" t="s">
        <v>304</v>
      </c>
    </row>
    <row r="363" spans="1:33" ht="36" customHeight="1" x14ac:dyDescent="0.25">
      <c r="A363" s="90">
        <v>360</v>
      </c>
      <c r="B363" s="125"/>
      <c r="C363" s="126">
        <v>44010</v>
      </c>
      <c r="D363" s="150" t="s">
        <v>353</v>
      </c>
      <c r="E363" s="151" t="s">
        <v>105</v>
      </c>
      <c r="F363" s="128" t="s">
        <v>1574</v>
      </c>
      <c r="G363" s="125" t="s">
        <v>355</v>
      </c>
      <c r="H363" s="125">
        <v>54</v>
      </c>
      <c r="I363" s="125" t="s">
        <v>1575</v>
      </c>
      <c r="J363" s="125"/>
      <c r="K363" s="125"/>
      <c r="L363" s="125"/>
      <c r="M363" s="125"/>
      <c r="N363" s="128" t="s">
        <v>1576</v>
      </c>
      <c r="O363" s="128" t="s">
        <v>304</v>
      </c>
      <c r="P363" s="128" t="s">
        <v>304</v>
      </c>
      <c r="Q363" s="125"/>
      <c r="R363" s="125" t="s">
        <v>1577</v>
      </c>
      <c r="S363" s="125" t="s">
        <v>478</v>
      </c>
      <c r="T363" s="125"/>
      <c r="U363" s="125"/>
      <c r="V363" s="125"/>
      <c r="W363" s="125"/>
      <c r="X363" s="125"/>
      <c r="Y363" s="125"/>
      <c r="Z363" s="125" t="s">
        <v>783</v>
      </c>
      <c r="AA363" s="125">
        <v>0</v>
      </c>
      <c r="AB363" s="125" t="s">
        <v>402</v>
      </c>
      <c r="AC363" s="125"/>
      <c r="AD363" s="125" t="s">
        <v>1481</v>
      </c>
      <c r="AE363" s="98" t="str">
        <f t="shared" si="13"/>
        <v xml:space="preserve">*SAMPROH*( SAYUNG, SAYUNG ), </v>
      </c>
      <c r="AF363" s="128" t="s">
        <v>304</v>
      </c>
      <c r="AG363" s="128" t="s">
        <v>304</v>
      </c>
    </row>
    <row r="364" spans="1:33" ht="30" customHeight="1" x14ac:dyDescent="0.25">
      <c r="A364" s="90">
        <v>361</v>
      </c>
      <c r="B364" s="125"/>
      <c r="C364" s="126">
        <v>44010</v>
      </c>
      <c r="D364" s="127" t="s">
        <v>428</v>
      </c>
      <c r="E364" s="127" t="s">
        <v>429</v>
      </c>
      <c r="F364" s="128" t="s">
        <v>839</v>
      </c>
      <c r="G364" s="125" t="s">
        <v>355</v>
      </c>
      <c r="H364" s="125">
        <v>36</v>
      </c>
      <c r="I364" s="125" t="s">
        <v>840</v>
      </c>
      <c r="J364" s="125"/>
      <c r="K364" s="125"/>
      <c r="L364" s="125"/>
      <c r="M364" s="125"/>
      <c r="N364" s="128" t="s">
        <v>841</v>
      </c>
      <c r="O364" s="128" t="s">
        <v>308</v>
      </c>
      <c r="P364" s="128" t="s">
        <v>308</v>
      </c>
      <c r="Q364" s="125"/>
      <c r="R364" s="125" t="s">
        <v>582</v>
      </c>
      <c r="S364" s="125" t="s">
        <v>788</v>
      </c>
      <c r="T364" s="125"/>
      <c r="U364" s="125"/>
      <c r="V364" s="125"/>
      <c r="W364" s="125"/>
      <c r="X364" s="125"/>
      <c r="Y364" s="125"/>
      <c r="Z364" s="125" t="s">
        <v>363</v>
      </c>
      <c r="AA364" s="125" t="s">
        <v>842</v>
      </c>
      <c r="AB364" s="125" t="s">
        <v>843</v>
      </c>
      <c r="AC364" s="125"/>
      <c r="AD364" s="125" t="s">
        <v>521</v>
      </c>
      <c r="AE364" s="98" t="str">
        <f t="shared" si="13"/>
        <v xml:space="preserve">*TRI ROHMAWATI*( GAJAH, GAJAH ), </v>
      </c>
      <c r="AF364" s="128" t="s">
        <v>308</v>
      </c>
      <c r="AG364" s="128" t="s">
        <v>308</v>
      </c>
    </row>
    <row r="365" spans="1:33" ht="30" customHeight="1" x14ac:dyDescent="0.25">
      <c r="A365" s="90">
        <v>362</v>
      </c>
      <c r="B365" s="125"/>
      <c r="C365" s="126">
        <v>44010</v>
      </c>
      <c r="D365" s="127" t="s">
        <v>428</v>
      </c>
      <c r="E365" s="127" t="s">
        <v>429</v>
      </c>
      <c r="F365" s="128" t="s">
        <v>1318</v>
      </c>
      <c r="G365" s="125" t="s">
        <v>355</v>
      </c>
      <c r="H365" s="125">
        <v>60</v>
      </c>
      <c r="I365" s="125" t="s">
        <v>1319</v>
      </c>
      <c r="J365" s="125"/>
      <c r="K365" s="125"/>
      <c r="L365" s="125"/>
      <c r="M365" s="125"/>
      <c r="N365" s="128" t="s">
        <v>1320</v>
      </c>
      <c r="O365" s="128" t="s">
        <v>308</v>
      </c>
      <c r="P365" s="128" t="s">
        <v>308</v>
      </c>
      <c r="Q365" s="125"/>
      <c r="R365" s="125" t="s">
        <v>582</v>
      </c>
      <c r="S365" s="125" t="s">
        <v>745</v>
      </c>
      <c r="T365" s="104" t="s">
        <v>885</v>
      </c>
      <c r="U365" s="125"/>
      <c r="V365" s="125"/>
      <c r="W365" s="125"/>
      <c r="X365" s="125"/>
      <c r="Y365" s="125"/>
      <c r="Z365" s="125" t="s">
        <v>576</v>
      </c>
      <c r="AA365" s="125" t="s">
        <v>589</v>
      </c>
      <c r="AB365" s="125" t="s">
        <v>719</v>
      </c>
      <c r="AC365" s="125"/>
      <c r="AD365" s="125" t="s">
        <v>1271</v>
      </c>
      <c r="AE365" s="98" t="str">
        <f t="shared" si="13"/>
        <v xml:space="preserve">*NGATONAH*( GAJAH, GAJAH ), </v>
      </c>
      <c r="AF365" s="128" t="s">
        <v>308</v>
      </c>
      <c r="AG365" s="128" t="s">
        <v>308</v>
      </c>
    </row>
    <row r="366" spans="1:33" ht="45" customHeight="1" x14ac:dyDescent="0.25">
      <c r="A366" s="90">
        <v>363</v>
      </c>
      <c r="B366" s="125"/>
      <c r="C366" s="126">
        <v>44010</v>
      </c>
      <c r="D366" s="127" t="s">
        <v>428</v>
      </c>
      <c r="E366" s="127" t="s">
        <v>429</v>
      </c>
      <c r="F366" s="128" t="s">
        <v>844</v>
      </c>
      <c r="G366" s="125" t="s">
        <v>355</v>
      </c>
      <c r="H366" s="125">
        <v>48</v>
      </c>
      <c r="I366" s="125" t="s">
        <v>845</v>
      </c>
      <c r="J366" s="125"/>
      <c r="K366" s="125"/>
      <c r="L366" s="125"/>
      <c r="M366" s="125"/>
      <c r="N366" s="128" t="s">
        <v>806</v>
      </c>
      <c r="O366" s="128" t="s">
        <v>310</v>
      </c>
      <c r="P366" s="128" t="s">
        <v>310</v>
      </c>
      <c r="Q366" s="125"/>
      <c r="R366" s="125" t="s">
        <v>582</v>
      </c>
      <c r="S366" s="125" t="s">
        <v>731</v>
      </c>
      <c r="T366" s="125"/>
      <c r="U366" s="125"/>
      <c r="V366" s="125"/>
      <c r="W366" s="125"/>
      <c r="X366" s="125"/>
      <c r="Y366" s="125"/>
      <c r="Z366" s="125" t="s">
        <v>363</v>
      </c>
      <c r="AA366" s="125" t="s">
        <v>846</v>
      </c>
      <c r="AB366" s="125" t="s">
        <v>689</v>
      </c>
      <c r="AC366" s="125"/>
      <c r="AD366" s="125" t="s">
        <v>521</v>
      </c>
      <c r="AE366" s="98" t="str">
        <f t="shared" si="13"/>
        <v xml:space="preserve">*JAMI'ATUN*( KARANGANYAR, KARANGANYAR ), </v>
      </c>
      <c r="AF366" s="128" t="s">
        <v>310</v>
      </c>
      <c r="AG366" s="128" t="s">
        <v>310</v>
      </c>
    </row>
    <row r="367" spans="1:33" ht="36" customHeight="1" x14ac:dyDescent="0.25">
      <c r="A367" s="90">
        <v>364</v>
      </c>
      <c r="B367" s="129"/>
      <c r="C367" s="130">
        <v>44010</v>
      </c>
      <c r="D367" s="131" t="s">
        <v>353</v>
      </c>
      <c r="E367" s="132" t="s">
        <v>105</v>
      </c>
      <c r="F367" s="128" t="s">
        <v>847</v>
      </c>
      <c r="G367" s="125" t="s">
        <v>355</v>
      </c>
      <c r="H367" s="125">
        <v>54</v>
      </c>
      <c r="I367" s="125" t="s">
        <v>848</v>
      </c>
      <c r="J367" s="125"/>
      <c r="K367" s="125"/>
      <c r="L367" s="125"/>
      <c r="M367" s="125"/>
      <c r="N367" s="128" t="s">
        <v>849</v>
      </c>
      <c r="O367" s="128" t="s">
        <v>304</v>
      </c>
      <c r="P367" s="128" t="s">
        <v>304</v>
      </c>
      <c r="Q367" s="125"/>
      <c r="R367" s="125" t="s">
        <v>850</v>
      </c>
      <c r="S367" s="125" t="s">
        <v>851</v>
      </c>
      <c r="T367" s="125"/>
      <c r="U367" s="125"/>
      <c r="V367" s="125"/>
      <c r="W367" s="125"/>
      <c r="X367" s="125"/>
      <c r="Y367" s="125"/>
      <c r="Z367" s="125" t="s">
        <v>363</v>
      </c>
      <c r="AA367" s="125" t="s">
        <v>852</v>
      </c>
      <c r="AB367" s="125" t="s">
        <v>402</v>
      </c>
      <c r="AC367" s="125"/>
      <c r="AD367" s="125" t="s">
        <v>521</v>
      </c>
      <c r="AE367" s="98" t="str">
        <f t="shared" si="13"/>
        <v xml:space="preserve">*NOOR HANDASAH, NY*( SAYUNG, SAYUNG ), </v>
      </c>
      <c r="AF367" s="128" t="s">
        <v>304</v>
      </c>
      <c r="AG367" s="128" t="s">
        <v>304</v>
      </c>
    </row>
    <row r="368" spans="1:33" ht="30" customHeight="1" x14ac:dyDescent="0.25">
      <c r="A368" s="90">
        <v>365</v>
      </c>
      <c r="B368" s="125"/>
      <c r="C368" s="126">
        <v>44010</v>
      </c>
      <c r="D368" s="127" t="s">
        <v>428</v>
      </c>
      <c r="E368" s="127" t="s">
        <v>429</v>
      </c>
      <c r="F368" s="128" t="s">
        <v>853</v>
      </c>
      <c r="G368" s="125" t="s">
        <v>413</v>
      </c>
      <c r="H368" s="125">
        <v>59</v>
      </c>
      <c r="I368" s="125" t="s">
        <v>854</v>
      </c>
      <c r="J368" s="125"/>
      <c r="K368" s="125"/>
      <c r="L368" s="125"/>
      <c r="M368" s="125"/>
      <c r="N368" s="128" t="s">
        <v>855</v>
      </c>
      <c r="O368" s="128" t="s">
        <v>301</v>
      </c>
      <c r="P368" s="128" t="s">
        <v>301</v>
      </c>
      <c r="Q368" s="125"/>
      <c r="R368" s="125" t="s">
        <v>531</v>
      </c>
      <c r="S368" s="125" t="s">
        <v>837</v>
      </c>
      <c r="T368" s="125"/>
      <c r="U368" s="125"/>
      <c r="V368" s="125"/>
      <c r="W368" s="125"/>
      <c r="X368" s="125"/>
      <c r="Y368" s="125"/>
      <c r="Z368" s="125" t="s">
        <v>363</v>
      </c>
      <c r="AA368" s="125" t="s">
        <v>856</v>
      </c>
      <c r="AB368" s="125" t="s">
        <v>402</v>
      </c>
      <c r="AC368" s="125"/>
      <c r="AD368" s="125" t="s">
        <v>521</v>
      </c>
      <c r="AE368" s="98" t="str">
        <f t="shared" si="13"/>
        <v xml:space="preserve">*SUPARMIN*( KARANGAWEN, KARANGAWEN ), </v>
      </c>
      <c r="AF368" s="128" t="s">
        <v>301</v>
      </c>
      <c r="AG368" s="128" t="s">
        <v>301</v>
      </c>
    </row>
    <row r="369" spans="1:33" ht="30" customHeight="1" x14ac:dyDescent="0.25">
      <c r="A369" s="90">
        <v>366</v>
      </c>
      <c r="B369" s="125"/>
      <c r="C369" s="126">
        <v>44010</v>
      </c>
      <c r="D369" s="127" t="s">
        <v>428</v>
      </c>
      <c r="E369" s="127" t="s">
        <v>429</v>
      </c>
      <c r="F369" s="128" t="s">
        <v>857</v>
      </c>
      <c r="G369" s="125" t="s">
        <v>413</v>
      </c>
      <c r="H369" s="125">
        <v>50</v>
      </c>
      <c r="I369" s="125" t="s">
        <v>858</v>
      </c>
      <c r="J369" s="125"/>
      <c r="K369" s="125"/>
      <c r="L369" s="125"/>
      <c r="M369" s="125"/>
      <c r="N369" s="128" t="s">
        <v>859</v>
      </c>
      <c r="O369" s="128" t="s">
        <v>301</v>
      </c>
      <c r="P369" s="128" t="s">
        <v>301</v>
      </c>
      <c r="Q369" s="125"/>
      <c r="R369" s="125" t="s">
        <v>531</v>
      </c>
      <c r="S369" s="125" t="s">
        <v>851</v>
      </c>
      <c r="T369" s="125"/>
      <c r="U369" s="125"/>
      <c r="V369" s="125"/>
      <c r="W369" s="125"/>
      <c r="X369" s="125"/>
      <c r="Y369" s="125"/>
      <c r="Z369" s="125" t="s">
        <v>363</v>
      </c>
      <c r="AA369" s="125" t="s">
        <v>552</v>
      </c>
      <c r="AB369" s="125" t="s">
        <v>402</v>
      </c>
      <c r="AC369" s="125"/>
      <c r="AD369" s="125" t="s">
        <v>521</v>
      </c>
      <c r="AE369" s="98" t="str">
        <f t="shared" si="13"/>
        <v xml:space="preserve">*MUHAMAD MASHUDI*( KARANGAWEN, KARANGAWEN ), </v>
      </c>
      <c r="AF369" s="128" t="s">
        <v>301</v>
      </c>
      <c r="AG369" s="128" t="s">
        <v>301</v>
      </c>
    </row>
    <row r="370" spans="1:33" ht="30" customHeight="1" x14ac:dyDescent="0.25">
      <c r="A370" s="90">
        <v>367</v>
      </c>
      <c r="B370" s="125"/>
      <c r="C370" s="126">
        <v>44010</v>
      </c>
      <c r="D370" s="127" t="s">
        <v>428</v>
      </c>
      <c r="E370" s="127" t="s">
        <v>429</v>
      </c>
      <c r="F370" s="128" t="s">
        <v>860</v>
      </c>
      <c r="G370" s="125" t="s">
        <v>413</v>
      </c>
      <c r="H370" s="125">
        <v>69</v>
      </c>
      <c r="I370" s="125" t="s">
        <v>861</v>
      </c>
      <c r="J370" s="125"/>
      <c r="K370" s="125"/>
      <c r="L370" s="125"/>
      <c r="M370" s="125"/>
      <c r="N370" s="128" t="s">
        <v>862</v>
      </c>
      <c r="O370" s="128" t="s">
        <v>301</v>
      </c>
      <c r="P370" s="128" t="s">
        <v>301</v>
      </c>
      <c r="Q370" s="125"/>
      <c r="R370" s="125" t="s">
        <v>531</v>
      </c>
      <c r="S370" s="125" t="s">
        <v>851</v>
      </c>
      <c r="T370" s="125"/>
      <c r="U370" s="125"/>
      <c r="V370" s="125"/>
      <c r="W370" s="125"/>
      <c r="X370" s="125"/>
      <c r="Y370" s="125"/>
      <c r="Z370" s="125" t="s">
        <v>363</v>
      </c>
      <c r="AA370" s="125" t="s">
        <v>863</v>
      </c>
      <c r="AB370" s="125" t="s">
        <v>402</v>
      </c>
      <c r="AC370" s="125"/>
      <c r="AD370" s="125" t="s">
        <v>521</v>
      </c>
      <c r="AE370" s="98" t="str">
        <f t="shared" si="13"/>
        <v xml:space="preserve">*KASMIJAN*( KARANGAWEN, KARANGAWEN ), </v>
      </c>
      <c r="AF370" s="128" t="s">
        <v>301</v>
      </c>
      <c r="AG370" s="128" t="s">
        <v>301</v>
      </c>
    </row>
    <row r="371" spans="1:33" ht="30" customHeight="1" x14ac:dyDescent="0.25">
      <c r="A371" s="90">
        <v>368</v>
      </c>
      <c r="B371" s="125"/>
      <c r="C371" s="126">
        <v>44010</v>
      </c>
      <c r="D371" s="127" t="s">
        <v>428</v>
      </c>
      <c r="E371" s="127" t="s">
        <v>429</v>
      </c>
      <c r="F371" s="128" t="s">
        <v>864</v>
      </c>
      <c r="G371" s="125" t="s">
        <v>413</v>
      </c>
      <c r="H371" s="125">
        <v>46</v>
      </c>
      <c r="I371" s="125" t="s">
        <v>865</v>
      </c>
      <c r="J371" s="125"/>
      <c r="K371" s="125"/>
      <c r="L371" s="125"/>
      <c r="M371" s="125"/>
      <c r="N371" s="128" t="s">
        <v>866</v>
      </c>
      <c r="O371" s="128" t="s">
        <v>301</v>
      </c>
      <c r="P371" s="128" t="s">
        <v>301</v>
      </c>
      <c r="Q371" s="125"/>
      <c r="R371" s="125" t="s">
        <v>531</v>
      </c>
      <c r="S371" s="125" t="s">
        <v>837</v>
      </c>
      <c r="T371" s="125"/>
      <c r="U371" s="125"/>
      <c r="V371" s="125"/>
      <c r="W371" s="125"/>
      <c r="X371" s="125"/>
      <c r="Y371" s="125"/>
      <c r="Z371" s="125" t="s">
        <v>363</v>
      </c>
      <c r="AA371" s="125" t="s">
        <v>867</v>
      </c>
      <c r="AB371" s="125" t="s">
        <v>402</v>
      </c>
      <c r="AC371" s="125"/>
      <c r="AD371" s="125" t="s">
        <v>521</v>
      </c>
      <c r="AE371" s="98" t="str">
        <f t="shared" si="13"/>
        <v xml:space="preserve">*NURHADI PRAYITNO*( KARANGAWEN, KARANGAWEN ), </v>
      </c>
      <c r="AF371" s="128" t="s">
        <v>301</v>
      </c>
      <c r="AG371" s="128" t="s">
        <v>301</v>
      </c>
    </row>
    <row r="372" spans="1:33" ht="30" customHeight="1" x14ac:dyDescent="0.25">
      <c r="A372" s="90">
        <v>369</v>
      </c>
      <c r="B372" s="125"/>
      <c r="C372" s="126">
        <v>44010</v>
      </c>
      <c r="D372" s="127" t="s">
        <v>428</v>
      </c>
      <c r="E372" s="127" t="s">
        <v>429</v>
      </c>
      <c r="F372" s="128" t="s">
        <v>868</v>
      </c>
      <c r="G372" s="125" t="s">
        <v>413</v>
      </c>
      <c r="H372" s="125">
        <v>45</v>
      </c>
      <c r="I372" s="125" t="s">
        <v>869</v>
      </c>
      <c r="J372" s="125"/>
      <c r="K372" s="125"/>
      <c r="L372" s="125"/>
      <c r="M372" s="125"/>
      <c r="N372" s="128" t="s">
        <v>870</v>
      </c>
      <c r="O372" s="128" t="s">
        <v>385</v>
      </c>
      <c r="P372" s="128" t="s">
        <v>385</v>
      </c>
      <c r="Q372" s="125"/>
      <c r="R372" s="125" t="s">
        <v>531</v>
      </c>
      <c r="S372" s="125" t="s">
        <v>837</v>
      </c>
      <c r="T372" s="125"/>
      <c r="U372" s="125"/>
      <c r="V372" s="125"/>
      <c r="W372" s="125"/>
      <c r="X372" s="125"/>
      <c r="Y372" s="125"/>
      <c r="Z372" s="125" t="s">
        <v>363</v>
      </c>
      <c r="AA372" s="125" t="s">
        <v>542</v>
      </c>
      <c r="AB372" s="125" t="s">
        <v>402</v>
      </c>
      <c r="AC372" s="125"/>
      <c r="AD372" s="125" t="s">
        <v>521</v>
      </c>
      <c r="AE372" s="98" t="str">
        <f t="shared" si="13"/>
        <v xml:space="preserve">*EKO SETYO WIDOYO*( MRANGGEN, MRANGGEN ), </v>
      </c>
      <c r="AF372" s="128" t="s">
        <v>385</v>
      </c>
      <c r="AG372" s="128" t="s">
        <v>385</v>
      </c>
    </row>
    <row r="373" spans="1:33" ht="36" customHeight="1" x14ac:dyDescent="0.25">
      <c r="A373" s="90">
        <v>370</v>
      </c>
      <c r="B373" s="125"/>
      <c r="C373" s="126">
        <v>44010</v>
      </c>
      <c r="D373" s="127" t="s">
        <v>428</v>
      </c>
      <c r="E373" s="127" t="s">
        <v>429</v>
      </c>
      <c r="F373" s="128" t="s">
        <v>871</v>
      </c>
      <c r="G373" s="125" t="s">
        <v>413</v>
      </c>
      <c r="H373" s="125">
        <v>20</v>
      </c>
      <c r="I373" s="125" t="s">
        <v>402</v>
      </c>
      <c r="J373" s="125"/>
      <c r="K373" s="125"/>
      <c r="L373" s="125"/>
      <c r="M373" s="125"/>
      <c r="N373" s="128" t="s">
        <v>872</v>
      </c>
      <c r="O373" s="128" t="s">
        <v>385</v>
      </c>
      <c r="P373" s="128" t="s">
        <v>385</v>
      </c>
      <c r="Q373" s="125"/>
      <c r="R373" s="125" t="s">
        <v>531</v>
      </c>
      <c r="S373" s="125" t="s">
        <v>873</v>
      </c>
      <c r="T373" s="125"/>
      <c r="U373" s="125"/>
      <c r="V373" s="125"/>
      <c r="W373" s="125"/>
      <c r="X373" s="125"/>
      <c r="Y373" s="125"/>
      <c r="Z373" s="125" t="s">
        <v>363</v>
      </c>
      <c r="AA373" s="125" t="s">
        <v>768</v>
      </c>
      <c r="AB373" s="125" t="s">
        <v>402</v>
      </c>
      <c r="AC373" s="125"/>
      <c r="AD373" s="125" t="s">
        <v>521</v>
      </c>
      <c r="AE373" s="98" t="str">
        <f t="shared" si="13"/>
        <v xml:space="preserve">*MUHAMAD TOPIK HIDAYAT*( MRANGGEN, MRANGGEN ), </v>
      </c>
      <c r="AF373" s="128" t="s">
        <v>385</v>
      </c>
      <c r="AG373" s="128" t="s">
        <v>385</v>
      </c>
    </row>
    <row r="374" spans="1:33" ht="30" customHeight="1" x14ac:dyDescent="0.25">
      <c r="A374" s="90">
        <v>371</v>
      </c>
      <c r="B374" s="125"/>
      <c r="C374" s="126">
        <v>44010</v>
      </c>
      <c r="D374" s="127" t="s">
        <v>428</v>
      </c>
      <c r="E374" s="127" t="s">
        <v>429</v>
      </c>
      <c r="F374" s="128" t="s">
        <v>874</v>
      </c>
      <c r="G374" s="125" t="s">
        <v>355</v>
      </c>
      <c r="H374" s="125">
        <v>57</v>
      </c>
      <c r="I374" s="125" t="s">
        <v>875</v>
      </c>
      <c r="J374" s="125"/>
      <c r="K374" s="125"/>
      <c r="L374" s="125"/>
      <c r="M374" s="125"/>
      <c r="N374" s="128" t="s">
        <v>876</v>
      </c>
      <c r="O374" s="128" t="s">
        <v>385</v>
      </c>
      <c r="P374" s="128" t="s">
        <v>385</v>
      </c>
      <c r="Q374" s="125"/>
      <c r="R374" s="125" t="s">
        <v>531</v>
      </c>
      <c r="S374" s="125" t="s">
        <v>873</v>
      </c>
      <c r="T374" s="125"/>
      <c r="U374" s="125"/>
      <c r="V374" s="125"/>
      <c r="W374" s="125"/>
      <c r="X374" s="125"/>
      <c r="Y374" s="125"/>
      <c r="Z374" s="125" t="s">
        <v>363</v>
      </c>
      <c r="AA374" s="125" t="s">
        <v>877</v>
      </c>
      <c r="AB374" s="125" t="s">
        <v>402</v>
      </c>
      <c r="AC374" s="125"/>
      <c r="AD374" s="125" t="s">
        <v>521</v>
      </c>
      <c r="AE374" s="98" t="str">
        <f t="shared" si="13"/>
        <v xml:space="preserve">*KARYATI*( MRANGGEN, MRANGGEN ), </v>
      </c>
      <c r="AF374" s="128" t="s">
        <v>385</v>
      </c>
      <c r="AG374" s="128" t="s">
        <v>385</v>
      </c>
    </row>
    <row r="375" spans="1:33" ht="18" customHeight="1" x14ac:dyDescent="0.25">
      <c r="A375" s="90">
        <v>372</v>
      </c>
      <c r="B375" s="125"/>
      <c r="C375" s="126">
        <v>44010</v>
      </c>
      <c r="D375" s="127" t="s">
        <v>428</v>
      </c>
      <c r="E375" s="127" t="s">
        <v>429</v>
      </c>
      <c r="F375" s="128" t="s">
        <v>1927</v>
      </c>
      <c r="G375" s="125" t="s">
        <v>355</v>
      </c>
      <c r="H375" s="125">
        <v>50</v>
      </c>
      <c r="I375" s="125" t="s">
        <v>1928</v>
      </c>
      <c r="J375" s="125"/>
      <c r="K375" s="125"/>
      <c r="L375" s="125"/>
      <c r="M375" s="125"/>
      <c r="N375" s="128" t="s">
        <v>1929</v>
      </c>
      <c r="O375" s="128" t="s">
        <v>385</v>
      </c>
      <c r="P375" s="128" t="s">
        <v>385</v>
      </c>
      <c r="Q375" s="125"/>
      <c r="R375" s="125" t="s">
        <v>531</v>
      </c>
      <c r="S375" s="125" t="s">
        <v>837</v>
      </c>
      <c r="T375" s="125"/>
      <c r="U375" s="125"/>
      <c r="V375" s="125"/>
      <c r="W375" s="125"/>
      <c r="X375" s="125"/>
      <c r="Y375" s="125"/>
      <c r="Z375" s="125" t="s">
        <v>1930</v>
      </c>
      <c r="AA375" s="125" t="s">
        <v>833</v>
      </c>
      <c r="AB375" s="125" t="s">
        <v>402</v>
      </c>
      <c r="AC375" s="125"/>
      <c r="AD375" s="125" t="s">
        <v>1866</v>
      </c>
      <c r="AE375" s="98" t="str">
        <f t="shared" si="13"/>
        <v xml:space="preserve">*NAFIATUN*( MRANGGEN, MRANGGEN ), </v>
      </c>
      <c r="AF375" s="128" t="s">
        <v>385</v>
      </c>
      <c r="AG375" s="128" t="s">
        <v>385</v>
      </c>
    </row>
    <row r="376" spans="1:33" ht="36" customHeight="1" x14ac:dyDescent="0.25">
      <c r="A376" s="90">
        <v>373</v>
      </c>
      <c r="B376" s="125"/>
      <c r="C376" s="126">
        <v>44010</v>
      </c>
      <c r="D376" s="127" t="s">
        <v>428</v>
      </c>
      <c r="E376" s="127" t="s">
        <v>429</v>
      </c>
      <c r="F376" s="128" t="s">
        <v>1321</v>
      </c>
      <c r="G376" s="125" t="s">
        <v>413</v>
      </c>
      <c r="H376" s="125">
        <v>32</v>
      </c>
      <c r="I376" s="125" t="s">
        <v>1322</v>
      </c>
      <c r="J376" s="125"/>
      <c r="K376" s="125"/>
      <c r="L376" s="125"/>
      <c r="M376" s="125"/>
      <c r="N376" s="128" t="s">
        <v>1323</v>
      </c>
      <c r="O376" s="128" t="s">
        <v>385</v>
      </c>
      <c r="P376" s="128" t="s">
        <v>385</v>
      </c>
      <c r="Q376" s="125"/>
      <c r="R376" s="125" t="s">
        <v>539</v>
      </c>
      <c r="S376" s="125" t="s">
        <v>745</v>
      </c>
      <c r="T376" s="104" t="s">
        <v>885</v>
      </c>
      <c r="U376" s="125"/>
      <c r="V376" s="125"/>
      <c r="W376" s="125"/>
      <c r="X376" s="125"/>
      <c r="Y376" s="125"/>
      <c r="Z376" s="125" t="s">
        <v>767</v>
      </c>
      <c r="AA376" s="125">
        <v>0</v>
      </c>
      <c r="AB376" s="125" t="s">
        <v>402</v>
      </c>
      <c r="AC376" s="125"/>
      <c r="AD376" s="125" t="s">
        <v>1271</v>
      </c>
      <c r="AE376" s="98" t="str">
        <f t="shared" si="13"/>
        <v xml:space="preserve">*NUR ROHMAT*( MRANGGEN, MRANGGEN ), </v>
      </c>
      <c r="AF376" s="128" t="s">
        <v>385</v>
      </c>
      <c r="AG376" s="128" t="s">
        <v>385</v>
      </c>
    </row>
    <row r="377" spans="1:33" s="153" customFormat="1" ht="28.5" customHeight="1" x14ac:dyDescent="0.25">
      <c r="A377" s="90">
        <v>374</v>
      </c>
      <c r="B377" s="125"/>
      <c r="C377" s="126">
        <v>44010</v>
      </c>
      <c r="D377" s="127" t="s">
        <v>428</v>
      </c>
      <c r="E377" s="127" t="s">
        <v>429</v>
      </c>
      <c r="F377" s="128" t="s">
        <v>1324</v>
      </c>
      <c r="G377" s="125" t="s">
        <v>413</v>
      </c>
      <c r="H377" s="125">
        <v>9</v>
      </c>
      <c r="I377" s="125" t="s">
        <v>1325</v>
      </c>
      <c r="J377" s="125"/>
      <c r="K377" s="125"/>
      <c r="L377" s="125"/>
      <c r="M377" s="125"/>
      <c r="N377" s="128" t="s">
        <v>1326</v>
      </c>
      <c r="O377" s="128" t="s">
        <v>385</v>
      </c>
      <c r="P377" s="128" t="s">
        <v>385</v>
      </c>
      <c r="Q377" s="125"/>
      <c r="R377" s="125" t="s">
        <v>539</v>
      </c>
      <c r="S377" s="125" t="s">
        <v>851</v>
      </c>
      <c r="T377" s="104" t="s">
        <v>885</v>
      </c>
      <c r="U377" s="125"/>
      <c r="V377" s="125"/>
      <c r="W377" s="125"/>
      <c r="X377" s="125"/>
      <c r="Y377" s="125"/>
      <c r="Z377" s="125" t="s">
        <v>767</v>
      </c>
      <c r="AA377" s="125">
        <v>0</v>
      </c>
      <c r="AB377" s="125" t="s">
        <v>402</v>
      </c>
      <c r="AC377" s="125"/>
      <c r="AD377" s="125" t="s">
        <v>1271</v>
      </c>
      <c r="AE377" s="98" t="str">
        <f t="shared" si="13"/>
        <v xml:space="preserve">*TABI HASAN ABDUL GHANI*( MRANGGEN, MRANGGEN ), </v>
      </c>
      <c r="AF377" s="128" t="s">
        <v>385</v>
      </c>
      <c r="AG377" s="128" t="s">
        <v>385</v>
      </c>
    </row>
    <row r="378" spans="1:33" ht="31.5" customHeight="1" x14ac:dyDescent="0.35">
      <c r="A378" s="90">
        <v>375</v>
      </c>
      <c r="B378" s="104"/>
      <c r="C378" s="126">
        <v>44010</v>
      </c>
      <c r="D378" s="127" t="s">
        <v>428</v>
      </c>
      <c r="E378" s="127" t="s">
        <v>429</v>
      </c>
      <c r="F378" s="146" t="s">
        <v>1263</v>
      </c>
      <c r="G378" s="104" t="s">
        <v>1264</v>
      </c>
      <c r="H378" s="104">
        <v>52</v>
      </c>
      <c r="I378" s="104"/>
      <c r="J378" s="104"/>
      <c r="K378" s="104"/>
      <c r="L378" s="104"/>
      <c r="M378" s="104"/>
      <c r="N378" s="147" t="s">
        <v>1265</v>
      </c>
      <c r="O378" s="105" t="s">
        <v>1266</v>
      </c>
      <c r="P378" s="105" t="s">
        <v>302</v>
      </c>
      <c r="Q378" s="104"/>
      <c r="R378" s="104" t="s">
        <v>369</v>
      </c>
      <c r="S378" s="104"/>
      <c r="T378" s="104" t="s">
        <v>885</v>
      </c>
      <c r="U378" s="104"/>
      <c r="V378" s="104"/>
      <c r="W378" s="104"/>
      <c r="X378" s="104"/>
      <c r="Y378" s="104"/>
      <c r="Z378" s="125" t="s">
        <v>767</v>
      </c>
      <c r="AB378" s="104"/>
      <c r="AC378" s="104"/>
      <c r="AD378" s="104" t="s">
        <v>890</v>
      </c>
      <c r="AE378" s="98" t="str">
        <f t="shared" si="13"/>
        <v xml:space="preserve">*YUNIS YANA*( BETOKAN, DEMAK ), </v>
      </c>
      <c r="AF378" s="80" t="s">
        <v>1266</v>
      </c>
      <c r="AG378" s="81" t="s">
        <v>302</v>
      </c>
    </row>
    <row r="379" spans="1:33" x14ac:dyDescent="0.35">
      <c r="AA379" s="79"/>
      <c r="AD379" s="97"/>
    </row>
    <row r="380" spans="1:33" x14ac:dyDescent="0.35">
      <c r="AA380" s="79"/>
    </row>
    <row r="381" spans="1:33" x14ac:dyDescent="0.35">
      <c r="AA381" s="79"/>
    </row>
    <row r="382" spans="1:33" x14ac:dyDescent="0.35">
      <c r="AA382" s="79"/>
    </row>
    <row r="383" spans="1:33" x14ac:dyDescent="0.35">
      <c r="AA383" s="79"/>
    </row>
    <row r="384" spans="1:33" x14ac:dyDescent="0.35">
      <c r="AA384" s="79"/>
    </row>
    <row r="385" spans="27:27" x14ac:dyDescent="0.35">
      <c r="AA385" s="79"/>
    </row>
    <row r="386" spans="27:27" x14ac:dyDescent="0.35">
      <c r="AA386" s="79"/>
    </row>
    <row r="387" spans="27:27" x14ac:dyDescent="0.35">
      <c r="AA387" s="79"/>
    </row>
    <row r="388" spans="27:27" x14ac:dyDescent="0.35">
      <c r="AA388" s="79"/>
    </row>
    <row r="389" spans="27:27" x14ac:dyDescent="0.35">
      <c r="AA389" s="79"/>
    </row>
    <row r="390" spans="27:27" x14ac:dyDescent="0.35">
      <c r="AA390" s="79"/>
    </row>
    <row r="391" spans="27:27" x14ac:dyDescent="0.35">
      <c r="AA391" s="79"/>
    </row>
    <row r="392" spans="27:27" x14ac:dyDescent="0.35">
      <c r="AA392" s="79"/>
    </row>
    <row r="393" spans="27:27" x14ac:dyDescent="0.35">
      <c r="AA393" s="79"/>
    </row>
    <row r="394" spans="27:27" x14ac:dyDescent="0.35">
      <c r="AA394" s="79"/>
    </row>
    <row r="395" spans="27:27" x14ac:dyDescent="0.35">
      <c r="AA395" s="79"/>
    </row>
    <row r="396" spans="27:27" x14ac:dyDescent="0.35">
      <c r="AA396" s="79"/>
    </row>
    <row r="397" spans="27:27" x14ac:dyDescent="0.35">
      <c r="AA397" s="79"/>
    </row>
    <row r="398" spans="27:27" x14ac:dyDescent="0.35">
      <c r="AA398" s="79"/>
    </row>
    <row r="399" spans="27:27" x14ac:dyDescent="0.35">
      <c r="AA399" s="79"/>
    </row>
    <row r="400" spans="27:27" x14ac:dyDescent="0.35">
      <c r="AA400" s="79"/>
    </row>
    <row r="401" spans="27:27" x14ac:dyDescent="0.35">
      <c r="AA401" s="79"/>
    </row>
    <row r="402" spans="27:27" x14ac:dyDescent="0.35">
      <c r="AA402" s="79"/>
    </row>
    <row r="403" spans="27:27" x14ac:dyDescent="0.35">
      <c r="AA403" s="79"/>
    </row>
    <row r="404" spans="27:27" x14ac:dyDescent="0.35">
      <c r="AA404" s="79"/>
    </row>
    <row r="405" spans="27:27" x14ac:dyDescent="0.35">
      <c r="AA405" s="79"/>
    </row>
    <row r="406" spans="27:27" x14ac:dyDescent="0.35">
      <c r="AA406" s="79"/>
    </row>
    <row r="407" spans="27:27" x14ac:dyDescent="0.35">
      <c r="AA407" s="79"/>
    </row>
    <row r="408" spans="27:27" x14ac:dyDescent="0.35">
      <c r="AA408" s="79"/>
    </row>
    <row r="409" spans="27:27" x14ac:dyDescent="0.35">
      <c r="AA409" s="79"/>
    </row>
    <row r="410" spans="27:27" x14ac:dyDescent="0.35">
      <c r="AA410" s="79"/>
    </row>
    <row r="411" spans="27:27" x14ac:dyDescent="0.35">
      <c r="AA411" s="79"/>
    </row>
    <row r="412" spans="27:27" x14ac:dyDescent="0.35">
      <c r="AA412" s="79"/>
    </row>
    <row r="413" spans="27:27" x14ac:dyDescent="0.35">
      <c r="AA413" s="79"/>
    </row>
    <row r="414" spans="27:27" x14ac:dyDescent="0.35">
      <c r="AA414" s="79"/>
    </row>
    <row r="415" spans="27:27" x14ac:dyDescent="0.35">
      <c r="AA415" s="79"/>
    </row>
    <row r="416" spans="27:27" x14ac:dyDescent="0.35">
      <c r="AA416" s="79"/>
    </row>
    <row r="417" spans="27:27" x14ac:dyDescent="0.35">
      <c r="AA417" s="79"/>
    </row>
    <row r="418" spans="27:27" x14ac:dyDescent="0.35">
      <c r="AA418" s="79"/>
    </row>
    <row r="419" spans="27:27" x14ac:dyDescent="0.35">
      <c r="AA419" s="79"/>
    </row>
    <row r="420" spans="27:27" x14ac:dyDescent="0.35">
      <c r="AA420" s="79"/>
    </row>
    <row r="421" spans="27:27" x14ac:dyDescent="0.35">
      <c r="AA421" s="79"/>
    </row>
    <row r="422" spans="27:27" x14ac:dyDescent="0.35">
      <c r="AA422" s="79"/>
    </row>
    <row r="423" spans="27:27" x14ac:dyDescent="0.35">
      <c r="AA423" s="79"/>
    </row>
    <row r="424" spans="27:27" x14ac:dyDescent="0.35">
      <c r="AA424" s="79"/>
    </row>
    <row r="425" spans="27:27" x14ac:dyDescent="0.35">
      <c r="AA425" s="79"/>
    </row>
    <row r="426" spans="27:27" x14ac:dyDescent="0.35">
      <c r="AA426" s="79"/>
    </row>
    <row r="427" spans="27:27" x14ac:dyDescent="0.35">
      <c r="AA427" s="79"/>
    </row>
    <row r="428" spans="27:27" x14ac:dyDescent="0.35">
      <c r="AA428" s="79"/>
    </row>
    <row r="429" spans="27:27" x14ac:dyDescent="0.35">
      <c r="AA429" s="79"/>
    </row>
    <row r="430" spans="27:27" x14ac:dyDescent="0.35">
      <c r="AA430" s="79"/>
    </row>
    <row r="431" spans="27:27" x14ac:dyDescent="0.35">
      <c r="AA431" s="79"/>
    </row>
    <row r="432" spans="27:27" x14ac:dyDescent="0.35">
      <c r="AA432" s="79"/>
    </row>
    <row r="433" spans="27:27" x14ac:dyDescent="0.35">
      <c r="AA433" s="79"/>
    </row>
    <row r="434" spans="27:27" x14ac:dyDescent="0.35">
      <c r="AA434" s="79"/>
    </row>
    <row r="435" spans="27:27" x14ac:dyDescent="0.35">
      <c r="AA435" s="79"/>
    </row>
    <row r="436" spans="27:27" x14ac:dyDescent="0.35">
      <c r="AA436" s="79"/>
    </row>
    <row r="437" spans="27:27" x14ac:dyDescent="0.35">
      <c r="AA437" s="79"/>
    </row>
    <row r="438" spans="27:27" x14ac:dyDescent="0.35">
      <c r="AA438" s="79"/>
    </row>
    <row r="439" spans="27:27" x14ac:dyDescent="0.35">
      <c r="AA439" s="79"/>
    </row>
    <row r="440" spans="27:27" x14ac:dyDescent="0.35">
      <c r="AA440" s="79"/>
    </row>
    <row r="441" spans="27:27" x14ac:dyDescent="0.35">
      <c r="AA441" s="79"/>
    </row>
    <row r="442" spans="27:27" x14ac:dyDescent="0.35">
      <c r="AA442" s="79"/>
    </row>
    <row r="443" spans="27:27" x14ac:dyDescent="0.35">
      <c r="AA443" s="79"/>
    </row>
    <row r="444" spans="27:27" x14ac:dyDescent="0.35">
      <c r="AA444" s="79"/>
    </row>
    <row r="445" spans="27:27" x14ac:dyDescent="0.35">
      <c r="AA445" s="79"/>
    </row>
    <row r="446" spans="27:27" x14ac:dyDescent="0.35">
      <c r="AA446" s="79"/>
    </row>
    <row r="447" spans="27:27" x14ac:dyDescent="0.35">
      <c r="AA447" s="79"/>
    </row>
    <row r="448" spans="27:27" x14ac:dyDescent="0.35">
      <c r="AA448" s="79"/>
    </row>
    <row r="449" spans="27:27" x14ac:dyDescent="0.35">
      <c r="AA449" s="79"/>
    </row>
    <row r="450" spans="27:27" x14ac:dyDescent="0.35">
      <c r="AA450" s="79"/>
    </row>
    <row r="451" spans="27:27" x14ac:dyDescent="0.35">
      <c r="AA451" s="79"/>
    </row>
    <row r="452" spans="27:27" x14ac:dyDescent="0.35">
      <c r="AA452" s="79"/>
    </row>
    <row r="453" spans="27:27" x14ac:dyDescent="0.35">
      <c r="AA453" s="79"/>
    </row>
    <row r="454" spans="27:27" x14ac:dyDescent="0.35">
      <c r="AA454" s="79"/>
    </row>
    <row r="455" spans="27:27" x14ac:dyDescent="0.35">
      <c r="AA455" s="79"/>
    </row>
    <row r="456" spans="27:27" x14ac:dyDescent="0.35">
      <c r="AA456" s="79"/>
    </row>
    <row r="457" spans="27:27" x14ac:dyDescent="0.35">
      <c r="AA457" s="79"/>
    </row>
    <row r="458" spans="27:27" x14ac:dyDescent="0.35">
      <c r="AA458" s="79"/>
    </row>
    <row r="459" spans="27:27" x14ac:dyDescent="0.35">
      <c r="AA459" s="79"/>
    </row>
    <row r="460" spans="27:27" x14ac:dyDescent="0.35">
      <c r="AA460" s="79"/>
    </row>
    <row r="461" spans="27:27" x14ac:dyDescent="0.35">
      <c r="AA461" s="79"/>
    </row>
    <row r="462" spans="27:27" x14ac:dyDescent="0.35">
      <c r="AA462" s="79"/>
    </row>
    <row r="463" spans="27:27" x14ac:dyDescent="0.35">
      <c r="AA463" s="79"/>
    </row>
    <row r="464" spans="27:27" x14ac:dyDescent="0.35">
      <c r="AA464" s="79"/>
    </row>
    <row r="465" spans="27:27" x14ac:dyDescent="0.35">
      <c r="AA465" s="79"/>
    </row>
    <row r="466" spans="27:27" x14ac:dyDescent="0.35">
      <c r="AA466" s="79"/>
    </row>
    <row r="467" spans="27:27" x14ac:dyDescent="0.35">
      <c r="AA467" s="79"/>
    </row>
    <row r="468" spans="27:27" x14ac:dyDescent="0.35">
      <c r="AA468" s="79"/>
    </row>
    <row r="469" spans="27:27" x14ac:dyDescent="0.35">
      <c r="AA469" s="79"/>
    </row>
    <row r="470" spans="27:27" x14ac:dyDescent="0.35">
      <c r="AA470" s="79"/>
    </row>
    <row r="471" spans="27:27" x14ac:dyDescent="0.35">
      <c r="AA471" s="79"/>
    </row>
    <row r="472" spans="27:27" x14ac:dyDescent="0.35">
      <c r="AA472" s="79"/>
    </row>
    <row r="473" spans="27:27" x14ac:dyDescent="0.35">
      <c r="AA473" s="79"/>
    </row>
    <row r="474" spans="27:27" x14ac:dyDescent="0.35">
      <c r="AA474" s="79"/>
    </row>
    <row r="475" spans="27:27" x14ac:dyDescent="0.35">
      <c r="AA475" s="79"/>
    </row>
    <row r="476" spans="27:27" x14ac:dyDescent="0.35">
      <c r="AA476" s="79"/>
    </row>
    <row r="477" spans="27:27" x14ac:dyDescent="0.35">
      <c r="AA477" s="79"/>
    </row>
    <row r="478" spans="27:27" x14ac:dyDescent="0.35">
      <c r="AA478" s="79"/>
    </row>
    <row r="479" spans="27:27" x14ac:dyDescent="0.35">
      <c r="AA479" s="79"/>
    </row>
    <row r="480" spans="27:27" x14ac:dyDescent="0.35">
      <c r="AA480" s="79"/>
    </row>
    <row r="481" spans="27:27" x14ac:dyDescent="0.35">
      <c r="AA481" s="79"/>
    </row>
    <row r="482" spans="27:27" x14ac:dyDescent="0.35">
      <c r="AA482" s="79"/>
    </row>
    <row r="483" spans="27:27" x14ac:dyDescent="0.35">
      <c r="AA483" s="79"/>
    </row>
    <row r="484" spans="27:27" x14ac:dyDescent="0.35">
      <c r="AA484" s="79"/>
    </row>
    <row r="485" spans="27:27" x14ac:dyDescent="0.35">
      <c r="AA485" s="79"/>
    </row>
    <row r="486" spans="27:27" x14ac:dyDescent="0.35">
      <c r="AA486" s="79"/>
    </row>
    <row r="487" spans="27:27" x14ac:dyDescent="0.35">
      <c r="AA487" s="79"/>
    </row>
    <row r="488" spans="27:27" x14ac:dyDescent="0.35">
      <c r="AA488" s="79"/>
    </row>
    <row r="489" spans="27:27" x14ac:dyDescent="0.35">
      <c r="AA489" s="79"/>
    </row>
    <row r="490" spans="27:27" x14ac:dyDescent="0.35">
      <c r="AA490" s="79"/>
    </row>
    <row r="491" spans="27:27" x14ac:dyDescent="0.35">
      <c r="AA491" s="79"/>
    </row>
    <row r="492" spans="27:27" x14ac:dyDescent="0.35">
      <c r="AA492" s="79"/>
    </row>
    <row r="493" spans="27:27" x14ac:dyDescent="0.35">
      <c r="AA493" s="79"/>
    </row>
    <row r="494" spans="27:27" x14ac:dyDescent="0.35">
      <c r="AA494" s="79"/>
    </row>
    <row r="495" spans="27:27" x14ac:dyDescent="0.35">
      <c r="AA495" s="79"/>
    </row>
    <row r="496" spans="27:27" x14ac:dyDescent="0.35">
      <c r="AA496" s="79"/>
    </row>
    <row r="497" spans="27:27" x14ac:dyDescent="0.35">
      <c r="AA497" s="79"/>
    </row>
    <row r="498" spans="27:27" x14ac:dyDescent="0.35">
      <c r="AA498" s="79"/>
    </row>
    <row r="499" spans="27:27" x14ac:dyDescent="0.35">
      <c r="AA499" s="79"/>
    </row>
    <row r="500" spans="27:27" x14ac:dyDescent="0.35">
      <c r="AA500" s="79"/>
    </row>
    <row r="501" spans="27:27" x14ac:dyDescent="0.35">
      <c r="AA501" s="79"/>
    </row>
    <row r="502" spans="27:27" x14ac:dyDescent="0.35">
      <c r="AA502" s="79"/>
    </row>
    <row r="503" spans="27:27" x14ac:dyDescent="0.35">
      <c r="AA503" s="79"/>
    </row>
    <row r="504" spans="27:27" x14ac:dyDescent="0.35">
      <c r="AA504" s="79"/>
    </row>
    <row r="505" spans="27:27" x14ac:dyDescent="0.35">
      <c r="AA505" s="79"/>
    </row>
    <row r="506" spans="27:27" x14ac:dyDescent="0.35">
      <c r="AA506" s="79"/>
    </row>
    <row r="507" spans="27:27" x14ac:dyDescent="0.35">
      <c r="AA507" s="79"/>
    </row>
    <row r="508" spans="27:27" x14ac:dyDescent="0.35">
      <c r="AA508" s="79"/>
    </row>
    <row r="509" spans="27:27" x14ac:dyDescent="0.35">
      <c r="AA509" s="79"/>
    </row>
    <row r="510" spans="27:27" x14ac:dyDescent="0.35">
      <c r="AA510" s="79"/>
    </row>
    <row r="511" spans="27:27" x14ac:dyDescent="0.35">
      <c r="AA511" s="79"/>
    </row>
    <row r="512" spans="27:27" x14ac:dyDescent="0.35">
      <c r="AA512" s="79"/>
    </row>
    <row r="513" spans="27:27" x14ac:dyDescent="0.35">
      <c r="AA513" s="79"/>
    </row>
    <row r="514" spans="27:27" x14ac:dyDescent="0.35">
      <c r="AA514" s="79"/>
    </row>
    <row r="515" spans="27:27" x14ac:dyDescent="0.35">
      <c r="AA515" s="79"/>
    </row>
    <row r="516" spans="27:27" x14ac:dyDescent="0.35">
      <c r="AA516" s="79"/>
    </row>
    <row r="517" spans="27:27" x14ac:dyDescent="0.35">
      <c r="AA517" s="79"/>
    </row>
    <row r="518" spans="27:27" x14ac:dyDescent="0.35">
      <c r="AA518" s="79"/>
    </row>
    <row r="519" spans="27:27" x14ac:dyDescent="0.35">
      <c r="AA519" s="79"/>
    </row>
    <row r="520" spans="27:27" x14ac:dyDescent="0.35">
      <c r="AA520" s="79"/>
    </row>
    <row r="521" spans="27:27" x14ac:dyDescent="0.35">
      <c r="AA521" s="79"/>
    </row>
    <row r="522" spans="27:27" x14ac:dyDescent="0.35">
      <c r="AA522" s="79"/>
    </row>
    <row r="523" spans="27:27" x14ac:dyDescent="0.35">
      <c r="AA523" s="79"/>
    </row>
    <row r="524" spans="27:27" x14ac:dyDescent="0.35">
      <c r="AA524" s="79"/>
    </row>
    <row r="525" spans="27:27" x14ac:dyDescent="0.35">
      <c r="AA525" s="79"/>
    </row>
    <row r="526" spans="27:27" x14ac:dyDescent="0.35">
      <c r="AA526" s="79"/>
    </row>
    <row r="527" spans="27:27" x14ac:dyDescent="0.35">
      <c r="AA527" s="79"/>
    </row>
    <row r="528" spans="27:27" x14ac:dyDescent="0.35">
      <c r="AA528" s="79"/>
    </row>
    <row r="529" spans="27:27" x14ac:dyDescent="0.35">
      <c r="AA529" s="79"/>
    </row>
    <row r="530" spans="27:27" x14ac:dyDescent="0.35">
      <c r="AA530" s="79"/>
    </row>
    <row r="531" spans="27:27" x14ac:dyDescent="0.35">
      <c r="AA531" s="79"/>
    </row>
    <row r="532" spans="27:27" x14ac:dyDescent="0.35">
      <c r="AA532" s="79"/>
    </row>
    <row r="533" spans="27:27" x14ac:dyDescent="0.35">
      <c r="AA533" s="79"/>
    </row>
    <row r="534" spans="27:27" x14ac:dyDescent="0.35">
      <c r="AA534" s="79"/>
    </row>
    <row r="535" spans="27:27" x14ac:dyDescent="0.35">
      <c r="AA535" s="79"/>
    </row>
    <row r="536" spans="27:27" x14ac:dyDescent="0.35">
      <c r="AA536" s="79"/>
    </row>
    <row r="537" spans="27:27" x14ac:dyDescent="0.35">
      <c r="AA537" s="79"/>
    </row>
    <row r="538" spans="27:27" x14ac:dyDescent="0.35">
      <c r="AA538" s="79"/>
    </row>
    <row r="539" spans="27:27" x14ac:dyDescent="0.35">
      <c r="AA539" s="79"/>
    </row>
    <row r="540" spans="27:27" x14ac:dyDescent="0.35">
      <c r="AA540" s="79"/>
    </row>
    <row r="541" spans="27:27" x14ac:dyDescent="0.35">
      <c r="AA541" s="79"/>
    </row>
    <row r="542" spans="27:27" x14ac:dyDescent="0.35">
      <c r="AA542" s="79"/>
    </row>
    <row r="543" spans="27:27" x14ac:dyDescent="0.35">
      <c r="AA543" s="79"/>
    </row>
    <row r="544" spans="27:27" x14ac:dyDescent="0.35">
      <c r="AA544" s="79"/>
    </row>
    <row r="545" spans="27:27" x14ac:dyDescent="0.35">
      <c r="AA545" s="79"/>
    </row>
    <row r="546" spans="27:27" x14ac:dyDescent="0.35">
      <c r="AA546" s="79"/>
    </row>
    <row r="547" spans="27:27" x14ac:dyDescent="0.35">
      <c r="AA547" s="79"/>
    </row>
    <row r="548" spans="27:27" x14ac:dyDescent="0.35">
      <c r="AA548" s="79"/>
    </row>
    <row r="549" spans="27:27" x14ac:dyDescent="0.35">
      <c r="AA549" s="79"/>
    </row>
    <row r="550" spans="27:27" x14ac:dyDescent="0.35">
      <c r="AA550" s="79"/>
    </row>
    <row r="551" spans="27:27" x14ac:dyDescent="0.35">
      <c r="AA551" s="79"/>
    </row>
    <row r="552" spans="27:27" x14ac:dyDescent="0.35">
      <c r="AA552" s="79"/>
    </row>
    <row r="553" spans="27:27" x14ac:dyDescent="0.35">
      <c r="AA553" s="79"/>
    </row>
    <row r="554" spans="27:27" x14ac:dyDescent="0.35">
      <c r="AA554" s="79"/>
    </row>
    <row r="555" spans="27:27" x14ac:dyDescent="0.35">
      <c r="AA555" s="79"/>
    </row>
    <row r="556" spans="27:27" x14ac:dyDescent="0.35">
      <c r="AA556" s="79"/>
    </row>
    <row r="557" spans="27:27" x14ac:dyDescent="0.35">
      <c r="AA557" s="79"/>
    </row>
    <row r="558" spans="27:27" x14ac:dyDescent="0.35">
      <c r="AA558" s="79"/>
    </row>
    <row r="559" spans="27:27" x14ac:dyDescent="0.35">
      <c r="AA559" s="79"/>
    </row>
    <row r="560" spans="27:27" x14ac:dyDescent="0.35">
      <c r="AA560" s="79"/>
    </row>
    <row r="561" spans="27:27" x14ac:dyDescent="0.35">
      <c r="AA561" s="79"/>
    </row>
    <row r="562" spans="27:27" x14ac:dyDescent="0.35">
      <c r="AA562" s="79"/>
    </row>
    <row r="563" spans="27:27" x14ac:dyDescent="0.35">
      <c r="AA563" s="79"/>
    </row>
    <row r="564" spans="27:27" x14ac:dyDescent="0.35">
      <c r="AA564" s="79"/>
    </row>
    <row r="565" spans="27:27" x14ac:dyDescent="0.35">
      <c r="AA565" s="79"/>
    </row>
    <row r="566" spans="27:27" x14ac:dyDescent="0.35">
      <c r="AA566" s="79"/>
    </row>
    <row r="567" spans="27:27" x14ac:dyDescent="0.35">
      <c r="AA567" s="79"/>
    </row>
    <row r="568" spans="27:27" x14ac:dyDescent="0.35">
      <c r="AA568" s="79"/>
    </row>
    <row r="569" spans="27:27" x14ac:dyDescent="0.35">
      <c r="AA569" s="79"/>
    </row>
    <row r="570" spans="27:27" x14ac:dyDescent="0.35">
      <c r="AA570" s="79"/>
    </row>
    <row r="571" spans="27:27" x14ac:dyDescent="0.35">
      <c r="AA571" s="79"/>
    </row>
    <row r="572" spans="27:27" x14ac:dyDescent="0.35">
      <c r="AA572" s="79"/>
    </row>
    <row r="573" spans="27:27" x14ac:dyDescent="0.35">
      <c r="AA573" s="79"/>
    </row>
    <row r="574" spans="27:27" x14ac:dyDescent="0.35">
      <c r="AA574" s="79"/>
    </row>
    <row r="575" spans="27:27" x14ac:dyDescent="0.35">
      <c r="AA575" s="79"/>
    </row>
    <row r="576" spans="27:27" x14ac:dyDescent="0.35">
      <c r="AA576" s="79"/>
    </row>
    <row r="577" spans="27:27" x14ac:dyDescent="0.35">
      <c r="AA577" s="79"/>
    </row>
    <row r="578" spans="27:27" x14ac:dyDescent="0.35">
      <c r="AA578" s="79"/>
    </row>
    <row r="579" spans="27:27" x14ac:dyDescent="0.35">
      <c r="AA579" s="79"/>
    </row>
    <row r="580" spans="27:27" x14ac:dyDescent="0.35">
      <c r="AA580" s="79"/>
    </row>
    <row r="581" spans="27:27" x14ac:dyDescent="0.35">
      <c r="AA581" s="79"/>
    </row>
    <row r="582" spans="27:27" x14ac:dyDescent="0.35">
      <c r="AA582" s="79"/>
    </row>
    <row r="583" spans="27:27" x14ac:dyDescent="0.35">
      <c r="AA583" s="79"/>
    </row>
    <row r="584" spans="27:27" x14ac:dyDescent="0.35">
      <c r="AA584" s="79"/>
    </row>
    <row r="585" spans="27:27" x14ac:dyDescent="0.35">
      <c r="AA585" s="79"/>
    </row>
    <row r="586" spans="27:27" x14ac:dyDescent="0.35">
      <c r="AA586" s="79"/>
    </row>
    <row r="587" spans="27:27" x14ac:dyDescent="0.35">
      <c r="AA587" s="79"/>
    </row>
    <row r="588" spans="27:27" x14ac:dyDescent="0.35">
      <c r="AA588" s="79"/>
    </row>
    <row r="589" spans="27:27" x14ac:dyDescent="0.35">
      <c r="AA589" s="79"/>
    </row>
    <row r="590" spans="27:27" x14ac:dyDescent="0.35">
      <c r="AA590" s="79"/>
    </row>
    <row r="591" spans="27:27" x14ac:dyDescent="0.35">
      <c r="AA591" s="79"/>
    </row>
    <row r="592" spans="27:27" x14ac:dyDescent="0.35">
      <c r="AA592" s="79"/>
    </row>
    <row r="593" spans="27:27" x14ac:dyDescent="0.35">
      <c r="AA593" s="79"/>
    </row>
    <row r="594" spans="27:27" x14ac:dyDescent="0.35">
      <c r="AA594" s="79"/>
    </row>
    <row r="595" spans="27:27" x14ac:dyDescent="0.35">
      <c r="AA595" s="79"/>
    </row>
    <row r="596" spans="27:27" x14ac:dyDescent="0.35">
      <c r="AA596" s="79"/>
    </row>
    <row r="597" spans="27:27" x14ac:dyDescent="0.35">
      <c r="AA597" s="79"/>
    </row>
    <row r="598" spans="27:27" x14ac:dyDescent="0.35">
      <c r="AA598" s="79"/>
    </row>
    <row r="599" spans="27:27" x14ac:dyDescent="0.35">
      <c r="AA599" s="79"/>
    </row>
    <row r="600" spans="27:27" x14ac:dyDescent="0.35">
      <c r="AA600" s="79"/>
    </row>
    <row r="601" spans="27:27" x14ac:dyDescent="0.35">
      <c r="AA601" s="79"/>
    </row>
    <row r="602" spans="27:27" x14ac:dyDescent="0.35">
      <c r="AA602" s="79"/>
    </row>
    <row r="603" spans="27:27" x14ac:dyDescent="0.35">
      <c r="AA603" s="79"/>
    </row>
    <row r="604" spans="27:27" x14ac:dyDescent="0.35">
      <c r="AA604" s="79"/>
    </row>
    <row r="605" spans="27:27" x14ac:dyDescent="0.35">
      <c r="AA605" s="79"/>
    </row>
    <row r="606" spans="27:27" x14ac:dyDescent="0.35">
      <c r="AA606" s="79"/>
    </row>
    <row r="607" spans="27:27" x14ac:dyDescent="0.35">
      <c r="AA607" s="79"/>
    </row>
    <row r="608" spans="27:27" x14ac:dyDescent="0.35">
      <c r="AA608" s="79"/>
    </row>
    <row r="609" spans="27:27" x14ac:dyDescent="0.35">
      <c r="AA609" s="79"/>
    </row>
    <row r="610" spans="27:27" x14ac:dyDescent="0.35">
      <c r="AA610" s="79"/>
    </row>
    <row r="611" spans="27:27" x14ac:dyDescent="0.35">
      <c r="AA611" s="79"/>
    </row>
    <row r="612" spans="27:27" x14ac:dyDescent="0.35">
      <c r="AA612" s="79"/>
    </row>
    <row r="613" spans="27:27" x14ac:dyDescent="0.35">
      <c r="AA613" s="79"/>
    </row>
    <row r="614" spans="27:27" x14ac:dyDescent="0.35">
      <c r="AA614" s="79"/>
    </row>
    <row r="615" spans="27:27" x14ac:dyDescent="0.35">
      <c r="AA615" s="79"/>
    </row>
    <row r="616" spans="27:27" x14ac:dyDescent="0.35">
      <c r="AA616" s="79"/>
    </row>
    <row r="617" spans="27:27" x14ac:dyDescent="0.35">
      <c r="AA617" s="79"/>
    </row>
    <row r="618" spans="27:27" x14ac:dyDescent="0.35">
      <c r="AA618" s="79"/>
    </row>
    <row r="619" spans="27:27" x14ac:dyDescent="0.35">
      <c r="AA619" s="79"/>
    </row>
    <row r="620" spans="27:27" x14ac:dyDescent="0.35">
      <c r="AA620" s="79"/>
    </row>
    <row r="621" spans="27:27" x14ac:dyDescent="0.35">
      <c r="AA621" s="79"/>
    </row>
    <row r="622" spans="27:27" x14ac:dyDescent="0.35">
      <c r="AA622" s="79"/>
    </row>
    <row r="623" spans="27:27" x14ac:dyDescent="0.35">
      <c r="AA623" s="79"/>
    </row>
    <row r="624" spans="27:27" x14ac:dyDescent="0.35">
      <c r="AA624" s="79"/>
    </row>
    <row r="625" spans="27:27" x14ac:dyDescent="0.35">
      <c r="AA625" s="79"/>
    </row>
    <row r="626" spans="27:27" x14ac:dyDescent="0.35">
      <c r="AA626" s="79"/>
    </row>
    <row r="627" spans="27:27" x14ac:dyDescent="0.35">
      <c r="AA627" s="79"/>
    </row>
    <row r="628" spans="27:27" x14ac:dyDescent="0.35">
      <c r="AA628" s="79"/>
    </row>
    <row r="629" spans="27:27" x14ac:dyDescent="0.35">
      <c r="AA629" s="79"/>
    </row>
    <row r="630" spans="27:27" x14ac:dyDescent="0.35">
      <c r="AA630" s="79"/>
    </row>
    <row r="631" spans="27:27" x14ac:dyDescent="0.35">
      <c r="AA631" s="79"/>
    </row>
    <row r="632" spans="27:27" x14ac:dyDescent="0.35">
      <c r="AA632" s="79"/>
    </row>
    <row r="633" spans="27:27" x14ac:dyDescent="0.35">
      <c r="AA633" s="79"/>
    </row>
    <row r="634" spans="27:27" x14ac:dyDescent="0.35">
      <c r="AA634" s="79"/>
    </row>
    <row r="635" spans="27:27" x14ac:dyDescent="0.35">
      <c r="AA635" s="79"/>
    </row>
    <row r="636" spans="27:27" x14ac:dyDescent="0.35">
      <c r="AA636" s="79"/>
    </row>
    <row r="637" spans="27:27" x14ac:dyDescent="0.35">
      <c r="AA637" s="79"/>
    </row>
    <row r="638" spans="27:27" x14ac:dyDescent="0.35">
      <c r="AA638" s="79"/>
    </row>
    <row r="639" spans="27:27" x14ac:dyDescent="0.35">
      <c r="AA639" s="79"/>
    </row>
    <row r="640" spans="27:27" x14ac:dyDescent="0.35">
      <c r="AA640" s="79"/>
    </row>
    <row r="641" spans="27:27" x14ac:dyDescent="0.35">
      <c r="AA641" s="79"/>
    </row>
    <row r="642" spans="27:27" x14ac:dyDescent="0.35">
      <c r="AA642" s="79"/>
    </row>
    <row r="643" spans="27:27" x14ac:dyDescent="0.35">
      <c r="AA643" s="79"/>
    </row>
    <row r="644" spans="27:27" x14ac:dyDescent="0.35">
      <c r="AA644" s="79"/>
    </row>
    <row r="645" spans="27:27" x14ac:dyDescent="0.35">
      <c r="AA645" s="79"/>
    </row>
    <row r="646" spans="27:27" x14ac:dyDescent="0.35">
      <c r="AA646" s="79"/>
    </row>
    <row r="647" spans="27:27" x14ac:dyDescent="0.35">
      <c r="AA647" s="79"/>
    </row>
    <row r="648" spans="27:27" x14ac:dyDescent="0.35">
      <c r="AA648" s="79"/>
    </row>
    <row r="649" spans="27:27" x14ac:dyDescent="0.35">
      <c r="AA649" s="79"/>
    </row>
    <row r="650" spans="27:27" x14ac:dyDescent="0.35">
      <c r="AA650" s="79"/>
    </row>
    <row r="651" spans="27:27" x14ac:dyDescent="0.35">
      <c r="AA651" s="79"/>
    </row>
    <row r="652" spans="27:27" x14ac:dyDescent="0.35">
      <c r="AA652" s="79"/>
    </row>
    <row r="653" spans="27:27" x14ac:dyDescent="0.35">
      <c r="AA653" s="79"/>
    </row>
    <row r="654" spans="27:27" x14ac:dyDescent="0.35">
      <c r="AA654" s="79"/>
    </row>
    <row r="655" spans="27:27" x14ac:dyDescent="0.35">
      <c r="AA655" s="79"/>
    </row>
    <row r="656" spans="27:27" x14ac:dyDescent="0.35">
      <c r="AA656" s="79"/>
    </row>
    <row r="657" spans="27:27" x14ac:dyDescent="0.35">
      <c r="AA657" s="79"/>
    </row>
    <row r="658" spans="27:27" x14ac:dyDescent="0.35">
      <c r="AA658" s="79"/>
    </row>
    <row r="659" spans="27:27" x14ac:dyDescent="0.35">
      <c r="AA659" s="79"/>
    </row>
    <row r="660" spans="27:27" x14ac:dyDescent="0.35">
      <c r="AA660" s="79"/>
    </row>
    <row r="661" spans="27:27" x14ac:dyDescent="0.35">
      <c r="AA661" s="79"/>
    </row>
    <row r="662" spans="27:27" x14ac:dyDescent="0.35">
      <c r="AA662" s="79"/>
    </row>
    <row r="663" spans="27:27" x14ac:dyDescent="0.35">
      <c r="AA663" s="79"/>
    </row>
    <row r="664" spans="27:27" x14ac:dyDescent="0.35">
      <c r="AA664" s="79"/>
    </row>
    <row r="665" spans="27:27" x14ac:dyDescent="0.35">
      <c r="AA665" s="79"/>
    </row>
    <row r="666" spans="27:27" x14ac:dyDescent="0.35">
      <c r="AA666" s="79"/>
    </row>
    <row r="667" spans="27:27" x14ac:dyDescent="0.35">
      <c r="AA667" s="79"/>
    </row>
    <row r="668" spans="27:27" x14ac:dyDescent="0.35">
      <c r="AA668" s="79"/>
    </row>
    <row r="669" spans="27:27" x14ac:dyDescent="0.35">
      <c r="AA669" s="79"/>
    </row>
    <row r="670" spans="27:27" x14ac:dyDescent="0.35">
      <c r="AA670" s="79"/>
    </row>
    <row r="671" spans="27:27" x14ac:dyDescent="0.35">
      <c r="AA671" s="79"/>
    </row>
    <row r="672" spans="27:27" x14ac:dyDescent="0.35">
      <c r="AA672" s="79"/>
    </row>
    <row r="673" spans="27:27" x14ac:dyDescent="0.35">
      <c r="AA673" s="79"/>
    </row>
    <row r="674" spans="27:27" x14ac:dyDescent="0.35">
      <c r="AA674" s="79"/>
    </row>
    <row r="675" spans="27:27" x14ac:dyDescent="0.35">
      <c r="AA675" s="79"/>
    </row>
    <row r="676" spans="27:27" x14ac:dyDescent="0.35">
      <c r="AA676" s="79"/>
    </row>
    <row r="677" spans="27:27" x14ac:dyDescent="0.35">
      <c r="AA677" s="79"/>
    </row>
    <row r="678" spans="27:27" x14ac:dyDescent="0.35">
      <c r="AA678" s="79"/>
    </row>
    <row r="679" spans="27:27" x14ac:dyDescent="0.35">
      <c r="AA679" s="79"/>
    </row>
    <row r="680" spans="27:27" x14ac:dyDescent="0.35">
      <c r="AA680" s="79"/>
    </row>
    <row r="681" spans="27:27" x14ac:dyDescent="0.35">
      <c r="AA681" s="79"/>
    </row>
    <row r="682" spans="27:27" x14ac:dyDescent="0.35">
      <c r="AA682" s="79"/>
    </row>
    <row r="683" spans="27:27" x14ac:dyDescent="0.35">
      <c r="AA683" s="79"/>
    </row>
    <row r="684" spans="27:27" x14ac:dyDescent="0.35">
      <c r="AA684" s="79"/>
    </row>
    <row r="685" spans="27:27" x14ac:dyDescent="0.35">
      <c r="AA685" s="79"/>
    </row>
    <row r="686" spans="27:27" x14ac:dyDescent="0.35">
      <c r="AA686" s="79"/>
    </row>
    <row r="687" spans="27:27" x14ac:dyDescent="0.35">
      <c r="AA687" s="79"/>
    </row>
    <row r="688" spans="27:27" x14ac:dyDescent="0.35">
      <c r="AA688" s="79"/>
    </row>
    <row r="689" spans="27:27" x14ac:dyDescent="0.35">
      <c r="AA689" s="79"/>
    </row>
    <row r="690" spans="27:27" x14ac:dyDescent="0.35">
      <c r="AA690" s="79"/>
    </row>
    <row r="691" spans="27:27" x14ac:dyDescent="0.35">
      <c r="AA691" s="79"/>
    </row>
    <row r="692" spans="27:27" x14ac:dyDescent="0.35">
      <c r="AA692" s="79"/>
    </row>
    <row r="693" spans="27:27" x14ac:dyDescent="0.35">
      <c r="AA693" s="79"/>
    </row>
    <row r="694" spans="27:27" x14ac:dyDescent="0.35">
      <c r="AA694" s="79"/>
    </row>
    <row r="695" spans="27:27" x14ac:dyDescent="0.35">
      <c r="AA695" s="79"/>
    </row>
    <row r="696" spans="27:27" x14ac:dyDescent="0.35">
      <c r="AA696" s="79"/>
    </row>
    <row r="697" spans="27:27" x14ac:dyDescent="0.35">
      <c r="AA697" s="79"/>
    </row>
    <row r="698" spans="27:27" x14ac:dyDescent="0.35">
      <c r="AA698" s="79"/>
    </row>
    <row r="699" spans="27:27" x14ac:dyDescent="0.35">
      <c r="AA699" s="79"/>
    </row>
    <row r="700" spans="27:27" x14ac:dyDescent="0.35">
      <c r="AA700" s="79"/>
    </row>
    <row r="701" spans="27:27" x14ac:dyDescent="0.35">
      <c r="AA701" s="79"/>
    </row>
    <row r="702" spans="27:27" x14ac:dyDescent="0.35">
      <c r="AA702" s="79"/>
    </row>
    <row r="703" spans="27:27" x14ac:dyDescent="0.35">
      <c r="AA703" s="79"/>
    </row>
    <row r="704" spans="27:27" x14ac:dyDescent="0.35">
      <c r="AA704" s="79"/>
    </row>
    <row r="705" spans="27:27" x14ac:dyDescent="0.35">
      <c r="AA705" s="79"/>
    </row>
    <row r="706" spans="27:27" x14ac:dyDescent="0.35">
      <c r="AA706" s="79"/>
    </row>
    <row r="707" spans="27:27" x14ac:dyDescent="0.35">
      <c r="AA707" s="79"/>
    </row>
    <row r="708" spans="27:27" x14ac:dyDescent="0.35">
      <c r="AA708" s="79"/>
    </row>
    <row r="709" spans="27:27" x14ac:dyDescent="0.35">
      <c r="AA709" s="79"/>
    </row>
    <row r="710" spans="27:27" x14ac:dyDescent="0.35">
      <c r="AA710" s="79"/>
    </row>
    <row r="711" spans="27:27" x14ac:dyDescent="0.35">
      <c r="AA711" s="79"/>
    </row>
    <row r="712" spans="27:27" x14ac:dyDescent="0.35">
      <c r="AA712" s="79"/>
    </row>
    <row r="713" spans="27:27" x14ac:dyDescent="0.35">
      <c r="AA713" s="79"/>
    </row>
    <row r="714" spans="27:27" x14ac:dyDescent="0.35">
      <c r="AA714" s="79"/>
    </row>
    <row r="715" spans="27:27" x14ac:dyDescent="0.35">
      <c r="AA715" s="79"/>
    </row>
    <row r="716" spans="27:27" x14ac:dyDescent="0.35">
      <c r="AA716" s="79"/>
    </row>
    <row r="717" spans="27:27" x14ac:dyDescent="0.35">
      <c r="AA717" s="79"/>
    </row>
    <row r="718" spans="27:27" x14ac:dyDescent="0.35">
      <c r="AA718" s="79"/>
    </row>
    <row r="719" spans="27:27" x14ac:dyDescent="0.35">
      <c r="AA719" s="79"/>
    </row>
    <row r="720" spans="27:27" x14ac:dyDescent="0.35">
      <c r="AA720" s="79"/>
    </row>
    <row r="721" spans="27:27" x14ac:dyDescent="0.35">
      <c r="AA721" s="79"/>
    </row>
    <row r="722" spans="27:27" x14ac:dyDescent="0.35">
      <c r="AA722" s="79"/>
    </row>
    <row r="723" spans="27:27" x14ac:dyDescent="0.35">
      <c r="AA723" s="79"/>
    </row>
    <row r="724" spans="27:27" x14ac:dyDescent="0.35">
      <c r="AA724" s="79"/>
    </row>
    <row r="725" spans="27:27" x14ac:dyDescent="0.35">
      <c r="AA725" s="79"/>
    </row>
    <row r="726" spans="27:27" x14ac:dyDescent="0.35">
      <c r="AA726" s="79"/>
    </row>
    <row r="727" spans="27:27" x14ac:dyDescent="0.35">
      <c r="AA727" s="79"/>
    </row>
    <row r="728" spans="27:27" x14ac:dyDescent="0.35">
      <c r="AA728" s="79"/>
    </row>
    <row r="729" spans="27:27" x14ac:dyDescent="0.35">
      <c r="AA729" s="79"/>
    </row>
    <row r="730" spans="27:27" x14ac:dyDescent="0.35">
      <c r="AA730" s="79"/>
    </row>
    <row r="731" spans="27:27" x14ac:dyDescent="0.35">
      <c r="AA731" s="79"/>
    </row>
    <row r="732" spans="27:27" x14ac:dyDescent="0.35">
      <c r="AA732" s="79"/>
    </row>
    <row r="733" spans="27:27" x14ac:dyDescent="0.35">
      <c r="AA733" s="79"/>
    </row>
    <row r="734" spans="27:27" x14ac:dyDescent="0.35">
      <c r="AA734" s="79"/>
    </row>
    <row r="735" spans="27:27" x14ac:dyDescent="0.35">
      <c r="AA735" s="79"/>
    </row>
    <row r="736" spans="27:27" x14ac:dyDescent="0.35">
      <c r="AA736" s="79"/>
    </row>
    <row r="737" spans="27:27" x14ac:dyDescent="0.35">
      <c r="AA737" s="79"/>
    </row>
    <row r="738" spans="27:27" x14ac:dyDescent="0.35">
      <c r="AA738" s="79"/>
    </row>
    <row r="739" spans="27:27" x14ac:dyDescent="0.35">
      <c r="AA739" s="79"/>
    </row>
    <row r="740" spans="27:27" x14ac:dyDescent="0.35">
      <c r="AA740" s="79"/>
    </row>
    <row r="741" spans="27:27" x14ac:dyDescent="0.35">
      <c r="AA741" s="79"/>
    </row>
    <row r="742" spans="27:27" x14ac:dyDescent="0.35">
      <c r="AA742" s="79"/>
    </row>
    <row r="743" spans="27:27" x14ac:dyDescent="0.35">
      <c r="AA743" s="79"/>
    </row>
    <row r="744" spans="27:27" x14ac:dyDescent="0.35">
      <c r="AA744" s="79"/>
    </row>
    <row r="745" spans="27:27" x14ac:dyDescent="0.35">
      <c r="AA745" s="79"/>
    </row>
    <row r="746" spans="27:27" x14ac:dyDescent="0.35">
      <c r="AA746" s="79"/>
    </row>
    <row r="747" spans="27:27" x14ac:dyDescent="0.35">
      <c r="AA747" s="79"/>
    </row>
    <row r="748" spans="27:27" x14ac:dyDescent="0.35">
      <c r="AA748" s="79"/>
    </row>
    <row r="749" spans="27:27" x14ac:dyDescent="0.35">
      <c r="AA749" s="79"/>
    </row>
    <row r="750" spans="27:27" x14ac:dyDescent="0.35">
      <c r="AA750" s="79"/>
    </row>
    <row r="751" spans="27:27" x14ac:dyDescent="0.35">
      <c r="AA751" s="79"/>
    </row>
    <row r="752" spans="27:27" x14ac:dyDescent="0.35">
      <c r="AA752" s="79"/>
    </row>
    <row r="753" spans="27:27" x14ac:dyDescent="0.35">
      <c r="AA753" s="79"/>
    </row>
    <row r="754" spans="27:27" x14ac:dyDescent="0.35">
      <c r="AA754" s="79"/>
    </row>
    <row r="755" spans="27:27" x14ac:dyDescent="0.35">
      <c r="AA755" s="79"/>
    </row>
    <row r="756" spans="27:27" x14ac:dyDescent="0.35">
      <c r="AA756" s="79"/>
    </row>
    <row r="757" spans="27:27" x14ac:dyDescent="0.35">
      <c r="AA757" s="79"/>
    </row>
    <row r="758" spans="27:27" x14ac:dyDescent="0.35">
      <c r="AA758" s="79"/>
    </row>
    <row r="759" spans="27:27" x14ac:dyDescent="0.35">
      <c r="AA759" s="79"/>
    </row>
    <row r="760" spans="27:27" x14ac:dyDescent="0.35">
      <c r="AA760" s="79"/>
    </row>
    <row r="761" spans="27:27" x14ac:dyDescent="0.35">
      <c r="AA761" s="79"/>
    </row>
    <row r="762" spans="27:27" x14ac:dyDescent="0.35">
      <c r="AA762" s="79"/>
    </row>
    <row r="763" spans="27:27" x14ac:dyDescent="0.35">
      <c r="AA763" s="79"/>
    </row>
    <row r="764" spans="27:27" x14ac:dyDescent="0.35">
      <c r="AA764" s="79"/>
    </row>
    <row r="765" spans="27:27" x14ac:dyDescent="0.35">
      <c r="AA765" s="79"/>
    </row>
    <row r="766" spans="27:27" x14ac:dyDescent="0.35">
      <c r="AA766" s="79"/>
    </row>
    <row r="767" spans="27:27" x14ac:dyDescent="0.35">
      <c r="AA767" s="79"/>
    </row>
    <row r="768" spans="27:27" x14ac:dyDescent="0.35">
      <c r="AA768" s="79"/>
    </row>
    <row r="769" spans="27:27" x14ac:dyDescent="0.35">
      <c r="AA769" s="79"/>
    </row>
    <row r="770" spans="27:27" x14ac:dyDescent="0.35">
      <c r="AA770" s="79"/>
    </row>
    <row r="771" spans="27:27" x14ac:dyDescent="0.35">
      <c r="AA771" s="79"/>
    </row>
    <row r="772" spans="27:27" x14ac:dyDescent="0.35">
      <c r="AA772" s="79"/>
    </row>
    <row r="773" spans="27:27" x14ac:dyDescent="0.35">
      <c r="AA773" s="79"/>
    </row>
    <row r="774" spans="27:27" x14ac:dyDescent="0.35">
      <c r="AA774" s="79"/>
    </row>
    <row r="775" spans="27:27" x14ac:dyDescent="0.35">
      <c r="AA775" s="79"/>
    </row>
    <row r="776" spans="27:27" x14ac:dyDescent="0.35">
      <c r="AA776" s="79"/>
    </row>
    <row r="777" spans="27:27" x14ac:dyDescent="0.35">
      <c r="AA777" s="79"/>
    </row>
    <row r="778" spans="27:27" x14ac:dyDescent="0.35">
      <c r="AA778" s="79"/>
    </row>
    <row r="779" spans="27:27" x14ac:dyDescent="0.35">
      <c r="AA779" s="79"/>
    </row>
    <row r="780" spans="27:27" x14ac:dyDescent="0.35">
      <c r="AA780" s="79"/>
    </row>
    <row r="781" spans="27:27" x14ac:dyDescent="0.35">
      <c r="AA781" s="79"/>
    </row>
    <row r="782" spans="27:27" x14ac:dyDescent="0.35">
      <c r="AA782" s="79"/>
    </row>
    <row r="783" spans="27:27" x14ac:dyDescent="0.35">
      <c r="AA783" s="79"/>
    </row>
    <row r="784" spans="27:27" x14ac:dyDescent="0.35">
      <c r="AA784" s="79"/>
    </row>
    <row r="785" spans="27:27" x14ac:dyDescent="0.35">
      <c r="AA785" s="79"/>
    </row>
    <row r="786" spans="27:27" x14ac:dyDescent="0.35">
      <c r="AA786" s="79"/>
    </row>
    <row r="787" spans="27:27" x14ac:dyDescent="0.35">
      <c r="AA787" s="79"/>
    </row>
    <row r="788" spans="27:27" x14ac:dyDescent="0.35">
      <c r="AA788" s="79"/>
    </row>
    <row r="789" spans="27:27" x14ac:dyDescent="0.35">
      <c r="AA789" s="79"/>
    </row>
    <row r="790" spans="27:27" x14ac:dyDescent="0.35">
      <c r="AA790" s="79"/>
    </row>
    <row r="791" spans="27:27" x14ac:dyDescent="0.35">
      <c r="AA791" s="79"/>
    </row>
    <row r="792" spans="27:27" x14ac:dyDescent="0.35">
      <c r="AA792" s="79"/>
    </row>
    <row r="793" spans="27:27" x14ac:dyDescent="0.35">
      <c r="AA793" s="79"/>
    </row>
    <row r="794" spans="27:27" x14ac:dyDescent="0.35">
      <c r="AA794" s="79"/>
    </row>
    <row r="795" spans="27:27" x14ac:dyDescent="0.35">
      <c r="AA795" s="79"/>
    </row>
    <row r="796" spans="27:27" x14ac:dyDescent="0.35">
      <c r="AA796" s="79"/>
    </row>
    <row r="797" spans="27:27" x14ac:dyDescent="0.35">
      <c r="AA797" s="79"/>
    </row>
    <row r="798" spans="27:27" x14ac:dyDescent="0.35">
      <c r="AA798" s="79"/>
    </row>
    <row r="799" spans="27:27" x14ac:dyDescent="0.35">
      <c r="AA799" s="79"/>
    </row>
    <row r="800" spans="27:27" x14ac:dyDescent="0.35">
      <c r="AA800" s="79"/>
    </row>
    <row r="801" spans="27:27" x14ac:dyDescent="0.35">
      <c r="AA801" s="79"/>
    </row>
    <row r="802" spans="27:27" x14ac:dyDescent="0.35">
      <c r="AA802" s="79"/>
    </row>
    <row r="803" spans="27:27" x14ac:dyDescent="0.35">
      <c r="AA803" s="79"/>
    </row>
    <row r="804" spans="27:27" x14ac:dyDescent="0.35">
      <c r="AA804" s="79"/>
    </row>
    <row r="805" spans="27:27" x14ac:dyDescent="0.35">
      <c r="AA805" s="79"/>
    </row>
    <row r="806" spans="27:27" x14ac:dyDescent="0.35">
      <c r="AA806" s="79"/>
    </row>
    <row r="807" spans="27:27" x14ac:dyDescent="0.35">
      <c r="AA807" s="79"/>
    </row>
    <row r="808" spans="27:27" x14ac:dyDescent="0.35">
      <c r="AA808" s="79"/>
    </row>
    <row r="809" spans="27:27" x14ac:dyDescent="0.35">
      <c r="AA809" s="79"/>
    </row>
    <row r="810" spans="27:27" x14ac:dyDescent="0.35">
      <c r="AA810" s="79"/>
    </row>
    <row r="811" spans="27:27" x14ac:dyDescent="0.35">
      <c r="AA811" s="79"/>
    </row>
    <row r="812" spans="27:27" x14ac:dyDescent="0.35">
      <c r="AA812" s="79"/>
    </row>
    <row r="813" spans="27:27" x14ac:dyDescent="0.35">
      <c r="AA813" s="79"/>
    </row>
    <row r="814" spans="27:27" x14ac:dyDescent="0.35">
      <c r="AA814" s="79"/>
    </row>
    <row r="815" spans="27:27" x14ac:dyDescent="0.35">
      <c r="AA815" s="79"/>
    </row>
    <row r="816" spans="27:27" x14ac:dyDescent="0.35">
      <c r="AA816" s="79"/>
    </row>
    <row r="817" spans="27:27" x14ac:dyDescent="0.35">
      <c r="AA817" s="79"/>
    </row>
    <row r="818" spans="27:27" x14ac:dyDescent="0.35">
      <c r="AA818" s="79"/>
    </row>
    <row r="819" spans="27:27" x14ac:dyDescent="0.35">
      <c r="AA819" s="79"/>
    </row>
    <row r="820" spans="27:27" x14ac:dyDescent="0.35">
      <c r="AA820" s="79"/>
    </row>
    <row r="821" spans="27:27" x14ac:dyDescent="0.35">
      <c r="AA821" s="79"/>
    </row>
    <row r="822" spans="27:27" x14ac:dyDescent="0.35">
      <c r="AA822" s="79"/>
    </row>
    <row r="823" spans="27:27" x14ac:dyDescent="0.35">
      <c r="AA823" s="79"/>
    </row>
    <row r="824" spans="27:27" x14ac:dyDescent="0.35">
      <c r="AA824" s="79"/>
    </row>
    <row r="825" spans="27:27" x14ac:dyDescent="0.35">
      <c r="AA825" s="79"/>
    </row>
    <row r="826" spans="27:27" x14ac:dyDescent="0.35">
      <c r="AA826" s="79"/>
    </row>
    <row r="827" spans="27:27" x14ac:dyDescent="0.35">
      <c r="AA827" s="79"/>
    </row>
    <row r="828" spans="27:27" x14ac:dyDescent="0.35">
      <c r="AA828" s="79"/>
    </row>
    <row r="829" spans="27:27" x14ac:dyDescent="0.35">
      <c r="AA829" s="79"/>
    </row>
    <row r="830" spans="27:27" x14ac:dyDescent="0.35">
      <c r="AA830" s="79"/>
    </row>
    <row r="831" spans="27:27" x14ac:dyDescent="0.35">
      <c r="AA831" s="79"/>
    </row>
    <row r="832" spans="27:27" x14ac:dyDescent="0.35">
      <c r="AA832" s="79"/>
    </row>
    <row r="833" spans="27:27" x14ac:dyDescent="0.35">
      <c r="AA833" s="79"/>
    </row>
    <row r="834" spans="27:27" x14ac:dyDescent="0.35">
      <c r="AA834" s="79"/>
    </row>
    <row r="835" spans="27:27" x14ac:dyDescent="0.35">
      <c r="AA835" s="79"/>
    </row>
    <row r="836" spans="27:27" x14ac:dyDescent="0.35">
      <c r="AA836" s="79"/>
    </row>
    <row r="837" spans="27:27" x14ac:dyDescent="0.35">
      <c r="AA837" s="79"/>
    </row>
    <row r="838" spans="27:27" x14ac:dyDescent="0.35">
      <c r="AA838" s="79"/>
    </row>
    <row r="839" spans="27:27" x14ac:dyDescent="0.35">
      <c r="AA839" s="79"/>
    </row>
    <row r="840" spans="27:27" x14ac:dyDescent="0.35">
      <c r="AA840" s="79"/>
    </row>
    <row r="841" spans="27:27" x14ac:dyDescent="0.35">
      <c r="AA841" s="79"/>
    </row>
    <row r="842" spans="27:27" x14ac:dyDescent="0.35">
      <c r="AA842" s="79"/>
    </row>
    <row r="843" spans="27:27" x14ac:dyDescent="0.35">
      <c r="AA843" s="79"/>
    </row>
    <row r="844" spans="27:27" x14ac:dyDescent="0.35">
      <c r="AA844" s="79"/>
    </row>
    <row r="845" spans="27:27" x14ac:dyDescent="0.35">
      <c r="AA845" s="79"/>
    </row>
    <row r="846" spans="27:27" x14ac:dyDescent="0.35">
      <c r="AA846" s="79"/>
    </row>
    <row r="847" spans="27:27" x14ac:dyDescent="0.35">
      <c r="AA847" s="79"/>
    </row>
    <row r="848" spans="27:27" x14ac:dyDescent="0.35">
      <c r="AA848" s="79"/>
    </row>
    <row r="849" spans="27:27" x14ac:dyDescent="0.35">
      <c r="AA849" s="79"/>
    </row>
    <row r="850" spans="27:27" x14ac:dyDescent="0.35">
      <c r="AA850" s="79"/>
    </row>
    <row r="851" spans="27:27" x14ac:dyDescent="0.35">
      <c r="AA851" s="79"/>
    </row>
    <row r="852" spans="27:27" x14ac:dyDescent="0.35">
      <c r="AA852" s="79"/>
    </row>
    <row r="853" spans="27:27" x14ac:dyDescent="0.35">
      <c r="AA853" s="79"/>
    </row>
    <row r="854" spans="27:27" x14ac:dyDescent="0.35">
      <c r="AA854" s="79"/>
    </row>
    <row r="855" spans="27:27" x14ac:dyDescent="0.35">
      <c r="AA855" s="79"/>
    </row>
    <row r="856" spans="27:27" x14ac:dyDescent="0.35">
      <c r="AA856" s="79"/>
    </row>
    <row r="857" spans="27:27" x14ac:dyDescent="0.35">
      <c r="AA857" s="79"/>
    </row>
    <row r="858" spans="27:27" x14ac:dyDescent="0.35">
      <c r="AA858" s="79"/>
    </row>
    <row r="859" spans="27:27" x14ac:dyDescent="0.35">
      <c r="AA859" s="79"/>
    </row>
    <row r="860" spans="27:27" x14ac:dyDescent="0.35">
      <c r="AA860" s="79"/>
    </row>
    <row r="861" spans="27:27" x14ac:dyDescent="0.35">
      <c r="AA861" s="79"/>
    </row>
    <row r="862" spans="27:27" x14ac:dyDescent="0.35">
      <c r="AA862" s="79"/>
    </row>
    <row r="863" spans="27:27" x14ac:dyDescent="0.35">
      <c r="AA863" s="79"/>
    </row>
    <row r="864" spans="27:27" x14ac:dyDescent="0.35">
      <c r="AA864" s="79"/>
    </row>
    <row r="865" spans="27:27" x14ac:dyDescent="0.35">
      <c r="AA865" s="79"/>
    </row>
    <row r="866" spans="27:27" x14ac:dyDescent="0.35">
      <c r="AA866" s="79"/>
    </row>
    <row r="867" spans="27:27" x14ac:dyDescent="0.35">
      <c r="AA867" s="79"/>
    </row>
    <row r="868" spans="27:27" x14ac:dyDescent="0.35">
      <c r="AA868" s="79"/>
    </row>
    <row r="869" spans="27:27" x14ac:dyDescent="0.35">
      <c r="AA869" s="79"/>
    </row>
    <row r="870" spans="27:27" x14ac:dyDescent="0.35">
      <c r="AA870" s="79"/>
    </row>
    <row r="871" spans="27:27" x14ac:dyDescent="0.35">
      <c r="AA871" s="79"/>
    </row>
    <row r="872" spans="27:27" x14ac:dyDescent="0.35">
      <c r="AA872" s="79"/>
    </row>
    <row r="873" spans="27:27" x14ac:dyDescent="0.35">
      <c r="AA873" s="79"/>
    </row>
    <row r="874" spans="27:27" x14ac:dyDescent="0.35">
      <c r="AA874" s="79"/>
    </row>
    <row r="875" spans="27:27" x14ac:dyDescent="0.35">
      <c r="AA875" s="79"/>
    </row>
    <row r="876" spans="27:27" x14ac:dyDescent="0.35">
      <c r="AA876" s="79"/>
    </row>
    <row r="877" spans="27:27" x14ac:dyDescent="0.35">
      <c r="AA877" s="79"/>
    </row>
    <row r="878" spans="27:27" x14ac:dyDescent="0.35">
      <c r="AA878" s="79"/>
    </row>
    <row r="879" spans="27:27" x14ac:dyDescent="0.35">
      <c r="AA879" s="79"/>
    </row>
    <row r="880" spans="27:27" x14ac:dyDescent="0.35">
      <c r="AA880" s="79"/>
    </row>
    <row r="881" spans="27:27" x14ac:dyDescent="0.35">
      <c r="AA881" s="79"/>
    </row>
    <row r="882" spans="27:27" x14ac:dyDescent="0.35">
      <c r="AA882" s="79"/>
    </row>
    <row r="883" spans="27:27" x14ac:dyDescent="0.35">
      <c r="AA883" s="79"/>
    </row>
    <row r="884" spans="27:27" x14ac:dyDescent="0.35">
      <c r="AA884" s="79"/>
    </row>
    <row r="885" spans="27:27" x14ac:dyDescent="0.35">
      <c r="AA885" s="79"/>
    </row>
    <row r="886" spans="27:27" x14ac:dyDescent="0.35">
      <c r="AA886" s="79"/>
    </row>
    <row r="887" spans="27:27" x14ac:dyDescent="0.35">
      <c r="AA887" s="79"/>
    </row>
    <row r="888" spans="27:27" x14ac:dyDescent="0.35">
      <c r="AA888" s="79"/>
    </row>
    <row r="889" spans="27:27" x14ac:dyDescent="0.35">
      <c r="AA889" s="79"/>
    </row>
    <row r="890" spans="27:27" x14ac:dyDescent="0.35">
      <c r="AA890" s="79"/>
    </row>
    <row r="891" spans="27:27" x14ac:dyDescent="0.35">
      <c r="AA891" s="79"/>
    </row>
    <row r="892" spans="27:27" x14ac:dyDescent="0.35">
      <c r="AA892" s="79"/>
    </row>
    <row r="893" spans="27:27" x14ac:dyDescent="0.35">
      <c r="AA893" s="79"/>
    </row>
    <row r="894" spans="27:27" x14ac:dyDescent="0.35">
      <c r="AA894" s="79"/>
    </row>
    <row r="895" spans="27:27" x14ac:dyDescent="0.35">
      <c r="AA895" s="79"/>
    </row>
    <row r="896" spans="27:27" x14ac:dyDescent="0.35">
      <c r="AA896" s="79"/>
    </row>
    <row r="897" spans="27:27" x14ac:dyDescent="0.35">
      <c r="AA897" s="79"/>
    </row>
    <row r="898" spans="27:27" x14ac:dyDescent="0.35">
      <c r="AA898" s="79"/>
    </row>
    <row r="899" spans="27:27" x14ac:dyDescent="0.35">
      <c r="AA899" s="79"/>
    </row>
    <row r="900" spans="27:27" x14ac:dyDescent="0.35">
      <c r="AA900" s="79"/>
    </row>
    <row r="901" spans="27:27" x14ac:dyDescent="0.35">
      <c r="AA901" s="79"/>
    </row>
    <row r="902" spans="27:27" x14ac:dyDescent="0.35">
      <c r="AA902" s="79"/>
    </row>
    <row r="903" spans="27:27" x14ac:dyDescent="0.35">
      <c r="AA903" s="79"/>
    </row>
    <row r="904" spans="27:27" x14ac:dyDescent="0.35">
      <c r="AA904" s="79"/>
    </row>
    <row r="905" spans="27:27" x14ac:dyDescent="0.35">
      <c r="AA905" s="79"/>
    </row>
    <row r="906" spans="27:27" x14ac:dyDescent="0.35">
      <c r="AA906" s="79"/>
    </row>
    <row r="907" spans="27:27" x14ac:dyDescent="0.35">
      <c r="AA907" s="79"/>
    </row>
    <row r="908" spans="27:27" x14ac:dyDescent="0.35">
      <c r="AA908" s="79"/>
    </row>
    <row r="909" spans="27:27" x14ac:dyDescent="0.35">
      <c r="AA909" s="79"/>
    </row>
    <row r="910" spans="27:27" x14ac:dyDescent="0.35">
      <c r="AA910" s="79"/>
    </row>
    <row r="911" spans="27:27" x14ac:dyDescent="0.35">
      <c r="AA911" s="79"/>
    </row>
    <row r="912" spans="27:27" x14ac:dyDescent="0.35">
      <c r="AA912" s="79"/>
    </row>
    <row r="913" spans="27:27" x14ac:dyDescent="0.35">
      <c r="AA913" s="79"/>
    </row>
    <row r="914" spans="27:27" x14ac:dyDescent="0.35">
      <c r="AA914" s="79"/>
    </row>
    <row r="915" spans="27:27" x14ac:dyDescent="0.35">
      <c r="AA915" s="79"/>
    </row>
    <row r="916" spans="27:27" x14ac:dyDescent="0.35">
      <c r="AA916" s="79"/>
    </row>
    <row r="917" spans="27:27" x14ac:dyDescent="0.35">
      <c r="AA917" s="79"/>
    </row>
    <row r="918" spans="27:27" x14ac:dyDescent="0.35">
      <c r="AA918" s="79"/>
    </row>
    <row r="919" spans="27:27" x14ac:dyDescent="0.35">
      <c r="AA919" s="79"/>
    </row>
    <row r="920" spans="27:27" x14ac:dyDescent="0.35">
      <c r="AA920" s="79"/>
    </row>
    <row r="921" spans="27:27" x14ac:dyDescent="0.35">
      <c r="AA921" s="79"/>
    </row>
    <row r="922" spans="27:27" x14ac:dyDescent="0.35">
      <c r="AA922" s="79"/>
    </row>
    <row r="923" spans="27:27" x14ac:dyDescent="0.35">
      <c r="AA923" s="79"/>
    </row>
    <row r="924" spans="27:27" x14ac:dyDescent="0.35">
      <c r="AA924" s="79"/>
    </row>
    <row r="925" spans="27:27" x14ac:dyDescent="0.35">
      <c r="AA925" s="79"/>
    </row>
    <row r="926" spans="27:27" x14ac:dyDescent="0.35">
      <c r="AA926" s="79"/>
    </row>
    <row r="927" spans="27:27" x14ac:dyDescent="0.35">
      <c r="AA927" s="79"/>
    </row>
    <row r="928" spans="27:27" x14ac:dyDescent="0.35">
      <c r="AA928" s="79"/>
    </row>
    <row r="929" spans="27:27" x14ac:dyDescent="0.35">
      <c r="AA929" s="79"/>
    </row>
    <row r="930" spans="27:27" x14ac:dyDescent="0.35">
      <c r="AA930" s="79"/>
    </row>
    <row r="931" spans="27:27" x14ac:dyDescent="0.35">
      <c r="AA931" s="79"/>
    </row>
    <row r="932" spans="27:27" x14ac:dyDescent="0.35">
      <c r="AA932" s="79"/>
    </row>
    <row r="933" spans="27:27" x14ac:dyDescent="0.35">
      <c r="AA933" s="79"/>
    </row>
    <row r="934" spans="27:27" x14ac:dyDescent="0.35">
      <c r="AA934" s="79"/>
    </row>
    <row r="935" spans="27:27" x14ac:dyDescent="0.35">
      <c r="AA935" s="79"/>
    </row>
    <row r="936" spans="27:27" x14ac:dyDescent="0.35">
      <c r="AA936" s="79"/>
    </row>
    <row r="937" spans="27:27" x14ac:dyDescent="0.35">
      <c r="AA937" s="79"/>
    </row>
    <row r="938" spans="27:27" x14ac:dyDescent="0.35">
      <c r="AA938" s="79"/>
    </row>
    <row r="939" spans="27:27" x14ac:dyDescent="0.35">
      <c r="AA939" s="79"/>
    </row>
    <row r="940" spans="27:27" x14ac:dyDescent="0.35">
      <c r="AA940" s="79"/>
    </row>
    <row r="941" spans="27:27" x14ac:dyDescent="0.35">
      <c r="AA941" s="79"/>
    </row>
    <row r="942" spans="27:27" x14ac:dyDescent="0.35">
      <c r="AA942" s="79"/>
    </row>
    <row r="943" spans="27:27" x14ac:dyDescent="0.35">
      <c r="AA943" s="79"/>
    </row>
    <row r="944" spans="27:27" x14ac:dyDescent="0.35">
      <c r="AA944" s="79"/>
    </row>
    <row r="945" spans="27:27" x14ac:dyDescent="0.35">
      <c r="AA945" s="79"/>
    </row>
    <row r="946" spans="27:27" x14ac:dyDescent="0.35">
      <c r="AA946" s="79"/>
    </row>
    <row r="947" spans="27:27" x14ac:dyDescent="0.35">
      <c r="AA947" s="79"/>
    </row>
    <row r="948" spans="27:27" x14ac:dyDescent="0.35">
      <c r="AA948" s="79"/>
    </row>
    <row r="949" spans="27:27" x14ac:dyDescent="0.35">
      <c r="AA949" s="79"/>
    </row>
    <row r="950" spans="27:27" x14ac:dyDescent="0.35">
      <c r="AA950" s="79"/>
    </row>
    <row r="951" spans="27:27" x14ac:dyDescent="0.35">
      <c r="AA951" s="79"/>
    </row>
    <row r="952" spans="27:27" x14ac:dyDescent="0.35">
      <c r="AA952" s="79"/>
    </row>
    <row r="953" spans="27:27" x14ac:dyDescent="0.35">
      <c r="AA953" s="79"/>
    </row>
    <row r="954" spans="27:27" x14ac:dyDescent="0.35">
      <c r="AA954" s="79"/>
    </row>
    <row r="955" spans="27:27" x14ac:dyDescent="0.35">
      <c r="AA955" s="79"/>
    </row>
    <row r="956" spans="27:27" x14ac:dyDescent="0.35">
      <c r="AA956" s="79"/>
    </row>
    <row r="957" spans="27:27" x14ac:dyDescent="0.35">
      <c r="AA957" s="79"/>
    </row>
    <row r="958" spans="27:27" x14ac:dyDescent="0.35">
      <c r="AA958" s="79"/>
    </row>
    <row r="959" spans="27:27" x14ac:dyDescent="0.35">
      <c r="AA959" s="79"/>
    </row>
    <row r="960" spans="27:27" x14ac:dyDescent="0.35">
      <c r="AA960" s="79"/>
    </row>
    <row r="961" spans="27:27" x14ac:dyDescent="0.35">
      <c r="AA961" s="79"/>
    </row>
    <row r="962" spans="27:27" x14ac:dyDescent="0.35">
      <c r="AA962" s="79"/>
    </row>
    <row r="963" spans="27:27" x14ac:dyDescent="0.35">
      <c r="AA963" s="79"/>
    </row>
    <row r="964" spans="27:27" x14ac:dyDescent="0.35">
      <c r="AA964" s="79"/>
    </row>
    <row r="965" spans="27:27" x14ac:dyDescent="0.35">
      <c r="AA965" s="79"/>
    </row>
    <row r="966" spans="27:27" x14ac:dyDescent="0.35">
      <c r="AA966" s="79"/>
    </row>
    <row r="967" spans="27:27" x14ac:dyDescent="0.35">
      <c r="AA967" s="79"/>
    </row>
    <row r="968" spans="27:27" x14ac:dyDescent="0.35">
      <c r="AA968" s="79"/>
    </row>
    <row r="969" spans="27:27" x14ac:dyDescent="0.35">
      <c r="AA969" s="79"/>
    </row>
    <row r="970" spans="27:27" x14ac:dyDescent="0.35">
      <c r="AA970" s="79"/>
    </row>
    <row r="971" spans="27:27" x14ac:dyDescent="0.35">
      <c r="AA971" s="79"/>
    </row>
    <row r="972" spans="27:27" x14ac:dyDescent="0.35">
      <c r="AA972" s="79"/>
    </row>
    <row r="973" spans="27:27" x14ac:dyDescent="0.35">
      <c r="AA973" s="79"/>
    </row>
    <row r="974" spans="27:27" x14ac:dyDescent="0.35">
      <c r="AA974" s="79"/>
    </row>
    <row r="975" spans="27:27" x14ac:dyDescent="0.35">
      <c r="AA975" s="79"/>
    </row>
    <row r="976" spans="27:27" x14ac:dyDescent="0.35">
      <c r="AA976" s="156"/>
    </row>
  </sheetData>
  <sortState ref="A4:AG378">
    <sortCondition ref="A4:A378"/>
  </sortState>
  <mergeCells count="25">
    <mergeCell ref="F1:F2"/>
    <mergeCell ref="G1:G2"/>
    <mergeCell ref="H1:H2"/>
    <mergeCell ref="A1:A2"/>
    <mergeCell ref="B1:B2"/>
    <mergeCell ref="C1:C2"/>
    <mergeCell ref="D1:D2"/>
    <mergeCell ref="E1:E2"/>
    <mergeCell ref="V1:X1"/>
    <mergeCell ref="I1:I2"/>
    <mergeCell ref="J1:J2"/>
    <mergeCell ref="K1:K2"/>
    <mergeCell ref="L1:L2"/>
    <mergeCell ref="M1:M2"/>
    <mergeCell ref="N1:N2"/>
    <mergeCell ref="P1:P2"/>
    <mergeCell ref="Q1:Q2"/>
    <mergeCell ref="R1:R2"/>
    <mergeCell ref="S1:S2"/>
    <mergeCell ref="T1:T2"/>
    <mergeCell ref="Z1:Z2"/>
    <mergeCell ref="AA1:AA2"/>
    <mergeCell ref="AB1:AB2"/>
    <mergeCell ref="AC1:AC2"/>
    <mergeCell ref="AD1:AD2"/>
  </mergeCells>
  <conditionalFormatting sqref="F4:F357 F359:F375">
    <cfRule type="duplicateValues" dxfId="2" priority="1"/>
  </conditionalFormatting>
  <conditionalFormatting sqref="F4:F357 F359:F444">
    <cfRule type="duplicateValues" dxfId="1" priority="2"/>
  </conditionalFormatting>
  <conditionalFormatting sqref="F4:F357 F359:F411">
    <cfRule type="duplicateValues" dxfId="0" priority="3"/>
  </conditionalFormatting>
  <pageMargins left="0.70866141732283472" right="0.27559055118110237" top="0.74803149606299213" bottom="0.74803149606299213" header="0.31496062992125984" footer="0.31496062992125984"/>
  <pageSetup paperSize="256" scale="50"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19"/>
  <sheetViews>
    <sheetView zoomScale="80" zoomScaleNormal="80" workbookViewId="0">
      <pane xSplit="4" ySplit="7" topLeftCell="F8" activePane="bottomRight" state="frozen"/>
      <selection activeCell="L251" sqref="L251"/>
      <selection pane="topRight" activeCell="L251" sqref="L251"/>
      <selection pane="bottomLeft" activeCell="L251" sqref="L251"/>
      <selection pane="bottomRight" activeCell="G8" sqref="G8:M258"/>
    </sheetView>
  </sheetViews>
  <sheetFormatPr defaultRowHeight="15" x14ac:dyDescent="0.25"/>
  <cols>
    <col min="1" max="1" width="4.85546875" customWidth="1"/>
    <col min="2" max="2" width="14.85546875" customWidth="1"/>
    <col min="3" max="3" width="16.5703125" customWidth="1"/>
    <col min="4" max="4" width="16.42578125" customWidth="1"/>
    <col min="5" max="5" width="10" style="34" hidden="1" customWidth="1"/>
    <col min="6" max="6" width="19.7109375" style="31" customWidth="1"/>
    <col min="7" max="10" width="13.140625" style="69" customWidth="1"/>
    <col min="11" max="12" width="10.28515625" customWidth="1"/>
    <col min="13" max="13" width="13" customWidth="1"/>
    <col min="14" max="14" width="14.28515625" customWidth="1"/>
    <col min="15" max="17" width="9.140625" customWidth="1"/>
    <col min="18" max="18" width="13.42578125" customWidth="1"/>
    <col min="19" max="19" width="13.85546875" customWidth="1"/>
    <col min="20" max="20" width="13.42578125" customWidth="1"/>
    <col min="21" max="21" width="12.42578125" customWidth="1"/>
    <col min="22" max="22" width="10.5703125" customWidth="1"/>
    <col min="23" max="23" width="9.140625" customWidth="1"/>
    <col min="24" max="24" width="12" customWidth="1"/>
    <col min="25" max="25" width="9.140625" customWidth="1"/>
    <col min="26" max="26" width="9.140625" style="34" customWidth="1"/>
    <col min="27" max="27" width="6.7109375" customWidth="1"/>
    <col min="28" max="28" width="9.140625" customWidth="1"/>
    <col min="29" max="29" width="9.140625" style="34" customWidth="1"/>
    <col min="30" max="30" width="9.140625" customWidth="1"/>
    <col min="32" max="32" width="9.140625" customWidth="1"/>
    <col min="33" max="33" width="31.28515625" customWidth="1"/>
  </cols>
  <sheetData>
    <row r="1" spans="1:33" x14ac:dyDescent="0.25">
      <c r="A1" s="20" t="s">
        <v>1934</v>
      </c>
      <c r="B1" s="20"/>
      <c r="C1" s="20"/>
      <c r="D1" s="20"/>
      <c r="E1" s="29"/>
      <c r="F1" s="42"/>
      <c r="G1" s="65"/>
      <c r="H1" s="65"/>
      <c r="I1" s="65"/>
      <c r="J1" s="65"/>
      <c r="K1" s="20"/>
      <c r="L1" s="20"/>
      <c r="M1" s="20"/>
      <c r="N1" s="20"/>
    </row>
    <row r="2" spans="1:33" x14ac:dyDescent="0.25">
      <c r="A2" s="1"/>
      <c r="B2" s="1"/>
      <c r="C2" s="1"/>
      <c r="D2" s="1"/>
      <c r="E2" s="30"/>
      <c r="F2" s="43"/>
      <c r="G2" s="66"/>
      <c r="H2" s="66"/>
      <c r="I2" s="66"/>
      <c r="J2" s="66"/>
      <c r="K2" s="1"/>
      <c r="L2" s="1"/>
      <c r="M2" s="1"/>
      <c r="N2" s="1"/>
      <c r="AG2" t="str">
        <f>"=COUNTIFS('nama pasien'!$O:$O;"&amp;C2&amp;";'nama pasien'!$AD:$AD;""dirawat didemak"&amp;")"</f>
        <v>=COUNTIFS('nama pasien'!$O:$O;;'nama pasien'!$AD:$AD;"dirawat didemak)</v>
      </c>
    </row>
    <row r="3" spans="1:33" x14ac:dyDescent="0.25">
      <c r="A3" s="1"/>
      <c r="B3" s="1"/>
      <c r="C3" s="1"/>
      <c r="D3" s="1"/>
      <c r="E3" s="30"/>
      <c r="F3" s="43"/>
      <c r="G3" s="66"/>
      <c r="H3" s="66"/>
      <c r="I3" s="66"/>
      <c r="J3" s="66"/>
      <c r="K3" s="1"/>
      <c r="L3" s="1"/>
      <c r="M3" s="1"/>
      <c r="N3" s="1"/>
    </row>
    <row r="4" spans="1:33" x14ac:dyDescent="0.25">
      <c r="A4" s="23" t="s">
        <v>318</v>
      </c>
      <c r="B4" s="41">
        <v>44913</v>
      </c>
      <c r="C4" s="2"/>
      <c r="D4" s="2"/>
      <c r="E4" s="31"/>
      <c r="G4" s="67"/>
      <c r="H4" s="67"/>
      <c r="I4" s="67"/>
      <c r="J4" s="67"/>
      <c r="K4" s="2"/>
      <c r="L4" s="2"/>
      <c r="M4" s="2"/>
      <c r="N4" s="2"/>
    </row>
    <row r="5" spans="1:33" ht="60" customHeight="1" x14ac:dyDescent="0.25">
      <c r="A5" s="212" t="s">
        <v>1</v>
      </c>
      <c r="B5" s="212" t="s">
        <v>2</v>
      </c>
      <c r="C5" s="212" t="s">
        <v>3</v>
      </c>
      <c r="D5" s="211" t="s">
        <v>1932</v>
      </c>
      <c r="E5" s="216" t="s">
        <v>291</v>
      </c>
      <c r="F5" s="201" t="s">
        <v>1933</v>
      </c>
      <c r="G5" s="204" t="s">
        <v>317</v>
      </c>
      <c r="H5" s="166" t="s">
        <v>890</v>
      </c>
      <c r="I5" s="204" t="s">
        <v>1935</v>
      </c>
      <c r="J5" s="201" t="s">
        <v>1936</v>
      </c>
      <c r="K5" s="194" t="s">
        <v>321</v>
      </c>
      <c r="L5" s="194" t="s">
        <v>322</v>
      </c>
      <c r="M5" s="199" t="s">
        <v>316</v>
      </c>
      <c r="N5" s="208" t="s">
        <v>314</v>
      </c>
      <c r="O5" s="196" t="s">
        <v>290</v>
      </c>
      <c r="P5" s="196" t="s">
        <v>291</v>
      </c>
      <c r="Q5" s="196" t="s">
        <v>320</v>
      </c>
      <c r="R5" s="204" t="s">
        <v>317</v>
      </c>
      <c r="S5" s="166" t="s">
        <v>890</v>
      </c>
      <c r="T5" s="204" t="s">
        <v>1935</v>
      </c>
      <c r="U5" s="201" t="s">
        <v>1936</v>
      </c>
      <c r="V5" s="194" t="s">
        <v>321</v>
      </c>
      <c r="W5" s="194" t="s">
        <v>322</v>
      </c>
      <c r="X5" s="199" t="s">
        <v>316</v>
      </c>
    </row>
    <row r="6" spans="1:33" ht="15" customHeight="1" x14ac:dyDescent="0.25">
      <c r="A6" s="213"/>
      <c r="B6" s="213"/>
      <c r="C6" s="213"/>
      <c r="D6" s="182"/>
      <c r="E6" s="217"/>
      <c r="F6" s="202"/>
      <c r="G6" s="205"/>
      <c r="H6" s="167"/>
      <c r="I6" s="205"/>
      <c r="J6" s="202"/>
      <c r="K6" s="195"/>
      <c r="L6" s="195"/>
      <c r="M6" s="200"/>
      <c r="N6" s="209"/>
      <c r="O6" s="196"/>
      <c r="P6" s="196"/>
      <c r="Q6" s="196"/>
      <c r="R6" s="205"/>
      <c r="S6" s="167"/>
      <c r="T6" s="205"/>
      <c r="U6" s="202"/>
      <c r="V6" s="195"/>
      <c r="W6" s="195"/>
      <c r="X6" s="200"/>
    </row>
    <row r="7" spans="1:33" ht="15.75" customHeight="1" thickBot="1" x14ac:dyDescent="0.3">
      <c r="A7" s="214"/>
      <c r="B7" s="214"/>
      <c r="C7" s="214"/>
      <c r="D7" s="182"/>
      <c r="E7" s="217"/>
      <c r="F7" s="215"/>
      <c r="G7" s="205"/>
      <c r="H7" s="167"/>
      <c r="I7" s="205"/>
      <c r="J7" s="203"/>
      <c r="K7" s="195"/>
      <c r="L7" s="195"/>
      <c r="M7" s="200"/>
      <c r="N7" s="210"/>
      <c r="O7" s="196"/>
      <c r="P7" s="196"/>
      <c r="Q7" s="196"/>
      <c r="R7" s="206"/>
      <c r="S7" s="167"/>
      <c r="T7" s="205"/>
      <c r="U7" s="203"/>
      <c r="V7" s="195"/>
      <c r="W7" s="195"/>
      <c r="X7" s="200"/>
    </row>
    <row r="8" spans="1:33" ht="15.75" thickTop="1" x14ac:dyDescent="0.25">
      <c r="A8" s="56">
        <v>1</v>
      </c>
      <c r="B8" s="57" t="s">
        <v>4</v>
      </c>
      <c r="C8" s="74" t="s">
        <v>1931</v>
      </c>
      <c r="D8" s="172">
        <v>0</v>
      </c>
      <c r="E8" s="37"/>
      <c r="F8" s="172">
        <v>0</v>
      </c>
      <c r="G8" s="172">
        <v>0</v>
      </c>
      <c r="H8" s="172">
        <v>0</v>
      </c>
      <c r="I8" s="172">
        <v>0</v>
      </c>
      <c r="J8" s="172">
        <v>0</v>
      </c>
      <c r="K8" s="172">
        <v>58</v>
      </c>
      <c r="L8" s="172">
        <v>134</v>
      </c>
      <c r="M8" s="172">
        <v>20</v>
      </c>
      <c r="N8" s="3">
        <v>19</v>
      </c>
      <c r="O8" s="24">
        <f t="shared" ref="O8:X8" si="0">SUM(D8:D26)</f>
        <v>0</v>
      </c>
      <c r="P8" s="24">
        <f t="shared" si="0"/>
        <v>0</v>
      </c>
      <c r="Q8" s="24">
        <f>SUM(F8:F26)</f>
        <v>0</v>
      </c>
      <c r="R8" s="24">
        <f t="shared" si="0"/>
        <v>0</v>
      </c>
      <c r="S8" s="24">
        <f t="shared" si="0"/>
        <v>3</v>
      </c>
      <c r="T8" s="24">
        <f t="shared" si="0"/>
        <v>2</v>
      </c>
      <c r="U8" s="24">
        <f t="shared" si="0"/>
        <v>0</v>
      </c>
      <c r="V8" s="24">
        <f t="shared" si="0"/>
        <v>1188</v>
      </c>
      <c r="W8" s="24">
        <f t="shared" si="0"/>
        <v>2479</v>
      </c>
      <c r="X8" s="24">
        <f t="shared" si="0"/>
        <v>307</v>
      </c>
      <c r="AA8" s="71" t="e">
        <f>G8+#REF!+#REF!+M8+K8+L8</f>
        <v>#REF!</v>
      </c>
      <c r="AB8" s="71" t="e">
        <f>SUM(AA8:AA26)</f>
        <v>#REF!</v>
      </c>
      <c r="AE8">
        <f>COUNTIFS('nama pasien'!$O:$O,"kembangarum",'nama pasien'!$AD:$AD,"dirawat didemak")</f>
        <v>0</v>
      </c>
      <c r="AG8" t="str">
        <f>"=COUNTIFS('nama pasien'!$O:$O;"&amp;C8&amp;";'nama pasien'!$AD:$AD;""dirawat didemak"&amp;")"</f>
        <v>=COUNTIFS('nama pasien'!$O:$O;Kembangarum;'nama pasien'!$AD:$AD;"dirawat didemak)</v>
      </c>
    </row>
    <row r="9" spans="1:33" x14ac:dyDescent="0.25">
      <c r="A9" s="58"/>
      <c r="B9" s="59" t="s">
        <v>4</v>
      </c>
      <c r="C9" s="36" t="s">
        <v>4</v>
      </c>
      <c r="D9" s="172">
        <v>0</v>
      </c>
      <c r="E9" s="38"/>
      <c r="F9" s="172">
        <v>0</v>
      </c>
      <c r="G9" s="172">
        <v>0</v>
      </c>
      <c r="H9" s="172">
        <v>1</v>
      </c>
      <c r="I9" s="172">
        <v>1</v>
      </c>
      <c r="J9" s="172">
        <v>0</v>
      </c>
      <c r="K9" s="172">
        <v>106</v>
      </c>
      <c r="L9" s="172">
        <v>289</v>
      </c>
      <c r="M9" s="172">
        <v>35</v>
      </c>
      <c r="N9" s="3">
        <v>34</v>
      </c>
      <c r="O9" s="25"/>
      <c r="P9" s="26"/>
      <c r="Q9" s="27"/>
      <c r="R9" s="26"/>
      <c r="S9" s="26"/>
      <c r="T9" s="26"/>
      <c r="U9" s="26"/>
      <c r="V9" s="27"/>
      <c r="W9" s="27"/>
      <c r="X9" s="26"/>
      <c r="AA9" s="71" t="e">
        <f>G9+#REF!+#REF!+M9+K9+L9</f>
        <v>#REF!</v>
      </c>
      <c r="AE9">
        <f>COUNTIFS('nama pasien'!$O:$O,"mranggen",'nama pasien'!$AD:$AD,"dirawat didemak")</f>
        <v>1</v>
      </c>
    </row>
    <row r="10" spans="1:33" x14ac:dyDescent="0.25">
      <c r="A10" s="58"/>
      <c r="B10" s="59" t="s">
        <v>4</v>
      </c>
      <c r="C10" s="36" t="s">
        <v>6</v>
      </c>
      <c r="D10" s="172">
        <v>0</v>
      </c>
      <c r="E10" s="38"/>
      <c r="F10" s="172">
        <v>0</v>
      </c>
      <c r="G10" s="172">
        <v>0</v>
      </c>
      <c r="H10" s="172">
        <v>0</v>
      </c>
      <c r="I10" s="172">
        <v>0</v>
      </c>
      <c r="J10" s="172">
        <v>0</v>
      </c>
      <c r="K10" s="172">
        <v>36</v>
      </c>
      <c r="L10" s="172">
        <v>59</v>
      </c>
      <c r="M10" s="172">
        <v>9</v>
      </c>
      <c r="N10" s="3">
        <v>9</v>
      </c>
      <c r="O10" s="25"/>
      <c r="P10" s="26"/>
      <c r="Q10" s="27"/>
      <c r="R10" s="26"/>
      <c r="S10" s="26"/>
      <c r="T10" s="26"/>
      <c r="U10" s="26"/>
      <c r="V10" s="27"/>
      <c r="W10" s="27"/>
      <c r="X10" s="26"/>
      <c r="AA10" s="71" t="e">
        <f>G10+#REF!+#REF!+M10+K10+L10</f>
        <v>#REF!</v>
      </c>
      <c r="AE10">
        <f>COUNTIFS('nama pasien'!$O:$O,"kangkung",'nama pasien'!$AD:$AD,"dirawat didemak")</f>
        <v>0</v>
      </c>
    </row>
    <row r="11" spans="1:33" x14ac:dyDescent="0.25">
      <c r="A11" s="58"/>
      <c r="B11" s="59" t="s">
        <v>4</v>
      </c>
      <c r="C11" s="36" t="s">
        <v>7</v>
      </c>
      <c r="D11" s="172">
        <v>0</v>
      </c>
      <c r="E11" s="38"/>
      <c r="F11" s="172">
        <v>0</v>
      </c>
      <c r="G11" s="172">
        <v>0</v>
      </c>
      <c r="H11" s="172">
        <v>0</v>
      </c>
      <c r="I11" s="172">
        <v>0</v>
      </c>
      <c r="J11" s="172">
        <v>0</v>
      </c>
      <c r="K11" s="172">
        <v>22</v>
      </c>
      <c r="L11" s="172">
        <v>43</v>
      </c>
      <c r="M11" s="172">
        <v>6</v>
      </c>
      <c r="N11" s="3">
        <v>5</v>
      </c>
      <c r="O11" s="25"/>
      <c r="P11" s="26"/>
      <c r="Q11" s="27"/>
      <c r="R11" s="26"/>
      <c r="S11" s="26"/>
      <c r="T11" s="26"/>
      <c r="U11" s="26"/>
      <c r="V11" s="27"/>
      <c r="W11" s="27"/>
      <c r="X11" s="26"/>
      <c r="AA11" s="71" t="e">
        <f>G11+#REF!+#REF!+M11+K11+L11</f>
        <v>#REF!</v>
      </c>
      <c r="AE11">
        <f>COUNTIFS('nama pasien'!$O:$O,"kalitengah",'nama pasien'!$AD:$AD,"dirawat didemak")</f>
        <v>0</v>
      </c>
    </row>
    <row r="12" spans="1:33" x14ac:dyDescent="0.25">
      <c r="A12" s="58"/>
      <c r="B12" s="59" t="s">
        <v>4</v>
      </c>
      <c r="C12" s="36" t="s">
        <v>8</v>
      </c>
      <c r="D12" s="172">
        <v>0</v>
      </c>
      <c r="E12" s="38"/>
      <c r="F12" s="172">
        <v>0</v>
      </c>
      <c r="G12" s="172">
        <v>0</v>
      </c>
      <c r="H12" s="172">
        <v>0</v>
      </c>
      <c r="I12" s="172">
        <v>0</v>
      </c>
      <c r="J12" s="172">
        <v>0</v>
      </c>
      <c r="K12" s="172">
        <v>34</v>
      </c>
      <c r="L12" s="172">
        <v>91</v>
      </c>
      <c r="M12" s="172">
        <v>14</v>
      </c>
      <c r="N12" s="3">
        <v>13</v>
      </c>
      <c r="O12" s="25"/>
      <c r="P12" s="26"/>
      <c r="Q12" s="27"/>
      <c r="R12" s="26"/>
      <c r="S12" s="26"/>
      <c r="T12" s="26"/>
      <c r="U12" s="26"/>
      <c r="V12" s="27"/>
      <c r="W12" s="27"/>
      <c r="X12" s="26"/>
      <c r="AA12" s="71" t="e">
        <f>G12+#REF!+#REF!+M12+K12+L12</f>
        <v>#REF!</v>
      </c>
      <c r="AE12">
        <f>COUNTIFS('nama pasien'!$O:$O,"brumbung",'nama pasien'!$AD:$AD,"dirawat didemak")</f>
        <v>0</v>
      </c>
    </row>
    <row r="13" spans="1:33" x14ac:dyDescent="0.25">
      <c r="A13" s="58"/>
      <c r="B13" s="59" t="s">
        <v>4</v>
      </c>
      <c r="C13" s="36" t="s">
        <v>9</v>
      </c>
      <c r="D13" s="172">
        <v>0</v>
      </c>
      <c r="E13" s="38"/>
      <c r="F13" s="172">
        <v>0</v>
      </c>
      <c r="G13" s="172">
        <v>0</v>
      </c>
      <c r="H13" s="172">
        <v>0</v>
      </c>
      <c r="I13" s="172">
        <v>0</v>
      </c>
      <c r="J13" s="172">
        <v>0</v>
      </c>
      <c r="K13" s="172">
        <v>33</v>
      </c>
      <c r="L13" s="172">
        <v>66</v>
      </c>
      <c r="M13" s="172">
        <v>8</v>
      </c>
      <c r="N13" s="3">
        <v>7</v>
      </c>
      <c r="O13" s="25"/>
      <c r="P13" s="26"/>
      <c r="Q13" s="27"/>
      <c r="R13" s="26"/>
      <c r="S13" s="26"/>
      <c r="T13" s="26"/>
      <c r="U13" s="26"/>
      <c r="V13" s="27"/>
      <c r="W13" s="27"/>
      <c r="X13" s="26"/>
      <c r="AA13" s="71" t="e">
        <f>G13+#REF!+#REF!+M13+K13+L13</f>
        <v>#REF!</v>
      </c>
      <c r="AE13">
        <f>COUNTIFS('nama pasien'!$O:$O,"sumberejo",'nama pasien'!$AD:$AD,"dirawat didemak")</f>
        <v>0</v>
      </c>
    </row>
    <row r="14" spans="1:33" x14ac:dyDescent="0.25">
      <c r="A14" s="58"/>
      <c r="B14" s="59" t="s">
        <v>4</v>
      </c>
      <c r="C14" s="36" t="s">
        <v>10</v>
      </c>
      <c r="D14" s="172">
        <v>0</v>
      </c>
      <c r="E14" s="38"/>
      <c r="F14" s="172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88</v>
      </c>
      <c r="L14" s="172">
        <v>183</v>
      </c>
      <c r="M14" s="172">
        <v>21</v>
      </c>
      <c r="N14" s="4">
        <v>20</v>
      </c>
      <c r="O14" s="25"/>
      <c r="P14" s="26"/>
      <c r="Q14" s="27"/>
      <c r="R14" s="26"/>
      <c r="S14" s="26"/>
      <c r="T14" s="26"/>
      <c r="U14" s="26"/>
      <c r="V14" s="27"/>
      <c r="W14" s="27"/>
      <c r="X14" s="26"/>
      <c r="AA14" s="71" t="e">
        <f>G14+#REF!+#REF!+M14+K14+L14</f>
        <v>#REF!</v>
      </c>
      <c r="AE14">
        <f>COUNTIFS('nama pasien'!$O:$O,"bandungrejo",'nama pasien'!$AD:$AD,"dirawat didemak")</f>
        <v>0</v>
      </c>
    </row>
    <row r="15" spans="1:33" x14ac:dyDescent="0.25">
      <c r="A15" s="58"/>
      <c r="B15" s="59" t="s">
        <v>4</v>
      </c>
      <c r="C15" s="36" t="s">
        <v>11</v>
      </c>
      <c r="D15" s="172">
        <v>0</v>
      </c>
      <c r="E15" s="39"/>
      <c r="F15" s="172">
        <v>0</v>
      </c>
      <c r="G15" s="172">
        <v>0</v>
      </c>
      <c r="H15" s="172">
        <v>1</v>
      </c>
      <c r="I15" s="172">
        <v>0</v>
      </c>
      <c r="J15" s="172">
        <v>0</v>
      </c>
      <c r="K15" s="172">
        <v>21</v>
      </c>
      <c r="L15" s="172">
        <v>39</v>
      </c>
      <c r="M15" s="172">
        <v>6</v>
      </c>
      <c r="N15" s="5">
        <v>6</v>
      </c>
      <c r="O15" s="25"/>
      <c r="P15" s="26"/>
      <c r="Q15" s="27"/>
      <c r="R15" s="26"/>
      <c r="S15" s="26"/>
      <c r="T15" s="26"/>
      <c r="U15" s="26"/>
      <c r="V15" s="27"/>
      <c r="W15" s="27"/>
      <c r="X15" s="26"/>
      <c r="AA15" s="71" t="e">
        <f>G15+#REF!+#REF!+M15+K15+L15</f>
        <v>#REF!</v>
      </c>
      <c r="AE15">
        <f>COUNTIFS('nama pasien'!$O:$O,"menur",'nama pasien'!$AD:$AD,"dirawat didemak")</f>
        <v>0</v>
      </c>
    </row>
    <row r="16" spans="1:33" x14ac:dyDescent="0.25">
      <c r="A16" s="58"/>
      <c r="B16" s="59" t="s">
        <v>4</v>
      </c>
      <c r="C16" s="36" t="s">
        <v>12</v>
      </c>
      <c r="D16" s="172">
        <v>0</v>
      </c>
      <c r="E16" s="39"/>
      <c r="F16" s="172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49</v>
      </c>
      <c r="L16" s="172">
        <v>78</v>
      </c>
      <c r="M16" s="172">
        <v>11</v>
      </c>
      <c r="N16" s="3">
        <v>11</v>
      </c>
      <c r="O16" s="25"/>
      <c r="P16" s="26"/>
      <c r="Q16" s="27"/>
      <c r="R16" s="26"/>
      <c r="S16" s="26"/>
      <c r="T16" s="26"/>
      <c r="U16" s="26"/>
      <c r="V16" s="27"/>
      <c r="W16" s="27"/>
      <c r="X16" s="26"/>
      <c r="AA16" s="71" t="e">
        <f>G16+#REF!+#REF!+M16+K16+L16</f>
        <v>#REF!</v>
      </c>
      <c r="AE16">
        <f>COUNTIFS('nama pasien'!$O:$O,"wringinjajar",'nama pasien'!$AD:$AD,"dirawat didemak")</f>
        <v>0</v>
      </c>
    </row>
    <row r="17" spans="1:33" x14ac:dyDescent="0.25">
      <c r="A17" s="58"/>
      <c r="B17" s="59" t="s">
        <v>4</v>
      </c>
      <c r="C17" s="36" t="s">
        <v>13</v>
      </c>
      <c r="D17" s="172">
        <v>0</v>
      </c>
      <c r="E17" s="39"/>
      <c r="F17" s="172">
        <v>0</v>
      </c>
      <c r="G17" s="172">
        <v>0</v>
      </c>
      <c r="H17" s="172">
        <v>0</v>
      </c>
      <c r="I17" s="172">
        <v>0</v>
      </c>
      <c r="J17" s="172">
        <v>0</v>
      </c>
      <c r="K17" s="172">
        <v>17</v>
      </c>
      <c r="L17" s="172">
        <v>35</v>
      </c>
      <c r="M17" s="172">
        <v>4</v>
      </c>
      <c r="N17" s="3">
        <v>4</v>
      </c>
      <c r="O17" s="25"/>
      <c r="P17" s="26"/>
      <c r="Q17" s="27"/>
      <c r="R17" s="26"/>
      <c r="S17" s="26"/>
      <c r="T17" s="26"/>
      <c r="U17" s="26"/>
      <c r="V17" s="27"/>
      <c r="W17" s="27"/>
      <c r="X17" s="26"/>
      <c r="AA17" s="71" t="e">
        <f>G17+#REF!+#REF!+M17+K17+L17</f>
        <v>#REF!</v>
      </c>
      <c r="AE17">
        <f>COUNTIFS('nama pasien'!$O:$O,"candisari",'nama pasien'!$AD:$AD,"dirawat didemak")</f>
        <v>0</v>
      </c>
    </row>
    <row r="18" spans="1:33" x14ac:dyDescent="0.25">
      <c r="A18" s="58"/>
      <c r="B18" s="59" t="s">
        <v>4</v>
      </c>
      <c r="C18" s="36" t="s">
        <v>14</v>
      </c>
      <c r="D18" s="172">
        <v>0</v>
      </c>
      <c r="E18" s="39"/>
      <c r="F18" s="172">
        <v>0</v>
      </c>
      <c r="G18" s="172">
        <v>0</v>
      </c>
      <c r="H18" s="172">
        <v>0</v>
      </c>
      <c r="I18" s="172">
        <v>0</v>
      </c>
      <c r="J18" s="172">
        <v>0</v>
      </c>
      <c r="K18" s="172">
        <v>15</v>
      </c>
      <c r="L18" s="172">
        <v>36</v>
      </c>
      <c r="M18" s="172">
        <v>2</v>
      </c>
      <c r="N18" s="3">
        <v>2</v>
      </c>
      <c r="O18" s="25"/>
      <c r="P18" s="26"/>
      <c r="Q18" s="27"/>
      <c r="R18" s="26"/>
      <c r="S18" s="26"/>
      <c r="T18" s="26"/>
      <c r="U18" s="26"/>
      <c r="V18" s="27"/>
      <c r="W18" s="27"/>
      <c r="X18" s="26"/>
      <c r="AA18" s="71" t="e">
        <f>G18+#REF!+#REF!+M18+K18+L18</f>
        <v>#REF!</v>
      </c>
      <c r="AE18">
        <f>COUNTIFS('nama pasien'!$O:$O,"ngemplak",'nama pasien'!$AD:$AD,"dirawat didemak")</f>
        <v>0</v>
      </c>
    </row>
    <row r="19" spans="1:33" x14ac:dyDescent="0.25">
      <c r="A19" s="58"/>
      <c r="B19" s="59" t="s">
        <v>4</v>
      </c>
      <c r="C19" s="36" t="s">
        <v>15</v>
      </c>
      <c r="D19" s="172">
        <v>0</v>
      </c>
      <c r="E19" s="39"/>
      <c r="F19" s="172">
        <v>0</v>
      </c>
      <c r="G19" s="172">
        <v>0</v>
      </c>
      <c r="H19" s="172">
        <v>0</v>
      </c>
      <c r="I19" s="172">
        <v>0</v>
      </c>
      <c r="J19" s="172">
        <v>0</v>
      </c>
      <c r="K19" s="172">
        <v>18</v>
      </c>
      <c r="L19" s="172">
        <v>32</v>
      </c>
      <c r="M19" s="172">
        <v>5</v>
      </c>
      <c r="N19" s="3">
        <v>4</v>
      </c>
      <c r="O19" s="25"/>
      <c r="P19" s="26"/>
      <c r="Q19" s="27"/>
      <c r="R19" s="26"/>
      <c r="S19" s="26"/>
      <c r="T19" s="26"/>
      <c r="U19" s="26"/>
      <c r="V19" s="27"/>
      <c r="W19" s="27"/>
      <c r="X19" s="26"/>
      <c r="AA19" s="71" t="e">
        <f>G19+#REF!+#REF!+M19+K19+L19</f>
        <v>#REF!</v>
      </c>
      <c r="AE19">
        <f>COUNTIFS('nama pasien'!$O:$O,"karangsono",'nama pasien'!$AD:$AD,"dirawat didemak")</f>
        <v>0</v>
      </c>
    </row>
    <row r="20" spans="1:33" x14ac:dyDescent="0.25">
      <c r="A20" s="58"/>
      <c r="B20" s="59" t="s">
        <v>4</v>
      </c>
      <c r="C20" s="36" t="s">
        <v>16</v>
      </c>
      <c r="D20" s="172">
        <v>0</v>
      </c>
      <c r="E20" s="39"/>
      <c r="F20" s="172">
        <v>0</v>
      </c>
      <c r="G20" s="172">
        <v>0</v>
      </c>
      <c r="H20" s="172">
        <v>0</v>
      </c>
      <c r="I20" s="172">
        <v>0</v>
      </c>
      <c r="J20" s="172">
        <v>0</v>
      </c>
      <c r="K20" s="172">
        <v>27</v>
      </c>
      <c r="L20" s="172">
        <v>61</v>
      </c>
      <c r="M20" s="172">
        <v>3</v>
      </c>
      <c r="N20" s="3">
        <v>3</v>
      </c>
      <c r="O20" s="25"/>
      <c r="P20" s="26"/>
      <c r="Q20" s="27"/>
      <c r="R20" s="26"/>
      <c r="S20" s="26"/>
      <c r="T20" s="26"/>
      <c r="U20" s="26"/>
      <c r="V20" s="27"/>
      <c r="W20" s="27"/>
      <c r="X20" s="26"/>
      <c r="AA20" s="71" t="e">
        <f>G20+#REF!+#REF!+M20+K20+L20</f>
        <v>#REF!</v>
      </c>
      <c r="AE20">
        <f>COUNTIFS('nama pasien'!$O:$O,"jamus",'nama pasien'!$AD:$AD,"dirawat didemak")</f>
        <v>0</v>
      </c>
    </row>
    <row r="21" spans="1:33" x14ac:dyDescent="0.25">
      <c r="A21" s="58"/>
      <c r="B21" s="59" t="s">
        <v>4</v>
      </c>
      <c r="C21" s="36" t="s">
        <v>17</v>
      </c>
      <c r="D21" s="172">
        <v>0</v>
      </c>
      <c r="E21" s="39"/>
      <c r="F21" s="172">
        <v>0</v>
      </c>
      <c r="G21" s="172">
        <v>0</v>
      </c>
      <c r="H21" s="172">
        <v>0</v>
      </c>
      <c r="I21" s="172">
        <v>0</v>
      </c>
      <c r="J21" s="172">
        <v>0</v>
      </c>
      <c r="K21" s="172">
        <v>15</v>
      </c>
      <c r="L21" s="172">
        <v>31</v>
      </c>
      <c r="M21" s="172">
        <v>6</v>
      </c>
      <c r="N21" s="3">
        <v>6</v>
      </c>
      <c r="O21" s="25"/>
      <c r="P21" s="26"/>
      <c r="Q21" s="27"/>
      <c r="R21" s="26"/>
      <c r="S21" s="26"/>
      <c r="T21" s="26"/>
      <c r="U21" s="26"/>
      <c r="V21" s="27"/>
      <c r="W21" s="27"/>
      <c r="X21" s="26"/>
      <c r="AA21" s="71" t="e">
        <f>G21+#REF!+#REF!+M21+K21+L21</f>
        <v>#REF!</v>
      </c>
      <c r="AE21">
        <f>COUNTIFS('nama pasien'!$O:$O,"waru",'nama pasien'!$AD:$AD,"dirawat didemak")</f>
        <v>0</v>
      </c>
    </row>
    <row r="22" spans="1:33" x14ac:dyDescent="0.25">
      <c r="A22" s="58"/>
      <c r="B22" s="59" t="s">
        <v>4</v>
      </c>
      <c r="C22" s="36" t="s">
        <v>18</v>
      </c>
      <c r="D22" s="172">
        <v>0</v>
      </c>
      <c r="E22" s="39"/>
      <c r="F22" s="172">
        <v>0</v>
      </c>
      <c r="G22" s="172">
        <v>0</v>
      </c>
      <c r="H22" s="172">
        <v>0</v>
      </c>
      <c r="I22" s="172">
        <v>0</v>
      </c>
      <c r="J22" s="172">
        <v>0</v>
      </c>
      <c r="K22" s="172">
        <v>20</v>
      </c>
      <c r="L22" s="172">
        <v>52</v>
      </c>
      <c r="M22" s="172">
        <v>8</v>
      </c>
      <c r="N22" s="3">
        <v>8</v>
      </c>
      <c r="O22" s="25"/>
      <c r="P22" s="26"/>
      <c r="Q22" s="27"/>
      <c r="R22" s="26"/>
      <c r="S22" s="26"/>
      <c r="T22" s="26"/>
      <c r="U22" s="26"/>
      <c r="V22" s="27"/>
      <c r="W22" s="27"/>
      <c r="X22" s="26"/>
      <c r="AA22" s="71" t="e">
        <f>G22+#REF!+#REF!+M22+K22+L22</f>
        <v>#REF!</v>
      </c>
      <c r="AE22">
        <f>COUNTIFS('nama pasien'!$O:$O,"tegalarum",'nama pasien'!$AD:$AD,"dirawat didemak")</f>
        <v>0</v>
      </c>
    </row>
    <row r="23" spans="1:33" x14ac:dyDescent="0.25">
      <c r="A23" s="58"/>
      <c r="B23" s="59" t="s">
        <v>4</v>
      </c>
      <c r="C23" s="36" t="s">
        <v>19</v>
      </c>
      <c r="D23" s="172">
        <v>0</v>
      </c>
      <c r="E23" s="39"/>
      <c r="F23" s="172">
        <v>0</v>
      </c>
      <c r="G23" s="172">
        <v>0</v>
      </c>
      <c r="H23" s="172">
        <v>0</v>
      </c>
      <c r="I23" s="172">
        <v>0</v>
      </c>
      <c r="J23" s="172">
        <v>0</v>
      </c>
      <c r="K23" s="172">
        <v>10</v>
      </c>
      <c r="L23" s="172">
        <v>31</v>
      </c>
      <c r="M23" s="172">
        <v>6</v>
      </c>
      <c r="N23" s="4">
        <v>6</v>
      </c>
      <c r="O23" s="25"/>
      <c r="P23" s="26"/>
      <c r="Q23" s="27"/>
      <c r="R23" s="26"/>
      <c r="S23" s="26"/>
      <c r="T23" s="26"/>
      <c r="U23" s="26"/>
      <c r="V23" s="27"/>
      <c r="W23" s="27"/>
      <c r="X23" s="26"/>
      <c r="AA23" s="71" t="e">
        <f>G23+#REF!+#REF!+M23+K23+L23</f>
        <v>#REF!</v>
      </c>
      <c r="AE23">
        <f>COUNTIFS('nama pasien'!$O:$O,"tamansari",'nama pasien'!$AD:$AD,"dirawat didemak")</f>
        <v>0</v>
      </c>
    </row>
    <row r="24" spans="1:33" x14ac:dyDescent="0.25">
      <c r="A24" s="58"/>
      <c r="B24" s="59" t="s">
        <v>4</v>
      </c>
      <c r="C24" s="36" t="s">
        <v>21</v>
      </c>
      <c r="D24" s="172">
        <v>0</v>
      </c>
      <c r="E24" s="39"/>
      <c r="F24" s="172">
        <v>0</v>
      </c>
      <c r="G24" s="172">
        <v>0</v>
      </c>
      <c r="H24" s="172">
        <v>0</v>
      </c>
      <c r="I24" s="172">
        <v>0</v>
      </c>
      <c r="J24" s="172">
        <v>0</v>
      </c>
      <c r="K24" s="172">
        <v>34</v>
      </c>
      <c r="L24" s="172">
        <v>53</v>
      </c>
      <c r="M24" s="172">
        <v>9</v>
      </c>
      <c r="N24" s="5">
        <v>9</v>
      </c>
      <c r="O24" s="25"/>
      <c r="P24" s="26"/>
      <c r="Q24" s="27"/>
      <c r="R24" s="26"/>
      <c r="S24" s="26"/>
      <c r="T24" s="26"/>
      <c r="U24" s="26"/>
      <c r="V24" s="27"/>
      <c r="W24" s="27"/>
      <c r="X24" s="26"/>
      <c r="AA24" s="71" t="e">
        <f>G24+#REF!+#REF!+M24+K24+L24</f>
        <v>#REF!</v>
      </c>
      <c r="AE24">
        <f>COUNTIFS('nama pasien'!$O:$O,"banyumeneng",'nama pasien'!$AD:$AD,"dirawat didemak")</f>
        <v>0</v>
      </c>
    </row>
    <row r="25" spans="1:33" x14ac:dyDescent="0.25">
      <c r="A25" s="58"/>
      <c r="B25" s="59" t="s">
        <v>4</v>
      </c>
      <c r="C25" s="36" t="s">
        <v>22</v>
      </c>
      <c r="D25" s="172">
        <v>0</v>
      </c>
      <c r="E25" s="39"/>
      <c r="F25" s="172">
        <v>0</v>
      </c>
      <c r="G25" s="172">
        <v>0</v>
      </c>
      <c r="H25" s="172">
        <v>0</v>
      </c>
      <c r="I25" s="172">
        <v>0</v>
      </c>
      <c r="J25" s="172">
        <v>0</v>
      </c>
      <c r="K25" s="172">
        <v>138</v>
      </c>
      <c r="L25" s="172">
        <v>284</v>
      </c>
      <c r="M25" s="172">
        <v>33</v>
      </c>
      <c r="N25" s="3">
        <v>32</v>
      </c>
      <c r="O25" s="25"/>
      <c r="P25" s="26"/>
      <c r="Q25" s="27"/>
      <c r="R25" s="26"/>
      <c r="S25" s="26"/>
      <c r="T25" s="26"/>
      <c r="U25" s="26"/>
      <c r="V25" s="27"/>
      <c r="W25" s="27"/>
      <c r="X25" s="26"/>
      <c r="AA25" s="71" t="e">
        <f>G25+#REF!+#REF!+M25+K25+L25</f>
        <v>#REF!</v>
      </c>
      <c r="AE25">
        <f>COUNTIFS('nama pasien'!$O:$O,"kebonbatur",'nama pasien'!$AD:$AD,"dirawat didemak")</f>
        <v>0</v>
      </c>
    </row>
    <row r="26" spans="1:33" x14ac:dyDescent="0.25">
      <c r="A26" s="58"/>
      <c r="B26" s="59" t="s">
        <v>4</v>
      </c>
      <c r="C26" s="36" t="s">
        <v>23</v>
      </c>
      <c r="D26" s="172">
        <v>0</v>
      </c>
      <c r="E26" s="39"/>
      <c r="F26" s="172">
        <v>0</v>
      </c>
      <c r="G26" s="172">
        <v>0</v>
      </c>
      <c r="H26" s="172">
        <v>1</v>
      </c>
      <c r="I26" s="172">
        <v>1</v>
      </c>
      <c r="J26" s="172">
        <v>0</v>
      </c>
      <c r="K26" s="172">
        <v>447</v>
      </c>
      <c r="L26" s="172">
        <v>882</v>
      </c>
      <c r="M26" s="172">
        <v>101</v>
      </c>
      <c r="N26" s="4">
        <v>100</v>
      </c>
      <c r="O26" s="25"/>
      <c r="P26" s="26"/>
      <c r="Q26" s="27"/>
      <c r="R26" s="26"/>
      <c r="S26" s="26"/>
      <c r="T26" s="26"/>
      <c r="U26" s="26"/>
      <c r="V26" s="27"/>
      <c r="W26" s="27"/>
      <c r="X26" s="26"/>
      <c r="AA26" s="71" t="e">
        <f>G26+#REF!+#REF!+M26+K26+L26</f>
        <v>#REF!</v>
      </c>
      <c r="AE26">
        <f>COUNTIFS('nama pasien'!$O:$O,"batursari",'nama pasien'!$AD:$AD,"dirawat didemak")</f>
        <v>0</v>
      </c>
    </row>
    <row r="27" spans="1:33" ht="15" customHeight="1" x14ac:dyDescent="0.25">
      <c r="A27" s="58">
        <v>2</v>
      </c>
      <c r="B27" s="59" t="s">
        <v>24</v>
      </c>
      <c r="C27" s="36" t="s">
        <v>25</v>
      </c>
      <c r="D27" s="172">
        <v>0</v>
      </c>
      <c r="E27" s="39"/>
      <c r="F27" s="172">
        <v>0</v>
      </c>
      <c r="G27" s="172">
        <v>0</v>
      </c>
      <c r="H27" s="172">
        <v>0</v>
      </c>
      <c r="I27" s="172">
        <v>0</v>
      </c>
      <c r="J27" s="172">
        <v>0</v>
      </c>
      <c r="K27" s="172">
        <v>14</v>
      </c>
      <c r="L27" s="172">
        <v>31</v>
      </c>
      <c r="M27" s="172">
        <v>6</v>
      </c>
      <c r="N27" s="5">
        <v>6</v>
      </c>
      <c r="O27" s="25">
        <f t="shared" ref="O27:X27" si="1">SUM(D27:D43)</f>
        <v>0</v>
      </c>
      <c r="P27" s="25">
        <f t="shared" si="1"/>
        <v>0</v>
      </c>
      <c r="Q27" s="25">
        <f>SUM(F27:F43)</f>
        <v>0</v>
      </c>
      <c r="R27" s="25">
        <f t="shared" si="1"/>
        <v>0</v>
      </c>
      <c r="S27" s="25">
        <f t="shared" si="1"/>
        <v>1</v>
      </c>
      <c r="T27" s="25">
        <f t="shared" si="1"/>
        <v>0</v>
      </c>
      <c r="U27" s="25">
        <f t="shared" si="1"/>
        <v>0</v>
      </c>
      <c r="V27" s="25">
        <f t="shared" si="1"/>
        <v>146</v>
      </c>
      <c r="W27" s="25">
        <f t="shared" si="1"/>
        <v>400</v>
      </c>
      <c r="X27" s="25">
        <f t="shared" si="1"/>
        <v>68</v>
      </c>
      <c r="AA27" s="71" t="e">
        <f>G27+#REF!+#REF!+M27+K27+L27</f>
        <v>#REF!</v>
      </c>
      <c r="AB27" s="71" t="e">
        <f>SUM(AA27:AA43)</f>
        <v>#REF!</v>
      </c>
      <c r="AE27">
        <f>COUNTIFS('nama pasien'!$O:$O,"wonowoso",'nama pasien'!$AD:$AD,"dirawat didemak")</f>
        <v>1</v>
      </c>
    </row>
    <row r="28" spans="1:33" ht="15" customHeight="1" x14ac:dyDescent="0.25">
      <c r="A28" s="58"/>
      <c r="B28" s="59" t="s">
        <v>24</v>
      </c>
      <c r="C28" s="36" t="s">
        <v>26</v>
      </c>
      <c r="D28" s="172">
        <v>0</v>
      </c>
      <c r="E28" s="39"/>
      <c r="F28" s="172">
        <v>0</v>
      </c>
      <c r="G28" s="172">
        <v>0</v>
      </c>
      <c r="H28" s="172">
        <v>1</v>
      </c>
      <c r="I28" s="172">
        <v>0</v>
      </c>
      <c r="J28" s="172">
        <v>0</v>
      </c>
      <c r="K28" s="172">
        <v>7</v>
      </c>
      <c r="L28" s="172">
        <v>22</v>
      </c>
      <c r="M28" s="172">
        <v>2</v>
      </c>
      <c r="N28" s="3">
        <v>2</v>
      </c>
      <c r="O28" s="25"/>
      <c r="P28" s="26"/>
      <c r="Q28" s="27"/>
      <c r="R28" s="26"/>
      <c r="S28" s="26"/>
      <c r="T28" s="26"/>
      <c r="U28" s="26"/>
      <c r="V28" s="27"/>
      <c r="W28" s="27"/>
      <c r="X28" s="26"/>
      <c r="AA28" s="71" t="e">
        <f>G28+#REF!+#REF!+M28+K28+L28</f>
        <v>#REF!</v>
      </c>
      <c r="AE28">
        <f>COUNTIFS('nama pasien'!$O:$O,"sampang",'nama pasien'!$AD:$AD,"dirawat didemak")</f>
        <v>1</v>
      </c>
    </row>
    <row r="29" spans="1:33" ht="15" customHeight="1" x14ac:dyDescent="0.25">
      <c r="A29" s="58"/>
      <c r="B29" s="59" t="s">
        <v>24</v>
      </c>
      <c r="C29" s="36" t="s">
        <v>257</v>
      </c>
      <c r="D29" s="172">
        <v>0</v>
      </c>
      <c r="E29" s="39"/>
      <c r="F29" s="172">
        <v>0</v>
      </c>
      <c r="G29" s="172">
        <v>0</v>
      </c>
      <c r="H29" s="172">
        <v>0</v>
      </c>
      <c r="I29" s="172">
        <v>0</v>
      </c>
      <c r="J29" s="172">
        <v>0</v>
      </c>
      <c r="K29" s="172">
        <v>4</v>
      </c>
      <c r="L29" s="172">
        <v>5</v>
      </c>
      <c r="M29" s="172">
        <v>4</v>
      </c>
      <c r="N29" s="3">
        <v>4</v>
      </c>
      <c r="O29" s="25"/>
      <c r="P29" s="26"/>
      <c r="Q29" s="27"/>
      <c r="R29" s="26"/>
      <c r="S29" s="26"/>
      <c r="T29" s="26"/>
      <c r="U29" s="26"/>
      <c r="V29" s="27"/>
      <c r="W29" s="27"/>
      <c r="X29" s="26"/>
      <c r="AA29" s="71" t="e">
        <f>G29+#REF!+#REF!+M29+K29+L29</f>
        <v>#REF!</v>
      </c>
      <c r="AE29">
        <f>COUNTIFS('nama pasien'!$O:$O,"tambakbulusan",'nama pasien'!$AD:$AD,"dirawat didemak")</f>
        <v>0</v>
      </c>
    </row>
    <row r="30" spans="1:33" ht="15" customHeight="1" x14ac:dyDescent="0.25">
      <c r="A30" s="58"/>
      <c r="B30" s="59" t="s">
        <v>24</v>
      </c>
      <c r="C30" s="36" t="s">
        <v>27</v>
      </c>
      <c r="D30" s="172">
        <v>0</v>
      </c>
      <c r="E30" s="39"/>
      <c r="F30" s="172">
        <v>0</v>
      </c>
      <c r="G30" s="172">
        <v>0</v>
      </c>
      <c r="H30" s="172">
        <v>0</v>
      </c>
      <c r="I30" s="172">
        <v>0</v>
      </c>
      <c r="J30" s="172">
        <v>0</v>
      </c>
      <c r="K30" s="172">
        <v>19</v>
      </c>
      <c r="L30" s="172">
        <v>40</v>
      </c>
      <c r="M30" s="172">
        <v>9</v>
      </c>
      <c r="N30" s="3">
        <v>9</v>
      </c>
      <c r="O30" s="25"/>
      <c r="P30" s="26"/>
      <c r="Q30" s="27"/>
      <c r="R30" s="26"/>
      <c r="S30" s="26"/>
      <c r="T30" s="26"/>
      <c r="U30" s="26"/>
      <c r="V30" s="27"/>
      <c r="W30" s="27"/>
      <c r="X30" s="26"/>
      <c r="AA30" s="71" t="e">
        <f>G30+#REF!+#REF!+M30+K30+L30</f>
        <v>#REF!</v>
      </c>
      <c r="AE30">
        <f>COUNTIFS('nama pasien'!$O:$O,"batursari",'nama pasien'!$AD:$AD,"dirawat didemak")</f>
        <v>0</v>
      </c>
      <c r="AG30" s="157"/>
    </row>
    <row r="31" spans="1:33" ht="15" customHeight="1" x14ac:dyDescent="0.25">
      <c r="A31" s="58"/>
      <c r="B31" s="59" t="s">
        <v>24</v>
      </c>
      <c r="C31" s="36" t="s">
        <v>28</v>
      </c>
      <c r="D31" s="172">
        <v>0</v>
      </c>
      <c r="E31" s="39"/>
      <c r="F31" s="172">
        <v>0</v>
      </c>
      <c r="G31" s="172">
        <v>0</v>
      </c>
      <c r="H31" s="172">
        <v>0</v>
      </c>
      <c r="I31" s="172">
        <v>0</v>
      </c>
      <c r="J31" s="172">
        <v>0</v>
      </c>
      <c r="K31" s="172">
        <v>5</v>
      </c>
      <c r="L31" s="172">
        <v>18</v>
      </c>
      <c r="M31" s="172">
        <v>0</v>
      </c>
      <c r="N31" s="3">
        <v>0</v>
      </c>
      <c r="O31" s="25"/>
      <c r="P31" s="26"/>
      <c r="Q31" s="27"/>
      <c r="R31" s="26"/>
      <c r="S31" s="26"/>
      <c r="T31" s="26"/>
      <c r="U31" s="26"/>
      <c r="V31" s="27"/>
      <c r="W31" s="27"/>
      <c r="X31" s="26"/>
      <c r="AA31" s="71" t="e">
        <f>G31+#REF!+#REF!+M31+K31+L31</f>
        <v>#REF!</v>
      </c>
      <c r="AE31">
        <f>COUNTIFS('nama pasien'!$O:$O,"batursari",'nama pasien'!$AD:$AD,"dirawat didemak")</f>
        <v>0</v>
      </c>
      <c r="AG31">
        <f>COUNTIFS('nama pasien'!$O:$O,"Rejosari",'nama pasien'!$AD:$AD,"dirawat didemak")</f>
        <v>2</v>
      </c>
    </row>
    <row r="32" spans="1:33" ht="15" customHeight="1" x14ac:dyDescent="0.25">
      <c r="A32" s="58"/>
      <c r="B32" s="59" t="s">
        <v>24</v>
      </c>
      <c r="C32" s="36" t="s">
        <v>29</v>
      </c>
      <c r="D32" s="172">
        <v>0</v>
      </c>
      <c r="E32" s="39"/>
      <c r="F32" s="172">
        <v>0</v>
      </c>
      <c r="G32" s="172">
        <v>0</v>
      </c>
      <c r="H32" s="172">
        <v>0</v>
      </c>
      <c r="I32" s="172">
        <v>0</v>
      </c>
      <c r="J32" s="172">
        <v>0</v>
      </c>
      <c r="K32" s="172">
        <v>4</v>
      </c>
      <c r="L32" s="172">
        <v>11</v>
      </c>
      <c r="M32" s="172">
        <v>0</v>
      </c>
      <c r="N32" s="3">
        <v>0</v>
      </c>
      <c r="O32" s="25"/>
      <c r="P32" s="26"/>
      <c r="Q32" s="27"/>
      <c r="R32" s="26"/>
      <c r="S32" s="26"/>
      <c r="T32" s="26"/>
      <c r="U32" s="26"/>
      <c r="V32" s="27"/>
      <c r="W32" s="27"/>
      <c r="X32" s="26"/>
      <c r="AA32" s="71" t="e">
        <f>G32+#REF!+#REF!+M32+K32+L32</f>
        <v>#REF!</v>
      </c>
      <c r="AE32">
        <f>COUNTIFS('nama pasien'!$O:$O,"batursari",'nama pasien'!$AD:$AD,"dirawat didemak")</f>
        <v>0</v>
      </c>
      <c r="AG32">
        <f>COUNTIFS('nama pasien'!$O:$O,"Ploso",'nama pasien'!$AD:$AD,"dirawat didemak")</f>
        <v>0</v>
      </c>
    </row>
    <row r="33" spans="1:33" ht="15" customHeight="1" x14ac:dyDescent="0.25">
      <c r="A33" s="58"/>
      <c r="B33" s="59" t="s">
        <v>24</v>
      </c>
      <c r="C33" s="36" t="s">
        <v>30</v>
      </c>
      <c r="D33" s="172">
        <v>0</v>
      </c>
      <c r="E33" s="39"/>
      <c r="F33" s="172">
        <v>0</v>
      </c>
      <c r="G33" s="172">
        <v>0</v>
      </c>
      <c r="H33" s="172">
        <v>0</v>
      </c>
      <c r="I33" s="172">
        <v>0</v>
      </c>
      <c r="J33" s="172">
        <v>0</v>
      </c>
      <c r="K33" s="172">
        <v>10</v>
      </c>
      <c r="L33" s="172">
        <v>29</v>
      </c>
      <c r="M33" s="172">
        <v>2</v>
      </c>
      <c r="N33" s="3">
        <v>2</v>
      </c>
      <c r="O33" s="25"/>
      <c r="P33" s="26"/>
      <c r="Q33" s="27"/>
      <c r="R33" s="26"/>
      <c r="S33" s="26"/>
      <c r="T33" s="26"/>
      <c r="U33" s="26"/>
      <c r="V33" s="27"/>
      <c r="W33" s="27"/>
      <c r="X33" s="26"/>
      <c r="AA33" s="71" t="e">
        <f>G33+#REF!+#REF!+M33+K33+L33</f>
        <v>#REF!</v>
      </c>
      <c r="AE33">
        <f>COUNTIFS('nama pasien'!$O:$O,"batursari",'nama pasien'!$AD:$AD,"dirawat didemak")</f>
        <v>0</v>
      </c>
      <c r="AG33">
        <f>COUNTIFS('nama pasien'!$O:$O,"Wonokerto",'nama pasien'!$AD:$AD,"dirawat didemak")</f>
        <v>0</v>
      </c>
    </row>
    <row r="34" spans="1:33" ht="15" customHeight="1" x14ac:dyDescent="0.25">
      <c r="A34" s="58"/>
      <c r="B34" s="59" t="s">
        <v>24</v>
      </c>
      <c r="C34" s="36" t="s">
        <v>255</v>
      </c>
      <c r="D34" s="172">
        <v>0</v>
      </c>
      <c r="E34" s="39"/>
      <c r="F34" s="172">
        <v>0</v>
      </c>
      <c r="G34" s="172">
        <v>0</v>
      </c>
      <c r="H34" s="172">
        <v>0</v>
      </c>
      <c r="I34" s="172">
        <v>0</v>
      </c>
      <c r="J34" s="172">
        <v>0</v>
      </c>
      <c r="K34" s="172">
        <v>20</v>
      </c>
      <c r="L34" s="172">
        <v>81</v>
      </c>
      <c r="M34" s="172">
        <v>19</v>
      </c>
      <c r="N34" s="3">
        <v>19</v>
      </c>
      <c r="O34" s="25"/>
      <c r="P34" s="26"/>
      <c r="Q34" s="27"/>
      <c r="R34" s="26"/>
      <c r="S34" s="26"/>
      <c r="T34" s="26"/>
      <c r="U34" s="26"/>
      <c r="V34" s="27"/>
      <c r="W34" s="27"/>
      <c r="X34" s="26"/>
      <c r="AA34" s="71" t="e">
        <f>G34+#REF!+#REF!+M34+K34+L34</f>
        <v>#REF!</v>
      </c>
      <c r="AE34">
        <f>COUNTIFS('nama pasien'!$O:$O,"batursari",'nama pasien'!$AD:$AD,"dirawat didemak")</f>
        <v>0</v>
      </c>
      <c r="AG34">
        <f>COUNTIFS('nama pasien'!$O:$O,"Karangsari",'nama pasien'!$AD:$AD,"dirawat didemak")</f>
        <v>1</v>
      </c>
    </row>
    <row r="35" spans="1:33" ht="15" customHeight="1" x14ac:dyDescent="0.25">
      <c r="A35" s="58"/>
      <c r="B35" s="59" t="s">
        <v>24</v>
      </c>
      <c r="C35" s="36" t="s">
        <v>31</v>
      </c>
      <c r="D35" s="172">
        <v>0</v>
      </c>
      <c r="E35" s="39"/>
      <c r="F35" s="172">
        <v>0</v>
      </c>
      <c r="G35" s="172">
        <v>0</v>
      </c>
      <c r="H35" s="172">
        <v>0</v>
      </c>
      <c r="I35" s="172">
        <v>0</v>
      </c>
      <c r="J35" s="172">
        <v>0</v>
      </c>
      <c r="K35" s="172">
        <v>12</v>
      </c>
      <c r="L35" s="172">
        <v>26</v>
      </c>
      <c r="M35" s="172">
        <v>6</v>
      </c>
      <c r="N35" s="3">
        <v>6</v>
      </c>
      <c r="O35" s="25"/>
      <c r="P35" s="26"/>
      <c r="Q35" s="27"/>
      <c r="R35" s="26"/>
      <c r="S35" s="26"/>
      <c r="T35" s="26"/>
      <c r="U35" s="26"/>
      <c r="V35" s="27"/>
      <c r="W35" s="27"/>
      <c r="X35" s="26"/>
      <c r="AA35" s="71" t="e">
        <f>G35+#REF!+#REF!+M35+K35+L35</f>
        <v>#REF!</v>
      </c>
      <c r="AE35">
        <f>COUNTIFS('nama pasien'!$O:$O,"batursari",'nama pasien'!$AD:$AD,"dirawat didemak")</f>
        <v>0</v>
      </c>
      <c r="AG35">
        <f>COUNTIFS('nama pasien'!$O:$O,"Batu",'nama pasien'!$AD:$AD,"dirawat didemak")</f>
        <v>2</v>
      </c>
    </row>
    <row r="36" spans="1:33" ht="15" customHeight="1" x14ac:dyDescent="0.25">
      <c r="A36" s="58"/>
      <c r="B36" s="59" t="s">
        <v>24</v>
      </c>
      <c r="C36" s="36" t="s">
        <v>32</v>
      </c>
      <c r="D36" s="172">
        <v>0</v>
      </c>
      <c r="E36" s="39"/>
      <c r="F36" s="172">
        <v>0</v>
      </c>
      <c r="G36" s="172">
        <v>0</v>
      </c>
      <c r="H36" s="172">
        <v>0</v>
      </c>
      <c r="I36" s="172">
        <v>0</v>
      </c>
      <c r="J36" s="172">
        <v>0</v>
      </c>
      <c r="K36" s="172">
        <v>7</v>
      </c>
      <c r="L36" s="172">
        <v>24</v>
      </c>
      <c r="M36" s="172">
        <v>3</v>
      </c>
      <c r="N36" s="3">
        <v>3</v>
      </c>
      <c r="O36" s="25"/>
      <c r="P36" s="26"/>
      <c r="Q36" s="27"/>
      <c r="R36" s="26"/>
      <c r="S36" s="26"/>
      <c r="T36" s="26"/>
      <c r="U36" s="26"/>
      <c r="V36" s="27"/>
      <c r="W36" s="27"/>
      <c r="X36" s="26"/>
      <c r="AA36" s="71" t="e">
        <f>G36+#REF!+#REF!+M36+K36+L36</f>
        <v>#REF!</v>
      </c>
      <c r="AE36">
        <f>COUNTIFS('nama pasien'!$O:$O,"batursari",'nama pasien'!$AD:$AD,"dirawat didemak")</f>
        <v>0</v>
      </c>
      <c r="AG36">
        <f>COUNTIFS('nama pasien'!$O:$O,"Donorejo",'nama pasien'!$AD:$AD,"dirawat didemak")</f>
        <v>0</v>
      </c>
    </row>
    <row r="37" spans="1:33" ht="15" customHeight="1" x14ac:dyDescent="0.25">
      <c r="A37" s="58"/>
      <c r="B37" s="59" t="s">
        <v>24</v>
      </c>
      <c r="C37" s="36" t="s">
        <v>294</v>
      </c>
      <c r="D37" s="172">
        <v>0</v>
      </c>
      <c r="E37" s="39"/>
      <c r="F37" s="172">
        <v>0</v>
      </c>
      <c r="G37" s="172">
        <v>0</v>
      </c>
      <c r="H37" s="172">
        <v>0</v>
      </c>
      <c r="I37" s="172">
        <v>0</v>
      </c>
      <c r="J37" s="172">
        <v>0</v>
      </c>
      <c r="K37" s="172">
        <v>8</v>
      </c>
      <c r="L37" s="172">
        <v>14</v>
      </c>
      <c r="M37" s="172">
        <v>3</v>
      </c>
      <c r="N37" s="3">
        <v>3</v>
      </c>
      <c r="O37" s="25"/>
      <c r="P37" s="26"/>
      <c r="Q37" s="27"/>
      <c r="R37" s="26"/>
      <c r="S37" s="26"/>
      <c r="T37" s="26"/>
      <c r="U37" s="26"/>
      <c r="V37" s="27"/>
      <c r="W37" s="27"/>
      <c r="X37" s="26"/>
      <c r="AA37" s="71" t="e">
        <f>G37+#REF!+#REF!+M37+K37+L37</f>
        <v>#REF!</v>
      </c>
      <c r="AE37">
        <f>COUNTIFS('nama pasien'!$O:$O,"batursari",'nama pasien'!$AD:$AD,"dirawat didemak")</f>
        <v>0</v>
      </c>
      <c r="AG37">
        <f>COUNTIFS('nama pasien'!$O:$O,"Kedunguter",'nama pasien'!$AD:$AD,"dirawat didemak")</f>
        <v>0</v>
      </c>
    </row>
    <row r="38" spans="1:33" ht="15" customHeight="1" x14ac:dyDescent="0.25">
      <c r="A38" s="58"/>
      <c r="B38" s="59" t="s">
        <v>24</v>
      </c>
      <c r="C38" s="36" t="s">
        <v>295</v>
      </c>
      <c r="D38" s="172">
        <v>0</v>
      </c>
      <c r="E38" s="39"/>
      <c r="F38" s="172">
        <v>0</v>
      </c>
      <c r="G38" s="172">
        <v>0</v>
      </c>
      <c r="H38" s="172">
        <v>0</v>
      </c>
      <c r="I38" s="172">
        <v>0</v>
      </c>
      <c r="J38" s="172">
        <v>0</v>
      </c>
      <c r="K38" s="172">
        <v>11</v>
      </c>
      <c r="L38" s="172">
        <v>25</v>
      </c>
      <c r="M38" s="172">
        <v>6</v>
      </c>
      <c r="N38" s="3">
        <v>6</v>
      </c>
      <c r="O38" s="25"/>
      <c r="P38" s="26"/>
      <c r="Q38" s="27"/>
      <c r="R38" s="26"/>
      <c r="S38" s="26"/>
      <c r="T38" s="26"/>
      <c r="U38" s="26"/>
      <c r="V38" s="27"/>
      <c r="W38" s="27"/>
      <c r="X38" s="26"/>
      <c r="AA38" s="71" t="e">
        <f>G38+#REF!+#REF!+M38+K38+L38</f>
        <v>#REF!</v>
      </c>
      <c r="AE38">
        <f>COUNTIFS('nama pasien'!$O:$O,"batursari",'nama pasien'!$AD:$AD,"dirawat didemak")</f>
        <v>0</v>
      </c>
      <c r="AG38">
        <f>COUNTIFS('nama pasien'!$O:$O,"Karangtowo",'nama pasien'!$AD:$AD,"dirawat didemak")</f>
        <v>0</v>
      </c>
    </row>
    <row r="39" spans="1:33" ht="15" customHeight="1" x14ac:dyDescent="0.25">
      <c r="A39" s="58"/>
      <c r="B39" s="59" t="s">
        <v>24</v>
      </c>
      <c r="C39" s="36" t="s">
        <v>33</v>
      </c>
      <c r="D39" s="172">
        <v>0</v>
      </c>
      <c r="E39" s="39"/>
      <c r="F39" s="172">
        <v>0</v>
      </c>
      <c r="G39" s="172">
        <v>0</v>
      </c>
      <c r="H39" s="172">
        <v>0</v>
      </c>
      <c r="I39" s="172">
        <v>0</v>
      </c>
      <c r="J39" s="172">
        <v>0</v>
      </c>
      <c r="K39" s="172">
        <v>2</v>
      </c>
      <c r="L39" s="172">
        <v>10</v>
      </c>
      <c r="M39" s="172">
        <v>1</v>
      </c>
      <c r="N39" s="3">
        <v>1</v>
      </c>
      <c r="O39" s="25"/>
      <c r="P39" s="26"/>
      <c r="Q39" s="27"/>
      <c r="R39" s="26"/>
      <c r="S39" s="26"/>
      <c r="T39" s="26"/>
      <c r="U39" s="26"/>
      <c r="V39" s="27"/>
      <c r="W39" s="27"/>
      <c r="X39" s="26"/>
      <c r="AA39" s="71" t="e">
        <f>G39+#REF!+#REF!+M39+K39+L39</f>
        <v>#REF!</v>
      </c>
      <c r="AE39">
        <f>COUNTIFS('nama pasien'!$O:$O,"batursari",'nama pasien'!$AD:$AD,"dirawat didemak")</f>
        <v>0</v>
      </c>
      <c r="AG39">
        <f>COUNTIFS('nama pasien'!$O:$O,"Wonoagung",'nama pasien'!$AD:$AD,"dirawat didemak")</f>
        <v>0</v>
      </c>
    </row>
    <row r="40" spans="1:33" ht="15" customHeight="1" x14ac:dyDescent="0.25">
      <c r="A40" s="58"/>
      <c r="B40" s="59" t="s">
        <v>24</v>
      </c>
      <c r="C40" s="36" t="s">
        <v>34</v>
      </c>
      <c r="D40" s="172">
        <v>0</v>
      </c>
      <c r="E40" s="39"/>
      <c r="F40" s="172">
        <v>0</v>
      </c>
      <c r="G40" s="172">
        <v>0</v>
      </c>
      <c r="H40" s="172">
        <v>0</v>
      </c>
      <c r="I40" s="172">
        <v>0</v>
      </c>
      <c r="J40" s="172">
        <v>0</v>
      </c>
      <c r="K40" s="172">
        <v>6</v>
      </c>
      <c r="L40" s="172">
        <v>14</v>
      </c>
      <c r="M40" s="172">
        <v>3</v>
      </c>
      <c r="N40" s="3">
        <v>3</v>
      </c>
      <c r="O40" s="25"/>
      <c r="P40" s="26"/>
      <c r="Q40" s="27"/>
      <c r="R40" s="26"/>
      <c r="S40" s="26"/>
      <c r="T40" s="26"/>
      <c r="U40" s="26"/>
      <c r="V40" s="27"/>
      <c r="W40" s="27"/>
      <c r="X40" s="26"/>
      <c r="AA40" s="71" t="e">
        <f>G40+#REF!+#REF!+M40+K40+L40</f>
        <v>#REF!</v>
      </c>
      <c r="AE40">
        <f>COUNTIFS('nama pasien'!$O:$O,"batursari",'nama pasien'!$AD:$AD,"dirawat didemak")</f>
        <v>0</v>
      </c>
      <c r="AG40">
        <f>COUNTIFS('nama pasien'!$O:$O,"Klitih",'nama pasien'!$AD:$AD,"dirawat didemak")</f>
        <v>0</v>
      </c>
    </row>
    <row r="41" spans="1:33" ht="15" customHeight="1" x14ac:dyDescent="0.25">
      <c r="A41" s="58"/>
      <c r="B41" s="59" t="s">
        <v>24</v>
      </c>
      <c r="C41" s="36" t="s">
        <v>35</v>
      </c>
      <c r="D41" s="172">
        <v>0</v>
      </c>
      <c r="E41" s="39"/>
      <c r="F41" s="172">
        <v>0</v>
      </c>
      <c r="G41" s="172">
        <v>0</v>
      </c>
      <c r="H41" s="172">
        <v>0</v>
      </c>
      <c r="I41" s="172">
        <v>0</v>
      </c>
      <c r="J41" s="172">
        <v>0</v>
      </c>
      <c r="K41" s="172">
        <v>4</v>
      </c>
      <c r="L41" s="172">
        <v>18</v>
      </c>
      <c r="M41" s="172">
        <v>1</v>
      </c>
      <c r="N41" s="3">
        <v>1</v>
      </c>
      <c r="O41" s="25"/>
      <c r="P41" s="26"/>
      <c r="Q41" s="27"/>
      <c r="R41" s="26"/>
      <c r="S41" s="26"/>
      <c r="T41" s="26"/>
      <c r="U41" s="26"/>
      <c r="V41" s="27"/>
      <c r="W41" s="27"/>
      <c r="X41" s="26"/>
      <c r="AA41" s="71" t="e">
        <f>G41+#REF!+#REF!+M41+K41+L41</f>
        <v>#REF!</v>
      </c>
      <c r="AE41">
        <f>COUNTIFS('nama pasien'!$O:$O,"batursari",'nama pasien'!$AD:$AD,"dirawat didemak")</f>
        <v>0</v>
      </c>
      <c r="AG41">
        <f>COUNTIFS('nama pasien'!$O:$O,"Grogol",'nama pasien'!$AD:$AD,"dirawat didemak")</f>
        <v>0</v>
      </c>
    </row>
    <row r="42" spans="1:33" ht="15" customHeight="1" x14ac:dyDescent="0.25">
      <c r="A42" s="58"/>
      <c r="B42" s="59" t="s">
        <v>24</v>
      </c>
      <c r="C42" s="36" t="s">
        <v>36</v>
      </c>
      <c r="D42" s="172">
        <v>0</v>
      </c>
      <c r="E42" s="39"/>
      <c r="F42" s="172">
        <v>0</v>
      </c>
      <c r="G42" s="172">
        <v>0</v>
      </c>
      <c r="H42" s="172">
        <v>0</v>
      </c>
      <c r="I42" s="172">
        <v>0</v>
      </c>
      <c r="J42" s="172">
        <v>0</v>
      </c>
      <c r="K42" s="172">
        <v>2</v>
      </c>
      <c r="L42" s="172">
        <v>16</v>
      </c>
      <c r="M42" s="172">
        <v>1</v>
      </c>
      <c r="N42" s="3">
        <v>1</v>
      </c>
      <c r="O42" s="25"/>
      <c r="P42" s="26"/>
      <c r="Q42" s="27"/>
      <c r="R42" s="26"/>
      <c r="S42" s="26"/>
      <c r="T42" s="26"/>
      <c r="U42" s="26"/>
      <c r="V42" s="27"/>
      <c r="W42" s="27"/>
      <c r="X42" s="26"/>
      <c r="AA42" s="71" t="e">
        <f>G42+#REF!+#REF!+M42+K42+L42</f>
        <v>#REF!</v>
      </c>
      <c r="AE42">
        <f>COUNTIFS('nama pasien'!$O:$O,"batursari",'nama pasien'!$AD:$AD,"dirawat didemak")</f>
        <v>0</v>
      </c>
      <c r="AG42">
        <f>COUNTIFS('nama pasien'!$O:$O,"Pidodo",'nama pasien'!$AD:$AD,"dirawat didemak")</f>
        <v>0</v>
      </c>
    </row>
    <row r="43" spans="1:33" ht="15" customHeight="1" x14ac:dyDescent="0.25">
      <c r="A43" s="58"/>
      <c r="B43" s="59" t="s">
        <v>24</v>
      </c>
      <c r="C43" s="36" t="s">
        <v>37</v>
      </c>
      <c r="D43" s="172">
        <v>0</v>
      </c>
      <c r="E43" s="39"/>
      <c r="F43" s="172">
        <v>0</v>
      </c>
      <c r="G43" s="172">
        <v>0</v>
      </c>
      <c r="H43" s="172">
        <v>0</v>
      </c>
      <c r="I43" s="172">
        <v>0</v>
      </c>
      <c r="J43" s="172">
        <v>0</v>
      </c>
      <c r="K43" s="172">
        <v>11</v>
      </c>
      <c r="L43" s="172">
        <v>16</v>
      </c>
      <c r="M43" s="172">
        <v>2</v>
      </c>
      <c r="N43" s="4">
        <v>1</v>
      </c>
      <c r="O43" s="25"/>
      <c r="P43" s="26"/>
      <c r="Q43" s="27"/>
      <c r="R43" s="26"/>
      <c r="S43" s="26"/>
      <c r="T43" s="26"/>
      <c r="U43" s="26"/>
      <c r="V43" s="27"/>
      <c r="W43" s="27"/>
      <c r="X43" s="26"/>
      <c r="AA43" s="71" t="e">
        <f>G43+#REF!+#REF!+M43+K43+L43</f>
        <v>#REF!</v>
      </c>
      <c r="AE43">
        <f>COUNTIFS('nama pasien'!$O:$O,"batursari",'nama pasien'!$AD:$AD,"dirawat didemak")</f>
        <v>0</v>
      </c>
      <c r="AG43">
        <f>COUNTIFS('nama pasien'!$O:$O,"Dukun",'nama pasien'!$AD:$AD,"dirawatdidemak")</f>
        <v>0</v>
      </c>
    </row>
    <row r="44" spans="1:33" x14ac:dyDescent="0.25">
      <c r="A44" s="6">
        <v>3</v>
      </c>
      <c r="B44" s="60" t="s">
        <v>38</v>
      </c>
      <c r="C44" s="36" t="s">
        <v>40</v>
      </c>
      <c r="D44" s="172">
        <v>0</v>
      </c>
      <c r="E44" s="39"/>
      <c r="F44" s="172">
        <v>0</v>
      </c>
      <c r="G44" s="172">
        <v>0</v>
      </c>
      <c r="H44" s="172">
        <v>0</v>
      </c>
      <c r="I44" s="172">
        <v>0</v>
      </c>
      <c r="J44" s="172">
        <v>0</v>
      </c>
      <c r="K44" s="172">
        <v>11</v>
      </c>
      <c r="L44" s="172">
        <v>84</v>
      </c>
      <c r="M44" s="172">
        <v>9</v>
      </c>
      <c r="N44" s="7">
        <v>9</v>
      </c>
      <c r="O44" s="25">
        <f t="shared" ref="O44:X44" si="2">SUM(D44:D64)</f>
        <v>0</v>
      </c>
      <c r="P44" s="25">
        <f t="shared" si="2"/>
        <v>0</v>
      </c>
      <c r="Q44" s="25">
        <f>SUM(F44:F64)</f>
        <v>1</v>
      </c>
      <c r="R44" s="25">
        <f t="shared" si="2"/>
        <v>0</v>
      </c>
      <c r="S44" s="25">
        <f t="shared" si="2"/>
        <v>1</v>
      </c>
      <c r="T44" s="25">
        <f t="shared" si="2"/>
        <v>0</v>
      </c>
      <c r="U44" s="25">
        <f t="shared" si="2"/>
        <v>0</v>
      </c>
      <c r="V44" s="25">
        <f t="shared" si="2"/>
        <v>149</v>
      </c>
      <c r="W44" s="25">
        <f t="shared" si="2"/>
        <v>648</v>
      </c>
      <c r="X44" s="25">
        <f t="shared" si="2"/>
        <v>97</v>
      </c>
      <c r="AA44" s="71" t="e">
        <f>G44+#REF!+#REF!+M44+K44+L44</f>
        <v>#REF!</v>
      </c>
      <c r="AB44" s="71" t="e">
        <f>SUM(AA44:AA64)</f>
        <v>#REF!</v>
      </c>
      <c r="AG44">
        <f>COUNTIFS('nama pasien'!$O:$O,"Botorejo",'nama pasien'!$AD:$AD,"dirawat didemak")</f>
        <v>1</v>
      </c>
    </row>
    <row r="45" spans="1:33" x14ac:dyDescent="0.25">
      <c r="A45" s="6"/>
      <c r="B45" s="60" t="s">
        <v>38</v>
      </c>
      <c r="C45" s="36" t="s">
        <v>41</v>
      </c>
      <c r="D45" s="172">
        <v>0</v>
      </c>
      <c r="E45" s="39"/>
      <c r="F45" s="172">
        <v>0</v>
      </c>
      <c r="G45" s="172">
        <v>0</v>
      </c>
      <c r="H45" s="172">
        <v>0</v>
      </c>
      <c r="I45" s="172">
        <v>0</v>
      </c>
      <c r="J45" s="172">
        <v>0</v>
      </c>
      <c r="K45" s="172">
        <v>9</v>
      </c>
      <c r="L45" s="172">
        <v>12</v>
      </c>
      <c r="M45" s="172">
        <v>1</v>
      </c>
      <c r="N45" s="8">
        <v>1</v>
      </c>
      <c r="O45" s="25"/>
      <c r="P45" s="26"/>
      <c r="Q45" s="27"/>
      <c r="R45" s="26"/>
      <c r="S45" s="26"/>
      <c r="T45" s="26"/>
      <c r="U45" s="26"/>
      <c r="V45" s="27"/>
      <c r="W45" s="27"/>
      <c r="X45" s="26"/>
      <c r="AA45" s="71" t="e">
        <f>G45+#REF!+#REF!+M45+K45+L45</f>
        <v>#REF!</v>
      </c>
      <c r="AG45">
        <f>COUNTIFS('nama pasien'!$O:$O,"Getas",'nama pasien'!$AD:$AD,"dirawat didemak")</f>
        <v>0</v>
      </c>
    </row>
    <row r="46" spans="1:33" x14ac:dyDescent="0.25">
      <c r="A46" s="6"/>
      <c r="B46" s="60" t="s">
        <v>38</v>
      </c>
      <c r="C46" s="36" t="s">
        <v>42</v>
      </c>
      <c r="D46" s="172">
        <v>0</v>
      </c>
      <c r="E46" s="39"/>
      <c r="F46" s="172">
        <v>0</v>
      </c>
      <c r="G46" s="172">
        <v>0</v>
      </c>
      <c r="H46" s="172">
        <v>0</v>
      </c>
      <c r="I46" s="172">
        <v>0</v>
      </c>
      <c r="J46" s="172">
        <v>0</v>
      </c>
      <c r="K46" s="172">
        <v>2</v>
      </c>
      <c r="L46" s="172">
        <v>27</v>
      </c>
      <c r="M46" s="172">
        <v>10</v>
      </c>
      <c r="N46" s="8">
        <v>9</v>
      </c>
      <c r="O46" s="25"/>
      <c r="P46" s="26"/>
      <c r="Q46" s="27"/>
      <c r="R46" s="26"/>
      <c r="S46" s="26"/>
      <c r="T46" s="26"/>
      <c r="U46" s="26"/>
      <c r="V46" s="27"/>
      <c r="W46" s="27"/>
      <c r="X46" s="26"/>
      <c r="AA46" s="71" t="e">
        <f>G46+#REF!+#REF!+M46+K46+L46</f>
        <v>#REF!</v>
      </c>
      <c r="AG46">
        <f>COUNTIFS('nama pasien'!$O:$O,"Kuncir",'nama pasien'!$AD:$AD,"dirawat didemak")</f>
        <v>0</v>
      </c>
    </row>
    <row r="47" spans="1:33" x14ac:dyDescent="0.25">
      <c r="A47" s="6"/>
      <c r="B47" s="60" t="s">
        <v>38</v>
      </c>
      <c r="C47" s="36" t="s">
        <v>43</v>
      </c>
      <c r="D47" s="172">
        <v>0</v>
      </c>
      <c r="E47" s="39"/>
      <c r="F47" s="172">
        <v>0</v>
      </c>
      <c r="G47" s="172">
        <v>0</v>
      </c>
      <c r="H47" s="172">
        <v>0</v>
      </c>
      <c r="I47" s="172">
        <v>0</v>
      </c>
      <c r="J47" s="172">
        <v>0</v>
      </c>
      <c r="K47" s="172">
        <v>14</v>
      </c>
      <c r="L47" s="172">
        <v>38</v>
      </c>
      <c r="M47" s="172">
        <v>6</v>
      </c>
      <c r="N47" s="8">
        <v>6</v>
      </c>
      <c r="O47" s="25"/>
      <c r="P47" s="26"/>
      <c r="Q47" s="27"/>
      <c r="R47" s="26"/>
      <c r="S47" s="26"/>
      <c r="T47" s="26"/>
      <c r="U47" s="26"/>
      <c r="V47" s="27"/>
      <c r="W47" s="27"/>
      <c r="X47" s="26"/>
      <c r="AA47" s="71" t="e">
        <f>G47+#REF!+#REF!+M47+K47+L47</f>
        <v>#REF!</v>
      </c>
      <c r="AG47">
        <f>COUNTIFS('nama pasien'!$O:$O,"trengguli",'nama pasien'!$AD:$AD,"dirawat didemak")</f>
        <v>0</v>
      </c>
    </row>
    <row r="48" spans="1:33" x14ac:dyDescent="0.25">
      <c r="A48" s="6"/>
      <c r="B48" s="60" t="s">
        <v>38</v>
      </c>
      <c r="C48" s="36" t="s">
        <v>44</v>
      </c>
      <c r="D48" s="172">
        <v>0</v>
      </c>
      <c r="E48" s="39"/>
      <c r="F48" s="172">
        <v>0</v>
      </c>
      <c r="G48" s="172">
        <v>0</v>
      </c>
      <c r="H48" s="172">
        <v>1</v>
      </c>
      <c r="I48" s="172">
        <v>0</v>
      </c>
      <c r="J48" s="172">
        <v>0</v>
      </c>
      <c r="K48" s="172">
        <v>13</v>
      </c>
      <c r="L48" s="172">
        <v>41</v>
      </c>
      <c r="M48" s="172">
        <v>14</v>
      </c>
      <c r="N48" s="8">
        <v>14</v>
      </c>
      <c r="O48" s="25"/>
      <c r="P48" s="26"/>
      <c r="Q48" s="27"/>
      <c r="R48" s="26"/>
      <c r="S48" s="26"/>
      <c r="T48" s="26"/>
      <c r="U48" s="26"/>
      <c r="V48" s="27"/>
      <c r="W48" s="27"/>
      <c r="X48" s="26"/>
      <c r="AA48" s="71" t="e">
        <f>G48+#REF!+#REF!+M48+K48+L48</f>
        <v>#REF!</v>
      </c>
      <c r="AG48">
        <f>COUNTIFS('nama pasien'!$O:$O,"Mranak",'nama pasien'!$AD:$AD,"dirawat didemak")</f>
        <v>0</v>
      </c>
    </row>
    <row r="49" spans="1:33" x14ac:dyDescent="0.25">
      <c r="A49" s="6"/>
      <c r="B49" s="60" t="s">
        <v>38</v>
      </c>
      <c r="C49" s="36" t="s">
        <v>45</v>
      </c>
      <c r="D49" s="172">
        <v>0</v>
      </c>
      <c r="E49" s="39"/>
      <c r="F49" s="172">
        <v>0</v>
      </c>
      <c r="G49" s="172">
        <v>0</v>
      </c>
      <c r="H49" s="172">
        <v>0</v>
      </c>
      <c r="I49" s="172">
        <v>0</v>
      </c>
      <c r="J49" s="172">
        <v>0</v>
      </c>
      <c r="K49" s="172">
        <v>14</v>
      </c>
      <c r="L49" s="172">
        <v>44</v>
      </c>
      <c r="M49" s="172">
        <v>6</v>
      </c>
      <c r="N49" s="8">
        <v>6</v>
      </c>
      <c r="O49" s="25"/>
      <c r="P49" s="26"/>
      <c r="Q49" s="27"/>
      <c r="R49" s="26"/>
      <c r="S49" s="26"/>
      <c r="T49" s="26"/>
      <c r="U49" s="26"/>
      <c r="V49" s="27"/>
      <c r="W49" s="27"/>
      <c r="X49" s="26"/>
      <c r="AA49" s="71" t="e">
        <f>G49+#REF!+#REF!+M49+K49+L49</f>
        <v>#REF!</v>
      </c>
      <c r="AG49">
        <f>COUNTIFS('nama pasien'!$O:$O,"Pilangrejo",'nama pasien'!$AD:$AD,"dirawat didemak")</f>
        <v>0</v>
      </c>
    </row>
    <row r="50" spans="1:33" x14ac:dyDescent="0.25">
      <c r="A50" s="6"/>
      <c r="B50" s="60" t="s">
        <v>38</v>
      </c>
      <c r="C50" s="36" t="s">
        <v>46</v>
      </c>
      <c r="D50" s="172">
        <v>0</v>
      </c>
      <c r="E50" s="39"/>
      <c r="F50" s="172">
        <v>0</v>
      </c>
      <c r="G50" s="172">
        <v>0</v>
      </c>
      <c r="H50" s="172">
        <v>0</v>
      </c>
      <c r="I50" s="172">
        <v>0</v>
      </c>
      <c r="J50" s="172">
        <v>0</v>
      </c>
      <c r="K50" s="172">
        <v>7</v>
      </c>
      <c r="L50" s="172">
        <v>17</v>
      </c>
      <c r="M50" s="172">
        <v>3</v>
      </c>
      <c r="N50" s="8">
        <v>3</v>
      </c>
      <c r="O50" s="25"/>
      <c r="P50" s="26"/>
      <c r="Q50" s="27"/>
      <c r="R50" s="26"/>
      <c r="S50" s="26"/>
      <c r="T50" s="26"/>
      <c r="U50" s="26"/>
      <c r="V50" s="27"/>
      <c r="W50" s="27"/>
      <c r="X50" s="26"/>
      <c r="AA50" s="71" t="e">
        <f>G50+#REF!+#REF!+M50+K50+L50</f>
        <v>#REF!</v>
      </c>
      <c r="AG50">
        <f>COUNTIFS('nama pasien'!$O:$O,"Kerangkulon",'nama pasien'!$AD:$AD,"dirawat didemak")</f>
        <v>0</v>
      </c>
    </row>
    <row r="51" spans="1:33" x14ac:dyDescent="0.25">
      <c r="A51" s="6"/>
      <c r="B51" s="60" t="s">
        <v>38</v>
      </c>
      <c r="C51" s="36" t="s">
        <v>47</v>
      </c>
      <c r="D51" s="172">
        <v>0</v>
      </c>
      <c r="E51" s="39"/>
      <c r="F51" s="172">
        <v>0</v>
      </c>
      <c r="G51" s="172">
        <v>0</v>
      </c>
      <c r="H51" s="172">
        <v>0</v>
      </c>
      <c r="I51" s="172">
        <v>0</v>
      </c>
      <c r="J51" s="172">
        <v>0</v>
      </c>
      <c r="K51" s="172">
        <v>6</v>
      </c>
      <c r="L51" s="172">
        <v>43</v>
      </c>
      <c r="M51" s="172">
        <v>8</v>
      </c>
      <c r="N51" s="8">
        <v>8</v>
      </c>
      <c r="O51" s="25"/>
      <c r="P51" s="26"/>
      <c r="Q51" s="27"/>
      <c r="R51" s="26"/>
      <c r="S51" s="26"/>
      <c r="T51" s="26"/>
      <c r="U51" s="26"/>
      <c r="V51" s="27"/>
      <c r="W51" s="27"/>
      <c r="X51" s="26"/>
      <c r="AA51" s="71" t="e">
        <f>G51+#REF!+#REF!+M51+K51+L51</f>
        <v>#REF!</v>
      </c>
      <c r="AG51">
        <f>COUNTIFS('nama pasien'!$O:$O,"Sidomulyo",'nama pasien'!$AD:$AD,"dirawat didemak")</f>
        <v>0</v>
      </c>
    </row>
    <row r="52" spans="1:33" x14ac:dyDescent="0.25">
      <c r="A52" s="6"/>
      <c r="B52" s="60" t="s">
        <v>38</v>
      </c>
      <c r="C52" s="36" t="s">
        <v>48</v>
      </c>
      <c r="D52" s="172">
        <v>0</v>
      </c>
      <c r="E52" s="39"/>
      <c r="F52" s="172">
        <v>0</v>
      </c>
      <c r="G52" s="172">
        <v>0</v>
      </c>
      <c r="H52" s="172">
        <v>0</v>
      </c>
      <c r="I52" s="172">
        <v>0</v>
      </c>
      <c r="J52" s="172">
        <v>0</v>
      </c>
      <c r="K52" s="172">
        <v>4</v>
      </c>
      <c r="L52" s="172">
        <v>7</v>
      </c>
      <c r="M52" s="172">
        <v>2</v>
      </c>
      <c r="N52" s="8">
        <v>2</v>
      </c>
      <c r="O52" s="25"/>
      <c r="P52" s="26"/>
      <c r="Q52" s="27"/>
      <c r="R52" s="26"/>
      <c r="S52" s="26"/>
      <c r="T52" s="26"/>
      <c r="U52" s="26"/>
      <c r="V52" s="27"/>
      <c r="W52" s="27"/>
      <c r="X52" s="26"/>
      <c r="AA52" s="71" t="e">
        <f>G52+#REF!+#REF!+M52+K52+L52</f>
        <v>#REF!</v>
      </c>
      <c r="AG52">
        <f>COUNTIFS('nama pasien'!$O:$O,"Bunderan",'nama pasien'!$AD:$AD,"dirawat didemak")</f>
        <v>0</v>
      </c>
    </row>
    <row r="53" spans="1:33" x14ac:dyDescent="0.25">
      <c r="A53" s="6"/>
      <c r="B53" s="60" t="s">
        <v>38</v>
      </c>
      <c r="C53" s="36" t="s">
        <v>49</v>
      </c>
      <c r="D53" s="172">
        <v>0</v>
      </c>
      <c r="E53" s="39"/>
      <c r="F53" s="172">
        <v>0</v>
      </c>
      <c r="G53" s="172">
        <v>0</v>
      </c>
      <c r="H53" s="172">
        <v>0</v>
      </c>
      <c r="I53" s="172">
        <v>0</v>
      </c>
      <c r="J53" s="172">
        <v>0</v>
      </c>
      <c r="K53" s="172">
        <v>6</v>
      </c>
      <c r="L53" s="172">
        <v>23</v>
      </c>
      <c r="M53" s="172">
        <v>4</v>
      </c>
      <c r="N53" s="8">
        <v>4</v>
      </c>
      <c r="O53" s="25"/>
      <c r="P53" s="26"/>
      <c r="Q53" s="27"/>
      <c r="R53" s="26"/>
      <c r="S53" s="26"/>
      <c r="T53" s="26"/>
      <c r="U53" s="26"/>
      <c r="V53" s="27"/>
      <c r="W53" s="27"/>
      <c r="X53" s="26"/>
      <c r="AA53" s="71" t="e">
        <f>G53+#REF!+#REF!+M53+K53+L53</f>
        <v>#REF!</v>
      </c>
      <c r="AG53">
        <f>COUNTIFS('nama pasien'!$O:$O,"Mojo demak",'nama pasien'!$AD:$AD,"dirawat didemak")</f>
        <v>0</v>
      </c>
    </row>
    <row r="54" spans="1:33" x14ac:dyDescent="0.25">
      <c r="A54" s="6"/>
      <c r="B54" s="60" t="s">
        <v>38</v>
      </c>
      <c r="C54" s="36" t="s">
        <v>50</v>
      </c>
      <c r="D54" s="172">
        <v>0</v>
      </c>
      <c r="E54" s="39"/>
      <c r="F54" s="172">
        <v>0</v>
      </c>
      <c r="G54" s="172">
        <v>0</v>
      </c>
      <c r="H54" s="172">
        <v>0</v>
      </c>
      <c r="I54" s="172">
        <v>0</v>
      </c>
      <c r="J54" s="172">
        <v>0</v>
      </c>
      <c r="K54" s="172">
        <v>9</v>
      </c>
      <c r="L54" s="172">
        <v>14</v>
      </c>
      <c r="M54" s="172">
        <v>5</v>
      </c>
      <c r="N54" s="8">
        <v>4</v>
      </c>
      <c r="O54" s="25"/>
      <c r="P54" s="26"/>
      <c r="Q54" s="27"/>
      <c r="R54" s="26"/>
      <c r="S54" s="26"/>
      <c r="T54" s="26"/>
      <c r="U54" s="26"/>
      <c r="V54" s="27"/>
      <c r="W54" s="27"/>
      <c r="X54" s="26"/>
      <c r="AA54" s="71" t="e">
        <f>G54+#REF!+#REF!+M54+K54+L54</f>
        <v>#REF!</v>
      </c>
      <c r="AG54">
        <f>COUNTIFS('nama pasien'!$O:$O,"Mrisen",'nama pasien'!$AD:$AD,"dirawat didemak")</f>
        <v>0</v>
      </c>
    </row>
    <row r="55" spans="1:33" ht="13.5" customHeight="1" x14ac:dyDescent="0.25">
      <c r="A55" s="6"/>
      <c r="B55" s="60" t="s">
        <v>38</v>
      </c>
      <c r="C55" s="36" t="s">
        <v>51</v>
      </c>
      <c r="D55" s="172">
        <v>0</v>
      </c>
      <c r="E55" s="39"/>
      <c r="F55" s="172">
        <v>0</v>
      </c>
      <c r="G55" s="172">
        <v>0</v>
      </c>
      <c r="H55" s="172">
        <v>0</v>
      </c>
      <c r="I55" s="172">
        <v>0</v>
      </c>
      <c r="J55" s="172">
        <v>0</v>
      </c>
      <c r="K55" s="172">
        <v>1</v>
      </c>
      <c r="L55" s="172">
        <v>14</v>
      </c>
      <c r="M55" s="172">
        <v>1</v>
      </c>
      <c r="N55" s="5">
        <v>0</v>
      </c>
      <c r="O55" s="25"/>
      <c r="P55" s="26"/>
      <c r="Q55" s="27"/>
      <c r="R55" s="26"/>
      <c r="S55" s="26"/>
      <c r="T55" s="26"/>
      <c r="U55" s="26"/>
      <c r="V55" s="27"/>
      <c r="W55" s="27"/>
      <c r="X55" s="26"/>
      <c r="AA55" s="71" t="e">
        <f>G55+#REF!+#REF!+M55+K55+L55</f>
        <v>#REF!</v>
      </c>
      <c r="AG55">
        <f>COUNTIFS('nama pasien'!$O:$O,"Doreng",'nama pasien'!$AD:$AD,"dirawat didemak")</f>
        <v>0</v>
      </c>
    </row>
    <row r="56" spans="1:33" x14ac:dyDescent="0.25">
      <c r="A56" s="6"/>
      <c r="B56" s="60" t="s">
        <v>38</v>
      </c>
      <c r="C56" s="36" t="s">
        <v>292</v>
      </c>
      <c r="D56" s="172">
        <v>0</v>
      </c>
      <c r="E56" s="39"/>
      <c r="F56" s="172">
        <v>0</v>
      </c>
      <c r="G56" s="172">
        <v>0</v>
      </c>
      <c r="H56" s="172">
        <v>0</v>
      </c>
      <c r="I56" s="172">
        <v>0</v>
      </c>
      <c r="J56" s="172">
        <v>0</v>
      </c>
      <c r="K56" s="172">
        <v>5</v>
      </c>
      <c r="L56" s="172">
        <v>8</v>
      </c>
      <c r="M56" s="172">
        <v>1</v>
      </c>
      <c r="N56" s="8">
        <v>1</v>
      </c>
      <c r="O56" s="25"/>
      <c r="P56" s="26"/>
      <c r="Q56" s="27"/>
      <c r="R56" s="26"/>
      <c r="S56" s="26"/>
      <c r="T56" s="26"/>
      <c r="U56" s="26"/>
      <c r="V56" s="27"/>
      <c r="W56" s="27"/>
      <c r="X56" s="26"/>
      <c r="AA56" s="71" t="e">
        <f>G56+#REF!+#REF!+M56+K56+L56</f>
        <v>#REF!</v>
      </c>
      <c r="AG56">
        <f>COUNTIFS('nama pasien'!$O:$O,"Karangrowo",'nama pasien'!$AD:$AD,"dirawatdidemak")</f>
        <v>0</v>
      </c>
    </row>
    <row r="57" spans="1:33" x14ac:dyDescent="0.25">
      <c r="A57" s="6"/>
      <c r="B57" s="60" t="s">
        <v>38</v>
      </c>
      <c r="C57" s="36" t="s">
        <v>52</v>
      </c>
      <c r="D57" s="172">
        <v>0</v>
      </c>
      <c r="E57" s="39"/>
      <c r="F57" s="172">
        <v>0</v>
      </c>
      <c r="G57" s="172">
        <v>0</v>
      </c>
      <c r="H57" s="172">
        <v>0</v>
      </c>
      <c r="I57" s="172">
        <v>0</v>
      </c>
      <c r="J57" s="172">
        <v>0</v>
      </c>
      <c r="K57" s="172">
        <v>4</v>
      </c>
      <c r="L57" s="172">
        <v>20</v>
      </c>
      <c r="M57" s="172">
        <v>2</v>
      </c>
      <c r="N57" s="8">
        <v>2</v>
      </c>
      <c r="O57" s="25"/>
      <c r="P57" s="26"/>
      <c r="Q57" s="27"/>
      <c r="R57" s="26"/>
      <c r="S57" s="26"/>
      <c r="T57" s="26"/>
      <c r="U57" s="26"/>
      <c r="V57" s="27"/>
      <c r="W57" s="27"/>
      <c r="X57" s="26"/>
      <c r="AA57" s="71" t="e">
        <f>G57+#REF!+#REF!+M57+K57+L57</f>
        <v>#REF!</v>
      </c>
      <c r="AG57">
        <f>COUNTIFS('nama pasien'!$O:$O,"Kalianyar",'nama pasien'!$AD:$AD,"dirawat didemak")</f>
        <v>0</v>
      </c>
    </row>
    <row r="58" spans="1:33" x14ac:dyDescent="0.25">
      <c r="A58" s="6"/>
      <c r="B58" s="60" t="s">
        <v>38</v>
      </c>
      <c r="C58" s="36" t="s">
        <v>38</v>
      </c>
      <c r="D58" s="172">
        <v>0</v>
      </c>
      <c r="E58" s="39"/>
      <c r="F58" s="172">
        <v>1</v>
      </c>
      <c r="G58" s="172">
        <v>0</v>
      </c>
      <c r="H58" s="172">
        <v>0</v>
      </c>
      <c r="I58" s="172">
        <v>0</v>
      </c>
      <c r="J58" s="172">
        <v>0</v>
      </c>
      <c r="K58" s="172">
        <v>10</v>
      </c>
      <c r="L58" s="172">
        <v>55</v>
      </c>
      <c r="M58" s="172">
        <v>6</v>
      </c>
      <c r="N58" s="8">
        <v>5</v>
      </c>
      <c r="O58" s="25"/>
      <c r="P58" s="26"/>
      <c r="Q58" s="27"/>
      <c r="R58" s="26"/>
      <c r="S58" s="26"/>
      <c r="T58" s="26"/>
      <c r="U58" s="26"/>
      <c r="V58" s="27"/>
      <c r="W58" s="27"/>
      <c r="X58" s="26"/>
      <c r="AA58" s="71" t="e">
        <f>G58+#REF!+#REF!+M58+K58+L58</f>
        <v>#REF!</v>
      </c>
      <c r="AG58">
        <f>COUNTIFS('nama pasien'!$O:$O,"Wonosalam",'nama pasien'!$AD:$AD,"dirawat didemak")</f>
        <v>0</v>
      </c>
    </row>
    <row r="59" spans="1:33" x14ac:dyDescent="0.25">
      <c r="A59" s="6"/>
      <c r="B59" s="60" t="s">
        <v>38</v>
      </c>
      <c r="C59" s="36" t="s">
        <v>53</v>
      </c>
      <c r="D59" s="172">
        <v>0</v>
      </c>
      <c r="E59" s="39"/>
      <c r="F59" s="172">
        <v>0</v>
      </c>
      <c r="G59" s="172">
        <v>0</v>
      </c>
      <c r="H59" s="172">
        <v>0</v>
      </c>
      <c r="I59" s="172">
        <v>0</v>
      </c>
      <c r="J59" s="172">
        <v>0</v>
      </c>
      <c r="K59" s="172">
        <v>3</v>
      </c>
      <c r="L59" s="172">
        <v>12</v>
      </c>
      <c r="M59" s="172">
        <v>1</v>
      </c>
      <c r="N59" s="8">
        <v>1</v>
      </c>
      <c r="O59" s="25"/>
      <c r="P59" s="26"/>
      <c r="Q59" s="27"/>
      <c r="R59" s="26"/>
      <c r="S59" s="26"/>
      <c r="T59" s="26"/>
      <c r="U59" s="26"/>
      <c r="V59" s="27"/>
      <c r="W59" s="27"/>
      <c r="X59" s="26"/>
      <c r="AA59" s="71" t="e">
        <f>G59+#REF!+#REF!+M59+K59+L59</f>
        <v>#REF!</v>
      </c>
      <c r="AG59">
        <f>COUNTIFS('nama pasien'!$O:$O,"Tlogorejo",'nama pasien'!P:P,"wonosalam",'nama pasien'!$AD:$AD,"dirawat didemak")</f>
        <v>0</v>
      </c>
    </row>
    <row r="60" spans="1:33" x14ac:dyDescent="0.25">
      <c r="A60" s="6"/>
      <c r="B60" s="60" t="s">
        <v>38</v>
      </c>
      <c r="C60" s="36" t="s">
        <v>54</v>
      </c>
      <c r="D60" s="172">
        <v>0</v>
      </c>
      <c r="E60" s="39"/>
      <c r="F60" s="172">
        <v>0</v>
      </c>
      <c r="G60" s="172">
        <v>0</v>
      </c>
      <c r="H60" s="172">
        <v>0</v>
      </c>
      <c r="I60" s="172">
        <v>0</v>
      </c>
      <c r="J60" s="172">
        <v>0</v>
      </c>
      <c r="K60" s="172">
        <v>3</v>
      </c>
      <c r="L60" s="172">
        <v>13</v>
      </c>
      <c r="M60" s="172">
        <v>1</v>
      </c>
      <c r="N60" s="8">
        <v>1</v>
      </c>
      <c r="O60" s="25"/>
      <c r="P60" s="26"/>
      <c r="Q60" s="27"/>
      <c r="R60" s="26"/>
      <c r="S60" s="26"/>
      <c r="T60" s="26"/>
      <c r="U60" s="26"/>
      <c r="V60" s="27"/>
      <c r="W60" s="27"/>
      <c r="X60" s="26"/>
      <c r="AA60" s="71" t="e">
        <f>G60+#REF!+#REF!+M60+K60+L60</f>
        <v>#REF!</v>
      </c>
      <c r="AG60">
        <f>COUNTIFS('nama pasien'!$O:$O,"Tlogodowo",'nama pasien'!$AD:$AD,"dirawat didemak")</f>
        <v>0</v>
      </c>
    </row>
    <row r="61" spans="1:33" x14ac:dyDescent="0.25">
      <c r="A61" s="6"/>
      <c r="B61" s="60" t="s">
        <v>38</v>
      </c>
      <c r="C61" s="36" t="s">
        <v>55</v>
      </c>
      <c r="D61" s="172">
        <v>0</v>
      </c>
      <c r="E61" s="39"/>
      <c r="F61" s="172">
        <v>0</v>
      </c>
      <c r="G61" s="172">
        <v>0</v>
      </c>
      <c r="H61" s="172">
        <v>0</v>
      </c>
      <c r="I61" s="172">
        <v>0</v>
      </c>
      <c r="J61" s="172">
        <v>0</v>
      </c>
      <c r="K61" s="172">
        <v>0</v>
      </c>
      <c r="L61" s="172">
        <v>5</v>
      </c>
      <c r="M61" s="172">
        <v>2</v>
      </c>
      <c r="N61" s="8">
        <v>2</v>
      </c>
      <c r="O61" s="25"/>
      <c r="P61" s="26"/>
      <c r="Q61" s="27"/>
      <c r="R61" s="26"/>
      <c r="S61" s="26"/>
      <c r="T61" s="26"/>
      <c r="U61" s="26"/>
      <c r="V61" s="27"/>
      <c r="W61" s="27"/>
      <c r="X61" s="26"/>
      <c r="AA61" s="71" t="e">
        <f>G61+#REF!+#REF!+M61+K61+L61</f>
        <v>#REF!</v>
      </c>
      <c r="AG61">
        <f>COUNTIFS('nama pasien'!$O:$O,"Lempuyang",'nama pasien'!$AD:$AD,"dirawat didemak")</f>
        <v>0</v>
      </c>
    </row>
    <row r="62" spans="1:33" x14ac:dyDescent="0.25">
      <c r="A62" s="6"/>
      <c r="B62" s="60" t="s">
        <v>38</v>
      </c>
      <c r="C62" s="36" t="s">
        <v>56</v>
      </c>
      <c r="D62" s="172">
        <v>0</v>
      </c>
      <c r="E62" s="39"/>
      <c r="F62" s="172">
        <v>0</v>
      </c>
      <c r="G62" s="172">
        <v>0</v>
      </c>
      <c r="H62" s="172">
        <v>0</v>
      </c>
      <c r="I62" s="172">
        <v>0</v>
      </c>
      <c r="J62" s="172">
        <v>0</v>
      </c>
      <c r="K62" s="172">
        <v>7</v>
      </c>
      <c r="L62" s="172">
        <v>43</v>
      </c>
      <c r="M62" s="172">
        <v>5</v>
      </c>
      <c r="N62" s="8">
        <v>5</v>
      </c>
      <c r="O62" s="25"/>
      <c r="P62" s="26"/>
      <c r="Q62" s="27"/>
      <c r="R62" s="26"/>
      <c r="S62" s="26"/>
      <c r="T62" s="26"/>
      <c r="U62" s="26"/>
      <c r="V62" s="27"/>
      <c r="W62" s="27"/>
      <c r="X62" s="26"/>
      <c r="AA62" s="71" t="e">
        <f>G62+#REF!+#REF!+M62+K62+L62</f>
        <v>#REF!</v>
      </c>
      <c r="AG62">
        <f>COUNTIFS('nama pasien'!$O:$O,"Karangrejo",'nama pasien'!$AD:$AD,"dirawat didemak")</f>
        <v>0</v>
      </c>
    </row>
    <row r="63" spans="1:33" x14ac:dyDescent="0.25">
      <c r="A63" s="6"/>
      <c r="B63" s="60" t="s">
        <v>38</v>
      </c>
      <c r="C63" s="36" t="s">
        <v>293</v>
      </c>
      <c r="D63" s="172">
        <v>0</v>
      </c>
      <c r="E63" s="39"/>
      <c r="F63" s="172">
        <v>0</v>
      </c>
      <c r="G63" s="172">
        <v>0</v>
      </c>
      <c r="H63" s="172">
        <v>0</v>
      </c>
      <c r="I63" s="172">
        <v>0</v>
      </c>
      <c r="J63" s="172">
        <v>0</v>
      </c>
      <c r="K63" s="172">
        <v>1</v>
      </c>
      <c r="L63" s="172">
        <v>21</v>
      </c>
      <c r="M63" s="172">
        <v>1</v>
      </c>
      <c r="N63" s="8">
        <v>0</v>
      </c>
      <c r="O63" s="25"/>
      <c r="P63" s="26"/>
      <c r="Q63" s="27"/>
      <c r="R63" s="26"/>
      <c r="S63" s="26"/>
      <c r="T63" s="26"/>
      <c r="U63" s="26"/>
      <c r="V63" s="27"/>
      <c r="W63" s="27"/>
      <c r="X63" s="26"/>
      <c r="AA63" s="71" t="e">
        <f>G63+#REF!+#REF!+M63+K63+L63</f>
        <v>#REF!</v>
      </c>
      <c r="AG63">
        <f>COUNTIFS('nama pasien'!$O:$O,"Kendaldoyong",'nama pasien'!$AD:$AD,"dirawat didemak")</f>
        <v>0</v>
      </c>
    </row>
    <row r="64" spans="1:33" x14ac:dyDescent="0.25">
      <c r="A64" s="6"/>
      <c r="B64" s="60" t="s">
        <v>38</v>
      </c>
      <c r="C64" s="36" t="s">
        <v>57</v>
      </c>
      <c r="D64" s="172">
        <v>0</v>
      </c>
      <c r="E64" s="39"/>
      <c r="F64" s="172">
        <v>0</v>
      </c>
      <c r="G64" s="172">
        <v>0</v>
      </c>
      <c r="H64" s="172">
        <v>0</v>
      </c>
      <c r="I64" s="172">
        <v>0</v>
      </c>
      <c r="J64" s="172">
        <v>0</v>
      </c>
      <c r="K64" s="172">
        <v>20</v>
      </c>
      <c r="L64" s="172">
        <v>107</v>
      </c>
      <c r="M64" s="172">
        <v>9</v>
      </c>
      <c r="N64" s="8">
        <v>9</v>
      </c>
      <c r="O64" s="25"/>
      <c r="P64" s="26"/>
      <c r="Q64" s="27"/>
      <c r="R64" s="26"/>
      <c r="S64" s="26"/>
      <c r="T64" s="26"/>
      <c r="U64" s="26"/>
      <c r="V64" s="27"/>
      <c r="W64" s="27"/>
      <c r="X64" s="26"/>
      <c r="AA64" s="71" t="e">
        <f>G64+#REF!+#REF!+M64+K64+L64</f>
        <v>#REF!</v>
      </c>
      <c r="AG64">
        <f>COUNTIFS('nama pasien'!$O:$O,"Jogoloyo",'nama pasien'!$AD:$AD,"dirawat didemak")</f>
        <v>0</v>
      </c>
    </row>
    <row r="65" spans="1:33" x14ac:dyDescent="0.25">
      <c r="A65" s="58">
        <v>4</v>
      </c>
      <c r="B65" s="59" t="s">
        <v>58</v>
      </c>
      <c r="C65" s="75" t="s">
        <v>59</v>
      </c>
      <c r="D65" s="172">
        <v>0</v>
      </c>
      <c r="E65" s="39"/>
      <c r="F65" s="172">
        <v>0</v>
      </c>
      <c r="G65" s="172">
        <v>0</v>
      </c>
      <c r="H65" s="172">
        <v>0</v>
      </c>
      <c r="I65" s="172">
        <v>0</v>
      </c>
      <c r="J65" s="172">
        <v>0</v>
      </c>
      <c r="K65" s="172">
        <v>6</v>
      </c>
      <c r="L65" s="172">
        <v>40</v>
      </c>
      <c r="M65" s="172">
        <v>1</v>
      </c>
      <c r="N65" s="5">
        <v>1</v>
      </c>
      <c r="O65" s="25">
        <f t="shared" ref="O65:X65" si="3">SUM(D65:D82)</f>
        <v>1</v>
      </c>
      <c r="P65" s="25">
        <f t="shared" si="3"/>
        <v>0</v>
      </c>
      <c r="Q65" s="25">
        <f>SUM(F65:F82)</f>
        <v>14</v>
      </c>
      <c r="R65" s="25">
        <f t="shared" si="3"/>
        <v>0</v>
      </c>
      <c r="S65" s="25">
        <f t="shared" si="3"/>
        <v>0</v>
      </c>
      <c r="T65" s="25">
        <f t="shared" si="3"/>
        <v>0</v>
      </c>
      <c r="U65" s="25">
        <f t="shared" si="3"/>
        <v>0</v>
      </c>
      <c r="V65" s="25">
        <f t="shared" si="3"/>
        <v>170</v>
      </c>
      <c r="W65" s="25">
        <f t="shared" si="3"/>
        <v>420</v>
      </c>
      <c r="X65" s="25">
        <f t="shared" si="3"/>
        <v>43</v>
      </c>
      <c r="AA65" s="71" t="e">
        <f>G65+#REF!+#REF!+M65+K65+L65</f>
        <v>#REF!</v>
      </c>
      <c r="AB65" s="71" t="e">
        <f>SUM(AA65:AA82)</f>
        <v>#REF!</v>
      </c>
      <c r="AG65">
        <f>COUNTIFS('nama pasien'!$O:$O,"Kedondong",'nama pasien'!$AD:$AD,"dirawat didemak")</f>
        <v>0</v>
      </c>
    </row>
    <row r="66" spans="1:33" x14ac:dyDescent="0.25">
      <c r="A66" s="58"/>
      <c r="B66" s="59" t="s">
        <v>58</v>
      </c>
      <c r="C66" s="78" t="s">
        <v>60</v>
      </c>
      <c r="D66" s="172">
        <v>0</v>
      </c>
      <c r="E66" s="39"/>
      <c r="F66" s="172">
        <v>0</v>
      </c>
      <c r="G66" s="172">
        <v>0</v>
      </c>
      <c r="H66" s="172">
        <v>0</v>
      </c>
      <c r="I66" s="172">
        <v>0</v>
      </c>
      <c r="J66" s="172">
        <v>0</v>
      </c>
      <c r="K66" s="172">
        <v>16</v>
      </c>
      <c r="L66" s="172">
        <v>29</v>
      </c>
      <c r="M66" s="172">
        <v>3</v>
      </c>
      <c r="N66" s="3">
        <v>3</v>
      </c>
      <c r="O66" s="25"/>
      <c r="P66" s="26"/>
      <c r="Q66" s="27"/>
      <c r="R66" s="26"/>
      <c r="S66" s="26"/>
      <c r="T66" s="26"/>
      <c r="U66" s="26"/>
      <c r="V66" s="27"/>
      <c r="W66" s="27"/>
      <c r="X66" s="26"/>
      <c r="AA66" s="71" t="e">
        <f>G66+#REF!+#REF!+M66+K66+L66</f>
        <v>#REF!</v>
      </c>
      <c r="AG66">
        <f>COUNTIFS('nama pasien'!$O:$O,"Banjarsari",'nama pasien'!P:P,"gajah",'nama pasien'!$AD:$AD,"dirawat didemak")</f>
        <v>0</v>
      </c>
    </row>
    <row r="67" spans="1:33" x14ac:dyDescent="0.25">
      <c r="A67" s="58"/>
      <c r="B67" s="59" t="s">
        <v>58</v>
      </c>
      <c r="C67" s="75" t="s">
        <v>58</v>
      </c>
      <c r="D67" s="172">
        <v>0</v>
      </c>
      <c r="E67" s="39"/>
      <c r="F67" s="172">
        <v>0</v>
      </c>
      <c r="G67" s="172">
        <v>0</v>
      </c>
      <c r="H67" s="172">
        <v>0</v>
      </c>
      <c r="I67" s="172">
        <v>0</v>
      </c>
      <c r="J67" s="172">
        <v>0</v>
      </c>
      <c r="K67" s="172">
        <v>17</v>
      </c>
      <c r="L67" s="172">
        <v>72</v>
      </c>
      <c r="M67" s="172">
        <v>8</v>
      </c>
      <c r="N67" s="3">
        <v>8</v>
      </c>
      <c r="O67" s="25"/>
      <c r="P67" s="26"/>
      <c r="Q67" s="27"/>
      <c r="R67" s="26"/>
      <c r="S67" s="26"/>
      <c r="T67" s="26"/>
      <c r="U67" s="26"/>
      <c r="V67" s="27"/>
      <c r="W67" s="27"/>
      <c r="X67" s="26"/>
      <c r="AA67" s="71" t="e">
        <f>G67+#REF!+#REF!+M67+K67+L67</f>
        <v>#REF!</v>
      </c>
      <c r="AG67">
        <f>COUNTIFS('nama pasien'!$O:$O,"Gajah",'nama pasien'!$AD:$AD,"dirawat didemak")</f>
        <v>2</v>
      </c>
    </row>
    <row r="68" spans="1:33" x14ac:dyDescent="0.25">
      <c r="A68" s="58"/>
      <c r="B68" s="59" t="s">
        <v>58</v>
      </c>
      <c r="C68" s="75" t="s">
        <v>61</v>
      </c>
      <c r="D68" s="172">
        <v>0</v>
      </c>
      <c r="E68" s="39"/>
      <c r="F68" s="172">
        <v>0</v>
      </c>
      <c r="G68" s="172">
        <v>0</v>
      </c>
      <c r="H68" s="172">
        <v>0</v>
      </c>
      <c r="I68" s="172">
        <v>0</v>
      </c>
      <c r="J68" s="172">
        <v>0</v>
      </c>
      <c r="K68" s="172">
        <v>9</v>
      </c>
      <c r="L68" s="172">
        <v>23</v>
      </c>
      <c r="M68" s="172">
        <v>3</v>
      </c>
      <c r="N68" s="3">
        <v>3</v>
      </c>
      <c r="O68" s="25"/>
      <c r="P68" s="26"/>
      <c r="Q68" s="27"/>
      <c r="R68" s="26"/>
      <c r="S68" s="26"/>
      <c r="T68" s="26"/>
      <c r="U68" s="26"/>
      <c r="V68" s="27"/>
      <c r="W68" s="27"/>
      <c r="X68" s="26"/>
      <c r="AA68" s="71" t="e">
        <f>G68+#REF!+#REF!+M68+K68+L68</f>
        <v>#REF!</v>
      </c>
      <c r="AG68">
        <f>COUNTIFS('nama pasien'!$O:$O,"Sari",'nama pasien'!$AD:$AD,"dirawat didemak")</f>
        <v>0</v>
      </c>
    </row>
    <row r="69" spans="1:33" x14ac:dyDescent="0.25">
      <c r="A69" s="58"/>
      <c r="B69" s="59" t="s">
        <v>58</v>
      </c>
      <c r="C69" s="75" t="s">
        <v>62</v>
      </c>
      <c r="D69" s="172">
        <v>0</v>
      </c>
      <c r="E69" s="39"/>
      <c r="F69" s="172">
        <v>0</v>
      </c>
      <c r="G69" s="172">
        <v>0</v>
      </c>
      <c r="H69" s="172">
        <v>0</v>
      </c>
      <c r="I69" s="172">
        <v>0</v>
      </c>
      <c r="J69" s="172">
        <v>0</v>
      </c>
      <c r="K69" s="172">
        <v>2</v>
      </c>
      <c r="L69" s="172">
        <v>15</v>
      </c>
      <c r="M69" s="172">
        <v>1</v>
      </c>
      <c r="N69" s="3">
        <v>1</v>
      </c>
      <c r="O69" s="25"/>
      <c r="P69" s="26"/>
      <c r="Q69" s="27"/>
      <c r="R69" s="26"/>
      <c r="S69" s="26"/>
      <c r="T69" s="26"/>
      <c r="U69" s="26"/>
      <c r="V69" s="27"/>
      <c r="W69" s="27"/>
      <c r="X69" s="26"/>
      <c r="AA69" s="71" t="e">
        <f>G69+#REF!+#REF!+M69+K69+L69</f>
        <v>#REF!</v>
      </c>
      <c r="AG69">
        <f>COUNTIFS('nama pasien'!$O:$O,"Boyolali",'nama pasien'!$AD:$AD,"dirawat didemak")</f>
        <v>0</v>
      </c>
    </row>
    <row r="70" spans="1:33" x14ac:dyDescent="0.25">
      <c r="A70" s="58"/>
      <c r="B70" s="59" t="s">
        <v>58</v>
      </c>
      <c r="C70" s="75" t="s">
        <v>63</v>
      </c>
      <c r="D70" s="172">
        <v>0</v>
      </c>
      <c r="E70" s="39"/>
      <c r="F70" s="172">
        <v>0</v>
      </c>
      <c r="G70" s="172">
        <v>0</v>
      </c>
      <c r="H70" s="172">
        <v>0</v>
      </c>
      <c r="I70" s="172">
        <v>0</v>
      </c>
      <c r="J70" s="172">
        <v>0</v>
      </c>
      <c r="K70" s="172">
        <v>9</v>
      </c>
      <c r="L70" s="172">
        <v>27</v>
      </c>
      <c r="M70" s="172">
        <v>2</v>
      </c>
      <c r="N70" s="3">
        <v>1</v>
      </c>
      <c r="O70" s="25"/>
      <c r="P70" s="26"/>
      <c r="Q70" s="27"/>
      <c r="R70" s="26"/>
      <c r="S70" s="26"/>
      <c r="T70" s="26"/>
      <c r="U70" s="26"/>
      <c r="V70" s="27"/>
      <c r="W70" s="27"/>
      <c r="X70" s="26"/>
      <c r="AA70" s="71" t="e">
        <f>G70+#REF!+#REF!+M70+K70+L70</f>
        <v>#REF!</v>
      </c>
      <c r="AG70">
        <f>COUNTIFS('nama pasien'!$O:$O,"Jatisono",'nama pasien'!$AD:$AD,"dirawat didemak")</f>
        <v>0</v>
      </c>
    </row>
    <row r="71" spans="1:33" x14ac:dyDescent="0.25">
      <c r="A71" s="58"/>
      <c r="B71" s="59" t="s">
        <v>58</v>
      </c>
      <c r="C71" s="75" t="s">
        <v>64</v>
      </c>
      <c r="D71" s="172">
        <v>0</v>
      </c>
      <c r="E71" s="39"/>
      <c r="F71" s="172">
        <v>0</v>
      </c>
      <c r="G71" s="172">
        <v>0</v>
      </c>
      <c r="H71" s="172">
        <v>0</v>
      </c>
      <c r="I71" s="172">
        <v>0</v>
      </c>
      <c r="J71" s="172">
        <v>0</v>
      </c>
      <c r="K71" s="172">
        <v>3</v>
      </c>
      <c r="L71" s="172">
        <v>14</v>
      </c>
      <c r="M71" s="172">
        <v>0</v>
      </c>
      <c r="N71" s="3">
        <v>0</v>
      </c>
      <c r="O71" s="25"/>
      <c r="P71" s="26"/>
      <c r="Q71" s="27"/>
      <c r="R71" s="26"/>
      <c r="S71" s="26"/>
      <c r="T71" s="26"/>
      <c r="U71" s="26"/>
      <c r="V71" s="27"/>
      <c r="W71" s="27"/>
      <c r="X71" s="26"/>
      <c r="AA71" s="71" t="e">
        <f>G71+#REF!+#REF!+M71+K71+L71</f>
        <v>#REF!</v>
      </c>
      <c r="AG71">
        <f>COUNTIFS('nama pasien'!$O:$O,"Sambiroto",'nama pasien'!$AD:$AD,"dirawat didemak")</f>
        <v>0</v>
      </c>
    </row>
    <row r="72" spans="1:33" x14ac:dyDescent="0.25">
      <c r="A72" s="58"/>
      <c r="B72" s="59" t="s">
        <v>58</v>
      </c>
      <c r="C72" s="75" t="s">
        <v>65</v>
      </c>
      <c r="D72" s="172">
        <v>0</v>
      </c>
      <c r="E72" s="39"/>
      <c r="F72" s="172">
        <v>14</v>
      </c>
      <c r="G72" s="172">
        <v>0</v>
      </c>
      <c r="H72" s="172">
        <v>0</v>
      </c>
      <c r="I72" s="172">
        <v>0</v>
      </c>
      <c r="J72" s="172">
        <v>0</v>
      </c>
      <c r="K72" s="172">
        <v>4</v>
      </c>
      <c r="L72" s="172">
        <v>12</v>
      </c>
      <c r="M72" s="172">
        <v>2</v>
      </c>
      <c r="N72" s="3">
        <v>2</v>
      </c>
      <c r="O72" s="25"/>
      <c r="P72" s="26"/>
      <c r="Q72" s="27"/>
      <c r="R72" s="26"/>
      <c r="S72" s="26"/>
      <c r="T72" s="26"/>
      <c r="U72" s="26"/>
      <c r="V72" s="27"/>
      <c r="W72" s="27"/>
      <c r="X72" s="26"/>
      <c r="AA72" s="71" t="e">
        <f>G72+#REF!+#REF!+M72+K72+L72</f>
        <v>#REF!</v>
      </c>
      <c r="AG72">
        <f>COUNTIFS('nama pasien'!$O:$O,"Tlogopandogan",'nama pasien'!$AD:$AD,"dirawat didemak")</f>
        <v>0</v>
      </c>
    </row>
    <row r="73" spans="1:33" x14ac:dyDescent="0.25">
      <c r="A73" s="58"/>
      <c r="B73" s="59" t="s">
        <v>58</v>
      </c>
      <c r="C73" s="75" t="s">
        <v>66</v>
      </c>
      <c r="D73" s="172">
        <v>0</v>
      </c>
      <c r="E73" s="39"/>
      <c r="F73" s="172">
        <v>0</v>
      </c>
      <c r="G73" s="172">
        <v>0</v>
      </c>
      <c r="H73" s="172">
        <v>0</v>
      </c>
      <c r="I73" s="172">
        <v>0</v>
      </c>
      <c r="J73" s="172">
        <v>0</v>
      </c>
      <c r="K73" s="172">
        <v>7</v>
      </c>
      <c r="L73" s="172">
        <v>11</v>
      </c>
      <c r="M73" s="172">
        <v>2</v>
      </c>
      <c r="N73" s="3">
        <v>2</v>
      </c>
      <c r="O73" s="25"/>
      <c r="P73" s="26"/>
      <c r="Q73" s="27"/>
      <c r="R73" s="26"/>
      <c r="S73" s="26"/>
      <c r="T73" s="26"/>
      <c r="U73" s="26"/>
      <c r="V73" s="27"/>
      <c r="W73" s="27"/>
      <c r="X73" s="26"/>
      <c r="AA73" s="71" t="e">
        <f>G73+#REF!+#REF!+M73+K73+L73</f>
        <v>#REF!</v>
      </c>
      <c r="AG73">
        <f>COUNTIFS('nama pasien'!$O:$O,"Surodadi",'nama pasien'!$AD:$AD,"dirawat didemak")</f>
        <v>0</v>
      </c>
    </row>
    <row r="74" spans="1:33" x14ac:dyDescent="0.25">
      <c r="A74" s="58"/>
      <c r="B74" s="59" t="s">
        <v>58</v>
      </c>
      <c r="C74" s="75" t="s">
        <v>67</v>
      </c>
      <c r="D74" s="172">
        <v>0</v>
      </c>
      <c r="E74" s="39"/>
      <c r="F74" s="172">
        <v>0</v>
      </c>
      <c r="G74" s="172">
        <v>0</v>
      </c>
      <c r="H74" s="172">
        <v>0</v>
      </c>
      <c r="I74" s="172">
        <v>0</v>
      </c>
      <c r="J74" s="172">
        <v>0</v>
      </c>
      <c r="K74" s="172">
        <v>10</v>
      </c>
      <c r="L74" s="172">
        <v>27</v>
      </c>
      <c r="M74" s="172">
        <v>2</v>
      </c>
      <c r="N74" s="3">
        <v>2</v>
      </c>
      <c r="O74" s="25"/>
      <c r="P74" s="26"/>
      <c r="Q74" s="27"/>
      <c r="R74" s="26"/>
      <c r="S74" s="26"/>
      <c r="T74" s="26"/>
      <c r="U74" s="26"/>
      <c r="V74" s="27"/>
      <c r="W74" s="27"/>
      <c r="X74" s="26"/>
      <c r="AA74" s="71" t="e">
        <f>G74+#REF!+#REF!+M74+K74+L74</f>
        <v>#REF!</v>
      </c>
      <c r="AG74">
        <f>COUNTIFS('nama pasien'!$O:$O,"Gedangalas",'nama pasien'!$AD:$AD,"dirawat didemak")</f>
        <v>0</v>
      </c>
    </row>
    <row r="75" spans="1:33" x14ac:dyDescent="0.25">
      <c r="A75" s="58"/>
      <c r="B75" s="59" t="s">
        <v>58</v>
      </c>
      <c r="C75" s="75" t="s">
        <v>68</v>
      </c>
      <c r="D75" s="172">
        <v>0</v>
      </c>
      <c r="E75" s="39"/>
      <c r="F75" s="172">
        <v>0</v>
      </c>
      <c r="G75" s="172">
        <v>0</v>
      </c>
      <c r="H75" s="172">
        <v>0</v>
      </c>
      <c r="I75" s="172">
        <v>0</v>
      </c>
      <c r="J75" s="172">
        <v>0</v>
      </c>
      <c r="K75" s="172">
        <v>8</v>
      </c>
      <c r="L75" s="172">
        <v>25</v>
      </c>
      <c r="M75" s="172">
        <v>4</v>
      </c>
      <c r="N75" s="3">
        <v>3</v>
      </c>
      <c r="O75" s="25"/>
      <c r="P75" s="26"/>
      <c r="Q75" s="27"/>
      <c r="R75" s="26"/>
      <c r="S75" s="26"/>
      <c r="T75" s="26"/>
      <c r="U75" s="26"/>
      <c r="V75" s="27"/>
      <c r="W75" s="27"/>
      <c r="X75" s="26"/>
      <c r="AA75" s="71" t="e">
        <f>G75+#REF!+#REF!+M75+K75+L75</f>
        <v>#REF!</v>
      </c>
      <c r="AG75">
        <f>COUNTIFS('nama pasien'!$O:$O,"Sambung",'nama pasien'!$AD:$AD,"dirawat didemak")</f>
        <v>0</v>
      </c>
    </row>
    <row r="76" spans="1:33" x14ac:dyDescent="0.25">
      <c r="A76" s="58"/>
      <c r="B76" s="59" t="s">
        <v>58</v>
      </c>
      <c r="C76" s="75" t="s">
        <v>69</v>
      </c>
      <c r="D76" s="172">
        <v>0</v>
      </c>
      <c r="E76" s="39"/>
      <c r="F76" s="172">
        <v>0</v>
      </c>
      <c r="G76" s="172">
        <v>0</v>
      </c>
      <c r="H76" s="172">
        <v>0</v>
      </c>
      <c r="I76" s="172">
        <v>0</v>
      </c>
      <c r="J76" s="172">
        <v>0</v>
      </c>
      <c r="K76" s="172">
        <v>11</v>
      </c>
      <c r="L76" s="172">
        <v>19</v>
      </c>
      <c r="M76" s="172">
        <v>4</v>
      </c>
      <c r="N76" s="3">
        <v>4</v>
      </c>
      <c r="O76" s="25"/>
      <c r="P76" s="26"/>
      <c r="Q76" s="27"/>
      <c r="R76" s="26"/>
      <c r="S76" s="26"/>
      <c r="T76" s="26"/>
      <c r="U76" s="26"/>
      <c r="V76" s="27"/>
      <c r="W76" s="27"/>
      <c r="X76" s="26"/>
      <c r="AA76" s="71" t="e">
        <f>G76+#REF!+#REF!+M76+K76+L76</f>
        <v>#REF!</v>
      </c>
      <c r="AG76">
        <f>COUNTIFS('nama pasien'!$O:$O,"Tambirejo",'nama pasien'!$AD:$AD,"dirawat didemak")</f>
        <v>0</v>
      </c>
    </row>
    <row r="77" spans="1:33" x14ac:dyDescent="0.25">
      <c r="A77" s="58"/>
      <c r="B77" s="59" t="s">
        <v>58</v>
      </c>
      <c r="C77" s="75" t="s">
        <v>70</v>
      </c>
      <c r="D77" s="172">
        <v>1</v>
      </c>
      <c r="E77" s="39"/>
      <c r="F77" s="172">
        <v>0</v>
      </c>
      <c r="G77" s="172">
        <v>0</v>
      </c>
      <c r="H77" s="172">
        <v>0</v>
      </c>
      <c r="I77" s="172">
        <v>0</v>
      </c>
      <c r="J77" s="172">
        <v>0</v>
      </c>
      <c r="K77" s="172">
        <v>15</v>
      </c>
      <c r="L77" s="172">
        <v>18</v>
      </c>
      <c r="M77" s="172">
        <v>1</v>
      </c>
      <c r="N77" s="3">
        <v>1</v>
      </c>
      <c r="O77" s="25"/>
      <c r="P77" s="26"/>
      <c r="Q77" s="27"/>
      <c r="R77" s="26"/>
      <c r="S77" s="26"/>
      <c r="T77" s="26"/>
      <c r="U77" s="26"/>
      <c r="V77" s="27"/>
      <c r="W77" s="27"/>
      <c r="X77" s="26"/>
      <c r="AA77" s="71" t="e">
        <f>G77+#REF!+#REF!+M77+K77+L77</f>
        <v>#REF!</v>
      </c>
      <c r="AG77">
        <f>COUNTIFS('nama pasien'!$O:$O,"Mlatiharjo",'nama pasien'!$AD:$AD,"dirawat didemak")</f>
        <v>0</v>
      </c>
    </row>
    <row r="78" spans="1:33" x14ac:dyDescent="0.25">
      <c r="A78" s="58"/>
      <c r="B78" s="59" t="s">
        <v>58</v>
      </c>
      <c r="C78" s="75" t="s">
        <v>71</v>
      </c>
      <c r="D78" s="172">
        <v>0</v>
      </c>
      <c r="E78" s="39"/>
      <c r="F78" s="172">
        <v>0</v>
      </c>
      <c r="G78" s="172">
        <v>0</v>
      </c>
      <c r="H78" s="172">
        <v>0</v>
      </c>
      <c r="I78" s="172">
        <v>0</v>
      </c>
      <c r="J78" s="172">
        <v>0</v>
      </c>
      <c r="K78" s="172">
        <v>6</v>
      </c>
      <c r="L78" s="172">
        <v>13</v>
      </c>
      <c r="M78" s="172">
        <v>1</v>
      </c>
      <c r="N78" s="3">
        <v>1</v>
      </c>
      <c r="O78" s="25"/>
      <c r="P78" s="26"/>
      <c r="Q78" s="27"/>
      <c r="R78" s="26"/>
      <c r="S78" s="26"/>
      <c r="T78" s="26"/>
      <c r="U78" s="26"/>
      <c r="V78" s="27"/>
      <c r="W78" s="27"/>
      <c r="X78" s="26"/>
      <c r="AA78" s="71" t="e">
        <f>G78+#REF!+#REF!+M78+K78+L78</f>
        <v>#REF!</v>
      </c>
      <c r="AG78">
        <f>COUNTIFS('nama pasien'!$O:$O,"Mojosimo",'nama pasien'!$AD:$AD,"dirawat didemak")</f>
        <v>0</v>
      </c>
    </row>
    <row r="79" spans="1:33" x14ac:dyDescent="0.25">
      <c r="A79" s="58"/>
      <c r="B79" s="59" t="s">
        <v>58</v>
      </c>
      <c r="C79" s="75" t="s">
        <v>72</v>
      </c>
      <c r="D79" s="172">
        <v>0</v>
      </c>
      <c r="E79" s="39"/>
      <c r="F79" s="172">
        <v>0</v>
      </c>
      <c r="G79" s="172">
        <v>0</v>
      </c>
      <c r="H79" s="172">
        <v>0</v>
      </c>
      <c r="I79" s="172">
        <v>0</v>
      </c>
      <c r="J79" s="172">
        <v>0</v>
      </c>
      <c r="K79" s="172">
        <v>9</v>
      </c>
      <c r="L79" s="172">
        <v>17</v>
      </c>
      <c r="M79" s="172">
        <v>1</v>
      </c>
      <c r="N79" s="3">
        <v>1</v>
      </c>
      <c r="O79" s="25"/>
      <c r="P79" s="26"/>
      <c r="Q79" s="27"/>
      <c r="R79" s="26"/>
      <c r="S79" s="26"/>
      <c r="T79" s="26"/>
      <c r="U79" s="26"/>
      <c r="V79" s="27"/>
      <c r="W79" s="27"/>
      <c r="X79" s="26"/>
      <c r="AA79" s="71" t="e">
        <f>G79+#REF!+#REF!+M79+K79+L79</f>
        <v>#REF!</v>
      </c>
      <c r="AG79">
        <f>COUNTIFS('nama pasien'!$O:$O,"Medini",'nama pasien'!$AD:$AD,"dirawat didemak")</f>
        <v>0</v>
      </c>
    </row>
    <row r="80" spans="1:33" x14ac:dyDescent="0.25">
      <c r="A80" s="58"/>
      <c r="B80" s="59" t="s">
        <v>58</v>
      </c>
      <c r="C80" s="75" t="s">
        <v>73</v>
      </c>
      <c r="D80" s="172">
        <v>0</v>
      </c>
      <c r="E80" s="39"/>
      <c r="F80" s="172">
        <v>0</v>
      </c>
      <c r="G80" s="172">
        <v>0</v>
      </c>
      <c r="H80" s="172">
        <v>0</v>
      </c>
      <c r="I80" s="172">
        <v>0</v>
      </c>
      <c r="J80" s="172">
        <v>0</v>
      </c>
      <c r="K80" s="172">
        <v>23</v>
      </c>
      <c r="L80" s="172">
        <v>26</v>
      </c>
      <c r="M80" s="172">
        <v>3</v>
      </c>
      <c r="N80" s="3">
        <v>3</v>
      </c>
      <c r="O80" s="25"/>
      <c r="P80" s="26"/>
      <c r="Q80" s="27"/>
      <c r="R80" s="26"/>
      <c r="S80" s="26"/>
      <c r="T80" s="26"/>
      <c r="U80" s="26"/>
      <c r="V80" s="27"/>
      <c r="W80" s="27"/>
      <c r="X80" s="26"/>
      <c r="AA80" s="71" t="e">
        <f>G80+#REF!+#REF!+M80+K80+L80</f>
        <v>#REF!</v>
      </c>
      <c r="AG80">
        <f>COUNTIFS('nama pasien'!$O:$O,"Wilalung",'nama pasien'!$AD:$AD,"dirawat didemak")</f>
        <v>0</v>
      </c>
    </row>
    <row r="81" spans="1:33" x14ac:dyDescent="0.25">
      <c r="A81" s="58"/>
      <c r="B81" s="59" t="s">
        <v>58</v>
      </c>
      <c r="C81" s="75" t="s">
        <v>74</v>
      </c>
      <c r="D81" s="172">
        <v>0</v>
      </c>
      <c r="E81" s="39"/>
      <c r="F81" s="172">
        <v>0</v>
      </c>
      <c r="G81" s="172">
        <v>0</v>
      </c>
      <c r="H81" s="172">
        <v>0</v>
      </c>
      <c r="I81" s="172">
        <v>0</v>
      </c>
      <c r="J81" s="172">
        <v>0</v>
      </c>
      <c r="K81" s="172">
        <v>5</v>
      </c>
      <c r="L81" s="172">
        <v>15</v>
      </c>
      <c r="M81" s="172">
        <v>1</v>
      </c>
      <c r="N81" s="3">
        <v>1</v>
      </c>
      <c r="O81" s="25"/>
      <c r="P81" s="26"/>
      <c r="Q81" s="27"/>
      <c r="R81" s="26"/>
      <c r="S81" s="26"/>
      <c r="T81" s="26"/>
      <c r="U81" s="26"/>
      <c r="V81" s="27"/>
      <c r="W81" s="27"/>
      <c r="X81" s="26"/>
      <c r="AA81" s="71" t="e">
        <f>G81+#REF!+#REF!+M81+K81+L81</f>
        <v>#REF!</v>
      </c>
      <c r="AG81">
        <f>COUNTIFS('nama pasien'!$O:$O,"Tanjunganyar",'nama pasien'!$AD:$AD,"dirawat didemak")</f>
        <v>1</v>
      </c>
    </row>
    <row r="82" spans="1:33" x14ac:dyDescent="0.25">
      <c r="A82" s="58"/>
      <c r="B82" s="59" t="s">
        <v>58</v>
      </c>
      <c r="C82" s="75" t="s">
        <v>75</v>
      </c>
      <c r="D82" s="172">
        <v>0</v>
      </c>
      <c r="E82" s="39"/>
      <c r="F82" s="172">
        <v>0</v>
      </c>
      <c r="G82" s="172">
        <v>0</v>
      </c>
      <c r="H82" s="172">
        <v>0</v>
      </c>
      <c r="I82" s="172">
        <v>0</v>
      </c>
      <c r="J82" s="172">
        <v>0</v>
      </c>
      <c r="K82" s="172">
        <v>10</v>
      </c>
      <c r="L82" s="172">
        <v>17</v>
      </c>
      <c r="M82" s="172">
        <v>4</v>
      </c>
      <c r="N82" s="4">
        <v>4</v>
      </c>
      <c r="O82" s="25"/>
      <c r="P82" s="26"/>
      <c r="Q82" s="27"/>
      <c r="R82" s="26"/>
      <c r="S82" s="26"/>
      <c r="T82" s="26"/>
      <c r="U82" s="26"/>
      <c r="V82" s="27"/>
      <c r="W82" s="27"/>
      <c r="X82" s="26"/>
      <c r="AA82" s="71" t="e">
        <f>G82+#REF!+#REF!+M82+K82+L82</f>
        <v>#REF!</v>
      </c>
      <c r="AG82">
        <f>COUNTIFS('nama pasien'!$O:$O,"Mlekang",'nama pasien'!$AD:$AD,"dirawat didemak")</f>
        <v>0</v>
      </c>
    </row>
    <row r="83" spans="1:33" ht="15" customHeight="1" x14ac:dyDescent="0.25">
      <c r="A83" s="58">
        <v>5</v>
      </c>
      <c r="B83" s="61" t="s">
        <v>76</v>
      </c>
      <c r="C83" s="36" t="s">
        <v>77</v>
      </c>
      <c r="D83" s="172">
        <v>0</v>
      </c>
      <c r="E83" s="39"/>
      <c r="F83" s="172">
        <v>0</v>
      </c>
      <c r="G83" s="172">
        <v>0</v>
      </c>
      <c r="H83" s="172">
        <v>0</v>
      </c>
      <c r="I83" s="172">
        <v>0</v>
      </c>
      <c r="J83" s="172">
        <v>0</v>
      </c>
      <c r="K83" s="172">
        <v>16</v>
      </c>
      <c r="L83" s="172">
        <v>29</v>
      </c>
      <c r="M83" s="172">
        <v>6</v>
      </c>
      <c r="N83" s="5">
        <v>6</v>
      </c>
      <c r="O83" s="25">
        <f t="shared" ref="O83:X83" si="4">SUM(D83:D99)</f>
        <v>0</v>
      </c>
      <c r="P83" s="25">
        <f t="shared" si="4"/>
        <v>0</v>
      </c>
      <c r="Q83" s="25">
        <f>SUM(F83:F99)</f>
        <v>4</v>
      </c>
      <c r="R83" s="25">
        <f t="shared" si="4"/>
        <v>0</v>
      </c>
      <c r="S83" s="25">
        <f t="shared" si="4"/>
        <v>0</v>
      </c>
      <c r="T83" s="25">
        <f t="shared" si="4"/>
        <v>0</v>
      </c>
      <c r="U83" s="25">
        <f t="shared" si="4"/>
        <v>0</v>
      </c>
      <c r="V83" s="25">
        <f t="shared" si="4"/>
        <v>340</v>
      </c>
      <c r="W83" s="25">
        <f t="shared" si="4"/>
        <v>790</v>
      </c>
      <c r="X83" s="25">
        <f t="shared" si="4"/>
        <v>71</v>
      </c>
      <c r="AA83" s="71" t="e">
        <f>G83+#REF!+#REF!+M83+K83+L83</f>
        <v>#REF!</v>
      </c>
      <c r="AB83" s="71" t="e">
        <f>SUM(AA83:AA99)</f>
        <v>#REF!</v>
      </c>
      <c r="AG83">
        <f>COUNTIFS('nama pasien'!$O:$O,"Cangkring B",'nama pasien'!$AD:$AD,"dirawat didemak")</f>
        <v>0</v>
      </c>
    </row>
    <row r="84" spans="1:33" ht="15" customHeight="1" x14ac:dyDescent="0.25">
      <c r="A84" s="58"/>
      <c r="B84" s="61" t="s">
        <v>76</v>
      </c>
      <c r="C84" s="36" t="s">
        <v>78</v>
      </c>
      <c r="D84" s="172">
        <v>0</v>
      </c>
      <c r="E84" s="39"/>
      <c r="F84" s="172">
        <v>0</v>
      </c>
      <c r="G84" s="172">
        <v>0</v>
      </c>
      <c r="H84" s="172">
        <v>0</v>
      </c>
      <c r="I84" s="172">
        <v>0</v>
      </c>
      <c r="J84" s="172">
        <v>0</v>
      </c>
      <c r="K84" s="172">
        <v>10</v>
      </c>
      <c r="L84" s="172">
        <v>44</v>
      </c>
      <c r="M84" s="172">
        <v>1</v>
      </c>
      <c r="N84" s="3">
        <v>1</v>
      </c>
      <c r="O84" s="25"/>
      <c r="P84" s="26"/>
      <c r="Q84" s="27"/>
      <c r="R84" s="26"/>
      <c r="S84" s="26"/>
      <c r="T84" s="26"/>
      <c r="U84" s="26"/>
      <c r="V84" s="27"/>
      <c r="W84" s="27"/>
      <c r="X84" s="26"/>
      <c r="AA84" s="71" t="e">
        <f>G84+#REF!+#REF!+M84+K84+L84</f>
        <v>#REF!</v>
      </c>
      <c r="AG84">
        <f>COUNTIFS('nama pasien'!$O:$O,"Undaan Lor",'nama pasien'!$AD:$AD,"dirawat didemak")</f>
        <v>0</v>
      </c>
    </row>
    <row r="85" spans="1:33" ht="15" customHeight="1" x14ac:dyDescent="0.25">
      <c r="A85" s="58"/>
      <c r="B85" s="61" t="s">
        <v>76</v>
      </c>
      <c r="C85" s="36" t="s">
        <v>79</v>
      </c>
      <c r="D85" s="172">
        <v>0</v>
      </c>
      <c r="E85" s="39"/>
      <c r="F85" s="172">
        <v>0</v>
      </c>
      <c r="G85" s="172">
        <v>0</v>
      </c>
      <c r="H85" s="172">
        <v>0</v>
      </c>
      <c r="I85" s="172">
        <v>0</v>
      </c>
      <c r="J85" s="172">
        <v>0</v>
      </c>
      <c r="K85" s="172">
        <v>10</v>
      </c>
      <c r="L85" s="172">
        <v>19</v>
      </c>
      <c r="M85" s="172">
        <v>2</v>
      </c>
      <c r="N85" s="3">
        <v>2</v>
      </c>
      <c r="O85" s="25"/>
      <c r="P85" s="26"/>
      <c r="Q85" s="27"/>
      <c r="R85" s="26"/>
      <c r="S85" s="26"/>
      <c r="T85" s="26"/>
      <c r="U85" s="26"/>
      <c r="V85" s="27"/>
      <c r="W85" s="27"/>
      <c r="X85" s="26"/>
      <c r="AA85" s="71" t="e">
        <f>G85+#REF!+#REF!+M85+K85+L85</f>
        <v>#REF!</v>
      </c>
      <c r="AG85">
        <f>COUNTIFS('nama pasien'!$O:$O,"Undaan Kdl",'nama pasien'!$AD:$AD,"dirawat didemak")</f>
        <v>0</v>
      </c>
    </row>
    <row r="86" spans="1:33" ht="15" customHeight="1" x14ac:dyDescent="0.25">
      <c r="A86" s="58"/>
      <c r="B86" s="61" t="s">
        <v>76</v>
      </c>
      <c r="C86" s="36" t="s">
        <v>80</v>
      </c>
      <c r="D86" s="172">
        <v>0</v>
      </c>
      <c r="E86" s="39"/>
      <c r="F86" s="172">
        <v>0</v>
      </c>
      <c r="G86" s="172">
        <v>0</v>
      </c>
      <c r="H86" s="172">
        <v>0</v>
      </c>
      <c r="I86" s="172">
        <v>0</v>
      </c>
      <c r="J86" s="172">
        <v>0</v>
      </c>
      <c r="K86" s="172">
        <v>23</v>
      </c>
      <c r="L86" s="172">
        <v>35</v>
      </c>
      <c r="M86" s="172">
        <v>5</v>
      </c>
      <c r="N86" s="3">
        <v>5</v>
      </c>
      <c r="O86" s="25"/>
      <c r="P86" s="26"/>
      <c r="Q86" s="27"/>
      <c r="R86" s="26"/>
      <c r="S86" s="26"/>
      <c r="T86" s="26"/>
      <c r="U86" s="26"/>
      <c r="V86" s="27"/>
      <c r="W86" s="27"/>
      <c r="X86" s="26"/>
      <c r="AA86" s="71" t="e">
        <f>G86+#REF!+#REF!+M86+K86+L86</f>
        <v>#REF!</v>
      </c>
      <c r="AG86">
        <f>COUNTIFS('nama pasien'!$O:$O,"Ketanjung",'nama pasien'!$AD:$AD,"dirawat didemak")</f>
        <v>0</v>
      </c>
    </row>
    <row r="87" spans="1:33" ht="15" customHeight="1" x14ac:dyDescent="0.25">
      <c r="A87" s="58"/>
      <c r="B87" s="61" t="s">
        <v>76</v>
      </c>
      <c r="C87" s="36" t="s">
        <v>298</v>
      </c>
      <c r="D87" s="172">
        <v>0</v>
      </c>
      <c r="E87" s="39"/>
      <c r="F87" s="172">
        <v>0</v>
      </c>
      <c r="G87" s="172">
        <v>0</v>
      </c>
      <c r="H87" s="172">
        <v>0</v>
      </c>
      <c r="I87" s="172">
        <v>0</v>
      </c>
      <c r="J87" s="172">
        <v>0</v>
      </c>
      <c r="K87" s="172">
        <v>7</v>
      </c>
      <c r="L87" s="172">
        <v>38</v>
      </c>
      <c r="M87" s="172">
        <v>2</v>
      </c>
      <c r="N87" s="3">
        <v>2</v>
      </c>
      <c r="O87" s="25"/>
      <c r="P87" s="26"/>
      <c r="Q87" s="27"/>
      <c r="R87" s="26"/>
      <c r="S87" s="26"/>
      <c r="T87" s="26"/>
      <c r="U87" s="26"/>
      <c r="V87" s="27"/>
      <c r="W87" s="27"/>
      <c r="X87" s="26"/>
      <c r="AA87" s="71" t="e">
        <f>G87+#REF!+#REF!+M87+K87+L87</f>
        <v>#REF!</v>
      </c>
      <c r="AG87">
        <f>COUNTIFS('nama pasien'!$O:$O,"Cangkring Rembang",'nama pasien'!$AD:$AD,"dirawat didemak")</f>
        <v>0</v>
      </c>
    </row>
    <row r="88" spans="1:33" ht="15" customHeight="1" x14ac:dyDescent="0.25">
      <c r="A88" s="58"/>
      <c r="B88" s="61" t="s">
        <v>76</v>
      </c>
      <c r="C88" s="36" t="s">
        <v>82</v>
      </c>
      <c r="D88" s="172">
        <v>0</v>
      </c>
      <c r="E88" s="39"/>
      <c r="F88" s="172">
        <v>0</v>
      </c>
      <c r="G88" s="172">
        <v>0</v>
      </c>
      <c r="H88" s="172">
        <v>0</v>
      </c>
      <c r="I88" s="172">
        <v>0</v>
      </c>
      <c r="J88" s="172">
        <v>0</v>
      </c>
      <c r="K88" s="172">
        <v>7</v>
      </c>
      <c r="L88" s="172">
        <v>40</v>
      </c>
      <c r="M88" s="172">
        <v>0</v>
      </c>
      <c r="N88" s="3">
        <v>0</v>
      </c>
      <c r="O88" s="25"/>
      <c r="P88" s="26"/>
      <c r="Q88" s="27"/>
      <c r="R88" s="26"/>
      <c r="S88" s="26"/>
      <c r="T88" s="26"/>
      <c r="U88" s="26"/>
      <c r="V88" s="27"/>
      <c r="W88" s="27"/>
      <c r="X88" s="26"/>
      <c r="AA88" s="71" t="e">
        <f>G88+#REF!+#REF!+M88+K88+L88</f>
        <v>#REF!</v>
      </c>
      <c r="AG88">
        <f>COUNTIFS('nama pasien'!$O:$O,"Tuang",'nama pasien'!$AD:$AD,"dirawat didemak")</f>
        <v>0</v>
      </c>
    </row>
    <row r="89" spans="1:33" ht="15" customHeight="1" x14ac:dyDescent="0.25">
      <c r="A89" s="58"/>
      <c r="B89" s="61" t="s">
        <v>76</v>
      </c>
      <c r="C89" s="36" t="s">
        <v>83</v>
      </c>
      <c r="D89" s="172">
        <v>0</v>
      </c>
      <c r="E89" s="39"/>
      <c r="F89" s="172">
        <v>0</v>
      </c>
      <c r="G89" s="172">
        <v>0</v>
      </c>
      <c r="H89" s="172">
        <v>0</v>
      </c>
      <c r="I89" s="172">
        <v>0</v>
      </c>
      <c r="J89" s="172">
        <v>0</v>
      </c>
      <c r="K89" s="172">
        <v>29</v>
      </c>
      <c r="L89" s="172">
        <v>62</v>
      </c>
      <c r="M89" s="172">
        <v>5</v>
      </c>
      <c r="N89" s="3">
        <v>5</v>
      </c>
      <c r="O89" s="25"/>
      <c r="P89" s="26"/>
      <c r="Q89" s="27"/>
      <c r="R89" s="26"/>
      <c r="S89" s="26"/>
      <c r="T89" s="26"/>
      <c r="U89" s="26"/>
      <c r="V89" s="27"/>
      <c r="W89" s="27"/>
      <c r="X89" s="26"/>
      <c r="AA89" s="71" t="e">
        <f>G89+#REF!+#REF!+M89+K89+L89</f>
        <v>#REF!</v>
      </c>
      <c r="AG89">
        <f>COUNTIFS('nama pasien'!$O:$O,"Wonorejo",'nama pasien'!$AD:$AD,"dirawat didemak")</f>
        <v>0</v>
      </c>
    </row>
    <row r="90" spans="1:33" ht="15" customHeight="1" x14ac:dyDescent="0.25">
      <c r="A90" s="58"/>
      <c r="B90" s="61" t="s">
        <v>76</v>
      </c>
      <c r="C90" s="36" t="s">
        <v>299</v>
      </c>
      <c r="D90" s="172">
        <v>0</v>
      </c>
      <c r="E90" s="39"/>
      <c r="F90" s="172">
        <v>0</v>
      </c>
      <c r="G90" s="172">
        <v>0</v>
      </c>
      <c r="H90" s="172">
        <v>0</v>
      </c>
      <c r="I90" s="172">
        <v>0</v>
      </c>
      <c r="J90" s="172">
        <v>0</v>
      </c>
      <c r="K90" s="172">
        <v>17</v>
      </c>
      <c r="L90" s="172">
        <v>51</v>
      </c>
      <c r="M90" s="172">
        <v>4</v>
      </c>
      <c r="N90" s="3">
        <v>4</v>
      </c>
      <c r="O90" s="25"/>
      <c r="P90" s="26"/>
      <c r="Q90" s="27"/>
      <c r="R90" s="26"/>
      <c r="S90" s="26"/>
      <c r="T90" s="26"/>
      <c r="U90" s="26"/>
      <c r="V90" s="27"/>
      <c r="W90" s="27"/>
      <c r="X90" s="26"/>
      <c r="AA90" s="71" t="e">
        <f>G90+#REF!+#REF!+M90+K90+L90</f>
        <v>#REF!</v>
      </c>
      <c r="AG90">
        <f>COUNTIFS('nama pasien'!$O:$O,"Ngemplik Wetan",'nama pasien'!$AD:$AD,"dirawat didemak")</f>
        <v>0</v>
      </c>
    </row>
    <row r="91" spans="1:33" ht="15" customHeight="1" x14ac:dyDescent="0.25">
      <c r="A91" s="58"/>
      <c r="B91" s="61" t="s">
        <v>76</v>
      </c>
      <c r="C91" s="36" t="s">
        <v>76</v>
      </c>
      <c r="D91" s="172">
        <v>0</v>
      </c>
      <c r="E91" s="39"/>
      <c r="F91" s="172">
        <v>0</v>
      </c>
      <c r="G91" s="172">
        <v>0</v>
      </c>
      <c r="H91" s="172">
        <v>0</v>
      </c>
      <c r="I91" s="172">
        <v>0</v>
      </c>
      <c r="J91" s="172">
        <v>0</v>
      </c>
      <c r="K91" s="172">
        <v>62</v>
      </c>
      <c r="L91" s="172">
        <v>107</v>
      </c>
      <c r="M91" s="172">
        <v>15</v>
      </c>
      <c r="N91" s="4">
        <v>15</v>
      </c>
      <c r="O91" s="25"/>
      <c r="P91" s="26"/>
      <c r="Q91" s="27"/>
      <c r="R91" s="26"/>
      <c r="S91" s="26"/>
      <c r="T91" s="26"/>
      <c r="U91" s="26"/>
      <c r="V91" s="27"/>
      <c r="W91" s="27"/>
      <c r="X91" s="26"/>
      <c r="AA91" s="71" t="e">
        <f>G91+#REF!+#REF!+M91+K91+L91</f>
        <v>#REF!</v>
      </c>
      <c r="AG91">
        <f>COUNTIFS('nama pasien'!$O:$O,"Karanganyar",'nama pasien'!$AD:$AD,"dirawat didemak")</f>
        <v>0</v>
      </c>
    </row>
    <row r="92" spans="1:33" ht="15" customHeight="1" x14ac:dyDescent="0.25">
      <c r="A92" s="58"/>
      <c r="B92" s="61" t="s">
        <v>76</v>
      </c>
      <c r="C92" s="36" t="s">
        <v>84</v>
      </c>
      <c r="D92" s="172">
        <v>0</v>
      </c>
      <c r="E92" s="39"/>
      <c r="F92" s="172">
        <v>0</v>
      </c>
      <c r="G92" s="172">
        <v>0</v>
      </c>
      <c r="H92" s="172">
        <v>0</v>
      </c>
      <c r="I92" s="172">
        <v>0</v>
      </c>
      <c r="J92" s="172">
        <v>0</v>
      </c>
      <c r="K92" s="172">
        <v>21</v>
      </c>
      <c r="L92" s="172">
        <v>49</v>
      </c>
      <c r="M92" s="172">
        <v>8</v>
      </c>
      <c r="N92" s="5">
        <v>8</v>
      </c>
      <c r="O92" s="25"/>
      <c r="P92" s="26"/>
      <c r="Q92" s="27"/>
      <c r="R92" s="26"/>
      <c r="S92" s="26"/>
      <c r="T92" s="26"/>
      <c r="U92" s="26"/>
      <c r="V92" s="27"/>
      <c r="W92" s="27"/>
      <c r="X92" s="26"/>
      <c r="AA92" s="71" t="e">
        <f>G92+#REF!+#REF!+M92+K92+L92</f>
        <v>#REF!</v>
      </c>
      <c r="AG92">
        <f>COUNTIFS('nama pasien'!$O:$O,"Ngaluran",'nama pasien'!$AD:$AD,"dirawat didemak")</f>
        <v>0</v>
      </c>
    </row>
    <row r="93" spans="1:33" ht="15" customHeight="1" x14ac:dyDescent="0.25">
      <c r="A93" s="58"/>
      <c r="B93" s="61" t="s">
        <v>76</v>
      </c>
      <c r="C93" s="36" t="s">
        <v>85</v>
      </c>
      <c r="D93" s="172">
        <v>0</v>
      </c>
      <c r="E93" s="39"/>
      <c r="F93" s="172">
        <v>0</v>
      </c>
      <c r="G93" s="172">
        <v>0</v>
      </c>
      <c r="H93" s="172">
        <v>0</v>
      </c>
      <c r="I93" s="172">
        <v>0</v>
      </c>
      <c r="J93" s="172">
        <v>0</v>
      </c>
      <c r="K93" s="172">
        <v>33</v>
      </c>
      <c r="L93" s="172">
        <v>83</v>
      </c>
      <c r="M93" s="172">
        <v>7</v>
      </c>
      <c r="N93" s="3">
        <v>7</v>
      </c>
      <c r="O93" s="25"/>
      <c r="P93" s="26"/>
      <c r="Q93" s="27"/>
      <c r="R93" s="26"/>
      <c r="S93" s="26"/>
      <c r="T93" s="26"/>
      <c r="U93" s="26"/>
      <c r="V93" s="27"/>
      <c r="W93" s="27"/>
      <c r="X93" s="26"/>
      <c r="AA93" s="71" t="e">
        <f>G93+#REF!+#REF!+M93+K93+L93</f>
        <v>#REF!</v>
      </c>
      <c r="AG93">
        <f>COUNTIFS('nama pasien'!$O:$O,"Kedungwaru Kidul",'nama pasien'!$AD:$AD,"dirawat didemak")</f>
        <v>0</v>
      </c>
    </row>
    <row r="94" spans="1:33" ht="15" customHeight="1" x14ac:dyDescent="0.25">
      <c r="A94" s="58"/>
      <c r="B94" s="61" t="s">
        <v>76</v>
      </c>
      <c r="C94" s="36" t="s">
        <v>86</v>
      </c>
      <c r="D94" s="172">
        <v>0</v>
      </c>
      <c r="E94" s="39"/>
      <c r="F94" s="172">
        <v>0</v>
      </c>
      <c r="G94" s="172">
        <v>0</v>
      </c>
      <c r="H94" s="172">
        <v>0</v>
      </c>
      <c r="I94" s="172">
        <v>0</v>
      </c>
      <c r="J94" s="172">
        <v>0</v>
      </c>
      <c r="K94" s="172">
        <v>22</v>
      </c>
      <c r="L94" s="172">
        <v>72</v>
      </c>
      <c r="M94" s="172">
        <v>7</v>
      </c>
      <c r="N94" s="3">
        <v>7</v>
      </c>
      <c r="O94" s="25"/>
      <c r="P94" s="26"/>
      <c r="Q94" s="27"/>
      <c r="R94" s="26"/>
      <c r="S94" s="26"/>
      <c r="T94" s="26"/>
      <c r="U94" s="26"/>
      <c r="V94" s="27"/>
      <c r="W94" s="27"/>
      <c r="X94" s="26"/>
      <c r="AA94" s="71" t="e">
        <f>G94+#REF!+#REF!+M94+K94+L94</f>
        <v>#REF!</v>
      </c>
      <c r="AG94">
        <f>COUNTIFS('nama pasien'!$O:$O,"Kedungwaru Lor",'nama pasien'!$AD:$AD,"dirawat didemak")</f>
        <v>0</v>
      </c>
    </row>
    <row r="95" spans="1:33" ht="15" customHeight="1" x14ac:dyDescent="0.25">
      <c r="A95" s="58"/>
      <c r="B95" s="61" t="s">
        <v>76</v>
      </c>
      <c r="C95" s="36" t="s">
        <v>87</v>
      </c>
      <c r="D95" s="172">
        <v>0</v>
      </c>
      <c r="E95" s="39"/>
      <c r="F95" s="172">
        <v>0</v>
      </c>
      <c r="G95" s="172">
        <v>0</v>
      </c>
      <c r="H95" s="172">
        <v>0</v>
      </c>
      <c r="I95" s="172">
        <v>0</v>
      </c>
      <c r="J95" s="172">
        <v>0</v>
      </c>
      <c r="K95" s="172">
        <v>23</v>
      </c>
      <c r="L95" s="172">
        <v>47</v>
      </c>
      <c r="M95" s="172">
        <v>2</v>
      </c>
      <c r="N95" s="3">
        <v>2</v>
      </c>
      <c r="O95" s="25"/>
      <c r="P95" s="26"/>
      <c r="Q95" s="27"/>
      <c r="R95" s="26"/>
      <c r="S95" s="26"/>
      <c r="T95" s="26"/>
      <c r="U95" s="26"/>
      <c r="V95" s="27"/>
      <c r="W95" s="27"/>
      <c r="X95" s="26"/>
      <c r="AA95" s="71" t="e">
        <f>G95+#REF!+#REF!+M95+K95+L95</f>
        <v>#REF!</v>
      </c>
      <c r="AG95">
        <f>COUNTIFS('nama pasien'!$O:$O,"Tugu Lor",'nama pasien'!$AD:$AD,"dirawat didemak")</f>
        <v>0</v>
      </c>
    </row>
    <row r="96" spans="1:33" ht="15" customHeight="1" x14ac:dyDescent="0.25">
      <c r="A96" s="58"/>
      <c r="B96" s="61" t="s">
        <v>76</v>
      </c>
      <c r="C96" s="36" t="s">
        <v>315</v>
      </c>
      <c r="D96" s="172">
        <v>0</v>
      </c>
      <c r="E96" s="39"/>
      <c r="F96" s="172">
        <v>0</v>
      </c>
      <c r="G96" s="172">
        <v>0</v>
      </c>
      <c r="H96" s="172">
        <v>0</v>
      </c>
      <c r="I96" s="172">
        <v>0</v>
      </c>
      <c r="J96" s="172">
        <v>0</v>
      </c>
      <c r="K96" s="172">
        <v>10</v>
      </c>
      <c r="L96" s="172">
        <v>39</v>
      </c>
      <c r="M96" s="172">
        <v>1</v>
      </c>
      <c r="N96" s="3">
        <v>1</v>
      </c>
      <c r="O96" s="25"/>
      <c r="P96" s="26"/>
      <c r="Q96" s="27"/>
      <c r="R96" s="26"/>
      <c r="S96" s="26"/>
      <c r="T96" s="26"/>
      <c r="U96" s="26"/>
      <c r="V96" s="27"/>
      <c r="W96" s="27"/>
      <c r="X96" s="26"/>
      <c r="AA96" s="71" t="e">
        <f>G96+#REF!+#REF!+M96+K96+L96</f>
        <v>#REF!</v>
      </c>
      <c r="AG96">
        <f>COUNTIFS('nama pasien'!$O:$O,"Kotakan",'nama pasien'!$AD:$AD,"dirawat didemak")</f>
        <v>0</v>
      </c>
    </row>
    <row r="97" spans="1:33" ht="15" customHeight="1" x14ac:dyDescent="0.25">
      <c r="A97" s="58"/>
      <c r="B97" s="61" t="s">
        <v>76</v>
      </c>
      <c r="C97" s="36" t="s">
        <v>88</v>
      </c>
      <c r="D97" s="172">
        <v>0</v>
      </c>
      <c r="E97" s="39"/>
      <c r="F97" s="172">
        <v>0</v>
      </c>
      <c r="G97" s="172">
        <v>0</v>
      </c>
      <c r="H97" s="172">
        <v>0</v>
      </c>
      <c r="I97" s="172">
        <v>0</v>
      </c>
      <c r="J97" s="172">
        <v>0</v>
      </c>
      <c r="K97" s="172">
        <v>30</v>
      </c>
      <c r="L97" s="172">
        <v>37</v>
      </c>
      <c r="M97" s="172">
        <v>2</v>
      </c>
      <c r="N97" s="3">
        <v>2</v>
      </c>
      <c r="O97" s="25"/>
      <c r="P97" s="26"/>
      <c r="Q97" s="27"/>
      <c r="R97" s="26"/>
      <c r="S97" s="26"/>
      <c r="T97" s="26"/>
      <c r="U97" s="26"/>
      <c r="V97" s="27"/>
      <c r="W97" s="27"/>
      <c r="X97" s="26"/>
      <c r="AA97" s="71" t="e">
        <f>G97+#REF!+#REF!+M97+K97+L97</f>
        <v>#REF!</v>
      </c>
      <c r="AG97">
        <f>COUNTIFS('nama pasien'!$O:$O,"Wonoketingal",'nama pasien'!$AD:$AD,"dirawat didemak")</f>
        <v>0</v>
      </c>
    </row>
    <row r="98" spans="1:33" ht="15" customHeight="1" x14ac:dyDescent="0.25">
      <c r="A98" s="58"/>
      <c r="B98" s="61" t="s">
        <v>76</v>
      </c>
      <c r="C98" s="36" t="s">
        <v>89</v>
      </c>
      <c r="D98" s="172">
        <v>0</v>
      </c>
      <c r="E98" s="39"/>
      <c r="F98" s="172">
        <v>0</v>
      </c>
      <c r="G98" s="172">
        <v>0</v>
      </c>
      <c r="H98" s="172">
        <v>0</v>
      </c>
      <c r="I98" s="172">
        <v>0</v>
      </c>
      <c r="J98" s="172">
        <v>0</v>
      </c>
      <c r="K98" s="172">
        <v>7</v>
      </c>
      <c r="L98" s="172">
        <v>17</v>
      </c>
      <c r="M98" s="172">
        <v>0</v>
      </c>
      <c r="N98" s="3">
        <v>0</v>
      </c>
      <c r="O98" s="25"/>
      <c r="P98" s="26"/>
      <c r="Q98" s="27"/>
      <c r="R98" s="26"/>
      <c r="S98" s="26"/>
      <c r="T98" s="26"/>
      <c r="U98" s="26"/>
      <c r="V98" s="27"/>
      <c r="W98" s="27"/>
      <c r="X98" s="26"/>
      <c r="AA98" s="71" t="e">
        <f>G98+#REF!+#REF!+M98+K98+L98</f>
        <v>#REF!</v>
      </c>
      <c r="AG98">
        <f>COUNTIFS('nama pasien'!$O:$O,"Jatirejo",'nama pasien'!$AD:$AD,"dirawat didemak")</f>
        <v>0</v>
      </c>
    </row>
    <row r="99" spans="1:33" ht="15" customHeight="1" x14ac:dyDescent="0.25">
      <c r="A99" s="58"/>
      <c r="B99" s="61" t="s">
        <v>76</v>
      </c>
      <c r="C99" s="36" t="s">
        <v>10</v>
      </c>
      <c r="D99" s="172">
        <v>0</v>
      </c>
      <c r="E99" s="39"/>
      <c r="F99" s="172">
        <v>4</v>
      </c>
      <c r="G99" s="172">
        <v>0</v>
      </c>
      <c r="H99" s="172">
        <v>0</v>
      </c>
      <c r="I99" s="172">
        <v>0</v>
      </c>
      <c r="J99" s="172">
        <v>0</v>
      </c>
      <c r="K99" s="172">
        <v>13</v>
      </c>
      <c r="L99" s="172">
        <v>21</v>
      </c>
      <c r="M99" s="172">
        <v>4</v>
      </c>
      <c r="N99" s="3">
        <v>4</v>
      </c>
      <c r="O99" s="25"/>
      <c r="P99" s="26"/>
      <c r="Q99" s="27"/>
      <c r="R99" s="26"/>
      <c r="S99" s="26"/>
      <c r="T99" s="26"/>
      <c r="U99" s="26"/>
      <c r="V99" s="27"/>
      <c r="W99" s="27"/>
      <c r="X99" s="26"/>
      <c r="AA99" s="71" t="e">
        <f>G99+#REF!+#REF!+M99+K99+L99</f>
        <v>#REF!</v>
      </c>
      <c r="AG99">
        <f>COUNTIFS('nama pasien'!$O:$O,"Bandungrejo",'nama pasien'!$AD:$AD,"dirawat didemak")</f>
        <v>0</v>
      </c>
    </row>
    <row r="100" spans="1:33" ht="15" customHeight="1" x14ac:dyDescent="0.25">
      <c r="A100" s="58">
        <v>6</v>
      </c>
      <c r="B100" s="61" t="s">
        <v>90</v>
      </c>
      <c r="C100" s="36" t="s">
        <v>91</v>
      </c>
      <c r="D100" s="172">
        <v>0</v>
      </c>
      <c r="E100" s="39"/>
      <c r="F100" s="172">
        <v>0</v>
      </c>
      <c r="G100" s="172">
        <v>0</v>
      </c>
      <c r="H100" s="172">
        <v>0</v>
      </c>
      <c r="I100" s="172">
        <v>0</v>
      </c>
      <c r="J100" s="172">
        <v>0</v>
      </c>
      <c r="K100" s="172">
        <v>26</v>
      </c>
      <c r="L100" s="172">
        <v>86</v>
      </c>
      <c r="M100" s="172">
        <v>5</v>
      </c>
      <c r="N100" s="5">
        <v>5</v>
      </c>
      <c r="O100" s="25">
        <f t="shared" ref="O100:X100" si="5">SUM(D100:D114)</f>
        <v>0</v>
      </c>
      <c r="P100" s="25">
        <f t="shared" si="5"/>
        <v>0</v>
      </c>
      <c r="Q100" s="25">
        <f>SUM(F100:F114)</f>
        <v>0</v>
      </c>
      <c r="R100" s="25">
        <f t="shared" si="5"/>
        <v>0</v>
      </c>
      <c r="S100" s="25">
        <f t="shared" si="5"/>
        <v>0</v>
      </c>
      <c r="T100" s="25">
        <f t="shared" si="5"/>
        <v>0</v>
      </c>
      <c r="U100" s="25">
        <f t="shared" si="5"/>
        <v>0</v>
      </c>
      <c r="V100" s="25">
        <f t="shared" si="5"/>
        <v>137</v>
      </c>
      <c r="W100" s="25">
        <f t="shared" si="5"/>
        <v>395</v>
      </c>
      <c r="X100" s="25">
        <f t="shared" si="5"/>
        <v>47</v>
      </c>
      <c r="AA100" s="71" t="e">
        <f>G100+#REF!+#REF!+M100+K100+L100</f>
        <v>#REF!</v>
      </c>
      <c r="AB100" s="71" t="e">
        <f>SUM(AA100:AA114)</f>
        <v>#REF!</v>
      </c>
      <c r="AG100">
        <f>COUNTIFS('nama pasien'!$O:$O,"Mijen",'nama pasien'!$AD:$AD,"dirawat didemak")</f>
        <v>0</v>
      </c>
    </row>
    <row r="101" spans="1:33" ht="15" customHeight="1" x14ac:dyDescent="0.25">
      <c r="A101" s="58"/>
      <c r="B101" s="61" t="s">
        <v>90</v>
      </c>
      <c r="C101" s="36" t="s">
        <v>92</v>
      </c>
      <c r="D101" s="172">
        <v>0</v>
      </c>
      <c r="E101" s="39"/>
      <c r="F101" s="172">
        <v>0</v>
      </c>
      <c r="G101" s="172">
        <v>0</v>
      </c>
      <c r="H101" s="172">
        <v>0</v>
      </c>
      <c r="I101" s="172">
        <v>0</v>
      </c>
      <c r="J101" s="172">
        <v>0</v>
      </c>
      <c r="K101" s="172">
        <v>9</v>
      </c>
      <c r="L101" s="172">
        <v>29</v>
      </c>
      <c r="M101" s="172">
        <v>6</v>
      </c>
      <c r="N101" s="3">
        <v>5</v>
      </c>
      <c r="O101" s="25"/>
      <c r="P101" s="26"/>
      <c r="Q101" s="27"/>
      <c r="R101" s="26"/>
      <c r="S101" s="26"/>
      <c r="T101" s="26"/>
      <c r="U101" s="26"/>
      <c r="V101" s="27"/>
      <c r="W101" s="27"/>
      <c r="X101" s="26"/>
      <c r="AA101" s="71" t="e">
        <f>G101+#REF!+#REF!+M101+K101+L101</f>
        <v>#REF!</v>
      </c>
      <c r="AG101">
        <f>COUNTIFS('nama pasien'!$O:$O,"Geneng",'nama pasien'!$AD:$AD,"dirawat didemak")</f>
        <v>0</v>
      </c>
    </row>
    <row r="102" spans="1:33" ht="15" customHeight="1" x14ac:dyDescent="0.25">
      <c r="A102" s="58"/>
      <c r="B102" s="61" t="s">
        <v>90</v>
      </c>
      <c r="C102" s="36" t="s">
        <v>93</v>
      </c>
      <c r="D102" s="172">
        <v>0</v>
      </c>
      <c r="E102" s="39"/>
      <c r="F102" s="172">
        <v>0</v>
      </c>
      <c r="G102" s="172">
        <v>0</v>
      </c>
      <c r="H102" s="172">
        <v>0</v>
      </c>
      <c r="I102" s="172">
        <v>0</v>
      </c>
      <c r="J102" s="172">
        <v>0</v>
      </c>
      <c r="K102" s="172">
        <v>4</v>
      </c>
      <c r="L102" s="172">
        <v>6</v>
      </c>
      <c r="M102" s="172">
        <v>0</v>
      </c>
      <c r="N102" s="3">
        <v>0</v>
      </c>
      <c r="O102" s="25"/>
      <c r="P102" s="26"/>
      <c r="Q102" s="27"/>
      <c r="R102" s="26"/>
      <c r="S102" s="26"/>
      <c r="T102" s="26"/>
      <c r="U102" s="26"/>
      <c r="V102" s="27"/>
      <c r="W102" s="27"/>
      <c r="X102" s="26"/>
      <c r="AA102" s="71" t="e">
        <f>G102+#REF!+#REF!+M102+K102+L102</f>
        <v>#REF!</v>
      </c>
      <c r="AG102">
        <f>COUNTIFS('nama pasien'!$O:$O,"Tanggul",'nama pasien'!$AD:$AD,"dirawat didemak")</f>
        <v>0</v>
      </c>
    </row>
    <row r="103" spans="1:33" ht="15" customHeight="1" x14ac:dyDescent="0.25">
      <c r="A103" s="58"/>
      <c r="B103" s="61" t="s">
        <v>90</v>
      </c>
      <c r="C103" s="36" t="s">
        <v>94</v>
      </c>
      <c r="D103" s="172">
        <v>0</v>
      </c>
      <c r="E103" s="39"/>
      <c r="F103" s="172">
        <v>0</v>
      </c>
      <c r="G103" s="172">
        <v>0</v>
      </c>
      <c r="H103" s="172">
        <v>0</v>
      </c>
      <c r="I103" s="172">
        <v>0</v>
      </c>
      <c r="J103" s="172">
        <v>0</v>
      </c>
      <c r="K103" s="172">
        <v>4</v>
      </c>
      <c r="L103" s="172">
        <v>13</v>
      </c>
      <c r="M103" s="172">
        <v>0</v>
      </c>
      <c r="N103" s="3">
        <v>0</v>
      </c>
      <c r="O103" s="25"/>
      <c r="P103" s="26"/>
      <c r="Q103" s="27"/>
      <c r="R103" s="26"/>
      <c r="S103" s="26"/>
      <c r="T103" s="26"/>
      <c r="U103" s="26"/>
      <c r="V103" s="27"/>
      <c r="W103" s="27"/>
      <c r="X103" s="26"/>
      <c r="AA103" s="71" t="e">
        <f>G103+#REF!+#REF!+M103+K103+L103</f>
        <v>#REF!</v>
      </c>
      <c r="AG103">
        <f>COUNTIFS('nama pasien'!$O:$O,"Banteng mati",'nama pasien'!$AD:$AD,"dirawat didemak")</f>
        <v>0</v>
      </c>
    </row>
    <row r="104" spans="1:33" ht="15" customHeight="1" x14ac:dyDescent="0.25">
      <c r="A104" s="58"/>
      <c r="B104" s="61" t="s">
        <v>90</v>
      </c>
      <c r="C104" s="36" t="s">
        <v>95</v>
      </c>
      <c r="D104" s="172">
        <v>0</v>
      </c>
      <c r="E104" s="39"/>
      <c r="F104" s="172">
        <v>0</v>
      </c>
      <c r="G104" s="172">
        <v>0</v>
      </c>
      <c r="H104" s="172">
        <v>0</v>
      </c>
      <c r="I104" s="172">
        <v>0</v>
      </c>
      <c r="J104" s="172">
        <v>0</v>
      </c>
      <c r="K104" s="172">
        <v>7</v>
      </c>
      <c r="L104" s="172">
        <v>38</v>
      </c>
      <c r="M104" s="172">
        <v>3</v>
      </c>
      <c r="N104" s="3">
        <v>3</v>
      </c>
      <c r="O104" s="25"/>
      <c r="P104" s="26"/>
      <c r="Q104" s="27"/>
      <c r="R104" s="26"/>
      <c r="S104" s="26"/>
      <c r="T104" s="26"/>
      <c r="U104" s="26"/>
      <c r="V104" s="27"/>
      <c r="W104" s="27"/>
      <c r="X104" s="26"/>
      <c r="AA104" s="71" t="e">
        <f>G104+#REF!+#REF!+M104+K104+L104</f>
        <v>#REF!</v>
      </c>
      <c r="AG104">
        <f>COUNTIFS('nama pasien'!$O:$O,"Mlaten",'nama pasien'!$AD:$AD,"dirawat didemak")</f>
        <v>1</v>
      </c>
    </row>
    <row r="105" spans="1:33" ht="15" customHeight="1" x14ac:dyDescent="0.25">
      <c r="A105" s="58"/>
      <c r="B105" s="61" t="s">
        <v>90</v>
      </c>
      <c r="C105" s="36" t="s">
        <v>96</v>
      </c>
      <c r="D105" s="172">
        <v>0</v>
      </c>
      <c r="E105" s="39"/>
      <c r="F105" s="172">
        <v>0</v>
      </c>
      <c r="G105" s="172">
        <v>0</v>
      </c>
      <c r="H105" s="172">
        <v>0</v>
      </c>
      <c r="I105" s="172">
        <v>0</v>
      </c>
      <c r="J105" s="172">
        <v>0</v>
      </c>
      <c r="K105" s="172">
        <v>1</v>
      </c>
      <c r="L105" s="172">
        <v>19</v>
      </c>
      <c r="M105" s="172">
        <v>3</v>
      </c>
      <c r="N105" s="3">
        <v>3</v>
      </c>
      <c r="O105" s="25"/>
      <c r="P105" s="26"/>
      <c r="Q105" s="27"/>
      <c r="R105" s="26"/>
      <c r="S105" s="26"/>
      <c r="T105" s="26"/>
      <c r="U105" s="26"/>
      <c r="V105" s="27"/>
      <c r="W105" s="27"/>
      <c r="X105" s="26"/>
      <c r="AA105" s="71" t="e">
        <f>G105+#REF!+#REF!+M105+K105+L105</f>
        <v>#REF!</v>
      </c>
      <c r="AG105">
        <f>COUNTIFS('nama pasien'!$O:$O,"Bermi",'nama pasien'!$AD:$AD,"dirawat didemak")</f>
        <v>0</v>
      </c>
    </row>
    <row r="106" spans="1:33" ht="15" customHeight="1" x14ac:dyDescent="0.25">
      <c r="A106" s="58"/>
      <c r="B106" s="61" t="s">
        <v>90</v>
      </c>
      <c r="C106" s="36" t="s">
        <v>97</v>
      </c>
      <c r="D106" s="172">
        <v>0</v>
      </c>
      <c r="E106" s="39"/>
      <c r="F106" s="172">
        <v>0</v>
      </c>
      <c r="G106" s="172">
        <v>0</v>
      </c>
      <c r="H106" s="172">
        <v>0</v>
      </c>
      <c r="I106" s="172">
        <v>0</v>
      </c>
      <c r="J106" s="172">
        <v>0</v>
      </c>
      <c r="K106" s="172">
        <v>5</v>
      </c>
      <c r="L106" s="172">
        <v>17</v>
      </c>
      <c r="M106" s="172">
        <v>1</v>
      </c>
      <c r="N106" s="3">
        <v>1</v>
      </c>
      <c r="O106" s="25"/>
      <c r="P106" s="26"/>
      <c r="Q106" s="27"/>
      <c r="R106" s="26"/>
      <c r="S106" s="26"/>
      <c r="T106" s="26"/>
      <c r="U106" s="26"/>
      <c r="V106" s="27"/>
      <c r="W106" s="27"/>
      <c r="X106" s="26"/>
      <c r="AA106" s="71" t="e">
        <f>G106+#REF!+#REF!+M106+K106+L106</f>
        <v>#REF!</v>
      </c>
      <c r="AG106">
        <f>COUNTIFS('nama pasien'!$O:$O,"Gempol songo",'nama pasien'!$AD:$AD,"dirawat didemak")</f>
        <v>0</v>
      </c>
    </row>
    <row r="107" spans="1:33" ht="15" customHeight="1" x14ac:dyDescent="0.25">
      <c r="A107" s="58"/>
      <c r="B107" s="61" t="s">
        <v>90</v>
      </c>
      <c r="C107" s="36" t="s">
        <v>98</v>
      </c>
      <c r="D107" s="172">
        <v>0</v>
      </c>
      <c r="E107" s="39"/>
      <c r="F107" s="172">
        <v>0</v>
      </c>
      <c r="G107" s="172">
        <v>0</v>
      </c>
      <c r="H107" s="172">
        <v>0</v>
      </c>
      <c r="I107" s="172">
        <v>0</v>
      </c>
      <c r="J107" s="172">
        <v>0</v>
      </c>
      <c r="K107" s="172">
        <v>7</v>
      </c>
      <c r="L107" s="172">
        <v>23</v>
      </c>
      <c r="M107" s="172">
        <v>0</v>
      </c>
      <c r="N107" s="3">
        <v>0</v>
      </c>
      <c r="O107" s="25"/>
      <c r="P107" s="26"/>
      <c r="Q107" s="27"/>
      <c r="R107" s="26"/>
      <c r="S107" s="26"/>
      <c r="T107" s="26"/>
      <c r="U107" s="26"/>
      <c r="V107" s="27"/>
      <c r="W107" s="27"/>
      <c r="X107" s="26"/>
      <c r="AA107" s="71" t="e">
        <f>G107+#REF!+#REF!+M107+K107+L107</f>
        <v>#REF!</v>
      </c>
      <c r="AG107">
        <f>COUNTIFS('nama pasien'!$O:$O,"Ngelowetan",'nama pasien'!$AD:$AD,"dirawat didemak")</f>
        <v>0</v>
      </c>
    </row>
    <row r="108" spans="1:33" ht="15" customHeight="1" x14ac:dyDescent="0.25">
      <c r="A108" s="58"/>
      <c r="B108" s="61" t="s">
        <v>90</v>
      </c>
      <c r="C108" s="36" t="s">
        <v>99</v>
      </c>
      <c r="D108" s="172">
        <v>0</v>
      </c>
      <c r="E108" s="39"/>
      <c r="F108" s="172">
        <v>0</v>
      </c>
      <c r="G108" s="172">
        <v>0</v>
      </c>
      <c r="H108" s="172">
        <v>0</v>
      </c>
      <c r="I108" s="172">
        <v>0</v>
      </c>
      <c r="J108" s="172">
        <v>0</v>
      </c>
      <c r="K108" s="172">
        <v>4</v>
      </c>
      <c r="L108" s="172">
        <v>30</v>
      </c>
      <c r="M108" s="172">
        <v>5</v>
      </c>
      <c r="N108" s="4">
        <v>5</v>
      </c>
      <c r="O108" s="25"/>
      <c r="P108" s="26"/>
      <c r="Q108" s="27"/>
      <c r="R108" s="26"/>
      <c r="S108" s="26"/>
      <c r="T108" s="26"/>
      <c r="U108" s="26"/>
      <c r="V108" s="27"/>
      <c r="W108" s="27"/>
      <c r="X108" s="26"/>
      <c r="AA108" s="71" t="e">
        <f>G108+#REF!+#REF!+M108+K108+L108</f>
        <v>#REF!</v>
      </c>
      <c r="AG108">
        <f>COUNTIFS('nama pasien'!$O:$O,"Bakung",'nama pasien'!$AD:$AD,"dirawat didemak")</f>
        <v>0</v>
      </c>
    </row>
    <row r="109" spans="1:33" ht="15" customHeight="1" x14ac:dyDescent="0.25">
      <c r="A109" s="58"/>
      <c r="B109" s="61" t="s">
        <v>90</v>
      </c>
      <c r="C109" s="36" t="s">
        <v>100</v>
      </c>
      <c r="D109" s="172">
        <v>0</v>
      </c>
      <c r="E109" s="39"/>
      <c r="F109" s="172">
        <v>0</v>
      </c>
      <c r="G109" s="172">
        <v>0</v>
      </c>
      <c r="H109" s="172">
        <v>0</v>
      </c>
      <c r="I109" s="172">
        <v>0</v>
      </c>
      <c r="J109" s="172">
        <v>0</v>
      </c>
      <c r="K109" s="172">
        <v>20</v>
      </c>
      <c r="L109" s="172">
        <v>28</v>
      </c>
      <c r="M109" s="172">
        <v>7</v>
      </c>
      <c r="N109" s="5">
        <v>7</v>
      </c>
      <c r="O109" s="25"/>
      <c r="P109" s="26"/>
      <c r="Q109" s="27"/>
      <c r="R109" s="26"/>
      <c r="S109" s="26"/>
      <c r="T109" s="26"/>
      <c r="U109" s="26"/>
      <c r="V109" s="27"/>
      <c r="W109" s="27"/>
      <c r="X109" s="26"/>
      <c r="AA109" s="71" t="e">
        <f>G109+#REF!+#REF!+M109+K109+L109</f>
        <v>#REF!</v>
      </c>
      <c r="AG109">
        <f>COUNTIFS('nama pasien'!$O:$O,"Pasir",'nama pasien'!$AD:$AD,"dirawat didemak")</f>
        <v>0</v>
      </c>
    </row>
    <row r="110" spans="1:33" ht="15" customHeight="1" x14ac:dyDescent="0.25">
      <c r="A110" s="58"/>
      <c r="B110" s="61" t="s">
        <v>90</v>
      </c>
      <c r="C110" s="36" t="s">
        <v>101</v>
      </c>
      <c r="D110" s="172">
        <v>0</v>
      </c>
      <c r="E110" s="39"/>
      <c r="F110" s="172">
        <v>0</v>
      </c>
      <c r="G110" s="172">
        <v>0</v>
      </c>
      <c r="H110" s="172">
        <v>0</v>
      </c>
      <c r="I110" s="172">
        <v>0</v>
      </c>
      <c r="J110" s="172">
        <v>0</v>
      </c>
      <c r="K110" s="172">
        <v>13</v>
      </c>
      <c r="L110" s="172">
        <v>28</v>
      </c>
      <c r="M110" s="172">
        <v>3</v>
      </c>
      <c r="N110" s="3">
        <v>2</v>
      </c>
      <c r="O110" s="25"/>
      <c r="P110" s="26"/>
      <c r="Q110" s="27"/>
      <c r="R110" s="26"/>
      <c r="S110" s="26"/>
      <c r="T110" s="26"/>
      <c r="U110" s="26"/>
      <c r="V110" s="27"/>
      <c r="W110" s="27"/>
      <c r="X110" s="26"/>
      <c r="AA110" s="71" t="e">
        <f>G110+#REF!+#REF!+M110+K110+L110</f>
        <v>#REF!</v>
      </c>
      <c r="AG110">
        <f>COUNTIFS('nama pasien'!$O:$O,"Jleper",'nama pasien'!$AD:$AD,"dirawat didemak")</f>
        <v>0</v>
      </c>
    </row>
    <row r="111" spans="1:33" ht="15" customHeight="1" x14ac:dyDescent="0.25">
      <c r="A111" s="58"/>
      <c r="B111" s="61" t="s">
        <v>90</v>
      </c>
      <c r="C111" s="36" t="s">
        <v>28</v>
      </c>
      <c r="D111" s="172">
        <v>0</v>
      </c>
      <c r="E111" s="39"/>
      <c r="F111" s="172">
        <v>0</v>
      </c>
      <c r="G111" s="172">
        <v>0</v>
      </c>
      <c r="H111" s="172">
        <v>0</v>
      </c>
      <c r="I111" s="172">
        <v>0</v>
      </c>
      <c r="J111" s="172">
        <v>0</v>
      </c>
      <c r="K111" s="172">
        <v>7</v>
      </c>
      <c r="L111" s="172">
        <v>24</v>
      </c>
      <c r="M111" s="172">
        <v>2</v>
      </c>
      <c r="N111" s="3">
        <v>2</v>
      </c>
      <c r="O111" s="25"/>
      <c r="P111" s="26"/>
      <c r="Q111" s="27"/>
      <c r="R111" s="26"/>
      <c r="S111" s="26"/>
      <c r="T111" s="26"/>
      <c r="U111" s="26"/>
      <c r="V111" s="27"/>
      <c r="W111" s="27"/>
      <c r="X111" s="26"/>
      <c r="AA111" s="71" t="e">
        <f>G111+#REF!+#REF!+M111+K111+L111</f>
        <v>#REF!</v>
      </c>
      <c r="AG111">
        <f>COUNTIFS('nama pasien'!$O:$O,"Rejosari",'nama pasien'!$AD:$AD,"dirawat didemak")</f>
        <v>2</v>
      </c>
    </row>
    <row r="112" spans="1:33" ht="15" customHeight="1" x14ac:dyDescent="0.25">
      <c r="A112" s="58"/>
      <c r="B112" s="61" t="s">
        <v>90</v>
      </c>
      <c r="C112" s="36" t="s">
        <v>102</v>
      </c>
      <c r="D112" s="172">
        <v>0</v>
      </c>
      <c r="E112" s="39"/>
      <c r="F112" s="172">
        <v>0</v>
      </c>
      <c r="G112" s="172">
        <v>0</v>
      </c>
      <c r="H112" s="172">
        <v>0</v>
      </c>
      <c r="I112" s="172">
        <v>0</v>
      </c>
      <c r="J112" s="172">
        <v>0</v>
      </c>
      <c r="K112" s="172">
        <v>6</v>
      </c>
      <c r="L112" s="172">
        <v>11</v>
      </c>
      <c r="M112" s="172">
        <v>2</v>
      </c>
      <c r="N112" s="3">
        <v>2</v>
      </c>
      <c r="O112" s="25"/>
      <c r="P112" s="26"/>
      <c r="Q112" s="27"/>
      <c r="R112" s="26"/>
      <c r="S112" s="26"/>
      <c r="T112" s="26"/>
      <c r="U112" s="26"/>
      <c r="V112" s="27"/>
      <c r="W112" s="27"/>
      <c r="X112" s="26"/>
      <c r="AA112" s="71" t="e">
        <f>G112+#REF!+#REF!+M112+K112+L112</f>
        <v>#REF!</v>
      </c>
      <c r="AG112">
        <f>COUNTIFS('nama pasien'!$O:$O,"Ngegot",'nama pasien'!$AD:$AD,"dirawat didemak")</f>
        <v>0</v>
      </c>
    </row>
    <row r="113" spans="1:33" ht="15" customHeight="1" x14ac:dyDescent="0.25">
      <c r="A113" s="58"/>
      <c r="B113" s="61" t="s">
        <v>90</v>
      </c>
      <c r="C113" s="36" t="s">
        <v>103</v>
      </c>
      <c r="D113" s="172">
        <v>0</v>
      </c>
      <c r="E113" s="39"/>
      <c r="F113" s="172">
        <v>0</v>
      </c>
      <c r="G113" s="172">
        <v>0</v>
      </c>
      <c r="H113" s="172">
        <v>0</v>
      </c>
      <c r="I113" s="172">
        <v>0</v>
      </c>
      <c r="J113" s="172">
        <v>0</v>
      </c>
      <c r="K113" s="172">
        <v>18</v>
      </c>
      <c r="L113" s="172">
        <v>35</v>
      </c>
      <c r="M113" s="172">
        <v>10</v>
      </c>
      <c r="N113" s="3">
        <v>10</v>
      </c>
      <c r="O113" s="25"/>
      <c r="P113" s="26"/>
      <c r="Q113" s="27"/>
      <c r="R113" s="26"/>
      <c r="S113" s="26"/>
      <c r="T113" s="26"/>
      <c r="U113" s="26"/>
      <c r="V113" s="27"/>
      <c r="W113" s="27"/>
      <c r="X113" s="26"/>
      <c r="AA113" s="71" t="e">
        <f>G113+#REF!+#REF!+M113+K113+L113</f>
        <v>#REF!</v>
      </c>
      <c r="AG113">
        <f>COUNTIFS('nama pasien'!$O:$O,"Pecuk",'nama pasien'!$AD:$AD,"dirawat didemak")</f>
        <v>0</v>
      </c>
    </row>
    <row r="114" spans="1:33" ht="15" customHeight="1" x14ac:dyDescent="0.25">
      <c r="A114" s="58"/>
      <c r="B114" s="61" t="s">
        <v>90</v>
      </c>
      <c r="C114" s="36" t="s">
        <v>104</v>
      </c>
      <c r="D114" s="172">
        <v>0</v>
      </c>
      <c r="E114" s="39"/>
      <c r="F114" s="172">
        <v>0</v>
      </c>
      <c r="G114" s="172">
        <v>0</v>
      </c>
      <c r="H114" s="172">
        <v>0</v>
      </c>
      <c r="I114" s="172">
        <v>0</v>
      </c>
      <c r="J114" s="172">
        <v>0</v>
      </c>
      <c r="K114" s="172">
        <v>6</v>
      </c>
      <c r="L114" s="172">
        <v>8</v>
      </c>
      <c r="M114" s="172">
        <v>0</v>
      </c>
      <c r="N114" s="4">
        <v>0</v>
      </c>
      <c r="O114" s="25"/>
      <c r="P114" s="26"/>
      <c r="Q114" s="27"/>
      <c r="R114" s="26"/>
      <c r="S114" s="26"/>
      <c r="T114" s="26"/>
      <c r="U114" s="26"/>
      <c r="V114" s="27"/>
      <c r="W114" s="27"/>
      <c r="X114" s="26"/>
      <c r="AA114" s="71" t="e">
        <f>G114+#REF!+#REF!+M114+K114+L114</f>
        <v>#REF!</v>
      </c>
      <c r="AG114">
        <f>COUNTIFS('nama pasien'!$O:$O,"Ngelo Kulon",'nama pasien'!$AD:$AD,"dirawat didemak")</f>
        <v>0</v>
      </c>
    </row>
    <row r="115" spans="1:33" x14ac:dyDescent="0.25">
      <c r="A115" s="58">
        <v>7</v>
      </c>
      <c r="B115" s="61" t="s">
        <v>105</v>
      </c>
      <c r="C115" s="36" t="s">
        <v>107</v>
      </c>
      <c r="D115" s="172">
        <v>0</v>
      </c>
      <c r="E115" s="39"/>
      <c r="F115" s="172">
        <v>0</v>
      </c>
      <c r="G115" s="172">
        <v>0</v>
      </c>
      <c r="H115" s="172">
        <v>0</v>
      </c>
      <c r="I115" s="172">
        <v>0</v>
      </c>
      <c r="J115" s="172">
        <v>0</v>
      </c>
      <c r="K115" s="172">
        <v>5</v>
      </c>
      <c r="L115" s="172">
        <v>62</v>
      </c>
      <c r="M115" s="172">
        <v>10</v>
      </c>
      <c r="N115" s="5">
        <v>9</v>
      </c>
      <c r="O115" s="25">
        <f t="shared" ref="O115:X115" si="6">SUM(D115:D133)</f>
        <v>0</v>
      </c>
      <c r="P115" s="25">
        <f t="shared" si="6"/>
        <v>0</v>
      </c>
      <c r="Q115" s="25">
        <f>SUM(F115:F133)</f>
        <v>0</v>
      </c>
      <c r="R115" s="25">
        <f t="shared" si="6"/>
        <v>0</v>
      </c>
      <c r="S115" s="25">
        <f t="shared" si="6"/>
        <v>1</v>
      </c>
      <c r="T115" s="25">
        <f t="shared" si="6"/>
        <v>0</v>
      </c>
      <c r="U115" s="25">
        <f t="shared" si="6"/>
        <v>0</v>
      </c>
      <c r="V115" s="25">
        <f t="shared" si="6"/>
        <v>394</v>
      </c>
      <c r="W115" s="25">
        <f t="shared" si="6"/>
        <v>1654</v>
      </c>
      <c r="X115" s="25">
        <f t="shared" si="6"/>
        <v>222</v>
      </c>
      <c r="AA115" s="71" t="e">
        <f>G115+#REF!+#REF!+M115+K115+L115</f>
        <v>#REF!</v>
      </c>
      <c r="AB115" s="71" t="e">
        <f>SUM(AA115:AA133)</f>
        <v>#REF!</v>
      </c>
      <c r="AG115">
        <f>COUNTIFS('nama pasien'!$O:$O,"Betokan",'nama pasien'!$AD:$AD,"dirawat didemak")</f>
        <v>0</v>
      </c>
    </row>
    <row r="116" spans="1:33" x14ac:dyDescent="0.25">
      <c r="A116" s="58"/>
      <c r="B116" s="61" t="s">
        <v>105</v>
      </c>
      <c r="C116" s="36" t="s">
        <v>108</v>
      </c>
      <c r="D116" s="172">
        <v>0</v>
      </c>
      <c r="E116" s="39"/>
      <c r="F116" s="172">
        <v>0</v>
      </c>
      <c r="G116" s="172">
        <v>0</v>
      </c>
      <c r="H116" s="172">
        <v>0</v>
      </c>
      <c r="I116" s="172">
        <v>0</v>
      </c>
      <c r="J116" s="172">
        <v>0</v>
      </c>
      <c r="K116" s="172">
        <v>11</v>
      </c>
      <c r="L116" s="172">
        <v>33</v>
      </c>
      <c r="M116" s="172">
        <v>10</v>
      </c>
      <c r="N116" s="3">
        <v>10</v>
      </c>
      <c r="O116" s="25"/>
      <c r="P116" s="26"/>
      <c r="Q116" s="27"/>
      <c r="R116" s="26"/>
      <c r="S116" s="26"/>
      <c r="T116" s="26"/>
      <c r="U116" s="26"/>
      <c r="V116" s="27"/>
      <c r="W116" s="27"/>
      <c r="X116" s="26"/>
      <c r="AA116" s="71" t="e">
        <f>G116+#REF!+#REF!+M116+K116+L116</f>
        <v>#REF!</v>
      </c>
      <c r="AG116">
        <f>COUNTIFS('nama pasien'!$O:$O,"Kalicilik",'nama pasien'!$AD:$AD,"dirawat didemak")</f>
        <v>0</v>
      </c>
    </row>
    <row r="117" spans="1:33" x14ac:dyDescent="0.25">
      <c r="A117" s="58"/>
      <c r="B117" s="61" t="s">
        <v>105</v>
      </c>
      <c r="C117" s="36" t="s">
        <v>109</v>
      </c>
      <c r="D117" s="172">
        <v>0</v>
      </c>
      <c r="E117" s="39"/>
      <c r="F117" s="172">
        <v>0</v>
      </c>
      <c r="G117" s="172">
        <v>0</v>
      </c>
      <c r="H117" s="172">
        <v>0</v>
      </c>
      <c r="I117" s="172">
        <v>0</v>
      </c>
      <c r="J117" s="172">
        <v>0</v>
      </c>
      <c r="K117" s="172">
        <v>16</v>
      </c>
      <c r="L117" s="172">
        <v>53</v>
      </c>
      <c r="M117" s="172">
        <v>8</v>
      </c>
      <c r="N117" s="3">
        <v>8</v>
      </c>
      <c r="O117" s="25"/>
      <c r="P117" s="26"/>
      <c r="Q117" s="27"/>
      <c r="R117" s="26"/>
      <c r="S117" s="26"/>
      <c r="T117" s="26"/>
      <c r="U117" s="26"/>
      <c r="V117" s="27"/>
      <c r="W117" s="27"/>
      <c r="X117" s="26"/>
      <c r="AA117" s="71" t="e">
        <f>G117+#REF!+#REF!+M117+K117+L117</f>
        <v>#REF!</v>
      </c>
      <c r="AG117">
        <f>COUNTIFS('nama pasien'!$O:$O,"Kadilangu",'nama pasien'!$AD:$AD,"dirawat didemak")</f>
        <v>0</v>
      </c>
    </row>
    <row r="118" spans="1:33" x14ac:dyDescent="0.25">
      <c r="A118" s="58"/>
      <c r="B118" s="61" t="s">
        <v>105</v>
      </c>
      <c r="C118" s="36" t="s">
        <v>110</v>
      </c>
      <c r="D118" s="172">
        <v>0</v>
      </c>
      <c r="E118" s="39"/>
      <c r="F118" s="172">
        <v>0</v>
      </c>
      <c r="G118" s="172">
        <v>0</v>
      </c>
      <c r="H118" s="172">
        <v>0</v>
      </c>
      <c r="I118" s="172">
        <v>0</v>
      </c>
      <c r="J118" s="172">
        <v>0</v>
      </c>
      <c r="K118" s="172">
        <v>1</v>
      </c>
      <c r="L118" s="172">
        <v>18</v>
      </c>
      <c r="M118" s="172">
        <v>4</v>
      </c>
      <c r="N118" s="3">
        <v>4</v>
      </c>
      <c r="O118" s="25"/>
      <c r="P118" s="26"/>
      <c r="Q118" s="27"/>
      <c r="R118" s="26"/>
      <c r="S118" s="26"/>
      <c r="T118" s="26"/>
      <c r="U118" s="26"/>
      <c r="V118" s="27"/>
      <c r="W118" s="27"/>
      <c r="X118" s="26"/>
      <c r="AA118" s="71" t="e">
        <f>G118+#REF!+#REF!+M118+K118+L118</f>
        <v>#REF!</v>
      </c>
      <c r="AG118">
        <f>COUNTIFS('nama pasien'!$O:$O,"Singorejo",'nama pasien'!$AD:$AD,"dirawat didemak")</f>
        <v>0</v>
      </c>
    </row>
    <row r="119" spans="1:33" x14ac:dyDescent="0.25">
      <c r="A119" s="58"/>
      <c r="B119" s="61" t="s">
        <v>105</v>
      </c>
      <c r="C119" s="36" t="s">
        <v>111</v>
      </c>
      <c r="D119" s="172">
        <v>0</v>
      </c>
      <c r="E119" s="39"/>
      <c r="F119" s="172">
        <v>0</v>
      </c>
      <c r="G119" s="172">
        <v>0</v>
      </c>
      <c r="H119" s="172">
        <v>0</v>
      </c>
      <c r="I119" s="172">
        <v>0</v>
      </c>
      <c r="J119" s="172">
        <v>0</v>
      </c>
      <c r="K119" s="172">
        <v>4</v>
      </c>
      <c r="L119" s="172">
        <v>27</v>
      </c>
      <c r="M119" s="172">
        <v>4</v>
      </c>
      <c r="N119" s="3">
        <v>3</v>
      </c>
      <c r="O119" s="25"/>
      <c r="P119" s="26"/>
      <c r="Q119" s="27"/>
      <c r="R119" s="26"/>
      <c r="S119" s="26"/>
      <c r="T119" s="26"/>
      <c r="U119" s="26"/>
      <c r="V119" s="27"/>
      <c r="W119" s="27"/>
      <c r="X119" s="26"/>
      <c r="AA119" s="71" t="e">
        <f>G119+#REF!+#REF!+M119+K119+L119</f>
        <v>#REF!</v>
      </c>
      <c r="AG119">
        <f>COUNTIFS('nama pasien'!$O:$O,"Karangmlati",'nama pasien'!$AD:$AD,"dirawat didemak")</f>
        <v>0</v>
      </c>
    </row>
    <row r="120" spans="1:33" x14ac:dyDescent="0.25">
      <c r="A120" s="58"/>
      <c r="B120" s="61" t="s">
        <v>105</v>
      </c>
      <c r="C120" s="36" t="s">
        <v>112</v>
      </c>
      <c r="D120" s="172">
        <v>0</v>
      </c>
      <c r="E120" s="39"/>
      <c r="F120" s="172">
        <v>0</v>
      </c>
      <c r="G120" s="172">
        <v>0</v>
      </c>
      <c r="H120" s="172">
        <v>1</v>
      </c>
      <c r="I120" s="172">
        <v>0</v>
      </c>
      <c r="J120" s="172">
        <v>0</v>
      </c>
      <c r="K120" s="172">
        <v>131</v>
      </c>
      <c r="L120" s="172">
        <v>451</v>
      </c>
      <c r="M120" s="172">
        <v>60</v>
      </c>
      <c r="N120" s="4">
        <v>61</v>
      </c>
      <c r="O120" s="25"/>
      <c r="P120" s="26"/>
      <c r="Q120" s="27"/>
      <c r="R120" s="26"/>
      <c r="S120" s="26"/>
      <c r="T120" s="26"/>
      <c r="U120" s="26"/>
      <c r="V120" s="27"/>
      <c r="W120" s="27"/>
      <c r="X120" s="26"/>
      <c r="AA120" s="71" t="e">
        <f>G120+#REF!+#REF!+M120+K120+L120</f>
        <v>#REF!</v>
      </c>
      <c r="AG120">
        <f>COUNTIFS('nama pasien'!$O:$O,"Bintoro",'nama pasien'!$AD:$AD,"dirawat didemak")</f>
        <v>3</v>
      </c>
    </row>
    <row r="121" spans="1:33" x14ac:dyDescent="0.25">
      <c r="A121" s="58"/>
      <c r="B121" s="61" t="s">
        <v>105</v>
      </c>
      <c r="C121" s="36" t="s">
        <v>114</v>
      </c>
      <c r="D121" s="172">
        <v>0</v>
      </c>
      <c r="E121" s="39"/>
      <c r="F121" s="172">
        <v>0</v>
      </c>
      <c r="G121" s="172">
        <v>0</v>
      </c>
      <c r="H121" s="172">
        <v>0</v>
      </c>
      <c r="I121" s="172">
        <v>0</v>
      </c>
      <c r="J121" s="172">
        <v>0</v>
      </c>
      <c r="K121" s="172">
        <v>9</v>
      </c>
      <c r="L121" s="172">
        <v>13</v>
      </c>
      <c r="M121" s="172">
        <v>4</v>
      </c>
      <c r="N121" s="5">
        <v>4</v>
      </c>
      <c r="O121" s="25"/>
      <c r="P121" s="26"/>
      <c r="Q121" s="27"/>
      <c r="R121" s="26"/>
      <c r="S121" s="26"/>
      <c r="T121" s="26"/>
      <c r="U121" s="26"/>
      <c r="V121" s="27"/>
      <c r="W121" s="27"/>
      <c r="X121" s="26"/>
      <c r="AA121" s="71" t="e">
        <f>G121+#REF!+#REF!+M121+K121+L121</f>
        <v>#REF!</v>
      </c>
      <c r="AG121">
        <f>COUNTIFS('nama pasien'!$O:$O,"Turirejo",'nama pasien'!$AD:$AD,"dirawat didemak")</f>
        <v>0</v>
      </c>
    </row>
    <row r="122" spans="1:33" x14ac:dyDescent="0.25">
      <c r="A122" s="58"/>
      <c r="B122" s="61" t="s">
        <v>105</v>
      </c>
      <c r="C122" s="36" t="s">
        <v>59</v>
      </c>
      <c r="D122" s="172">
        <v>0</v>
      </c>
      <c r="E122" s="39"/>
      <c r="F122" s="172">
        <v>0</v>
      </c>
      <c r="G122" s="172">
        <v>0</v>
      </c>
      <c r="H122" s="172">
        <v>0</v>
      </c>
      <c r="I122" s="172">
        <v>0</v>
      </c>
      <c r="J122" s="172">
        <v>0</v>
      </c>
      <c r="K122" s="172">
        <v>11</v>
      </c>
      <c r="L122" s="172">
        <v>27</v>
      </c>
      <c r="M122" s="172">
        <v>2</v>
      </c>
      <c r="N122" s="3">
        <v>2</v>
      </c>
      <c r="O122" s="25"/>
      <c r="P122" s="26"/>
      <c r="Q122" s="27"/>
      <c r="R122" s="26"/>
      <c r="S122" s="26"/>
      <c r="T122" s="26"/>
      <c r="U122" s="26"/>
      <c r="V122" s="27"/>
      <c r="W122" s="27"/>
      <c r="X122" s="26"/>
      <c r="Z122"/>
      <c r="AA122" s="71" t="e">
        <f>G122+#REF!+#REF!+M122+K122+L122</f>
        <v>#REF!</v>
      </c>
      <c r="AG122">
        <f>COUNTIFS('nama pasien'!$O:$O,"Kedondong",'nama pasien'!$AD:$AD,"dirawat didemak")</f>
        <v>0</v>
      </c>
    </row>
    <row r="123" spans="1:33" x14ac:dyDescent="0.25">
      <c r="A123" s="58"/>
      <c r="B123" s="61" t="s">
        <v>105</v>
      </c>
      <c r="C123" s="72" t="s">
        <v>115</v>
      </c>
      <c r="D123" s="172">
        <v>0</v>
      </c>
      <c r="E123" s="39"/>
      <c r="F123" s="172">
        <v>0</v>
      </c>
      <c r="G123" s="172">
        <v>0</v>
      </c>
      <c r="H123" s="172">
        <v>0</v>
      </c>
      <c r="I123" s="172">
        <v>0</v>
      </c>
      <c r="J123" s="172">
        <v>0</v>
      </c>
      <c r="K123" s="172">
        <v>21</v>
      </c>
      <c r="L123" s="172">
        <v>39</v>
      </c>
      <c r="M123" s="172">
        <v>16</v>
      </c>
      <c r="N123" s="3">
        <v>16</v>
      </c>
      <c r="O123" s="25"/>
      <c r="P123" s="26"/>
      <c r="Q123" s="27"/>
      <c r="R123" s="26"/>
      <c r="S123" s="26"/>
      <c r="T123" s="26"/>
      <c r="U123" s="26"/>
      <c r="V123" s="27"/>
      <c r="W123" s="27"/>
      <c r="X123" s="26"/>
      <c r="AA123" s="71" t="e">
        <f>G123+#REF!+#REF!+M123+K123+L123</f>
        <v>#REF!</v>
      </c>
      <c r="AG123">
        <f>COUNTIFS('nama pasien'!$O:$O,"Bango",'nama pasien'!$AD:$AD,"dirawat didemak")</f>
        <v>0</v>
      </c>
    </row>
    <row r="124" spans="1:33" x14ac:dyDescent="0.25">
      <c r="A124" s="58"/>
      <c r="B124" s="61" t="s">
        <v>105</v>
      </c>
      <c r="C124" s="36" t="s">
        <v>116</v>
      </c>
      <c r="D124" s="172">
        <v>0</v>
      </c>
      <c r="E124" s="39"/>
      <c r="F124" s="172">
        <v>0</v>
      </c>
      <c r="G124" s="172">
        <v>0</v>
      </c>
      <c r="H124" s="172">
        <v>0</v>
      </c>
      <c r="I124" s="172">
        <v>0</v>
      </c>
      <c r="J124" s="172">
        <v>0</v>
      </c>
      <c r="K124" s="172">
        <v>5</v>
      </c>
      <c r="L124" s="172">
        <v>14</v>
      </c>
      <c r="M124" s="172">
        <v>4</v>
      </c>
      <c r="N124" s="3">
        <v>3</v>
      </c>
      <c r="O124" s="25"/>
      <c r="P124" s="26"/>
      <c r="Q124" s="27"/>
      <c r="R124" s="26"/>
      <c r="S124" s="26"/>
      <c r="T124" s="26"/>
      <c r="U124" s="26"/>
      <c r="V124" s="27"/>
      <c r="W124" s="27"/>
      <c r="X124" s="26"/>
      <c r="AA124" s="71" t="e">
        <f>G124+#REF!+#REF!+M124+K124+L124</f>
        <v>#REF!</v>
      </c>
      <c r="AG124">
        <f>COUNTIFS('nama pasien'!$O:$O,"Raji",'nama pasien'!$AD:$AD,"dirawat didemak")</f>
        <v>0</v>
      </c>
    </row>
    <row r="125" spans="1:33" x14ac:dyDescent="0.25">
      <c r="A125" s="58"/>
      <c r="B125" s="61" t="s">
        <v>105</v>
      </c>
      <c r="C125" s="36" t="s">
        <v>117</v>
      </c>
      <c r="D125" s="172">
        <v>0</v>
      </c>
      <c r="E125" s="39"/>
      <c r="F125" s="172">
        <v>0</v>
      </c>
      <c r="G125" s="172">
        <v>0</v>
      </c>
      <c r="H125" s="172">
        <v>0</v>
      </c>
      <c r="I125" s="172">
        <v>0</v>
      </c>
      <c r="J125" s="172">
        <v>0</v>
      </c>
      <c r="K125" s="172">
        <v>11</v>
      </c>
      <c r="L125" s="172">
        <v>56</v>
      </c>
      <c r="M125" s="172">
        <v>3</v>
      </c>
      <c r="N125" s="3">
        <v>3</v>
      </c>
      <c r="O125" s="25"/>
      <c r="P125" s="26"/>
      <c r="Q125" s="27"/>
      <c r="R125" s="26"/>
      <c r="S125" s="26"/>
      <c r="T125" s="26"/>
      <c r="U125" s="26"/>
      <c r="V125" s="27"/>
      <c r="W125" s="27"/>
      <c r="X125" s="26"/>
      <c r="AA125" s="71" t="e">
        <f>G125+#REF!+#REF!+M125+K125+L125</f>
        <v>#REF!</v>
      </c>
      <c r="AG125">
        <f>COUNTIFS('nama pasien'!$O:$O,"Mulyorejo",'nama pasien'!$AD:$AD,"dirawat didemak")</f>
        <v>0</v>
      </c>
    </row>
    <row r="126" spans="1:33" x14ac:dyDescent="0.25">
      <c r="A126" s="58"/>
      <c r="B126" s="61" t="s">
        <v>105</v>
      </c>
      <c r="C126" s="36" t="s">
        <v>118</v>
      </c>
      <c r="D126" s="172">
        <v>0</v>
      </c>
      <c r="E126" s="39"/>
      <c r="F126" s="172">
        <v>0</v>
      </c>
      <c r="G126" s="172">
        <v>0</v>
      </c>
      <c r="H126" s="172">
        <v>0</v>
      </c>
      <c r="I126" s="172">
        <v>0</v>
      </c>
      <c r="J126" s="172">
        <v>0</v>
      </c>
      <c r="K126" s="172">
        <v>15</v>
      </c>
      <c r="L126" s="172">
        <v>37</v>
      </c>
      <c r="M126" s="172">
        <v>4</v>
      </c>
      <c r="N126" s="3">
        <v>4</v>
      </c>
      <c r="O126" s="25"/>
      <c r="P126" s="26"/>
      <c r="Q126" s="27"/>
      <c r="R126" s="26"/>
      <c r="S126" s="26"/>
      <c r="T126" s="26"/>
      <c r="U126" s="26"/>
      <c r="V126" s="27"/>
      <c r="W126" s="27"/>
      <c r="X126" s="26"/>
      <c r="AA126" s="71" t="e">
        <f>G126+#REF!+#REF!+M126+K126+L126</f>
        <v>#REF!</v>
      </c>
      <c r="AG126">
        <f>COUNTIFS('nama pasien'!$O:$O,"Sedo",'nama pasien'!$AD:$AD,"dirawat didemak")</f>
        <v>0</v>
      </c>
    </row>
    <row r="127" spans="1:33" x14ac:dyDescent="0.25">
      <c r="A127" s="58"/>
      <c r="B127" s="61" t="s">
        <v>105</v>
      </c>
      <c r="C127" s="72" t="s">
        <v>119</v>
      </c>
      <c r="D127" s="172">
        <v>0</v>
      </c>
      <c r="E127" s="39"/>
      <c r="F127" s="172">
        <v>0</v>
      </c>
      <c r="G127" s="172">
        <v>0</v>
      </c>
      <c r="H127" s="172">
        <v>0</v>
      </c>
      <c r="I127" s="172">
        <v>0</v>
      </c>
      <c r="J127" s="172">
        <v>0</v>
      </c>
      <c r="K127" s="172">
        <v>19</v>
      </c>
      <c r="L127" s="172">
        <v>50</v>
      </c>
      <c r="M127" s="172">
        <v>8</v>
      </c>
      <c r="N127" s="4">
        <v>8</v>
      </c>
      <c r="O127" s="25"/>
      <c r="P127" s="26"/>
      <c r="Q127" s="27"/>
      <c r="R127" s="26"/>
      <c r="S127" s="26"/>
      <c r="T127" s="26"/>
      <c r="U127" s="26"/>
      <c r="V127" s="27"/>
      <c r="W127" s="27"/>
      <c r="X127" s="26"/>
      <c r="AA127" s="71" t="e">
        <f>G127+#REF!+#REF!+M127+K127+L127</f>
        <v>#REF!</v>
      </c>
      <c r="AG127">
        <f>COUNTIFS('nama pasien'!$O:$O,"Bolo",'nama pasien'!$AD:$AD,"dirawat didemak")</f>
        <v>0</v>
      </c>
    </row>
    <row r="128" spans="1:33" x14ac:dyDescent="0.25">
      <c r="A128" s="58"/>
      <c r="B128" s="61" t="s">
        <v>105</v>
      </c>
      <c r="C128" s="36" t="s">
        <v>121</v>
      </c>
      <c r="D128" s="172">
        <v>0</v>
      </c>
      <c r="E128" s="39"/>
      <c r="F128" s="172">
        <v>0</v>
      </c>
      <c r="G128" s="172">
        <v>0</v>
      </c>
      <c r="H128" s="172">
        <v>0</v>
      </c>
      <c r="I128" s="172">
        <v>0</v>
      </c>
      <c r="J128" s="172">
        <v>0</v>
      </c>
      <c r="K128" s="172">
        <v>47</v>
      </c>
      <c r="L128" s="172">
        <v>249</v>
      </c>
      <c r="M128" s="172">
        <v>22</v>
      </c>
      <c r="N128" s="3">
        <v>22</v>
      </c>
      <c r="O128" s="25"/>
      <c r="P128" s="26"/>
      <c r="Q128" s="27"/>
      <c r="R128" s="26"/>
      <c r="S128" s="26"/>
      <c r="T128" s="26"/>
      <c r="U128" s="26"/>
      <c r="V128" s="27"/>
      <c r="W128" s="27"/>
      <c r="X128" s="26"/>
      <c r="AA128" s="71" t="e">
        <f>G128+#REF!+#REF!+M128+K128+L128</f>
        <v>#REF!</v>
      </c>
      <c r="AG128">
        <f>COUNTIFS('nama pasien'!$O:$O,"Katonsari",'nama pasien'!$AD:$AD,"dirawat didemak")</f>
        <v>0</v>
      </c>
    </row>
    <row r="129" spans="1:33" x14ac:dyDescent="0.25">
      <c r="A129" s="58"/>
      <c r="B129" s="61" t="s">
        <v>105</v>
      </c>
      <c r="C129" s="36" t="s">
        <v>122</v>
      </c>
      <c r="D129" s="172">
        <v>0</v>
      </c>
      <c r="E129" s="39"/>
      <c r="F129" s="172">
        <v>0</v>
      </c>
      <c r="G129" s="172">
        <v>0</v>
      </c>
      <c r="H129" s="172">
        <v>0</v>
      </c>
      <c r="I129" s="172">
        <v>0</v>
      </c>
      <c r="J129" s="172">
        <v>0</v>
      </c>
      <c r="K129" s="172">
        <v>18</v>
      </c>
      <c r="L129" s="172">
        <v>54</v>
      </c>
      <c r="M129" s="172">
        <v>9</v>
      </c>
      <c r="N129" s="3">
        <v>9</v>
      </c>
      <c r="O129" s="25"/>
      <c r="P129" s="26"/>
      <c r="Q129" s="27"/>
      <c r="R129" s="26"/>
      <c r="S129" s="26"/>
      <c r="T129" s="26"/>
      <c r="U129" s="26"/>
      <c r="V129" s="27"/>
      <c r="W129" s="27"/>
      <c r="X129" s="26"/>
      <c r="AA129" s="71" t="e">
        <f>G129+#REF!+#REF!+M129+K129+L129</f>
        <v>#REF!</v>
      </c>
      <c r="AG129">
        <f>COUNTIFS('nama pasien'!$O:$O,"Kalikondang",'nama pasien'!$AD:$AD,"dirawat didemak")</f>
        <v>0</v>
      </c>
    </row>
    <row r="130" spans="1:33" x14ac:dyDescent="0.25">
      <c r="A130" s="58"/>
      <c r="B130" s="61" t="s">
        <v>105</v>
      </c>
      <c r="C130" s="36" t="s">
        <v>123</v>
      </c>
      <c r="D130" s="172">
        <v>0</v>
      </c>
      <c r="E130" s="39"/>
      <c r="F130" s="172">
        <v>0</v>
      </c>
      <c r="G130" s="172">
        <v>0</v>
      </c>
      <c r="H130" s="172">
        <v>0</v>
      </c>
      <c r="I130" s="172">
        <v>0</v>
      </c>
      <c r="J130" s="172">
        <v>0</v>
      </c>
      <c r="K130" s="172">
        <v>13</v>
      </c>
      <c r="L130" s="172">
        <v>94</v>
      </c>
      <c r="M130" s="172">
        <v>17</v>
      </c>
      <c r="N130" s="3">
        <v>16</v>
      </c>
      <c r="O130" s="25"/>
      <c r="P130" s="26"/>
      <c r="Q130" s="27"/>
      <c r="R130" s="26"/>
      <c r="S130" s="26"/>
      <c r="T130" s="26"/>
      <c r="U130" s="26"/>
      <c r="V130" s="27"/>
      <c r="W130" s="27"/>
      <c r="X130" s="26"/>
      <c r="AA130" s="71" t="e">
        <f>G130+#REF!+#REF!+M130+K130+L130</f>
        <v>#REF!</v>
      </c>
      <c r="AG130">
        <f>COUNTIFS('nama pasien'!$O:$O,"Cabean",'nama pasien'!$AD:$AD,"dirawat didemak")</f>
        <v>0</v>
      </c>
    </row>
    <row r="131" spans="1:33" x14ac:dyDescent="0.25">
      <c r="A131" s="58"/>
      <c r="B131" s="61" t="s">
        <v>105</v>
      </c>
      <c r="C131" s="36" t="s">
        <v>124</v>
      </c>
      <c r="D131" s="172">
        <v>0</v>
      </c>
      <c r="E131" s="39"/>
      <c r="F131" s="172">
        <v>0</v>
      </c>
      <c r="G131" s="172">
        <v>0</v>
      </c>
      <c r="H131" s="172">
        <v>0</v>
      </c>
      <c r="I131" s="172">
        <v>0</v>
      </c>
      <c r="J131" s="172">
        <v>0</v>
      </c>
      <c r="K131" s="172">
        <v>7</v>
      </c>
      <c r="L131" s="172">
        <v>56</v>
      </c>
      <c r="M131" s="172">
        <v>10</v>
      </c>
      <c r="N131" s="3">
        <v>9</v>
      </c>
      <c r="O131" s="25"/>
      <c r="P131" s="26"/>
      <c r="Q131" s="27"/>
      <c r="R131" s="26"/>
      <c r="S131" s="26"/>
      <c r="T131" s="26"/>
      <c r="U131" s="26"/>
      <c r="V131" s="27"/>
      <c r="W131" s="27"/>
      <c r="X131" s="26"/>
      <c r="AA131" s="71" t="e">
        <f>G131+#REF!+#REF!+M131+K131+L131</f>
        <v>#REF!</v>
      </c>
      <c r="AG131">
        <f>COUNTIFS('nama pasien'!$O:$O,"Tempuran",'nama pasien'!$AD:$AD,"dirawat didemak")</f>
        <v>0</v>
      </c>
    </row>
    <row r="132" spans="1:33" x14ac:dyDescent="0.25">
      <c r="A132" s="58"/>
      <c r="B132" s="61" t="s">
        <v>105</v>
      </c>
      <c r="C132" s="36" t="s">
        <v>125</v>
      </c>
      <c r="D132" s="172">
        <v>0</v>
      </c>
      <c r="E132" s="39"/>
      <c r="F132" s="172">
        <v>0</v>
      </c>
      <c r="G132" s="172">
        <v>0</v>
      </c>
      <c r="H132" s="172">
        <v>0</v>
      </c>
      <c r="I132" s="172">
        <v>0</v>
      </c>
      <c r="J132" s="172">
        <v>0</v>
      </c>
      <c r="K132" s="172">
        <v>5</v>
      </c>
      <c r="L132" s="172">
        <v>19</v>
      </c>
      <c r="M132" s="172">
        <v>0</v>
      </c>
      <c r="N132" s="3">
        <v>0</v>
      </c>
      <c r="O132" s="25"/>
      <c r="P132" s="26"/>
      <c r="Q132" s="27"/>
      <c r="R132" s="26"/>
      <c r="S132" s="26"/>
      <c r="T132" s="26"/>
      <c r="U132" s="26"/>
      <c r="V132" s="27"/>
      <c r="W132" s="27"/>
      <c r="X132" s="26"/>
      <c r="AA132" s="71" t="e">
        <f>G132+#REF!+#REF!+M132+K132+L132</f>
        <v>#REF!</v>
      </c>
      <c r="AG132">
        <f>COUNTIFS('nama pasien'!$O:$O,"Donorojo",'nama pasien'!$AD:$AD,"dirawat didemak")</f>
        <v>0</v>
      </c>
    </row>
    <row r="133" spans="1:33" x14ac:dyDescent="0.25">
      <c r="A133" s="58"/>
      <c r="B133" s="61" t="s">
        <v>105</v>
      </c>
      <c r="C133" s="36" t="s">
        <v>126</v>
      </c>
      <c r="D133" s="172">
        <v>0</v>
      </c>
      <c r="E133" s="39"/>
      <c r="F133" s="172">
        <v>0</v>
      </c>
      <c r="G133" s="172">
        <v>0</v>
      </c>
      <c r="H133" s="172">
        <v>0</v>
      </c>
      <c r="I133" s="172">
        <v>0</v>
      </c>
      <c r="J133" s="172">
        <v>0</v>
      </c>
      <c r="K133" s="172">
        <v>45</v>
      </c>
      <c r="L133" s="172">
        <v>302</v>
      </c>
      <c r="M133" s="172">
        <v>27</v>
      </c>
      <c r="N133" s="4">
        <v>25</v>
      </c>
      <c r="O133" s="25"/>
      <c r="P133" s="26"/>
      <c r="Q133" s="27"/>
      <c r="R133" s="26"/>
      <c r="S133" s="26"/>
      <c r="T133" s="26"/>
      <c r="U133" s="26"/>
      <c r="V133" s="27"/>
      <c r="W133" s="27"/>
      <c r="X133" s="26"/>
      <c r="AA133" s="71" t="e">
        <f>G133+#REF!+#REF!+M133+K133+L133</f>
        <v>#REF!</v>
      </c>
      <c r="AG133">
        <f>COUNTIFS('nama pasien'!$O:$O,"Mangunjiwan",'nama pasien'!$AD:$AD,"dirawat didemak")</f>
        <v>2</v>
      </c>
    </row>
    <row r="134" spans="1:33" x14ac:dyDescent="0.25">
      <c r="A134" s="58">
        <v>8</v>
      </c>
      <c r="B134" s="61" t="s">
        <v>127</v>
      </c>
      <c r="C134" s="36" t="s">
        <v>129</v>
      </c>
      <c r="D134" s="172">
        <v>0</v>
      </c>
      <c r="E134" s="39"/>
      <c r="F134" s="172">
        <v>0</v>
      </c>
      <c r="G134" s="172">
        <v>0</v>
      </c>
      <c r="H134" s="172">
        <v>0</v>
      </c>
      <c r="I134" s="172">
        <v>0</v>
      </c>
      <c r="J134" s="172">
        <v>0</v>
      </c>
      <c r="K134" s="172">
        <v>3</v>
      </c>
      <c r="L134" s="172">
        <v>49</v>
      </c>
      <c r="M134" s="172">
        <v>5</v>
      </c>
      <c r="N134" s="3">
        <v>4</v>
      </c>
      <c r="O134" s="25">
        <f t="shared" ref="O134:X134" si="7">SUM(D134:D154)</f>
        <v>0</v>
      </c>
      <c r="P134" s="25">
        <f t="shared" si="7"/>
        <v>0</v>
      </c>
      <c r="Q134" s="25">
        <f>SUM(F134:F154)</f>
        <v>12</v>
      </c>
      <c r="R134" s="25">
        <f t="shared" si="7"/>
        <v>0</v>
      </c>
      <c r="S134" s="25">
        <f t="shared" si="7"/>
        <v>1</v>
      </c>
      <c r="T134" s="25">
        <f t="shared" si="7"/>
        <v>0</v>
      </c>
      <c r="U134" s="25">
        <f t="shared" si="7"/>
        <v>1</v>
      </c>
      <c r="V134" s="25">
        <f t="shared" si="7"/>
        <v>93</v>
      </c>
      <c r="W134" s="25">
        <f t="shared" si="7"/>
        <v>758</v>
      </c>
      <c r="X134" s="25">
        <f t="shared" si="7"/>
        <v>61</v>
      </c>
      <c r="AA134" s="164" t="e">
        <f>G134+#REF!+#REF!+M134+K134+L134</f>
        <v>#REF!</v>
      </c>
      <c r="AB134" s="71" t="e">
        <f>SUM(AA134:AA154)</f>
        <v>#REF!</v>
      </c>
      <c r="AG134">
        <f>COUNTIFS('nama pasien'!$O:$O,"Morodemak",'nama pasien'!$AD:$AD,"dirawat didemak")</f>
        <v>0</v>
      </c>
    </row>
    <row r="135" spans="1:33" x14ac:dyDescent="0.25">
      <c r="A135" s="58"/>
      <c r="B135" s="61" t="s">
        <v>127</v>
      </c>
      <c r="C135" s="36" t="s">
        <v>130</v>
      </c>
      <c r="D135" s="172">
        <v>0</v>
      </c>
      <c r="E135" s="39"/>
      <c r="F135" s="172">
        <v>0</v>
      </c>
      <c r="G135" s="172">
        <v>0</v>
      </c>
      <c r="H135" s="172">
        <v>0</v>
      </c>
      <c r="I135" s="172">
        <v>0</v>
      </c>
      <c r="J135" s="172">
        <v>0</v>
      </c>
      <c r="K135" s="172">
        <v>12</v>
      </c>
      <c r="L135" s="172">
        <v>54</v>
      </c>
      <c r="M135" s="172">
        <v>9</v>
      </c>
      <c r="N135" s="3">
        <v>9</v>
      </c>
      <c r="O135" s="25"/>
      <c r="P135" s="26"/>
      <c r="Q135" s="27"/>
      <c r="R135" s="26"/>
      <c r="S135" s="26"/>
      <c r="T135" s="26"/>
      <c r="U135" s="26"/>
      <c r="V135" s="27"/>
      <c r="W135" s="27"/>
      <c r="X135" s="26"/>
      <c r="AA135" s="71" t="e">
        <f>G135+#REF!+#REF!+M135+K135+L135</f>
        <v>#REF!</v>
      </c>
      <c r="AG135">
        <f>COUNTIFS('nama pasien'!$O:$O,"Purworejo",'nama pasien'!$AD:$AD,"dirawat didemak")</f>
        <v>1</v>
      </c>
    </row>
    <row r="136" spans="1:33" x14ac:dyDescent="0.25">
      <c r="A136" s="58"/>
      <c r="B136" s="61" t="s">
        <v>127</v>
      </c>
      <c r="C136" s="36" t="s">
        <v>9</v>
      </c>
      <c r="D136" s="172">
        <v>0</v>
      </c>
      <c r="E136" s="39"/>
      <c r="F136" s="172">
        <v>0</v>
      </c>
      <c r="G136" s="172">
        <v>0</v>
      </c>
      <c r="H136" s="172">
        <v>0</v>
      </c>
      <c r="I136" s="172">
        <v>0</v>
      </c>
      <c r="J136" s="172">
        <v>1</v>
      </c>
      <c r="K136" s="172">
        <v>7</v>
      </c>
      <c r="L136" s="172">
        <v>28</v>
      </c>
      <c r="M136" s="172">
        <v>5</v>
      </c>
      <c r="N136" s="3">
        <v>4</v>
      </c>
      <c r="O136" s="25"/>
      <c r="P136" s="26"/>
      <c r="Q136" s="27"/>
      <c r="R136" s="26"/>
      <c r="S136" s="26"/>
      <c r="T136" s="26"/>
      <c r="U136" s="26"/>
      <c r="V136" s="27"/>
      <c r="W136" s="27"/>
      <c r="X136" s="26"/>
      <c r="AA136" s="71" t="e">
        <f>G136+#REF!+#REF!+M136+K136+L136</f>
        <v>#REF!</v>
      </c>
      <c r="AG136">
        <f>COUNTIFS('nama pasien'!$O:$O,"Sumberejo",'nama pasien'!$AD:$AD,"dirawat didemak")</f>
        <v>0</v>
      </c>
    </row>
    <row r="137" spans="1:33" x14ac:dyDescent="0.25">
      <c r="A137" s="58"/>
      <c r="B137" s="61" t="s">
        <v>127</v>
      </c>
      <c r="C137" s="36" t="s">
        <v>131</v>
      </c>
      <c r="D137" s="172">
        <v>0</v>
      </c>
      <c r="E137" s="39"/>
      <c r="F137" s="172">
        <v>0</v>
      </c>
      <c r="G137" s="172">
        <v>0</v>
      </c>
      <c r="H137" s="172">
        <v>0</v>
      </c>
      <c r="I137" s="172">
        <v>0</v>
      </c>
      <c r="J137" s="172">
        <v>0</v>
      </c>
      <c r="K137" s="172">
        <v>6</v>
      </c>
      <c r="L137" s="172">
        <v>44</v>
      </c>
      <c r="M137" s="172">
        <v>0</v>
      </c>
      <c r="N137" s="3">
        <v>0</v>
      </c>
      <c r="O137" s="25"/>
      <c r="P137" s="26"/>
      <c r="Q137" s="27"/>
      <c r="R137" s="26"/>
      <c r="S137" s="26"/>
      <c r="T137" s="26"/>
      <c r="U137" s="26"/>
      <c r="V137" s="27"/>
      <c r="W137" s="27"/>
      <c r="X137" s="26"/>
      <c r="AA137" s="164" t="e">
        <f>G137+#REF!+#REF!+M137+K137+L137</f>
        <v>#REF!</v>
      </c>
      <c r="AG137">
        <f>COUNTIFS('nama pasien'!$O:$O,"Gebangarum",'nama pasien'!$AD:$AD,"dirawat didemak")</f>
        <v>0</v>
      </c>
    </row>
    <row r="138" spans="1:33" x14ac:dyDescent="0.25">
      <c r="A138" s="58"/>
      <c r="B138" s="61" t="s">
        <v>127</v>
      </c>
      <c r="C138" s="36" t="s">
        <v>132</v>
      </c>
      <c r="D138" s="172">
        <v>0</v>
      </c>
      <c r="E138" s="39"/>
      <c r="F138" s="172">
        <v>0</v>
      </c>
      <c r="G138" s="172">
        <v>0</v>
      </c>
      <c r="H138" s="172">
        <v>0</v>
      </c>
      <c r="I138" s="172">
        <v>0</v>
      </c>
      <c r="J138" s="172">
        <v>0</v>
      </c>
      <c r="K138" s="172">
        <v>2</v>
      </c>
      <c r="L138" s="172">
        <v>27</v>
      </c>
      <c r="M138" s="172">
        <v>0</v>
      </c>
      <c r="N138" s="3">
        <v>0</v>
      </c>
      <c r="O138" s="25"/>
      <c r="P138" s="26"/>
      <c r="Q138" s="27"/>
      <c r="R138" s="26"/>
      <c r="S138" s="26"/>
      <c r="T138" s="26"/>
      <c r="U138" s="26"/>
      <c r="V138" s="27"/>
      <c r="W138" s="27"/>
      <c r="X138" s="26"/>
      <c r="AA138" s="164" t="e">
        <f>G138+#REF!+#REF!+M138+K138+L138</f>
        <v>#REF!</v>
      </c>
      <c r="AG138">
        <f>COUNTIFS('nama pasien'!$O:$O,"Gebang",'nama pasien'!$AD:$AD,"dirawat didemak")</f>
        <v>0</v>
      </c>
    </row>
    <row r="139" spans="1:33" x14ac:dyDescent="0.25">
      <c r="A139" s="58"/>
      <c r="B139" s="61" t="s">
        <v>127</v>
      </c>
      <c r="C139" s="36" t="s">
        <v>133</v>
      </c>
      <c r="D139" s="172">
        <v>0</v>
      </c>
      <c r="E139" s="39"/>
      <c r="F139" s="172">
        <v>0</v>
      </c>
      <c r="G139" s="172">
        <v>0</v>
      </c>
      <c r="H139" s="172">
        <v>0</v>
      </c>
      <c r="I139" s="172">
        <v>0</v>
      </c>
      <c r="J139" s="172">
        <v>0</v>
      </c>
      <c r="K139" s="172">
        <v>1</v>
      </c>
      <c r="L139" s="172">
        <v>7</v>
      </c>
      <c r="M139" s="172">
        <v>0</v>
      </c>
      <c r="N139" s="3">
        <v>0</v>
      </c>
      <c r="O139" s="25"/>
      <c r="P139" s="26"/>
      <c r="Q139" s="27"/>
      <c r="R139" s="26"/>
      <c r="S139" s="26"/>
      <c r="T139" s="26"/>
      <c r="U139" s="26"/>
      <c r="V139" s="27"/>
      <c r="W139" s="27"/>
      <c r="X139" s="26"/>
      <c r="AA139" s="71" t="e">
        <f>G139+#REF!+#REF!+M139+K139+L139</f>
        <v>#REF!</v>
      </c>
      <c r="AG139">
        <f>COUNTIFS('nama pasien'!$O:$O,"Kembangan",'nama pasien'!$AD:$AD,"dirawat didemak")</f>
        <v>0</v>
      </c>
    </row>
    <row r="140" spans="1:33" x14ac:dyDescent="0.25">
      <c r="A140" s="58"/>
      <c r="B140" s="61" t="s">
        <v>127</v>
      </c>
      <c r="C140" s="36" t="s">
        <v>56</v>
      </c>
      <c r="D140" s="172">
        <v>0</v>
      </c>
      <c r="E140" s="39"/>
      <c r="F140" s="172">
        <v>0</v>
      </c>
      <c r="G140" s="172">
        <v>0</v>
      </c>
      <c r="H140" s="172">
        <v>0</v>
      </c>
      <c r="I140" s="172">
        <v>0</v>
      </c>
      <c r="J140" s="172">
        <v>0</v>
      </c>
      <c r="K140" s="172">
        <v>5</v>
      </c>
      <c r="L140" s="172">
        <v>33</v>
      </c>
      <c r="M140" s="172">
        <v>1</v>
      </c>
      <c r="N140" s="3">
        <v>1</v>
      </c>
      <c r="O140" s="25"/>
      <c r="P140" s="26"/>
      <c r="Q140" s="27"/>
      <c r="R140" s="26"/>
      <c r="S140" s="26"/>
      <c r="T140" s="26"/>
      <c r="U140" s="26"/>
      <c r="V140" s="27"/>
      <c r="W140" s="27"/>
      <c r="X140" s="26"/>
      <c r="AA140" s="71" t="e">
        <f>G140+#REF!+#REF!+M140+K140+L140</f>
        <v>#REF!</v>
      </c>
      <c r="AG140">
        <f>COUNTIFS('nama pasien'!$O:$O,"Karangrejo",'nama pasien'!$AD:$AD,"dirawat didemak")</f>
        <v>0</v>
      </c>
    </row>
    <row r="141" spans="1:33" x14ac:dyDescent="0.25">
      <c r="A141" s="58"/>
      <c r="B141" s="61" t="s">
        <v>127</v>
      </c>
      <c r="C141" s="36" t="s">
        <v>134</v>
      </c>
      <c r="D141" s="172">
        <v>0</v>
      </c>
      <c r="E141" s="39"/>
      <c r="F141" s="172">
        <v>0</v>
      </c>
      <c r="G141" s="172">
        <v>0</v>
      </c>
      <c r="H141" s="172">
        <v>0</v>
      </c>
      <c r="I141" s="172">
        <v>0</v>
      </c>
      <c r="J141" s="172">
        <v>0</v>
      </c>
      <c r="K141" s="172">
        <v>5</v>
      </c>
      <c r="L141" s="172">
        <v>15</v>
      </c>
      <c r="M141" s="172">
        <v>3</v>
      </c>
      <c r="N141" s="3">
        <v>3</v>
      </c>
      <c r="O141" s="25"/>
      <c r="P141" s="26"/>
      <c r="Q141" s="27"/>
      <c r="R141" s="26"/>
      <c r="S141" s="26"/>
      <c r="T141" s="26"/>
      <c r="U141" s="26"/>
      <c r="V141" s="27"/>
      <c r="W141" s="27"/>
      <c r="X141" s="26"/>
      <c r="AA141" s="164" t="e">
        <f>G141+#REF!+#REF!+M141+K141+L141</f>
        <v>#REF!</v>
      </c>
      <c r="AG141">
        <f>COUNTIFS('nama pasien'!$O:$O,"Sukodono",'nama pasien'!$AD:$AD,"dirawat didemak")</f>
        <v>0</v>
      </c>
    </row>
    <row r="142" spans="1:33" x14ac:dyDescent="0.25">
      <c r="A142" s="58"/>
      <c r="B142" s="61" t="s">
        <v>127</v>
      </c>
      <c r="C142" s="36" t="s">
        <v>135</v>
      </c>
      <c r="D142" s="172">
        <v>0</v>
      </c>
      <c r="E142" s="39"/>
      <c r="F142" s="172">
        <v>0</v>
      </c>
      <c r="G142" s="172">
        <v>0</v>
      </c>
      <c r="H142" s="172">
        <v>0</v>
      </c>
      <c r="I142" s="172">
        <v>0</v>
      </c>
      <c r="J142" s="172">
        <v>0</v>
      </c>
      <c r="K142" s="172">
        <v>3</v>
      </c>
      <c r="L142" s="172">
        <v>46</v>
      </c>
      <c r="M142" s="172">
        <v>3</v>
      </c>
      <c r="N142" s="3">
        <v>3</v>
      </c>
      <c r="O142" s="25"/>
      <c r="P142" s="26"/>
      <c r="Q142" s="27"/>
      <c r="R142" s="26"/>
      <c r="S142" s="26"/>
      <c r="T142" s="26"/>
      <c r="U142" s="26"/>
      <c r="V142" s="27"/>
      <c r="W142" s="27"/>
      <c r="X142" s="26"/>
      <c r="AA142" s="71" t="e">
        <f>G142+#REF!+#REF!+M142+K142+L142</f>
        <v>#REF!</v>
      </c>
      <c r="AG142">
        <f>COUNTIFS('nama pasien'!$O:$O,"Tlogoboyo",'nama pasien'!$AD:$AD,"dirawat didemak")</f>
        <v>0</v>
      </c>
    </row>
    <row r="143" spans="1:33" x14ac:dyDescent="0.25">
      <c r="A143" s="58"/>
      <c r="B143" s="61" t="s">
        <v>127</v>
      </c>
      <c r="C143" s="36" t="s">
        <v>136</v>
      </c>
      <c r="D143" s="172">
        <v>0</v>
      </c>
      <c r="E143" s="39"/>
      <c r="F143" s="172">
        <v>0</v>
      </c>
      <c r="G143" s="172">
        <v>0</v>
      </c>
      <c r="H143" s="172">
        <v>0</v>
      </c>
      <c r="I143" s="172">
        <v>0</v>
      </c>
      <c r="J143" s="172">
        <v>0</v>
      </c>
      <c r="K143" s="172">
        <v>2</v>
      </c>
      <c r="L143" s="172">
        <v>30</v>
      </c>
      <c r="M143" s="172">
        <v>4</v>
      </c>
      <c r="N143" s="3">
        <v>4</v>
      </c>
      <c r="O143" s="25"/>
      <c r="P143" s="26"/>
      <c r="Q143" s="27"/>
      <c r="R143" s="26"/>
      <c r="S143" s="26"/>
      <c r="T143" s="26"/>
      <c r="U143" s="26"/>
      <c r="V143" s="27"/>
      <c r="W143" s="27"/>
      <c r="X143" s="26"/>
      <c r="AA143" s="164" t="e">
        <f>G143+#REF!+#REF!+M143+K143+L143</f>
        <v>#REF!</v>
      </c>
      <c r="AG143">
        <f>COUNTIFS('nama pasien'!$O:$O,"Margolinduk",'nama pasien'!$AD:$AD,"dirawat didemak")</f>
        <v>0</v>
      </c>
    </row>
    <row r="144" spans="1:33" x14ac:dyDescent="0.25">
      <c r="A144" s="58"/>
      <c r="B144" s="61" t="s">
        <v>127</v>
      </c>
      <c r="C144" s="36" t="s">
        <v>137</v>
      </c>
      <c r="D144" s="172">
        <v>0</v>
      </c>
      <c r="E144" s="39"/>
      <c r="F144" s="172">
        <v>0</v>
      </c>
      <c r="G144" s="172">
        <v>0</v>
      </c>
      <c r="H144" s="172">
        <v>0</v>
      </c>
      <c r="I144" s="172">
        <v>0</v>
      </c>
      <c r="J144" s="172">
        <v>0</v>
      </c>
      <c r="K144" s="172">
        <v>6</v>
      </c>
      <c r="L144" s="172">
        <v>85</v>
      </c>
      <c r="M144" s="172">
        <v>5</v>
      </c>
      <c r="N144" s="4">
        <v>5</v>
      </c>
      <c r="O144" s="25"/>
      <c r="P144" s="26"/>
      <c r="Q144" s="27"/>
      <c r="R144" s="26"/>
      <c r="S144" s="26"/>
      <c r="T144" s="26"/>
      <c r="U144" s="26"/>
      <c r="V144" s="27"/>
      <c r="W144" s="27"/>
      <c r="X144" s="26"/>
      <c r="AA144" s="164" t="e">
        <f>G144+#REF!+#REF!+M144+K144+L144</f>
        <v>#REF!</v>
      </c>
      <c r="AG144">
        <f>COUNTIFS('nama pasien'!$O:$O,"Tridonorejo",'nama pasien'!$AD:$AD,"dirawat didemak")</f>
        <v>0</v>
      </c>
    </row>
    <row r="145" spans="1:33" x14ac:dyDescent="0.25">
      <c r="A145" s="58"/>
      <c r="B145" s="61" t="s">
        <v>127</v>
      </c>
      <c r="C145" s="36" t="s">
        <v>139</v>
      </c>
      <c r="D145" s="172">
        <v>0</v>
      </c>
      <c r="E145" s="39"/>
      <c r="F145" s="172">
        <v>0</v>
      </c>
      <c r="G145" s="172">
        <v>0</v>
      </c>
      <c r="H145" s="172">
        <v>0</v>
      </c>
      <c r="I145" s="172">
        <v>0</v>
      </c>
      <c r="J145" s="172">
        <v>0</v>
      </c>
      <c r="K145" s="172">
        <v>9</v>
      </c>
      <c r="L145" s="172">
        <v>22</v>
      </c>
      <c r="M145" s="172">
        <v>6</v>
      </c>
      <c r="N145" s="3">
        <v>5</v>
      </c>
      <c r="O145" s="25"/>
      <c r="P145" s="26"/>
      <c r="Q145" s="27"/>
      <c r="R145" s="26"/>
      <c r="S145" s="26"/>
      <c r="T145" s="26"/>
      <c r="U145" s="26"/>
      <c r="V145" s="27"/>
      <c r="W145" s="27"/>
      <c r="X145" s="26"/>
      <c r="AA145" s="71" t="e">
        <f>G145+#REF!+#REF!+M145+K145+L145</f>
        <v>#REF!</v>
      </c>
      <c r="AG145">
        <f>COUNTIFS('nama pasien'!$O:$O,"Wonosari",'nama pasien'!$AD:$AD,"dirawat didemak")</f>
        <v>0</v>
      </c>
    </row>
    <row r="146" spans="1:33" x14ac:dyDescent="0.25">
      <c r="A146" s="58"/>
      <c r="B146" s="61" t="s">
        <v>127</v>
      </c>
      <c r="C146" s="36" t="s">
        <v>140</v>
      </c>
      <c r="D146" s="172">
        <v>0</v>
      </c>
      <c r="E146" s="39"/>
      <c r="F146" s="172">
        <v>0</v>
      </c>
      <c r="G146" s="172">
        <v>0</v>
      </c>
      <c r="H146" s="172">
        <v>0</v>
      </c>
      <c r="I146" s="172">
        <v>0</v>
      </c>
      <c r="J146" s="172">
        <v>0</v>
      </c>
      <c r="K146" s="172">
        <v>7</v>
      </c>
      <c r="L146" s="172">
        <v>37</v>
      </c>
      <c r="M146" s="172">
        <v>2</v>
      </c>
      <c r="N146" s="3">
        <v>2</v>
      </c>
      <c r="O146" s="25"/>
      <c r="P146" s="26"/>
      <c r="Q146" s="27"/>
      <c r="R146" s="26"/>
      <c r="S146" s="26"/>
      <c r="T146" s="26"/>
      <c r="U146" s="26"/>
      <c r="V146" s="27"/>
      <c r="W146" s="27"/>
      <c r="X146" s="26"/>
      <c r="AA146" s="71" t="e">
        <f>G146+#REF!+#REF!+M146+K146+L146</f>
        <v>#REF!</v>
      </c>
      <c r="AG146">
        <f>COUNTIFS('nama pasien'!$O:$O,"Jatirogo",'nama pasien'!$AD:$AD,"dirawat didemak")</f>
        <v>0</v>
      </c>
    </row>
    <row r="147" spans="1:33" x14ac:dyDescent="0.25">
      <c r="A147" s="58"/>
      <c r="B147" s="61" t="s">
        <v>127</v>
      </c>
      <c r="C147" s="36" t="s">
        <v>141</v>
      </c>
      <c r="D147" s="172">
        <v>0</v>
      </c>
      <c r="E147" s="39"/>
      <c r="F147" s="172">
        <v>0</v>
      </c>
      <c r="G147" s="172">
        <v>0</v>
      </c>
      <c r="H147" s="172">
        <v>0</v>
      </c>
      <c r="I147" s="172">
        <v>0</v>
      </c>
      <c r="J147" s="172">
        <v>0</v>
      </c>
      <c r="K147" s="172">
        <v>2</v>
      </c>
      <c r="L147" s="172">
        <v>38</v>
      </c>
      <c r="M147" s="172">
        <v>4</v>
      </c>
      <c r="N147" s="3">
        <v>4</v>
      </c>
      <c r="O147" s="25"/>
      <c r="P147" s="26"/>
      <c r="Q147" s="27"/>
      <c r="R147" s="26"/>
      <c r="S147" s="26"/>
      <c r="T147" s="26"/>
      <c r="U147" s="26"/>
      <c r="V147" s="27"/>
      <c r="W147" s="27"/>
      <c r="X147" s="26"/>
      <c r="AA147" s="164" t="e">
        <f>G147+#REF!+#REF!+M147+K147+L147</f>
        <v>#REF!</v>
      </c>
      <c r="AG147">
        <f>COUNTIFS('nama pasien'!$O:$O,"Poncoharjo",'nama pasien'!$AD:$AD,"dirawat didemak")</f>
        <v>0</v>
      </c>
    </row>
    <row r="148" spans="1:33" x14ac:dyDescent="0.25">
      <c r="A148" s="58"/>
      <c r="B148" s="61" t="s">
        <v>127</v>
      </c>
      <c r="C148" s="36" t="s">
        <v>142</v>
      </c>
      <c r="D148" s="172">
        <v>0</v>
      </c>
      <c r="E148" s="39"/>
      <c r="F148" s="172">
        <v>0</v>
      </c>
      <c r="G148" s="172">
        <v>0</v>
      </c>
      <c r="H148" s="172">
        <v>0</v>
      </c>
      <c r="I148" s="172">
        <v>0</v>
      </c>
      <c r="J148" s="172">
        <v>0</v>
      </c>
      <c r="K148" s="172">
        <v>3</v>
      </c>
      <c r="L148" s="172">
        <v>19</v>
      </c>
      <c r="M148" s="172">
        <v>2</v>
      </c>
      <c r="N148" s="3">
        <v>2</v>
      </c>
      <c r="O148" s="25"/>
      <c r="P148" s="26"/>
      <c r="Q148" s="27"/>
      <c r="R148" s="26"/>
      <c r="S148" s="26"/>
      <c r="T148" s="26"/>
      <c r="U148" s="26"/>
      <c r="V148" s="27"/>
      <c r="W148" s="27"/>
      <c r="X148" s="26"/>
      <c r="AA148" s="164" t="e">
        <f>G148+#REF!+#REF!+M148+K148+L148</f>
        <v>#REF!</v>
      </c>
      <c r="AG148">
        <f>COUNTIFS('nama pasien'!$O:$O,"Jali",'nama pasien'!$AD:$AD,"dirawat didemak")</f>
        <v>0</v>
      </c>
    </row>
    <row r="149" spans="1:33" x14ac:dyDescent="0.25">
      <c r="A149" s="58"/>
      <c r="B149" s="61" t="s">
        <v>127</v>
      </c>
      <c r="C149" s="36" t="s">
        <v>143</v>
      </c>
      <c r="D149" s="172">
        <v>0</v>
      </c>
      <c r="E149" s="39"/>
      <c r="F149" s="172">
        <v>12</v>
      </c>
      <c r="G149" s="172">
        <v>0</v>
      </c>
      <c r="H149" s="172">
        <v>1</v>
      </c>
      <c r="I149" s="172">
        <v>0</v>
      </c>
      <c r="J149" s="172">
        <v>0</v>
      </c>
      <c r="K149" s="172">
        <v>2</v>
      </c>
      <c r="L149" s="172">
        <v>20</v>
      </c>
      <c r="M149" s="172">
        <v>2</v>
      </c>
      <c r="N149" s="3">
        <v>2</v>
      </c>
      <c r="O149" s="25"/>
      <c r="P149" s="26"/>
      <c r="Q149" s="27"/>
      <c r="R149" s="26"/>
      <c r="S149" s="26"/>
      <c r="T149" s="26"/>
      <c r="U149" s="26"/>
      <c r="V149" s="27"/>
      <c r="W149" s="27"/>
      <c r="X149" s="26"/>
      <c r="AA149" s="71" t="e">
        <f>G149+#REF!+#REF!+M149+K149+L149</f>
        <v>#REF!</v>
      </c>
      <c r="AG149">
        <f>COUNTIFS('nama pasien'!$O:$O,"Krajanboga",'nama pasien'!$AD:$AD,"dirawat didemak")</f>
        <v>0</v>
      </c>
    </row>
    <row r="150" spans="1:33" x14ac:dyDescent="0.25">
      <c r="A150" s="58"/>
      <c r="B150" s="61" t="s">
        <v>127</v>
      </c>
      <c r="C150" s="36" t="s">
        <v>144</v>
      </c>
      <c r="D150" s="172">
        <v>0</v>
      </c>
      <c r="E150" s="39"/>
      <c r="F150" s="172">
        <v>0</v>
      </c>
      <c r="G150" s="172">
        <v>0</v>
      </c>
      <c r="H150" s="172">
        <v>0</v>
      </c>
      <c r="I150" s="172">
        <v>0</v>
      </c>
      <c r="J150" s="172">
        <v>0</v>
      </c>
      <c r="K150" s="172">
        <v>4</v>
      </c>
      <c r="L150" s="172">
        <v>58</v>
      </c>
      <c r="M150" s="172">
        <v>4</v>
      </c>
      <c r="N150" s="3">
        <v>4</v>
      </c>
      <c r="O150" s="25"/>
      <c r="P150" s="26"/>
      <c r="Q150" s="27"/>
      <c r="R150" s="26"/>
      <c r="S150" s="26"/>
      <c r="T150" s="26"/>
      <c r="U150" s="26"/>
      <c r="V150" s="27"/>
      <c r="W150" s="27"/>
      <c r="X150" s="26"/>
      <c r="AA150" s="164" t="e">
        <f>G150+#REF!+#REF!+M150+K150+L150</f>
        <v>#REF!</v>
      </c>
      <c r="AG150">
        <f>COUNTIFS('nama pasien'!$O:$O,"Serangan",'nama pasien'!$AD:$AD,"dirawat didemak")</f>
        <v>0</v>
      </c>
    </row>
    <row r="151" spans="1:33" x14ac:dyDescent="0.25">
      <c r="A151" s="58"/>
      <c r="B151" s="61" t="s">
        <v>127</v>
      </c>
      <c r="C151" s="72" t="s">
        <v>145</v>
      </c>
      <c r="D151" s="172">
        <v>0</v>
      </c>
      <c r="E151" s="39"/>
      <c r="F151" s="172">
        <v>0</v>
      </c>
      <c r="G151" s="172">
        <v>0</v>
      </c>
      <c r="H151" s="172">
        <v>0</v>
      </c>
      <c r="I151" s="172">
        <v>0</v>
      </c>
      <c r="J151" s="172">
        <v>0</v>
      </c>
      <c r="K151" s="172">
        <v>5</v>
      </c>
      <c r="L151" s="172">
        <v>45</v>
      </c>
      <c r="M151" s="172">
        <v>3</v>
      </c>
      <c r="N151" s="3">
        <v>3</v>
      </c>
      <c r="O151" s="25"/>
      <c r="P151" s="26"/>
      <c r="Q151" s="27"/>
      <c r="R151" s="26"/>
      <c r="S151" s="26"/>
      <c r="T151" s="26"/>
      <c r="U151" s="26"/>
      <c r="V151" s="27"/>
      <c r="W151" s="27"/>
      <c r="X151" s="26"/>
      <c r="AA151" s="164" t="e">
        <f>G151+#REF!+#REF!+M151+K151+L151</f>
        <v>#REF!</v>
      </c>
      <c r="AG151">
        <f>COUNTIFS('nama pasien'!$O:$O,"Betahwalang",'nama pasien'!$AD:$AD,"dirawat didemak")</f>
        <v>1</v>
      </c>
    </row>
    <row r="152" spans="1:33" x14ac:dyDescent="0.25">
      <c r="A152" s="58"/>
      <c r="B152" s="61" t="s">
        <v>127</v>
      </c>
      <c r="C152" s="36" t="s">
        <v>146</v>
      </c>
      <c r="D152" s="172">
        <v>0</v>
      </c>
      <c r="E152" s="39"/>
      <c r="F152" s="172">
        <v>0</v>
      </c>
      <c r="G152" s="172">
        <v>0</v>
      </c>
      <c r="H152" s="172">
        <v>0</v>
      </c>
      <c r="I152" s="172">
        <v>0</v>
      </c>
      <c r="J152" s="172">
        <v>0</v>
      </c>
      <c r="K152" s="172">
        <v>1</v>
      </c>
      <c r="L152" s="172">
        <v>29</v>
      </c>
      <c r="M152" s="172">
        <v>0</v>
      </c>
      <c r="N152" s="3">
        <v>0</v>
      </c>
      <c r="O152" s="25"/>
      <c r="P152" s="26"/>
      <c r="Q152" s="27"/>
      <c r="R152" s="26"/>
      <c r="S152" s="26"/>
      <c r="T152" s="26"/>
      <c r="U152" s="26"/>
      <c r="V152" s="27"/>
      <c r="W152" s="27"/>
      <c r="X152" s="26"/>
      <c r="AA152" s="71" t="e">
        <f>G152+#REF!+#REF!+M152+K152+L152</f>
        <v>#REF!</v>
      </c>
      <c r="AG152">
        <f>COUNTIFS('nama pasien'!$O:$O,"Jatimulyo",'nama pasien'!$AD:$AD,"dirawat didemak")</f>
        <v>0</v>
      </c>
    </row>
    <row r="153" spans="1:33" x14ac:dyDescent="0.25">
      <c r="A153" s="58"/>
      <c r="B153" s="61" t="s">
        <v>127</v>
      </c>
      <c r="C153" s="36" t="s">
        <v>147</v>
      </c>
      <c r="D153" s="172">
        <v>0</v>
      </c>
      <c r="E153" s="39"/>
      <c r="F153" s="172">
        <v>0</v>
      </c>
      <c r="G153" s="172">
        <v>0</v>
      </c>
      <c r="H153" s="172">
        <v>0</v>
      </c>
      <c r="I153" s="172">
        <v>0</v>
      </c>
      <c r="J153" s="172">
        <v>0</v>
      </c>
      <c r="K153" s="172">
        <v>4</v>
      </c>
      <c r="L153" s="172">
        <v>31</v>
      </c>
      <c r="M153" s="172">
        <v>1</v>
      </c>
      <c r="N153" s="3">
        <v>1</v>
      </c>
      <c r="O153" s="25"/>
      <c r="P153" s="26"/>
      <c r="Q153" s="27"/>
      <c r="R153" s="26"/>
      <c r="S153" s="26"/>
      <c r="T153" s="26"/>
      <c r="U153" s="26"/>
      <c r="V153" s="27"/>
      <c r="W153" s="27"/>
      <c r="X153" s="26"/>
      <c r="AA153" s="71" t="e">
        <f>G153+#REF!+#REF!+M153+K153+L153</f>
        <v>#REF!</v>
      </c>
      <c r="AG153">
        <f>COUNTIFS('nama pasien'!$O:$O,"Weding",'nama pasien'!$AD:$AD,"dirawat didemak")</f>
        <v>0</v>
      </c>
    </row>
    <row r="154" spans="1:33" x14ac:dyDescent="0.25">
      <c r="A154" s="58"/>
      <c r="B154" s="61" t="s">
        <v>127</v>
      </c>
      <c r="C154" s="36" t="s">
        <v>148</v>
      </c>
      <c r="D154" s="172">
        <v>0</v>
      </c>
      <c r="E154" s="39"/>
      <c r="F154" s="172">
        <v>0</v>
      </c>
      <c r="G154" s="172">
        <v>0</v>
      </c>
      <c r="H154" s="172">
        <v>0</v>
      </c>
      <c r="I154" s="172">
        <v>0</v>
      </c>
      <c r="J154" s="172">
        <v>0</v>
      </c>
      <c r="K154" s="172">
        <v>4</v>
      </c>
      <c r="L154" s="172">
        <v>41</v>
      </c>
      <c r="M154" s="172">
        <v>2</v>
      </c>
      <c r="N154" s="4">
        <v>1</v>
      </c>
      <c r="O154" s="25"/>
      <c r="P154" s="26"/>
      <c r="Q154" s="27"/>
      <c r="R154" s="26"/>
      <c r="S154" s="26"/>
      <c r="T154" s="26"/>
      <c r="U154" s="26"/>
      <c r="V154" s="27"/>
      <c r="W154" s="27"/>
      <c r="X154" s="26"/>
      <c r="AA154" s="164" t="e">
        <f>G154+#REF!+#REF!+M154+K154+L154</f>
        <v>#REF!</v>
      </c>
      <c r="AG154">
        <f>COUNTIFS('nama pasien'!$O:$O,"Bonangrejo",'nama pasien'!$AD:$AD,"dirawat didemak")</f>
        <v>0</v>
      </c>
    </row>
    <row r="155" spans="1:33" ht="15" customHeight="1" x14ac:dyDescent="0.25">
      <c r="A155" s="58">
        <v>9</v>
      </c>
      <c r="B155" s="61" t="s">
        <v>149</v>
      </c>
      <c r="C155" s="36" t="s">
        <v>151</v>
      </c>
      <c r="D155" s="172">
        <v>0</v>
      </c>
      <c r="E155" s="39"/>
      <c r="F155" s="172">
        <v>0</v>
      </c>
      <c r="G155" s="172">
        <v>0</v>
      </c>
      <c r="H155" s="172">
        <v>0</v>
      </c>
      <c r="I155" s="172">
        <v>0</v>
      </c>
      <c r="J155" s="172">
        <v>0</v>
      </c>
      <c r="K155" s="172">
        <v>13</v>
      </c>
      <c r="L155" s="172">
        <v>43</v>
      </c>
      <c r="M155" s="172">
        <v>3</v>
      </c>
      <c r="N155" s="5">
        <v>3</v>
      </c>
      <c r="O155" s="25">
        <f t="shared" ref="O155:X155" si="8">SUM(D155:D174)</f>
        <v>0</v>
      </c>
      <c r="P155" s="25">
        <f t="shared" si="8"/>
        <v>0</v>
      </c>
      <c r="Q155" s="25">
        <f>SUM(F155:F174)</f>
        <v>1</v>
      </c>
      <c r="R155" s="25">
        <f t="shared" si="8"/>
        <v>0</v>
      </c>
      <c r="S155" s="25">
        <f t="shared" si="8"/>
        <v>0</v>
      </c>
      <c r="T155" s="25">
        <f t="shared" si="8"/>
        <v>0</v>
      </c>
      <c r="U155" s="25">
        <f t="shared" si="8"/>
        <v>0</v>
      </c>
      <c r="V155" s="25">
        <f t="shared" si="8"/>
        <v>170</v>
      </c>
      <c r="W155" s="25">
        <f t="shared" si="8"/>
        <v>870</v>
      </c>
      <c r="X155" s="25">
        <f t="shared" si="8"/>
        <v>58</v>
      </c>
      <c r="AA155" s="71" t="e">
        <f>G155+#REF!+#REF!+M155+K155+L155</f>
        <v>#REF!</v>
      </c>
      <c r="AB155" s="71" t="e">
        <f>SUM(AA155:AA174)</f>
        <v>#REF!</v>
      </c>
      <c r="AG155">
        <f>COUNTIFS('nama pasien'!$O:$O,"Temuroso",'nama pasien'!$AD:$AD,"dirawat didemak")</f>
        <v>0</v>
      </c>
    </row>
    <row r="156" spans="1:33" ht="15" customHeight="1" x14ac:dyDescent="0.25">
      <c r="A156" s="58"/>
      <c r="B156" s="61" t="s">
        <v>149</v>
      </c>
      <c r="C156" s="36" t="s">
        <v>152</v>
      </c>
      <c r="D156" s="172">
        <v>0</v>
      </c>
      <c r="E156" s="39"/>
      <c r="F156" s="172">
        <v>0</v>
      </c>
      <c r="G156" s="172">
        <v>0</v>
      </c>
      <c r="H156" s="172">
        <v>0</v>
      </c>
      <c r="I156" s="172">
        <v>0</v>
      </c>
      <c r="J156" s="172">
        <v>0</v>
      </c>
      <c r="K156" s="172">
        <v>4</v>
      </c>
      <c r="L156" s="172">
        <v>25</v>
      </c>
      <c r="M156" s="172">
        <v>1</v>
      </c>
      <c r="N156" s="3">
        <v>1</v>
      </c>
      <c r="O156" s="25"/>
      <c r="P156" s="26"/>
      <c r="Q156" s="27"/>
      <c r="R156" s="26"/>
      <c r="S156" s="26"/>
      <c r="T156" s="26"/>
      <c r="U156" s="26"/>
      <c r="V156" s="27"/>
      <c r="W156" s="27"/>
      <c r="X156" s="26"/>
      <c r="AA156" s="71" t="e">
        <f>G156+#REF!+#REF!+M156+K156+L156</f>
        <v>#REF!</v>
      </c>
      <c r="AG156">
        <f>COUNTIFS('nama pasien'!$O:$O,"Turitempel",'nama pasien'!$AD:$AD,"dirawat didemak")</f>
        <v>0</v>
      </c>
    </row>
    <row r="157" spans="1:33" ht="15" customHeight="1" x14ac:dyDescent="0.25">
      <c r="A157" s="58"/>
      <c r="B157" s="61" t="s">
        <v>149</v>
      </c>
      <c r="C157" s="36" t="s">
        <v>153</v>
      </c>
      <c r="D157" s="172">
        <v>0</v>
      </c>
      <c r="E157" s="39"/>
      <c r="F157" s="172">
        <v>0</v>
      </c>
      <c r="G157" s="172">
        <v>0</v>
      </c>
      <c r="H157" s="172">
        <v>0</v>
      </c>
      <c r="I157" s="172">
        <v>0</v>
      </c>
      <c r="J157" s="172">
        <v>0</v>
      </c>
      <c r="K157" s="172">
        <v>4</v>
      </c>
      <c r="L157" s="172">
        <v>38</v>
      </c>
      <c r="M157" s="172">
        <v>3</v>
      </c>
      <c r="N157" s="3">
        <v>3</v>
      </c>
      <c r="O157" s="25"/>
      <c r="P157" s="26"/>
      <c r="Q157" s="27"/>
      <c r="R157" s="26"/>
      <c r="S157" s="26"/>
      <c r="T157" s="26"/>
      <c r="U157" s="26"/>
      <c r="V157" s="27"/>
      <c r="W157" s="27"/>
      <c r="X157" s="26"/>
      <c r="AA157" s="71" t="e">
        <f>G157+#REF!+#REF!+M157+K157+L157</f>
        <v>#REF!</v>
      </c>
      <c r="AG157">
        <f>COUNTIFS('nama pasien'!$O:$O,"Tlogoweru",'nama pasien'!$AD:$AD,"dirawat didemak")</f>
        <v>0</v>
      </c>
    </row>
    <row r="158" spans="1:33" ht="15" customHeight="1" x14ac:dyDescent="0.25">
      <c r="A158" s="58"/>
      <c r="B158" s="61" t="s">
        <v>149</v>
      </c>
      <c r="C158" s="36" t="s">
        <v>154</v>
      </c>
      <c r="D158" s="172">
        <v>0</v>
      </c>
      <c r="E158" s="39"/>
      <c r="F158" s="172">
        <v>0</v>
      </c>
      <c r="G158" s="172">
        <v>0</v>
      </c>
      <c r="H158" s="172">
        <v>0</v>
      </c>
      <c r="I158" s="172">
        <v>0</v>
      </c>
      <c r="J158" s="172">
        <v>0</v>
      </c>
      <c r="K158" s="172">
        <v>5</v>
      </c>
      <c r="L158" s="172">
        <v>12</v>
      </c>
      <c r="M158" s="172">
        <v>1</v>
      </c>
      <c r="N158" s="3">
        <v>1</v>
      </c>
      <c r="O158" s="25"/>
      <c r="P158" s="26"/>
      <c r="Q158" s="27"/>
      <c r="R158" s="26"/>
      <c r="S158" s="26"/>
      <c r="T158" s="26"/>
      <c r="U158" s="26"/>
      <c r="V158" s="27"/>
      <c r="W158" s="27"/>
      <c r="X158" s="26"/>
      <c r="AA158" s="71" t="e">
        <f>G158+#REF!+#REF!+M158+K158+L158</f>
        <v>#REF!</v>
      </c>
      <c r="AG158">
        <f>COUNTIFS('nama pasien'!$O:$O,"Trimulyo",'nama pasien'!$AD:$AD,"dirawat didemak")</f>
        <v>0</v>
      </c>
    </row>
    <row r="159" spans="1:33" ht="15" customHeight="1" x14ac:dyDescent="0.25">
      <c r="A159" s="58"/>
      <c r="B159" s="61" t="s">
        <v>149</v>
      </c>
      <c r="C159" s="36" t="s">
        <v>155</v>
      </c>
      <c r="D159" s="172">
        <v>0</v>
      </c>
      <c r="E159" s="39"/>
      <c r="F159" s="172">
        <v>0</v>
      </c>
      <c r="G159" s="172">
        <v>0</v>
      </c>
      <c r="H159" s="172">
        <v>0</v>
      </c>
      <c r="I159" s="172">
        <v>0</v>
      </c>
      <c r="J159" s="172">
        <v>0</v>
      </c>
      <c r="K159" s="172">
        <v>16</v>
      </c>
      <c r="L159" s="172">
        <v>56</v>
      </c>
      <c r="M159" s="172">
        <v>5</v>
      </c>
      <c r="N159" s="3">
        <v>4</v>
      </c>
      <c r="O159" s="25"/>
      <c r="P159" s="26"/>
      <c r="Q159" s="27"/>
      <c r="R159" s="26"/>
      <c r="S159" s="26"/>
      <c r="T159" s="26"/>
      <c r="U159" s="26"/>
      <c r="V159" s="27"/>
      <c r="W159" s="27"/>
      <c r="X159" s="26"/>
      <c r="AA159" s="71" t="e">
        <f>G159+#REF!+#REF!+M159+K159+L159</f>
        <v>#REF!</v>
      </c>
      <c r="AG159">
        <f>COUNTIFS('nama pasien'!$O:$O,"Bakalrejo",'nama pasien'!$AD:$AD,"dirawat didemak")</f>
        <v>0</v>
      </c>
    </row>
    <row r="160" spans="1:33" ht="15" customHeight="1" x14ac:dyDescent="0.25">
      <c r="A160" s="58"/>
      <c r="B160" s="61" t="s">
        <v>149</v>
      </c>
      <c r="C160" s="36" t="s">
        <v>53</v>
      </c>
      <c r="D160" s="172">
        <v>0</v>
      </c>
      <c r="E160" s="39"/>
      <c r="F160" s="172">
        <v>0</v>
      </c>
      <c r="G160" s="172">
        <v>0</v>
      </c>
      <c r="H160" s="172">
        <v>0</v>
      </c>
      <c r="I160" s="172">
        <v>0</v>
      </c>
      <c r="J160" s="172">
        <v>0</v>
      </c>
      <c r="K160" s="172">
        <v>7</v>
      </c>
      <c r="L160" s="172">
        <v>8</v>
      </c>
      <c r="M160" s="172">
        <v>0</v>
      </c>
      <c r="N160" s="3">
        <v>0</v>
      </c>
      <c r="O160" s="25"/>
      <c r="P160" s="26"/>
      <c r="Q160" s="27"/>
      <c r="R160" s="26"/>
      <c r="S160" s="26"/>
      <c r="T160" s="26"/>
      <c r="U160" s="26"/>
      <c r="V160" s="27"/>
      <c r="W160" s="27"/>
      <c r="X160" s="26"/>
      <c r="AA160" s="71" t="e">
        <f>G160+#REF!+#REF!+M160+K160+L160</f>
        <v>#REF!</v>
      </c>
      <c r="AG160">
        <f>COUNTIFS('nama pasien'!$O:$O,"Tlogorejo",'nama pasien'!P:P,"guntur",'nama pasien'!$AD:$AD,"dirawat didemak")</f>
        <v>0</v>
      </c>
    </row>
    <row r="161" spans="1:33" ht="15" customHeight="1" x14ac:dyDescent="0.25">
      <c r="A161" s="58"/>
      <c r="B161" s="61" t="s">
        <v>149</v>
      </c>
      <c r="C161" s="36" t="s">
        <v>156</v>
      </c>
      <c r="D161" s="172">
        <v>0</v>
      </c>
      <c r="E161" s="39"/>
      <c r="F161" s="172">
        <v>0</v>
      </c>
      <c r="G161" s="172">
        <v>0</v>
      </c>
      <c r="H161" s="172">
        <v>0</v>
      </c>
      <c r="I161" s="172">
        <v>0</v>
      </c>
      <c r="J161" s="172">
        <v>0</v>
      </c>
      <c r="K161" s="172">
        <v>5</v>
      </c>
      <c r="L161" s="172">
        <v>35</v>
      </c>
      <c r="M161" s="172">
        <v>6</v>
      </c>
      <c r="N161" s="3">
        <v>6</v>
      </c>
      <c r="O161" s="25"/>
      <c r="P161" s="26"/>
      <c r="Q161" s="27"/>
      <c r="R161" s="26"/>
      <c r="S161" s="26"/>
      <c r="T161" s="26"/>
      <c r="U161" s="26"/>
      <c r="V161" s="27"/>
      <c r="W161" s="27"/>
      <c r="X161" s="26"/>
      <c r="AA161" s="71" t="e">
        <f>G161+#REF!+#REF!+M161+K161+L161</f>
        <v>#REF!</v>
      </c>
      <c r="AG161">
        <f>COUNTIFS('nama pasien'!$O:$O,"Bumiharjo",'nama pasien'!$AD:$AD,"dirawat didemak")</f>
        <v>0</v>
      </c>
    </row>
    <row r="162" spans="1:33" ht="15" customHeight="1" x14ac:dyDescent="0.25">
      <c r="A162" s="58"/>
      <c r="B162" s="61" t="s">
        <v>149</v>
      </c>
      <c r="C162" s="36" t="s">
        <v>157</v>
      </c>
      <c r="D162" s="172">
        <v>0</v>
      </c>
      <c r="E162" s="39"/>
      <c r="F162" s="172">
        <v>0</v>
      </c>
      <c r="G162" s="172">
        <v>0</v>
      </c>
      <c r="H162" s="172">
        <v>0</v>
      </c>
      <c r="I162" s="172">
        <v>0</v>
      </c>
      <c r="J162" s="172">
        <v>0</v>
      </c>
      <c r="K162" s="172">
        <v>1</v>
      </c>
      <c r="L162" s="172">
        <v>9</v>
      </c>
      <c r="M162" s="172">
        <v>0</v>
      </c>
      <c r="N162" s="3">
        <v>0</v>
      </c>
      <c r="O162" s="25"/>
      <c r="P162" s="26"/>
      <c r="Q162" s="27"/>
      <c r="R162" s="26"/>
      <c r="S162" s="26"/>
      <c r="T162" s="26"/>
      <c r="U162" s="26"/>
      <c r="V162" s="27"/>
      <c r="W162" s="27"/>
      <c r="X162" s="26"/>
      <c r="AA162" s="71" t="e">
        <f>G162+#REF!+#REF!+M162+K162+L162</f>
        <v>#REF!</v>
      </c>
      <c r="AG162">
        <f>COUNTIFS('nama pasien'!$O:$O,"Sidoharjo",'nama pasien'!$AD:$AD,"dirawat didemak")</f>
        <v>1</v>
      </c>
    </row>
    <row r="163" spans="1:33" ht="15" customHeight="1" x14ac:dyDescent="0.25">
      <c r="A163" s="58"/>
      <c r="B163" s="61" t="s">
        <v>149</v>
      </c>
      <c r="C163" s="36" t="s">
        <v>158</v>
      </c>
      <c r="D163" s="172">
        <v>0</v>
      </c>
      <c r="E163" s="39"/>
      <c r="F163" s="172">
        <v>0</v>
      </c>
      <c r="G163" s="172">
        <v>0</v>
      </c>
      <c r="H163" s="172">
        <v>0</v>
      </c>
      <c r="I163" s="172">
        <v>0</v>
      </c>
      <c r="J163" s="172">
        <v>0</v>
      </c>
      <c r="K163" s="172">
        <v>16</v>
      </c>
      <c r="L163" s="172">
        <v>89</v>
      </c>
      <c r="M163" s="172">
        <v>3</v>
      </c>
      <c r="N163" s="3">
        <v>3</v>
      </c>
      <c r="O163" s="25"/>
      <c r="P163" s="26"/>
      <c r="Q163" s="27"/>
      <c r="R163" s="26"/>
      <c r="S163" s="26"/>
      <c r="T163" s="26"/>
      <c r="U163" s="26"/>
      <c r="V163" s="27"/>
      <c r="W163" s="27"/>
      <c r="X163" s="26"/>
      <c r="AA163" s="71" t="e">
        <f>G163+#REF!+#REF!+M163+K163+L163</f>
        <v>#REF!</v>
      </c>
      <c r="AG163">
        <f>COUNTIFS('nama pasien'!$O:$O,"Bogosari",'nama pasien'!$AD:$AD,"dirawat didemak")</f>
        <v>1</v>
      </c>
    </row>
    <row r="164" spans="1:33" ht="15" customHeight="1" x14ac:dyDescent="0.25">
      <c r="A164" s="58"/>
      <c r="B164" s="61" t="s">
        <v>149</v>
      </c>
      <c r="C164" s="36" t="s">
        <v>159</v>
      </c>
      <c r="D164" s="172">
        <v>0</v>
      </c>
      <c r="E164" s="39"/>
      <c r="F164" s="172">
        <v>0</v>
      </c>
      <c r="G164" s="172">
        <v>0</v>
      </c>
      <c r="H164" s="172">
        <v>0</v>
      </c>
      <c r="I164" s="172">
        <v>0</v>
      </c>
      <c r="J164" s="172">
        <v>0</v>
      </c>
      <c r="K164" s="172">
        <v>12</v>
      </c>
      <c r="L164" s="172">
        <v>68</v>
      </c>
      <c r="M164" s="172">
        <v>1</v>
      </c>
      <c r="N164" s="3">
        <v>1</v>
      </c>
      <c r="O164" s="25"/>
      <c r="P164" s="26"/>
      <c r="Q164" s="27"/>
      <c r="R164" s="26"/>
      <c r="S164" s="26"/>
      <c r="T164" s="26"/>
      <c r="U164" s="26"/>
      <c r="V164" s="27"/>
      <c r="W164" s="27"/>
      <c r="X164" s="26"/>
      <c r="AA164" s="71" t="e">
        <f>G164+#REF!+#REF!+M164+K164+L164</f>
        <v>#REF!</v>
      </c>
      <c r="AG164">
        <f>COUNTIFS('nama pasien'!$O:$O,"Guntur",'nama pasien'!$AD:$AD,"dirawat didemak")</f>
        <v>0</v>
      </c>
    </row>
    <row r="165" spans="1:33" ht="15" customHeight="1" x14ac:dyDescent="0.25">
      <c r="A165" s="58"/>
      <c r="B165" s="61" t="s">
        <v>149</v>
      </c>
      <c r="C165" s="36" t="s">
        <v>160</v>
      </c>
      <c r="D165" s="172">
        <v>0</v>
      </c>
      <c r="E165" s="39"/>
      <c r="F165" s="172">
        <v>0</v>
      </c>
      <c r="G165" s="172">
        <v>0</v>
      </c>
      <c r="H165" s="172">
        <v>0</v>
      </c>
      <c r="I165" s="172">
        <v>0</v>
      </c>
      <c r="J165" s="172">
        <v>0</v>
      </c>
      <c r="K165" s="172">
        <v>20</v>
      </c>
      <c r="L165" s="172">
        <v>73</v>
      </c>
      <c r="M165" s="172">
        <v>6</v>
      </c>
      <c r="N165" s="5">
        <v>6</v>
      </c>
      <c r="O165" s="25"/>
      <c r="P165" s="26"/>
      <c r="Q165" s="27"/>
      <c r="R165" s="26"/>
      <c r="S165" s="26"/>
      <c r="T165" s="26"/>
      <c r="U165" s="26"/>
      <c r="V165" s="27"/>
      <c r="W165" s="27"/>
      <c r="X165" s="26"/>
      <c r="AA165" s="71" t="e">
        <f>G165+#REF!+#REF!+M165+K165+L165</f>
        <v>#REF!</v>
      </c>
      <c r="AG165">
        <f>COUNTIFS('nama pasien'!$O:$O,"Blerong",'nama pasien'!$AD:$AD,"dirawat didemak")</f>
        <v>1</v>
      </c>
    </row>
    <row r="166" spans="1:33" ht="15" customHeight="1" x14ac:dyDescent="0.25">
      <c r="A166" s="58"/>
      <c r="B166" s="61" t="s">
        <v>149</v>
      </c>
      <c r="C166" s="36" t="s">
        <v>161</v>
      </c>
      <c r="D166" s="172">
        <v>0</v>
      </c>
      <c r="E166" s="39"/>
      <c r="F166" s="172">
        <v>0</v>
      </c>
      <c r="G166" s="172">
        <v>0</v>
      </c>
      <c r="H166" s="172">
        <v>0</v>
      </c>
      <c r="I166" s="172">
        <v>0</v>
      </c>
      <c r="J166" s="172">
        <v>0</v>
      </c>
      <c r="K166" s="172">
        <v>15</v>
      </c>
      <c r="L166" s="172">
        <v>80</v>
      </c>
      <c r="M166" s="172">
        <v>5</v>
      </c>
      <c r="N166" s="3">
        <v>4</v>
      </c>
      <c r="O166" s="25"/>
      <c r="P166" s="26"/>
      <c r="Q166" s="27"/>
      <c r="R166" s="26"/>
      <c r="S166" s="26"/>
      <c r="T166" s="26"/>
      <c r="U166" s="26"/>
      <c r="V166" s="27"/>
      <c r="W166" s="27"/>
      <c r="X166" s="26"/>
      <c r="AA166" s="71" t="e">
        <f>G166+#REF!+#REF!+M166+K166+L166</f>
        <v>#REF!</v>
      </c>
      <c r="AG166">
        <f>COUNTIFS('nama pasien'!$O:$O,"Pamongan",'nama pasien'!$AD:$AD,"dirawat didemak")</f>
        <v>0</v>
      </c>
    </row>
    <row r="167" spans="1:33" ht="15" customHeight="1" x14ac:dyDescent="0.25">
      <c r="A167" s="58"/>
      <c r="B167" s="61" t="s">
        <v>149</v>
      </c>
      <c r="C167" s="36" t="s">
        <v>162</v>
      </c>
      <c r="D167" s="172">
        <v>0</v>
      </c>
      <c r="E167" s="39"/>
      <c r="F167" s="172">
        <v>0</v>
      </c>
      <c r="G167" s="172">
        <v>0</v>
      </c>
      <c r="H167" s="172">
        <v>0</v>
      </c>
      <c r="I167" s="172">
        <v>0</v>
      </c>
      <c r="J167" s="172">
        <v>0</v>
      </c>
      <c r="K167" s="172">
        <v>9</v>
      </c>
      <c r="L167" s="172">
        <v>42</v>
      </c>
      <c r="M167" s="172">
        <v>3</v>
      </c>
      <c r="N167" s="3">
        <v>3</v>
      </c>
      <c r="O167" s="25"/>
      <c r="P167" s="26"/>
      <c r="Q167" s="27"/>
      <c r="R167" s="26"/>
      <c r="S167" s="26"/>
      <c r="T167" s="26"/>
      <c r="U167" s="26"/>
      <c r="V167" s="27"/>
      <c r="W167" s="27"/>
      <c r="X167" s="26"/>
      <c r="AA167" s="71" t="e">
        <f>G167+#REF!+#REF!+M167+K167+L167</f>
        <v>#REF!</v>
      </c>
      <c r="AG167">
        <f>COUNTIFS('nama pasien'!$O:$O,"Sukorejo",'nama pasien'!$AD:$AD,"dirawat didemak")</f>
        <v>0</v>
      </c>
    </row>
    <row r="168" spans="1:33" ht="15" customHeight="1" x14ac:dyDescent="0.25">
      <c r="A168" s="58"/>
      <c r="B168" s="61" t="s">
        <v>149</v>
      </c>
      <c r="C168" s="36" t="s">
        <v>163</v>
      </c>
      <c r="D168" s="172">
        <v>0</v>
      </c>
      <c r="E168" s="39"/>
      <c r="F168" s="172">
        <v>0</v>
      </c>
      <c r="G168" s="172">
        <v>0</v>
      </c>
      <c r="H168" s="172">
        <v>0</v>
      </c>
      <c r="I168" s="172">
        <v>0</v>
      </c>
      <c r="J168" s="172">
        <v>0</v>
      </c>
      <c r="K168" s="172">
        <v>7</v>
      </c>
      <c r="L168" s="172">
        <v>39</v>
      </c>
      <c r="M168" s="172">
        <v>3</v>
      </c>
      <c r="N168" s="3">
        <v>3</v>
      </c>
      <c r="O168" s="25"/>
      <c r="P168" s="26"/>
      <c r="Q168" s="27"/>
      <c r="R168" s="26"/>
      <c r="S168" s="26"/>
      <c r="T168" s="26"/>
      <c r="U168" s="26"/>
      <c r="V168" s="27"/>
      <c r="W168" s="27"/>
      <c r="X168" s="26"/>
      <c r="AA168" s="71" t="e">
        <f>G168+#REF!+#REF!+M168+K168+L168</f>
        <v>#REF!</v>
      </c>
      <c r="AG168">
        <f>COUNTIFS('nama pasien'!$O:$O,"Sarirejo",'nama pasien'!$AD:$AD,"dirawat didemak")</f>
        <v>0</v>
      </c>
    </row>
    <row r="169" spans="1:33" ht="15" customHeight="1" x14ac:dyDescent="0.25">
      <c r="A169" s="58"/>
      <c r="B169" s="61" t="s">
        <v>149</v>
      </c>
      <c r="C169" s="36" t="s">
        <v>164</v>
      </c>
      <c r="D169" s="172">
        <v>0</v>
      </c>
      <c r="E169" s="39"/>
      <c r="F169" s="172">
        <v>1</v>
      </c>
      <c r="G169" s="172">
        <v>0</v>
      </c>
      <c r="H169" s="172">
        <v>0</v>
      </c>
      <c r="I169" s="172">
        <v>0</v>
      </c>
      <c r="J169" s="172">
        <v>0</v>
      </c>
      <c r="K169" s="172">
        <v>8</v>
      </c>
      <c r="L169" s="172">
        <v>59</v>
      </c>
      <c r="M169" s="172">
        <v>4</v>
      </c>
      <c r="N169" s="3">
        <v>5</v>
      </c>
      <c r="O169" s="25"/>
      <c r="P169" s="26"/>
      <c r="Q169" s="27"/>
      <c r="R169" s="26"/>
      <c r="S169" s="26"/>
      <c r="T169" s="26"/>
      <c r="U169" s="26"/>
      <c r="V169" s="27"/>
      <c r="W169" s="27"/>
      <c r="X169" s="26"/>
      <c r="AA169" s="71" t="e">
        <f>G169+#REF!+#REF!+M169+K169+L169</f>
        <v>#REF!</v>
      </c>
      <c r="AG169">
        <f>COUNTIFS('nama pasien'!$O:$O,"Sidokumpul",'nama pasien'!$AD:$AD,"dirawat didemak")</f>
        <v>0</v>
      </c>
    </row>
    <row r="170" spans="1:33" ht="15" customHeight="1" x14ac:dyDescent="0.25">
      <c r="A170" s="58"/>
      <c r="B170" s="61" t="s">
        <v>149</v>
      </c>
      <c r="C170" s="36" t="s">
        <v>165</v>
      </c>
      <c r="D170" s="172">
        <v>0</v>
      </c>
      <c r="E170" s="39"/>
      <c r="F170" s="172">
        <v>0</v>
      </c>
      <c r="G170" s="172">
        <v>0</v>
      </c>
      <c r="H170" s="172">
        <v>0</v>
      </c>
      <c r="I170" s="172">
        <v>0</v>
      </c>
      <c r="J170" s="172">
        <v>0</v>
      </c>
      <c r="K170" s="172">
        <v>9</v>
      </c>
      <c r="L170" s="172">
        <v>43</v>
      </c>
      <c r="M170" s="172">
        <v>4</v>
      </c>
      <c r="N170" s="3">
        <v>4</v>
      </c>
      <c r="O170" s="25"/>
      <c r="P170" s="26"/>
      <c r="Q170" s="27"/>
      <c r="R170" s="26"/>
      <c r="S170" s="26"/>
      <c r="T170" s="26"/>
      <c r="U170" s="26"/>
      <c r="V170" s="27"/>
      <c r="W170" s="27"/>
      <c r="X170" s="26"/>
      <c r="AA170" s="71" t="e">
        <f>G170+#REF!+#REF!+M170+K170+L170</f>
        <v>#REF!</v>
      </c>
      <c r="AG170">
        <f>COUNTIFS('nama pasien'!$O:$O,"Gaji",'nama pasien'!$AD:$AD,"dirawat didemak")</f>
        <v>0</v>
      </c>
    </row>
    <row r="171" spans="1:33" ht="15" customHeight="1" x14ac:dyDescent="0.25">
      <c r="A171" s="58"/>
      <c r="B171" s="61" t="s">
        <v>149</v>
      </c>
      <c r="C171" s="36" t="s">
        <v>166</v>
      </c>
      <c r="D171" s="172">
        <v>0</v>
      </c>
      <c r="E171" s="39"/>
      <c r="F171" s="172">
        <v>0</v>
      </c>
      <c r="G171" s="172">
        <v>0</v>
      </c>
      <c r="H171" s="172">
        <v>0</v>
      </c>
      <c r="I171" s="172">
        <v>0</v>
      </c>
      <c r="J171" s="172">
        <v>0</v>
      </c>
      <c r="K171" s="172">
        <v>3</v>
      </c>
      <c r="L171" s="172">
        <v>46</v>
      </c>
      <c r="M171" s="172">
        <v>5</v>
      </c>
      <c r="N171" s="3">
        <v>5</v>
      </c>
      <c r="O171" s="25"/>
      <c r="P171" s="26"/>
      <c r="Q171" s="27"/>
      <c r="R171" s="26"/>
      <c r="S171" s="26"/>
      <c r="T171" s="26"/>
      <c r="U171" s="26"/>
      <c r="V171" s="27"/>
      <c r="W171" s="27"/>
      <c r="X171" s="26"/>
      <c r="AA171" s="71" t="e">
        <f>G171+#REF!+#REF!+M171+K171+L171</f>
        <v>#REF!</v>
      </c>
      <c r="AG171">
        <f>COUNTIFS('nama pasien'!$O:$O,"Banjarejo",'nama pasien'!$AD:$AD,"dirawat didemak")</f>
        <v>0</v>
      </c>
    </row>
    <row r="172" spans="1:33" ht="15" customHeight="1" x14ac:dyDescent="0.25">
      <c r="A172" s="58"/>
      <c r="B172" s="61" t="s">
        <v>149</v>
      </c>
      <c r="C172" s="36" t="s">
        <v>167</v>
      </c>
      <c r="D172" s="172">
        <v>0</v>
      </c>
      <c r="E172" s="39"/>
      <c r="F172" s="172">
        <v>0</v>
      </c>
      <c r="G172" s="172">
        <v>0</v>
      </c>
      <c r="H172" s="172">
        <v>0</v>
      </c>
      <c r="I172" s="172">
        <v>0</v>
      </c>
      <c r="J172" s="172">
        <v>0</v>
      </c>
      <c r="K172" s="172">
        <v>2</v>
      </c>
      <c r="L172" s="172">
        <v>19</v>
      </c>
      <c r="M172" s="172">
        <v>2</v>
      </c>
      <c r="N172" s="3">
        <v>2</v>
      </c>
      <c r="O172" s="25"/>
      <c r="P172" s="26"/>
      <c r="Q172" s="27"/>
      <c r="R172" s="26"/>
      <c r="S172" s="26"/>
      <c r="T172" s="26"/>
      <c r="U172" s="26"/>
      <c r="V172" s="27"/>
      <c r="W172" s="27"/>
      <c r="X172" s="26"/>
      <c r="AA172" s="71" t="e">
        <f>G172+#REF!+#REF!+M172+K172+L172</f>
        <v>#REF!</v>
      </c>
      <c r="AG172">
        <f>COUNTIFS('nama pasien'!$O:$O,"Krandon",'nama pasien'!$AD:$AD,"dirawat didemak")</f>
        <v>0</v>
      </c>
    </row>
    <row r="173" spans="1:33" ht="15" customHeight="1" x14ac:dyDescent="0.25">
      <c r="A173" s="58"/>
      <c r="B173" s="61" t="s">
        <v>149</v>
      </c>
      <c r="C173" s="36" t="s">
        <v>168</v>
      </c>
      <c r="D173" s="172">
        <v>0</v>
      </c>
      <c r="E173" s="39"/>
      <c r="F173" s="172">
        <v>0</v>
      </c>
      <c r="G173" s="172">
        <v>0</v>
      </c>
      <c r="H173" s="172">
        <v>0</v>
      </c>
      <c r="I173" s="172">
        <v>0</v>
      </c>
      <c r="J173" s="172">
        <v>0</v>
      </c>
      <c r="K173" s="172">
        <v>2</v>
      </c>
      <c r="L173" s="172">
        <v>25</v>
      </c>
      <c r="M173" s="172">
        <v>1</v>
      </c>
      <c r="N173" s="3">
        <v>1</v>
      </c>
      <c r="O173" s="25"/>
      <c r="P173" s="26"/>
      <c r="Q173" s="27"/>
      <c r="R173" s="26"/>
      <c r="S173" s="26"/>
      <c r="T173" s="26"/>
      <c r="U173" s="26"/>
      <c r="V173" s="27"/>
      <c r="W173" s="27"/>
      <c r="X173" s="26"/>
      <c r="AA173" s="71" t="e">
        <f>G173+#REF!+#REF!+M173+K173+L173</f>
        <v>#REF!</v>
      </c>
      <c r="AG173">
        <f>COUNTIFS('nama pasien'!$O:$O,"Tangkis",'nama pasien'!$AD:$AD,"dirawat didemak")</f>
        <v>0</v>
      </c>
    </row>
    <row r="174" spans="1:33" ht="15" customHeight="1" x14ac:dyDescent="0.25">
      <c r="A174" s="58"/>
      <c r="B174" s="61" t="s">
        <v>149</v>
      </c>
      <c r="C174" s="36" t="s">
        <v>83</v>
      </c>
      <c r="D174" s="172">
        <v>0</v>
      </c>
      <c r="E174" s="39"/>
      <c r="F174" s="172">
        <v>0</v>
      </c>
      <c r="G174" s="172">
        <v>0</v>
      </c>
      <c r="H174" s="172">
        <v>0</v>
      </c>
      <c r="I174" s="172">
        <v>0</v>
      </c>
      <c r="J174" s="172">
        <v>0</v>
      </c>
      <c r="K174" s="172">
        <v>12</v>
      </c>
      <c r="L174" s="172">
        <v>61</v>
      </c>
      <c r="M174" s="172">
        <v>2</v>
      </c>
      <c r="N174" s="4">
        <v>2</v>
      </c>
      <c r="O174" s="25"/>
      <c r="P174" s="26"/>
      <c r="Q174" s="27"/>
      <c r="R174" s="26"/>
      <c r="S174" s="26"/>
      <c r="T174" s="26"/>
      <c r="U174" s="26"/>
      <c r="V174" s="27"/>
      <c r="W174" s="27"/>
      <c r="X174" s="26"/>
      <c r="AA174" s="71" t="e">
        <f>G174+#REF!+#REF!+M174+K174+L174</f>
        <v>#REF!</v>
      </c>
      <c r="AG174">
        <f>COUNTIFS('nama pasien'!$O:$O,"Wonorejo",'nama pasien'!$AD:$AD,"dirawat didemak")</f>
        <v>0</v>
      </c>
    </row>
    <row r="175" spans="1:33" ht="15" customHeight="1" x14ac:dyDescent="0.25">
      <c r="A175" s="62">
        <v>10</v>
      </c>
      <c r="B175" s="61" t="s">
        <v>174</v>
      </c>
      <c r="C175" s="36" t="s">
        <v>170</v>
      </c>
      <c r="D175" s="172">
        <v>0</v>
      </c>
      <c r="E175" s="39"/>
      <c r="F175" s="172">
        <v>0</v>
      </c>
      <c r="G175" s="172">
        <v>0</v>
      </c>
      <c r="H175" s="172">
        <v>0</v>
      </c>
      <c r="I175" s="172">
        <v>0</v>
      </c>
      <c r="J175" s="172">
        <v>0</v>
      </c>
      <c r="K175" s="172">
        <v>15</v>
      </c>
      <c r="L175" s="172">
        <v>98</v>
      </c>
      <c r="M175" s="172">
        <v>14</v>
      </c>
      <c r="N175" s="5">
        <v>14</v>
      </c>
      <c r="O175" s="25">
        <f t="shared" ref="O175:X175" si="9">SUM(D175:D186)</f>
        <v>0</v>
      </c>
      <c r="P175" s="25">
        <f t="shared" si="9"/>
        <v>0</v>
      </c>
      <c r="Q175" s="25">
        <f>SUM(F175:F186)</f>
        <v>0</v>
      </c>
      <c r="R175" s="25">
        <f t="shared" si="9"/>
        <v>0</v>
      </c>
      <c r="S175" s="25">
        <f t="shared" si="9"/>
        <v>0</v>
      </c>
      <c r="T175" s="25">
        <f t="shared" si="9"/>
        <v>0</v>
      </c>
      <c r="U175" s="25">
        <f t="shared" si="9"/>
        <v>0</v>
      </c>
      <c r="V175" s="25">
        <f t="shared" si="9"/>
        <v>392</v>
      </c>
      <c r="W175" s="25">
        <f t="shared" si="9"/>
        <v>1228</v>
      </c>
      <c r="X175" s="25">
        <f t="shared" si="9"/>
        <v>115</v>
      </c>
      <c r="AA175" s="71" t="e">
        <f>G175+#REF!+#REF!+M175+K175+L175</f>
        <v>#REF!</v>
      </c>
      <c r="AB175" s="71" t="e">
        <f>SUM(AA175:AA186)</f>
        <v>#REF!</v>
      </c>
      <c r="AG175">
        <f>COUNTIFS('nama pasien'!$O:$O,"Bumirejo",'nama pasien'!$AD:$AD,"dirawat didemak")</f>
        <v>0</v>
      </c>
    </row>
    <row r="176" spans="1:33" ht="15" customHeight="1" x14ac:dyDescent="0.25">
      <c r="A176" s="62"/>
      <c r="B176" s="61" t="s">
        <v>174</v>
      </c>
      <c r="C176" s="36" t="s">
        <v>171</v>
      </c>
      <c r="D176" s="172">
        <v>0</v>
      </c>
      <c r="E176" s="39"/>
      <c r="F176" s="172">
        <v>0</v>
      </c>
      <c r="G176" s="172">
        <v>0</v>
      </c>
      <c r="H176" s="172">
        <v>0</v>
      </c>
      <c r="I176" s="172">
        <v>0</v>
      </c>
      <c r="J176" s="172">
        <v>0</v>
      </c>
      <c r="K176" s="172">
        <v>32</v>
      </c>
      <c r="L176" s="172">
        <v>104</v>
      </c>
      <c r="M176" s="172">
        <v>8</v>
      </c>
      <c r="N176" s="3">
        <v>7</v>
      </c>
      <c r="O176" s="25"/>
      <c r="P176" s="26"/>
      <c r="Q176" s="27"/>
      <c r="R176" s="26"/>
      <c r="S176" s="26"/>
      <c r="T176" s="26"/>
      <c r="U176" s="26"/>
      <c r="V176" s="27"/>
      <c r="W176" s="27"/>
      <c r="X176" s="26"/>
      <c r="AA176" s="71" t="e">
        <f>G176+#REF!+#REF!+M176+K176+L176</f>
        <v>#REF!</v>
      </c>
      <c r="AG176">
        <f>COUNTIFS('nama pasien'!$O:$O,"Pundenarum",'nama pasien'!$AD:$AD,"dirawat didemak")</f>
        <v>0</v>
      </c>
    </row>
    <row r="177" spans="1:33" ht="15" customHeight="1" x14ac:dyDescent="0.25">
      <c r="A177" s="62"/>
      <c r="B177" s="61" t="s">
        <v>174</v>
      </c>
      <c r="C177" s="36" t="s">
        <v>172</v>
      </c>
      <c r="D177" s="172">
        <v>0</v>
      </c>
      <c r="E177" s="39"/>
      <c r="F177" s="172">
        <v>0</v>
      </c>
      <c r="G177" s="172">
        <v>0</v>
      </c>
      <c r="H177" s="172">
        <v>0</v>
      </c>
      <c r="I177" s="172">
        <v>0</v>
      </c>
      <c r="J177" s="172">
        <v>0</v>
      </c>
      <c r="K177" s="172">
        <v>58</v>
      </c>
      <c r="L177" s="172">
        <v>158</v>
      </c>
      <c r="M177" s="172">
        <v>13</v>
      </c>
      <c r="N177" s="3">
        <v>13</v>
      </c>
      <c r="O177" s="25"/>
      <c r="P177" s="26"/>
      <c r="Q177" s="27"/>
      <c r="R177" s="26"/>
      <c r="S177" s="26"/>
      <c r="T177" s="26"/>
      <c r="U177" s="26"/>
      <c r="V177" s="27"/>
      <c r="W177" s="27"/>
      <c r="X177" s="26"/>
      <c r="AA177" s="71" t="e">
        <f>G177+#REF!+#REF!+M177+K177+L177</f>
        <v>#REF!</v>
      </c>
      <c r="AG177">
        <f>COUNTIFS('nama pasien'!$O:$O,"Kuripan",'nama pasien'!$AD:$AD,"dirawat didemak")</f>
        <v>0</v>
      </c>
    </row>
    <row r="178" spans="1:33" ht="15" customHeight="1" x14ac:dyDescent="0.25">
      <c r="A178" s="62"/>
      <c r="B178" s="61" t="s">
        <v>174</v>
      </c>
      <c r="C178" s="36" t="s">
        <v>173</v>
      </c>
      <c r="D178" s="172">
        <v>0</v>
      </c>
      <c r="E178" s="39"/>
      <c r="F178" s="172">
        <v>0</v>
      </c>
      <c r="G178" s="172">
        <v>0</v>
      </c>
      <c r="H178" s="172">
        <v>0</v>
      </c>
      <c r="I178" s="172">
        <v>0</v>
      </c>
      <c r="J178" s="172">
        <v>0</v>
      </c>
      <c r="K178" s="172">
        <v>44</v>
      </c>
      <c r="L178" s="172">
        <v>200</v>
      </c>
      <c r="M178" s="172">
        <v>16</v>
      </c>
      <c r="N178" s="3">
        <v>15</v>
      </c>
      <c r="O178" s="25"/>
      <c r="P178" s="26"/>
      <c r="Q178" s="27"/>
      <c r="R178" s="26"/>
      <c r="S178" s="26"/>
      <c r="T178" s="26"/>
      <c r="U178" s="26"/>
      <c r="V178" s="27"/>
      <c r="W178" s="27"/>
      <c r="X178" s="26"/>
      <c r="AA178" s="71" t="e">
        <f>G178+#REF!+#REF!+M178+K178+L178</f>
        <v>#REF!</v>
      </c>
      <c r="AG178">
        <f>COUNTIFS('nama pasien'!$O:$O,"Brambang",'nama pasien'!$AD:$AD,"dirawat didemak")</f>
        <v>1</v>
      </c>
    </row>
    <row r="179" spans="1:33" ht="15" customHeight="1" x14ac:dyDescent="0.25">
      <c r="A179" s="62"/>
      <c r="B179" s="61" t="s">
        <v>174</v>
      </c>
      <c r="C179" s="36" t="s">
        <v>174</v>
      </c>
      <c r="D179" s="172">
        <v>0</v>
      </c>
      <c r="E179" s="39"/>
      <c r="F179" s="172">
        <v>0</v>
      </c>
      <c r="G179" s="172">
        <v>0</v>
      </c>
      <c r="H179" s="172">
        <v>0</v>
      </c>
      <c r="I179" s="172">
        <v>0</v>
      </c>
      <c r="J179" s="172">
        <v>0</v>
      </c>
      <c r="K179" s="172">
        <v>33</v>
      </c>
      <c r="L179" s="172">
        <v>99</v>
      </c>
      <c r="M179" s="172">
        <v>10</v>
      </c>
      <c r="N179" s="3">
        <v>10</v>
      </c>
      <c r="O179" s="25"/>
      <c r="P179" s="26"/>
      <c r="Q179" s="27"/>
      <c r="R179" s="26"/>
      <c r="S179" s="26"/>
      <c r="T179" s="26"/>
      <c r="U179" s="26"/>
      <c r="V179" s="27"/>
      <c r="W179" s="27"/>
      <c r="X179" s="26"/>
      <c r="AA179" s="71" t="e">
        <f>G179+#REF!+#REF!+M179+K179+L179</f>
        <v>#REF!</v>
      </c>
      <c r="AG179">
        <f>COUNTIFS('nama pasien'!$O:$O,"Karangawen",'nama pasien'!$AD:$AD,"dirawat didemak")</f>
        <v>0</v>
      </c>
    </row>
    <row r="180" spans="1:33" ht="15" customHeight="1" x14ac:dyDescent="0.25">
      <c r="A180" s="62"/>
      <c r="B180" s="61" t="s">
        <v>174</v>
      </c>
      <c r="C180" s="36" t="s">
        <v>175</v>
      </c>
      <c r="D180" s="172">
        <v>0</v>
      </c>
      <c r="E180" s="39"/>
      <c r="F180" s="172">
        <v>0</v>
      </c>
      <c r="G180" s="172">
        <v>0</v>
      </c>
      <c r="H180" s="172">
        <v>0</v>
      </c>
      <c r="I180" s="172">
        <v>0</v>
      </c>
      <c r="J180" s="172">
        <v>0</v>
      </c>
      <c r="K180" s="172">
        <v>32</v>
      </c>
      <c r="L180" s="172">
        <v>100</v>
      </c>
      <c r="M180" s="172">
        <v>12</v>
      </c>
      <c r="N180" s="4">
        <v>12</v>
      </c>
      <c r="O180" s="25"/>
      <c r="P180" s="26"/>
      <c r="Q180" s="27"/>
      <c r="R180" s="26"/>
      <c r="S180" s="26"/>
      <c r="T180" s="26"/>
      <c r="U180" s="26"/>
      <c r="V180" s="27"/>
      <c r="W180" s="27"/>
      <c r="X180" s="26"/>
      <c r="AA180" s="71" t="e">
        <f>G180+#REF!+#REF!+M180+K180+L180</f>
        <v>#REF!</v>
      </c>
      <c r="AG180">
        <f>COUNTIFS('nama pasien'!$O:$O,"Sidorejo",'nama pasien'!$AD:$AD,"dirawat didemak")</f>
        <v>0</v>
      </c>
    </row>
    <row r="181" spans="1:33" ht="15" customHeight="1" x14ac:dyDescent="0.25">
      <c r="A181" s="62"/>
      <c r="B181" s="61" t="s">
        <v>174</v>
      </c>
      <c r="C181" s="36" t="s">
        <v>176</v>
      </c>
      <c r="D181" s="172">
        <v>0</v>
      </c>
      <c r="E181" s="39"/>
      <c r="F181" s="172">
        <v>0</v>
      </c>
      <c r="G181" s="172">
        <v>0</v>
      </c>
      <c r="H181" s="172">
        <v>0</v>
      </c>
      <c r="I181" s="172">
        <v>0</v>
      </c>
      <c r="J181" s="172">
        <v>0</v>
      </c>
      <c r="K181" s="172">
        <v>31</v>
      </c>
      <c r="L181" s="172">
        <v>46</v>
      </c>
      <c r="M181" s="172">
        <v>3</v>
      </c>
      <c r="N181" s="5">
        <v>2</v>
      </c>
      <c r="O181" s="25"/>
      <c r="P181" s="26"/>
      <c r="Q181" s="27"/>
      <c r="R181" s="26"/>
      <c r="S181" s="26"/>
      <c r="T181" s="26"/>
      <c r="U181" s="26"/>
      <c r="V181" s="27"/>
      <c r="W181" s="27"/>
      <c r="X181" s="26"/>
      <c r="AA181" s="71" t="e">
        <f>G181+#REF!+#REF!+M181+K181+L181</f>
        <v>#REF!</v>
      </c>
      <c r="AG181">
        <f>COUNTIFS('nama pasien'!$O:$O,"Wonosekar",'nama pasien'!$AD:$AD,"dirawat didemak")</f>
        <v>0</v>
      </c>
    </row>
    <row r="182" spans="1:33" ht="15" customHeight="1" x14ac:dyDescent="0.25">
      <c r="A182" s="62"/>
      <c r="B182" s="61" t="s">
        <v>174</v>
      </c>
      <c r="C182" s="36" t="s">
        <v>53</v>
      </c>
      <c r="D182" s="172">
        <v>0</v>
      </c>
      <c r="E182" s="39"/>
      <c r="F182" s="172">
        <v>0</v>
      </c>
      <c r="G182" s="172">
        <v>0</v>
      </c>
      <c r="H182" s="172">
        <v>0</v>
      </c>
      <c r="I182" s="172">
        <v>0</v>
      </c>
      <c r="J182" s="172">
        <v>0</v>
      </c>
      <c r="K182" s="172">
        <v>40</v>
      </c>
      <c r="L182" s="172">
        <v>118</v>
      </c>
      <c r="M182" s="172">
        <v>14</v>
      </c>
      <c r="N182" s="3">
        <v>14</v>
      </c>
      <c r="O182" s="25"/>
      <c r="P182" s="26"/>
      <c r="Q182" s="27"/>
      <c r="R182" s="26"/>
      <c r="S182" s="26"/>
      <c r="T182" s="26"/>
      <c r="U182" s="26"/>
      <c r="V182" s="27"/>
      <c r="W182" s="27"/>
      <c r="X182" s="26"/>
      <c r="AA182" s="71" t="e">
        <f>G182+#REF!+#REF!+M182+K182+L182</f>
        <v>#REF!</v>
      </c>
      <c r="AG182">
        <f>COUNTIFS('nama pasien'!$O:$O,"Tlogorejo",'nama pasien'!P:P,"Karangawen",'nama pasien'!$AD:$AD,"dirawat didemak")</f>
        <v>1</v>
      </c>
    </row>
    <row r="183" spans="1:33" ht="15" customHeight="1" x14ac:dyDescent="0.25">
      <c r="A183" s="62"/>
      <c r="B183" s="61" t="s">
        <v>174</v>
      </c>
      <c r="C183" s="36" t="s">
        <v>28</v>
      </c>
      <c r="D183" s="172">
        <v>0</v>
      </c>
      <c r="E183" s="39"/>
      <c r="F183" s="172">
        <v>0</v>
      </c>
      <c r="G183" s="172">
        <v>0</v>
      </c>
      <c r="H183" s="172">
        <v>0</v>
      </c>
      <c r="I183" s="172">
        <v>0</v>
      </c>
      <c r="J183" s="172">
        <v>0</v>
      </c>
      <c r="K183" s="172">
        <v>37</v>
      </c>
      <c r="L183" s="172">
        <v>137</v>
      </c>
      <c r="M183" s="172">
        <v>8</v>
      </c>
      <c r="N183" s="3">
        <v>8</v>
      </c>
      <c r="O183" s="25"/>
      <c r="P183" s="26"/>
      <c r="Q183" s="27"/>
      <c r="R183" s="26"/>
      <c r="S183" s="26"/>
      <c r="T183" s="26"/>
      <c r="U183" s="26"/>
      <c r="V183" s="27"/>
      <c r="W183" s="27"/>
      <c r="X183" s="26"/>
      <c r="AA183" s="71" t="e">
        <f>G183+#REF!+#REF!+M183+K183+L183</f>
        <v>#REF!</v>
      </c>
      <c r="AG183">
        <f>COUNTIFS('nama pasien'!$O:$O,"Rejosari",'nama pasien'!$AD:$AD,"dirawat didemak")</f>
        <v>2</v>
      </c>
    </row>
    <row r="184" spans="1:33" ht="15" customHeight="1" x14ac:dyDescent="0.25">
      <c r="A184" s="62"/>
      <c r="B184" s="61" t="s">
        <v>174</v>
      </c>
      <c r="C184" s="36" t="s">
        <v>177</v>
      </c>
      <c r="D184" s="172">
        <v>0</v>
      </c>
      <c r="E184" s="39"/>
      <c r="F184" s="172">
        <v>0</v>
      </c>
      <c r="G184" s="172">
        <v>0</v>
      </c>
      <c r="H184" s="172">
        <v>0</v>
      </c>
      <c r="I184" s="172">
        <v>0</v>
      </c>
      <c r="J184" s="172">
        <v>0</v>
      </c>
      <c r="K184" s="172">
        <v>16</v>
      </c>
      <c r="L184" s="172">
        <v>54</v>
      </c>
      <c r="M184" s="172">
        <v>2</v>
      </c>
      <c r="N184" s="3">
        <v>2</v>
      </c>
      <c r="O184" s="25"/>
      <c r="P184" s="26"/>
      <c r="Q184" s="27"/>
      <c r="R184" s="26"/>
      <c r="S184" s="26"/>
      <c r="T184" s="26"/>
      <c r="U184" s="26"/>
      <c r="V184" s="27"/>
      <c r="W184" s="27"/>
      <c r="X184" s="26"/>
      <c r="AA184" s="71" t="e">
        <f>G184+#REF!+#REF!+M184+K184+L184</f>
        <v>#REF!</v>
      </c>
      <c r="AG184">
        <f>COUNTIFS('nama pasien'!$O:$O,"Teluk",'nama pasien'!$AD:$AD,"dirawat didemak")</f>
        <v>0</v>
      </c>
    </row>
    <row r="185" spans="1:33" ht="15" customHeight="1" x14ac:dyDescent="0.25">
      <c r="A185" s="62"/>
      <c r="B185" s="61" t="s">
        <v>174</v>
      </c>
      <c r="C185" s="36" t="s">
        <v>178</v>
      </c>
      <c r="D185" s="172">
        <v>0</v>
      </c>
      <c r="E185" s="39"/>
      <c r="F185" s="172">
        <v>0</v>
      </c>
      <c r="G185" s="172">
        <v>0</v>
      </c>
      <c r="H185" s="172">
        <v>0</v>
      </c>
      <c r="I185" s="172">
        <v>0</v>
      </c>
      <c r="J185" s="172">
        <v>0</v>
      </c>
      <c r="K185" s="172">
        <v>21</v>
      </c>
      <c r="L185" s="172">
        <v>45</v>
      </c>
      <c r="M185" s="172">
        <v>3</v>
      </c>
      <c r="N185" s="3">
        <v>2</v>
      </c>
      <c r="O185" s="25"/>
      <c r="P185" s="26"/>
      <c r="Q185" s="27"/>
      <c r="R185" s="26"/>
      <c r="S185" s="26"/>
      <c r="T185" s="26"/>
      <c r="U185" s="26"/>
      <c r="V185" s="27"/>
      <c r="W185" s="27"/>
      <c r="X185" s="26"/>
      <c r="AA185" s="71" t="e">
        <f>G185+#REF!+#REF!+M185+K185+L185</f>
        <v>#REF!</v>
      </c>
      <c r="AG185">
        <f>COUNTIFS('nama pasien'!$O:$O,"Margohayu",'nama pasien'!$AD:$AD,"dirawat didemak")</f>
        <v>0</v>
      </c>
    </row>
    <row r="186" spans="1:33" ht="15" customHeight="1" x14ac:dyDescent="0.25">
      <c r="A186" s="62"/>
      <c r="B186" s="61" t="s">
        <v>174</v>
      </c>
      <c r="C186" s="36" t="s">
        <v>179</v>
      </c>
      <c r="D186" s="172">
        <v>0</v>
      </c>
      <c r="E186" s="39"/>
      <c r="F186" s="172">
        <v>0</v>
      </c>
      <c r="G186" s="172">
        <v>0</v>
      </c>
      <c r="H186" s="172">
        <v>0</v>
      </c>
      <c r="I186" s="172">
        <v>0</v>
      </c>
      <c r="J186" s="172">
        <v>0</v>
      </c>
      <c r="K186" s="172">
        <v>33</v>
      </c>
      <c r="L186" s="172">
        <v>69</v>
      </c>
      <c r="M186" s="172">
        <v>12</v>
      </c>
      <c r="N186" s="4">
        <v>11</v>
      </c>
      <c r="O186" s="25"/>
      <c r="P186" s="26"/>
      <c r="Q186" s="27"/>
      <c r="R186" s="26"/>
      <c r="S186" s="26"/>
      <c r="T186" s="26"/>
      <c r="U186" s="26"/>
      <c r="V186" s="27"/>
      <c r="W186" s="27"/>
      <c r="X186" s="26"/>
      <c r="AA186" s="71" t="e">
        <f>G186+#REF!+#REF!+M186+K186+L186</f>
        <v>#REF!</v>
      </c>
      <c r="AG186">
        <f>COUNTIFS('nama pasien'!$O:$O,"Jragung",'nama pasien'!$AD:$AD,"dirawat didemak")</f>
        <v>0</v>
      </c>
    </row>
    <row r="187" spans="1:33" x14ac:dyDescent="0.25">
      <c r="A187" s="62">
        <v>11</v>
      </c>
      <c r="B187" s="61" t="s">
        <v>180</v>
      </c>
      <c r="C187" s="36" t="s">
        <v>181</v>
      </c>
      <c r="D187" s="172">
        <v>0</v>
      </c>
      <c r="E187" s="39"/>
      <c r="F187" s="172">
        <v>0</v>
      </c>
      <c r="G187" s="172">
        <v>0</v>
      </c>
      <c r="H187" s="172">
        <v>0</v>
      </c>
      <c r="I187" s="172">
        <v>0</v>
      </c>
      <c r="J187" s="172">
        <v>0</v>
      </c>
      <c r="K187" s="172">
        <v>13</v>
      </c>
      <c r="L187" s="172">
        <v>58</v>
      </c>
      <c r="M187" s="172">
        <v>8</v>
      </c>
      <c r="N187" s="9">
        <v>8</v>
      </c>
      <c r="O187" s="25">
        <f t="shared" ref="O187:X187" si="10">SUM(D187:D202)</f>
        <v>0</v>
      </c>
      <c r="P187" s="25">
        <f t="shared" si="10"/>
        <v>0</v>
      </c>
      <c r="Q187" s="25">
        <f>SUM(F187:F202)</f>
        <v>0</v>
      </c>
      <c r="R187" s="25">
        <f t="shared" si="10"/>
        <v>1</v>
      </c>
      <c r="S187" s="25">
        <f t="shared" si="10"/>
        <v>0</v>
      </c>
      <c r="T187" s="25">
        <f t="shared" si="10"/>
        <v>0</v>
      </c>
      <c r="U187" s="25">
        <f t="shared" si="10"/>
        <v>0</v>
      </c>
      <c r="V187" s="25">
        <f t="shared" si="10"/>
        <v>120</v>
      </c>
      <c r="W187" s="25">
        <f t="shared" si="10"/>
        <v>534</v>
      </c>
      <c r="X187" s="25">
        <f t="shared" si="10"/>
        <v>39</v>
      </c>
      <c r="AA187" s="71" t="e">
        <f>G187+#REF!+#REF!+M187+K187+L187</f>
        <v>#REF!</v>
      </c>
      <c r="AB187" s="71" t="e">
        <f>SUM(AA187:AA202)</f>
        <v>#REF!</v>
      </c>
      <c r="AG187">
        <f>COUNTIFS('nama pasien'!$O:$O,"Harjowinangun",'nama pasien'!$AD:$AD,"dirawat didemak")</f>
        <v>0</v>
      </c>
    </row>
    <row r="188" spans="1:33" x14ac:dyDescent="0.25">
      <c r="A188" s="62"/>
      <c r="B188" s="61" t="s">
        <v>180</v>
      </c>
      <c r="C188" s="36" t="s">
        <v>180</v>
      </c>
      <c r="D188" s="172">
        <v>0</v>
      </c>
      <c r="E188" s="39"/>
      <c r="F188" s="172">
        <v>0</v>
      </c>
      <c r="G188" s="172">
        <v>0</v>
      </c>
      <c r="H188" s="172">
        <v>0</v>
      </c>
      <c r="I188" s="172">
        <v>0</v>
      </c>
      <c r="J188" s="172">
        <v>0</v>
      </c>
      <c r="K188" s="172">
        <v>9</v>
      </c>
      <c r="L188" s="172">
        <v>63</v>
      </c>
      <c r="M188" s="172">
        <v>4</v>
      </c>
      <c r="N188" s="10">
        <v>4</v>
      </c>
      <c r="O188" s="25"/>
      <c r="P188" s="26"/>
      <c r="Q188" s="27"/>
      <c r="R188" s="26"/>
      <c r="S188" s="26"/>
      <c r="T188" s="26"/>
      <c r="U188" s="26"/>
      <c r="V188" s="27"/>
      <c r="W188" s="27"/>
      <c r="X188" s="26"/>
      <c r="AA188" s="71" t="e">
        <f>G188+#REF!+#REF!+M188+K188+L188</f>
        <v>#REF!</v>
      </c>
      <c r="AG188">
        <f>COUNTIFS('nama pasien'!$O:$O,"Dempet",'nama pasien'!$AD:$AD,"dirawat didemak")</f>
        <v>0</v>
      </c>
    </row>
    <row r="189" spans="1:33" x14ac:dyDescent="0.25">
      <c r="A189" s="62"/>
      <c r="B189" s="61" t="s">
        <v>180</v>
      </c>
      <c r="C189" s="36" t="s">
        <v>182</v>
      </c>
      <c r="D189" s="172">
        <v>0</v>
      </c>
      <c r="E189" s="39"/>
      <c r="F189" s="172">
        <v>0</v>
      </c>
      <c r="G189" s="172">
        <v>0</v>
      </c>
      <c r="H189" s="172">
        <v>0</v>
      </c>
      <c r="I189" s="172">
        <v>0</v>
      </c>
      <c r="J189" s="172">
        <v>0</v>
      </c>
      <c r="K189" s="172">
        <v>3</v>
      </c>
      <c r="L189" s="172">
        <v>8</v>
      </c>
      <c r="M189" s="172">
        <v>0</v>
      </c>
      <c r="N189" s="10">
        <v>0</v>
      </c>
      <c r="O189" s="25"/>
      <c r="P189" s="26"/>
      <c r="Q189" s="27"/>
      <c r="R189" s="26"/>
      <c r="S189" s="26"/>
      <c r="T189" s="26"/>
      <c r="U189" s="26"/>
      <c r="V189" s="27"/>
      <c r="W189" s="27"/>
      <c r="X189" s="26"/>
      <c r="AA189" s="71" t="e">
        <f>G189+#REF!+#REF!+M189+K189+L189</f>
        <v>#REF!</v>
      </c>
      <c r="AG189">
        <f>COUNTIFS('nama pasien'!$O:$O,"Brakas",'nama pasien'!$AD:$AD,"dirawat didemak")</f>
        <v>0</v>
      </c>
    </row>
    <row r="190" spans="1:33" x14ac:dyDescent="0.25">
      <c r="A190" s="62"/>
      <c r="B190" s="61" t="s">
        <v>180</v>
      </c>
      <c r="C190" s="72" t="s">
        <v>47</v>
      </c>
      <c r="D190" s="172">
        <v>0</v>
      </c>
      <c r="E190" s="39"/>
      <c r="F190" s="172">
        <v>0</v>
      </c>
      <c r="G190" s="172">
        <v>0</v>
      </c>
      <c r="H190" s="172">
        <v>0</v>
      </c>
      <c r="I190" s="172">
        <v>0</v>
      </c>
      <c r="J190" s="172">
        <v>0</v>
      </c>
      <c r="K190" s="172">
        <v>21</v>
      </c>
      <c r="L190" s="172">
        <v>33</v>
      </c>
      <c r="M190" s="172">
        <v>5</v>
      </c>
      <c r="N190" s="10">
        <v>5</v>
      </c>
      <c r="O190" s="25"/>
      <c r="P190" s="26"/>
      <c r="Q190" s="27"/>
      <c r="R190" s="26"/>
      <c r="S190" s="26"/>
      <c r="T190" s="26"/>
      <c r="U190" s="26"/>
      <c r="V190" s="27"/>
      <c r="W190" s="27"/>
      <c r="X190" s="26"/>
      <c r="AA190" s="71" t="e">
        <f>G190+#REF!+#REF!+M190+K190+L190</f>
        <v>#REF!</v>
      </c>
      <c r="AG190">
        <f>COUNTIFS('nama pasien'!$O:$O,"Sidomulyo",'nama pasien'!$AD:$AD,"dirawat didemak")</f>
        <v>0</v>
      </c>
    </row>
    <row r="191" spans="1:33" x14ac:dyDescent="0.25">
      <c r="A191" s="62"/>
      <c r="B191" s="61" t="s">
        <v>180</v>
      </c>
      <c r="C191" s="36" t="s">
        <v>183</v>
      </c>
      <c r="D191" s="172">
        <v>0</v>
      </c>
      <c r="E191" s="39"/>
      <c r="F191" s="172">
        <v>0</v>
      </c>
      <c r="G191" s="172">
        <v>0</v>
      </c>
      <c r="H191" s="172">
        <v>0</v>
      </c>
      <c r="I191" s="172">
        <v>0</v>
      </c>
      <c r="J191" s="172">
        <v>0</v>
      </c>
      <c r="K191" s="172">
        <v>4</v>
      </c>
      <c r="L191" s="172">
        <v>14</v>
      </c>
      <c r="M191" s="172">
        <v>0</v>
      </c>
      <c r="N191" s="10">
        <v>0</v>
      </c>
      <c r="O191" s="25"/>
      <c r="P191" s="26"/>
      <c r="Q191" s="27"/>
      <c r="R191" s="26"/>
      <c r="S191" s="26"/>
      <c r="T191" s="26"/>
      <c r="U191" s="26"/>
      <c r="V191" s="27"/>
      <c r="W191" s="27"/>
      <c r="X191" s="26"/>
      <c r="AA191" s="71" t="e">
        <f>G191+#REF!+#REF!+M191+K191+L191</f>
        <v>#REF!</v>
      </c>
      <c r="AG191">
        <f>COUNTIFS('nama pasien'!$O:$O,"Gempoldenok",'nama pasien'!$AD:$AD,"dirawat didemak")</f>
        <v>0</v>
      </c>
    </row>
    <row r="192" spans="1:33" x14ac:dyDescent="0.25">
      <c r="A192" s="62"/>
      <c r="B192" s="61" t="s">
        <v>180</v>
      </c>
      <c r="C192" s="36" t="s">
        <v>184</v>
      </c>
      <c r="D192" s="172">
        <v>0</v>
      </c>
      <c r="E192" s="39"/>
      <c r="F192" s="172">
        <v>0</v>
      </c>
      <c r="G192" s="172">
        <v>0</v>
      </c>
      <c r="H192" s="172">
        <v>0</v>
      </c>
      <c r="I192" s="172">
        <v>0</v>
      </c>
      <c r="J192" s="172">
        <v>0</v>
      </c>
      <c r="K192" s="172">
        <v>6</v>
      </c>
      <c r="L192" s="172">
        <v>44</v>
      </c>
      <c r="M192" s="172">
        <v>6</v>
      </c>
      <c r="N192" s="10">
        <v>5</v>
      </c>
      <c r="O192" s="25"/>
      <c r="P192" s="26"/>
      <c r="Q192" s="27"/>
      <c r="R192" s="26"/>
      <c r="S192" s="26"/>
      <c r="T192" s="26"/>
      <c r="U192" s="26"/>
      <c r="V192" s="27"/>
      <c r="W192" s="27"/>
      <c r="X192" s="26"/>
      <c r="AA192" s="71" t="e">
        <f>G192+#REF!+#REF!+M192+K192+L192</f>
        <v>#REF!</v>
      </c>
      <c r="AG192">
        <f>COUNTIFS('nama pasien'!$O:$O,"Botosengon",'nama pasien'!$AD:$AD,"dirawat didemak")</f>
        <v>0</v>
      </c>
    </row>
    <row r="193" spans="1:33" x14ac:dyDescent="0.25">
      <c r="A193" s="62"/>
      <c r="B193" s="61" t="s">
        <v>180</v>
      </c>
      <c r="C193" s="36" t="s">
        <v>185</v>
      </c>
      <c r="D193" s="172">
        <v>0</v>
      </c>
      <c r="E193" s="39"/>
      <c r="F193" s="172">
        <v>0</v>
      </c>
      <c r="G193" s="172">
        <v>0</v>
      </c>
      <c r="H193" s="172">
        <v>0</v>
      </c>
      <c r="I193" s="172">
        <v>0</v>
      </c>
      <c r="J193" s="172">
        <v>0</v>
      </c>
      <c r="K193" s="172">
        <v>7</v>
      </c>
      <c r="L193" s="172">
        <v>30</v>
      </c>
      <c r="M193" s="172">
        <v>1</v>
      </c>
      <c r="N193" s="10">
        <v>1</v>
      </c>
      <c r="O193" s="25"/>
      <c r="P193" s="26"/>
      <c r="Q193" s="27"/>
      <c r="R193" s="26"/>
      <c r="S193" s="26"/>
      <c r="T193" s="26"/>
      <c r="U193" s="26"/>
      <c r="V193" s="27"/>
      <c r="W193" s="27"/>
      <c r="X193" s="26"/>
      <c r="AA193" s="71" t="e">
        <f>G193+#REF!+#REF!+M193+K193+L193</f>
        <v>#REF!</v>
      </c>
      <c r="AG193">
        <f>COUNTIFS('nama pasien'!$O:$O,"Merak",'nama pasien'!$AD:$AD,"dirawat didemak")</f>
        <v>0</v>
      </c>
    </row>
    <row r="194" spans="1:33" x14ac:dyDescent="0.25">
      <c r="A194" s="62"/>
      <c r="B194" s="61" t="s">
        <v>180</v>
      </c>
      <c r="C194" s="36" t="s">
        <v>186</v>
      </c>
      <c r="D194" s="172">
        <v>0</v>
      </c>
      <c r="E194" s="39"/>
      <c r="F194" s="172">
        <v>0</v>
      </c>
      <c r="G194" s="172">
        <v>0</v>
      </c>
      <c r="H194" s="172">
        <v>0</v>
      </c>
      <c r="I194" s="172">
        <v>0</v>
      </c>
      <c r="J194" s="172">
        <v>0</v>
      </c>
      <c r="K194" s="172">
        <v>5</v>
      </c>
      <c r="L194" s="172">
        <v>24</v>
      </c>
      <c r="M194" s="172">
        <v>1</v>
      </c>
      <c r="N194" s="10">
        <v>1</v>
      </c>
      <c r="O194" s="25"/>
      <c r="P194" s="26"/>
      <c r="Q194" s="27"/>
      <c r="R194" s="26"/>
      <c r="S194" s="26"/>
      <c r="T194" s="26"/>
      <c r="U194" s="26"/>
      <c r="V194" s="27"/>
      <c r="W194" s="27"/>
      <c r="X194" s="26"/>
      <c r="AA194" s="71" t="e">
        <f>G194+#REF!+#REF!+M194+K194+L194</f>
        <v>#REF!</v>
      </c>
      <c r="AG194">
        <f>COUNTIFS('nama pasien'!$O:$O,"Kebonsari",'nama pasien'!$AD:$AD,"dirawat didemak")</f>
        <v>0</v>
      </c>
    </row>
    <row r="195" spans="1:33" x14ac:dyDescent="0.25">
      <c r="A195" s="62"/>
      <c r="B195" s="61" t="s">
        <v>180</v>
      </c>
      <c r="C195" s="36" t="s">
        <v>187</v>
      </c>
      <c r="D195" s="172">
        <v>0</v>
      </c>
      <c r="E195" s="39"/>
      <c r="F195" s="172">
        <v>0</v>
      </c>
      <c r="G195" s="172">
        <v>0</v>
      </c>
      <c r="H195" s="172">
        <v>0</v>
      </c>
      <c r="I195" s="172">
        <v>0</v>
      </c>
      <c r="J195" s="172">
        <v>0</v>
      </c>
      <c r="K195" s="172">
        <v>7</v>
      </c>
      <c r="L195" s="172">
        <v>36</v>
      </c>
      <c r="M195" s="172">
        <v>2</v>
      </c>
      <c r="N195" s="10">
        <v>2</v>
      </c>
      <c r="O195" s="25"/>
      <c r="P195" s="26"/>
      <c r="Q195" s="27"/>
      <c r="R195" s="26"/>
      <c r="S195" s="26"/>
      <c r="T195" s="26"/>
      <c r="U195" s="26"/>
      <c r="V195" s="27"/>
      <c r="W195" s="27"/>
      <c r="X195" s="26"/>
      <c r="AA195" s="71" t="e">
        <f>G195+#REF!+#REF!+M195+K195+L195</f>
        <v>#REF!</v>
      </c>
      <c r="AG195">
        <f>COUNTIFS('nama pasien'!$O:$O,"Balerejo",'nama pasien'!$AD:$AD,"dirawat didemak")</f>
        <v>1</v>
      </c>
    </row>
    <row r="196" spans="1:33" x14ac:dyDescent="0.25">
      <c r="A196" s="62"/>
      <c r="B196" s="61" t="s">
        <v>180</v>
      </c>
      <c r="C196" s="36" t="s">
        <v>56</v>
      </c>
      <c r="D196" s="172">
        <v>0</v>
      </c>
      <c r="E196" s="39"/>
      <c r="F196" s="172">
        <v>0</v>
      </c>
      <c r="G196" s="172">
        <v>0</v>
      </c>
      <c r="H196" s="172">
        <v>0</v>
      </c>
      <c r="I196" s="172">
        <v>0</v>
      </c>
      <c r="J196" s="172">
        <v>0</v>
      </c>
      <c r="K196" s="172">
        <v>9</v>
      </c>
      <c r="L196" s="172">
        <v>28</v>
      </c>
      <c r="M196" s="172">
        <v>0</v>
      </c>
      <c r="N196" s="10">
        <v>0</v>
      </c>
      <c r="O196" s="25"/>
      <c r="P196" s="26"/>
      <c r="Q196" s="27"/>
      <c r="R196" s="26"/>
      <c r="S196" s="26"/>
      <c r="T196" s="26"/>
      <c r="U196" s="26"/>
      <c r="V196" s="27"/>
      <c r="W196" s="27"/>
      <c r="X196" s="26"/>
      <c r="AA196" s="71" t="e">
        <f>G196+#REF!+#REF!+M196+K196+L196</f>
        <v>#REF!</v>
      </c>
      <c r="AG196">
        <f>COUNTIFS('nama pasien'!$O:$O,"Karangrejo",'nama pasien'!$AD:$AD,"dirawat didemak")</f>
        <v>0</v>
      </c>
    </row>
    <row r="197" spans="1:33" x14ac:dyDescent="0.25">
      <c r="A197" s="62"/>
      <c r="B197" s="61" t="s">
        <v>180</v>
      </c>
      <c r="C197" s="36" t="s">
        <v>188</v>
      </c>
      <c r="D197" s="172">
        <v>0</v>
      </c>
      <c r="E197" s="39"/>
      <c r="F197" s="172">
        <v>0</v>
      </c>
      <c r="G197" s="172">
        <v>0</v>
      </c>
      <c r="H197" s="172">
        <v>0</v>
      </c>
      <c r="I197" s="172">
        <v>0</v>
      </c>
      <c r="J197" s="172">
        <v>0</v>
      </c>
      <c r="K197" s="172">
        <v>5</v>
      </c>
      <c r="L197" s="172">
        <v>26</v>
      </c>
      <c r="M197" s="172">
        <v>2</v>
      </c>
      <c r="N197" s="10">
        <v>2</v>
      </c>
      <c r="O197" s="25"/>
      <c r="P197" s="26"/>
      <c r="Q197" s="27"/>
      <c r="R197" s="26"/>
      <c r="S197" s="26"/>
      <c r="T197" s="26"/>
      <c r="U197" s="26"/>
      <c r="V197" s="27"/>
      <c r="W197" s="27"/>
      <c r="X197" s="26"/>
      <c r="AA197" s="71" t="e">
        <f>G197+#REF!+#REF!+M197+K197+L197</f>
        <v>#REF!</v>
      </c>
      <c r="AG197">
        <f>COUNTIFS('nama pasien'!$O:$O,"Baleromo",'nama pasien'!$AD:$AD,"dirawat didemak")</f>
        <v>0</v>
      </c>
    </row>
    <row r="198" spans="1:33" x14ac:dyDescent="0.25">
      <c r="A198" s="62"/>
      <c r="B198" s="61" t="s">
        <v>180</v>
      </c>
      <c r="C198" s="36" t="s">
        <v>189</v>
      </c>
      <c r="D198" s="172">
        <v>0</v>
      </c>
      <c r="E198" s="39"/>
      <c r="F198" s="172">
        <v>0</v>
      </c>
      <c r="G198" s="172">
        <v>0</v>
      </c>
      <c r="H198" s="172">
        <v>0</v>
      </c>
      <c r="I198" s="172">
        <v>0</v>
      </c>
      <c r="J198" s="172">
        <v>0</v>
      </c>
      <c r="K198" s="172">
        <v>1</v>
      </c>
      <c r="L198" s="172">
        <v>11</v>
      </c>
      <c r="M198" s="172">
        <v>1</v>
      </c>
      <c r="N198" s="10">
        <v>1</v>
      </c>
      <c r="O198" s="25"/>
      <c r="P198" s="26"/>
      <c r="Q198" s="27"/>
      <c r="R198" s="26"/>
      <c r="S198" s="26"/>
      <c r="T198" s="26"/>
      <c r="U198" s="26"/>
      <c r="V198" s="27"/>
      <c r="W198" s="27"/>
      <c r="X198" s="26"/>
      <c r="AA198" s="71" t="e">
        <f>G198+#REF!+#REF!+M198+K198+L198</f>
        <v>#REF!</v>
      </c>
      <c r="AG198">
        <f>COUNTIFS('nama pasien'!$O:$O,"Jeruk gulung",'nama pasien'!$AD:$AD,"dirawat didemak")</f>
        <v>0</v>
      </c>
    </row>
    <row r="199" spans="1:33" x14ac:dyDescent="0.25">
      <c r="A199" s="62"/>
      <c r="B199" s="61" t="s">
        <v>180</v>
      </c>
      <c r="C199" s="36" t="s">
        <v>190</v>
      </c>
      <c r="D199" s="172">
        <v>0</v>
      </c>
      <c r="E199" s="39"/>
      <c r="F199" s="172">
        <v>0</v>
      </c>
      <c r="G199" s="172">
        <v>1</v>
      </c>
      <c r="H199" s="172">
        <v>0</v>
      </c>
      <c r="I199" s="172">
        <v>0</v>
      </c>
      <c r="J199" s="172">
        <v>0</v>
      </c>
      <c r="K199" s="172">
        <v>7</v>
      </c>
      <c r="L199" s="172">
        <v>33</v>
      </c>
      <c r="M199" s="172">
        <v>1</v>
      </c>
      <c r="N199" s="10">
        <v>1</v>
      </c>
      <c r="O199" s="25"/>
      <c r="P199" s="26"/>
      <c r="Q199" s="27"/>
      <c r="R199" s="26"/>
      <c r="S199" s="26"/>
      <c r="T199" s="26"/>
      <c r="U199" s="26"/>
      <c r="V199" s="27"/>
      <c r="W199" s="27"/>
      <c r="X199" s="26"/>
      <c r="AA199" s="71" t="e">
        <f>G199+#REF!+#REF!+M199+K199+L199</f>
        <v>#REF!</v>
      </c>
      <c r="AG199">
        <f>COUNTIFS('nama pasien'!$O:$O,"Kunir",'nama pasien'!$AD:$AD,"dirawat didemak")</f>
        <v>0</v>
      </c>
    </row>
    <row r="200" spans="1:33" x14ac:dyDescent="0.25">
      <c r="A200" s="62"/>
      <c r="B200" s="61" t="s">
        <v>180</v>
      </c>
      <c r="C200" s="36" t="s">
        <v>191</v>
      </c>
      <c r="D200" s="172">
        <v>0</v>
      </c>
      <c r="E200" s="39"/>
      <c r="F200" s="172">
        <v>0</v>
      </c>
      <c r="G200" s="172">
        <v>0</v>
      </c>
      <c r="H200" s="172">
        <v>0</v>
      </c>
      <c r="I200" s="172">
        <v>0</v>
      </c>
      <c r="J200" s="172">
        <v>0</v>
      </c>
      <c r="K200" s="172">
        <v>4</v>
      </c>
      <c r="L200" s="172">
        <v>56</v>
      </c>
      <c r="M200" s="172">
        <v>7</v>
      </c>
      <c r="N200" s="10">
        <v>7</v>
      </c>
      <c r="O200" s="25"/>
      <c r="P200" s="26"/>
      <c r="Q200" s="27"/>
      <c r="R200" s="26"/>
      <c r="S200" s="26"/>
      <c r="T200" s="26"/>
      <c r="U200" s="26"/>
      <c r="V200" s="27"/>
      <c r="W200" s="27"/>
      <c r="X200" s="26"/>
      <c r="AA200" s="71" t="e">
        <f>G200+#REF!+#REF!+M200+K200+L200</f>
        <v>#REF!</v>
      </c>
      <c r="AG200">
        <f>COUNTIFS('nama pasien'!$O:$O,"Kedongori",'nama pasien'!$AD:$AD,"dirawat didemak")</f>
        <v>0</v>
      </c>
    </row>
    <row r="201" spans="1:33" x14ac:dyDescent="0.25">
      <c r="A201" s="62"/>
      <c r="B201" s="61" t="s">
        <v>180</v>
      </c>
      <c r="C201" s="72" t="s">
        <v>192</v>
      </c>
      <c r="D201" s="172">
        <v>0</v>
      </c>
      <c r="E201" s="39"/>
      <c r="F201" s="172">
        <v>0</v>
      </c>
      <c r="G201" s="172">
        <v>0</v>
      </c>
      <c r="H201" s="172">
        <v>0</v>
      </c>
      <c r="I201" s="172">
        <v>0</v>
      </c>
      <c r="J201" s="172">
        <v>0</v>
      </c>
      <c r="K201" s="172">
        <v>10</v>
      </c>
      <c r="L201" s="172">
        <v>32</v>
      </c>
      <c r="M201" s="172">
        <v>1</v>
      </c>
      <c r="N201" s="10">
        <v>1</v>
      </c>
      <c r="O201" s="25"/>
      <c r="P201" s="26"/>
      <c r="Q201" s="27"/>
      <c r="R201" s="26"/>
      <c r="S201" s="26"/>
      <c r="T201" s="26"/>
      <c r="U201" s="26"/>
      <c r="V201" s="27"/>
      <c r="W201" s="27"/>
      <c r="X201" s="26"/>
      <c r="AA201" s="71" t="e">
        <f>G201+#REF!+#REF!+M201+K201+L201</f>
        <v>#REF!</v>
      </c>
      <c r="AC201" s="34">
        <v>1</v>
      </c>
      <c r="AG201">
        <f>COUNTIFS('nama pasien'!$O:$O,"Kuwu",'nama pasien'!$AD:$AD,"dirawat didemak")</f>
        <v>0</v>
      </c>
    </row>
    <row r="202" spans="1:33" x14ac:dyDescent="0.25">
      <c r="A202" s="62"/>
      <c r="B202" s="61" t="s">
        <v>180</v>
      </c>
      <c r="C202" s="36" t="s">
        <v>193</v>
      </c>
      <c r="D202" s="172">
        <v>0</v>
      </c>
      <c r="E202" s="39"/>
      <c r="F202" s="172">
        <v>0</v>
      </c>
      <c r="G202" s="172">
        <v>0</v>
      </c>
      <c r="H202" s="172">
        <v>0</v>
      </c>
      <c r="I202" s="172">
        <v>0</v>
      </c>
      <c r="J202" s="172">
        <v>0</v>
      </c>
      <c r="K202" s="172">
        <v>9</v>
      </c>
      <c r="L202" s="172">
        <v>38</v>
      </c>
      <c r="M202" s="172">
        <v>0</v>
      </c>
      <c r="N202" s="11">
        <v>0</v>
      </c>
      <c r="O202" s="25"/>
      <c r="P202" s="26"/>
      <c r="Q202" s="27"/>
      <c r="R202" s="26"/>
      <c r="S202" s="26"/>
      <c r="T202" s="26"/>
      <c r="U202" s="26"/>
      <c r="V202" s="27"/>
      <c r="W202" s="27"/>
      <c r="X202" s="26"/>
      <c r="AA202" s="71" t="e">
        <f>G202+#REF!+#REF!+M202+K202+L202</f>
        <v>#REF!</v>
      </c>
      <c r="AG202">
        <f>COUNTIFS('nama pasien'!$O:$O,"Kramat",'nama pasien'!$AD:$AD,"dirawat didemak")</f>
        <v>1</v>
      </c>
    </row>
    <row r="203" spans="1:33" ht="15" customHeight="1" x14ac:dyDescent="0.25">
      <c r="A203" s="62">
        <v>12</v>
      </c>
      <c r="B203" s="61" t="s">
        <v>194</v>
      </c>
      <c r="C203" s="36" t="s">
        <v>195</v>
      </c>
      <c r="D203" s="172">
        <v>0</v>
      </c>
      <c r="E203" s="39"/>
      <c r="F203" s="172">
        <v>0</v>
      </c>
      <c r="G203" s="172">
        <v>0</v>
      </c>
      <c r="H203" s="172">
        <v>0</v>
      </c>
      <c r="I203" s="172">
        <v>0</v>
      </c>
      <c r="J203" s="172">
        <v>0</v>
      </c>
      <c r="K203" s="172">
        <v>18</v>
      </c>
      <c r="L203" s="172">
        <v>35</v>
      </c>
      <c r="M203" s="172">
        <v>5</v>
      </c>
      <c r="N203" s="5">
        <v>5</v>
      </c>
      <c r="O203" s="25">
        <f t="shared" ref="O203:X203" si="11">SUM(D203:D216)</f>
        <v>0</v>
      </c>
      <c r="P203" s="25">
        <f t="shared" si="11"/>
        <v>0</v>
      </c>
      <c r="Q203" s="25">
        <f>SUM(F203:F216)</f>
        <v>0</v>
      </c>
      <c r="R203" s="25">
        <f t="shared" si="11"/>
        <v>0</v>
      </c>
      <c r="S203" s="25">
        <f t="shared" si="11"/>
        <v>0</v>
      </c>
      <c r="T203" s="25">
        <f t="shared" si="11"/>
        <v>0</v>
      </c>
      <c r="U203" s="25">
        <f t="shared" si="11"/>
        <v>0</v>
      </c>
      <c r="V203" s="25">
        <f t="shared" si="11"/>
        <v>154</v>
      </c>
      <c r="W203" s="25">
        <f t="shared" si="11"/>
        <v>345</v>
      </c>
      <c r="X203" s="25">
        <f t="shared" si="11"/>
        <v>54</v>
      </c>
      <c r="AA203" s="71" t="e">
        <f>G203+#REF!+#REF!+M203+K203+L203</f>
        <v>#REF!</v>
      </c>
      <c r="AB203" s="71" t="e">
        <f>SUM(AA203:AA216)</f>
        <v>#REF!</v>
      </c>
      <c r="AG203">
        <f>COUNTIFS('nama pasien'!$O:$O,"Mangunrejo",'nama pasien'!$AD:$AD,"dirawat didemak")</f>
        <v>0</v>
      </c>
    </row>
    <row r="204" spans="1:33" ht="15" customHeight="1" x14ac:dyDescent="0.25">
      <c r="A204" s="62"/>
      <c r="B204" s="61" t="s">
        <v>194</v>
      </c>
      <c r="C204" s="36" t="s">
        <v>196</v>
      </c>
      <c r="D204" s="172">
        <v>0</v>
      </c>
      <c r="E204" s="39"/>
      <c r="F204" s="172">
        <v>0</v>
      </c>
      <c r="G204" s="172">
        <v>0</v>
      </c>
      <c r="H204" s="172">
        <v>0</v>
      </c>
      <c r="I204" s="172">
        <v>0</v>
      </c>
      <c r="J204" s="172">
        <v>0</v>
      </c>
      <c r="K204" s="172">
        <v>4</v>
      </c>
      <c r="L204" s="172">
        <v>24</v>
      </c>
      <c r="M204" s="172">
        <v>5</v>
      </c>
      <c r="N204" s="3">
        <v>5</v>
      </c>
      <c r="O204" s="25"/>
      <c r="P204" s="26"/>
      <c r="Q204" s="27"/>
      <c r="R204" s="26"/>
      <c r="S204" s="26"/>
      <c r="T204" s="26"/>
      <c r="U204" s="26"/>
      <c r="V204" s="27"/>
      <c r="W204" s="27"/>
      <c r="X204" s="26"/>
      <c r="AA204" s="71" t="e">
        <f>G204+#REF!+#REF!+M204+K204+L204</f>
        <v>#REF!</v>
      </c>
      <c r="AG204">
        <f>COUNTIFS('nama pasien'!$O:$O,"Tlogosih",'nama pasien'!$AD:$AD,"dirawat didemak")</f>
        <v>0</v>
      </c>
    </row>
    <row r="205" spans="1:33" ht="15" customHeight="1" x14ac:dyDescent="0.25">
      <c r="A205" s="62"/>
      <c r="B205" s="61" t="s">
        <v>194</v>
      </c>
      <c r="C205" s="36" t="s">
        <v>197</v>
      </c>
      <c r="D205" s="172">
        <v>0</v>
      </c>
      <c r="E205" s="39"/>
      <c r="F205" s="172">
        <v>0</v>
      </c>
      <c r="G205" s="172">
        <v>0</v>
      </c>
      <c r="H205" s="172">
        <v>0</v>
      </c>
      <c r="I205" s="172">
        <v>0</v>
      </c>
      <c r="J205" s="172">
        <v>0</v>
      </c>
      <c r="K205" s="172">
        <v>3</v>
      </c>
      <c r="L205" s="172">
        <v>13</v>
      </c>
      <c r="M205" s="172">
        <v>2</v>
      </c>
      <c r="N205" s="3">
        <v>1</v>
      </c>
      <c r="O205" s="25"/>
      <c r="P205" s="26"/>
      <c r="Q205" s="27"/>
      <c r="R205" s="26"/>
      <c r="S205" s="26"/>
      <c r="T205" s="26"/>
      <c r="U205" s="26"/>
      <c r="V205" s="27"/>
      <c r="W205" s="27"/>
      <c r="X205" s="26"/>
      <c r="AA205" s="71" t="e">
        <f>G205+#REF!+#REF!+M205+K205+L205</f>
        <v>#REF!</v>
      </c>
      <c r="AG205">
        <f>COUNTIFS('nama pasien'!$O:$O,"Megonten",'nama pasien'!$AD:$AD,"dirawat didemak")</f>
        <v>0</v>
      </c>
    </row>
    <row r="206" spans="1:33" ht="15" customHeight="1" x14ac:dyDescent="0.25">
      <c r="A206" s="62"/>
      <c r="B206" s="61" t="s">
        <v>194</v>
      </c>
      <c r="C206" s="36" t="s">
        <v>198</v>
      </c>
      <c r="D206" s="172">
        <v>0</v>
      </c>
      <c r="E206" s="39"/>
      <c r="F206" s="172">
        <v>0</v>
      </c>
      <c r="G206" s="172">
        <v>0</v>
      </c>
      <c r="H206" s="172">
        <v>0</v>
      </c>
      <c r="I206" s="172">
        <v>0</v>
      </c>
      <c r="J206" s="172">
        <v>0</v>
      </c>
      <c r="K206" s="172">
        <v>7</v>
      </c>
      <c r="L206" s="172">
        <v>16</v>
      </c>
      <c r="M206" s="172">
        <v>3</v>
      </c>
      <c r="N206" s="3">
        <v>2</v>
      </c>
      <c r="O206" s="25"/>
      <c r="P206" s="26"/>
      <c r="Q206" s="27"/>
      <c r="R206" s="26"/>
      <c r="S206" s="26"/>
      <c r="T206" s="26"/>
      <c r="U206" s="26"/>
      <c r="V206" s="27"/>
      <c r="W206" s="27"/>
      <c r="X206" s="26"/>
      <c r="AA206" s="71" t="e">
        <f>G206+#REF!+#REF!+M206+K206+L206</f>
        <v>#REF!</v>
      </c>
      <c r="AG206">
        <f>COUNTIFS('nama pasien'!$O:$O,"Sokokidul",'nama pasien'!$AD:$AD,"dirawat didemak")</f>
        <v>0</v>
      </c>
    </row>
    <row r="207" spans="1:33" ht="15" customHeight="1" x14ac:dyDescent="0.25">
      <c r="A207" s="62"/>
      <c r="B207" s="61" t="s">
        <v>194</v>
      </c>
      <c r="C207" s="36" t="s">
        <v>199</v>
      </c>
      <c r="D207" s="172">
        <v>0</v>
      </c>
      <c r="E207" s="39"/>
      <c r="F207" s="172">
        <v>0</v>
      </c>
      <c r="G207" s="172">
        <v>0</v>
      </c>
      <c r="H207" s="172">
        <v>0</v>
      </c>
      <c r="I207" s="172">
        <v>0</v>
      </c>
      <c r="J207" s="172">
        <v>0</v>
      </c>
      <c r="K207" s="172">
        <v>18</v>
      </c>
      <c r="L207" s="172">
        <v>27</v>
      </c>
      <c r="M207" s="172">
        <v>5</v>
      </c>
      <c r="N207" s="3">
        <v>5</v>
      </c>
      <c r="O207" s="25"/>
      <c r="P207" s="26"/>
      <c r="Q207" s="27"/>
      <c r="R207" s="26"/>
      <c r="S207" s="26"/>
      <c r="T207" s="26"/>
      <c r="U207" s="26"/>
      <c r="V207" s="27"/>
      <c r="W207" s="27"/>
      <c r="X207" s="26"/>
      <c r="AA207" s="71" t="e">
        <f>G207+#REF!+#REF!+M207+K207+L207</f>
        <v>#REF!</v>
      </c>
      <c r="AG207">
        <f>COUNTIFS('nama pasien'!$O:$O,"Pilangwetan",'nama pasien'!$AD:$AD,"dirawat didemak")</f>
        <v>0</v>
      </c>
    </row>
    <row r="208" spans="1:33" ht="15" customHeight="1" x14ac:dyDescent="0.25">
      <c r="A208" s="62"/>
      <c r="B208" s="61" t="s">
        <v>194</v>
      </c>
      <c r="C208" s="36" t="s">
        <v>194</v>
      </c>
      <c r="D208" s="172">
        <v>0</v>
      </c>
      <c r="E208" s="39"/>
      <c r="F208" s="172">
        <v>0</v>
      </c>
      <c r="G208" s="172">
        <v>0</v>
      </c>
      <c r="H208" s="172">
        <v>0</v>
      </c>
      <c r="I208" s="172">
        <v>0</v>
      </c>
      <c r="J208" s="172">
        <v>0</v>
      </c>
      <c r="K208" s="172">
        <v>25</v>
      </c>
      <c r="L208" s="172">
        <v>64</v>
      </c>
      <c r="M208" s="172">
        <v>5</v>
      </c>
      <c r="N208" s="3">
        <v>5</v>
      </c>
      <c r="O208" s="25"/>
      <c r="P208" s="26"/>
      <c r="Q208" s="27"/>
      <c r="R208" s="26"/>
      <c r="S208" s="26"/>
      <c r="T208" s="26"/>
      <c r="U208" s="26"/>
      <c r="V208" s="27"/>
      <c r="W208" s="27"/>
      <c r="X208" s="26"/>
      <c r="AA208" s="71" t="e">
        <f>G208+#REF!+#REF!+M208+K208+L208</f>
        <v>#REF!</v>
      </c>
      <c r="AG208">
        <f>COUNTIFS('nama pasien'!$O:$O,"Kebonagung",'nama pasien'!$AD:$AD,"dirawat didemak")</f>
        <v>0</v>
      </c>
    </row>
    <row r="209" spans="1:33" ht="15" customHeight="1" x14ac:dyDescent="0.25">
      <c r="A209" s="62"/>
      <c r="B209" s="61" t="s">
        <v>194</v>
      </c>
      <c r="C209" s="36" t="s">
        <v>91</v>
      </c>
      <c r="D209" s="172">
        <v>0</v>
      </c>
      <c r="E209" s="39"/>
      <c r="F209" s="172">
        <v>0</v>
      </c>
      <c r="G209" s="172">
        <v>0</v>
      </c>
      <c r="H209" s="172">
        <v>0</v>
      </c>
      <c r="I209" s="172">
        <v>0</v>
      </c>
      <c r="J209" s="172">
        <v>0</v>
      </c>
      <c r="K209" s="172">
        <v>32</v>
      </c>
      <c r="L209" s="172">
        <v>45</v>
      </c>
      <c r="M209" s="172">
        <v>7</v>
      </c>
      <c r="N209" s="3">
        <v>7</v>
      </c>
      <c r="O209" s="25"/>
      <c r="P209" s="26"/>
      <c r="Q209" s="27"/>
      <c r="R209" s="26"/>
      <c r="S209" s="26"/>
      <c r="T209" s="26"/>
      <c r="U209" s="26"/>
      <c r="V209" s="27"/>
      <c r="W209" s="27"/>
      <c r="X209" s="26"/>
      <c r="AA209" s="71" t="e">
        <f>G209+#REF!+#REF!+M209+K209+L209</f>
        <v>#REF!</v>
      </c>
      <c r="AG209">
        <f>COUNTIFS('nama pasien'!$O:$O,"Mijen",'nama pasien'!$AD:$AD,"dirawat didemak")</f>
        <v>0</v>
      </c>
    </row>
    <row r="210" spans="1:33" ht="15" customHeight="1" x14ac:dyDescent="0.25">
      <c r="A210" s="62"/>
      <c r="B210" s="61" t="s">
        <v>194</v>
      </c>
      <c r="C210" s="36" t="s">
        <v>200</v>
      </c>
      <c r="D210" s="172">
        <v>0</v>
      </c>
      <c r="E210" s="39"/>
      <c r="F210" s="172">
        <v>0</v>
      </c>
      <c r="G210" s="172">
        <v>0</v>
      </c>
      <c r="H210" s="172">
        <v>0</v>
      </c>
      <c r="I210" s="172">
        <v>0</v>
      </c>
      <c r="J210" s="172">
        <v>0</v>
      </c>
      <c r="K210" s="172">
        <v>9</v>
      </c>
      <c r="L210" s="172">
        <v>9</v>
      </c>
      <c r="M210" s="172">
        <v>3</v>
      </c>
      <c r="N210" s="3">
        <v>3</v>
      </c>
      <c r="O210" s="25"/>
      <c r="P210" s="26"/>
      <c r="Q210" s="27"/>
      <c r="R210" s="26"/>
      <c r="S210" s="26"/>
      <c r="T210" s="26"/>
      <c r="U210" s="26"/>
      <c r="V210" s="27"/>
      <c r="W210" s="27"/>
      <c r="X210" s="26"/>
      <c r="AA210" s="71" t="e">
        <f>G210+#REF!+#REF!+M210+K210+L210</f>
        <v>#REF!</v>
      </c>
      <c r="AG210">
        <f>COUNTIFS('nama pasien'!$O:$O,"Klampok Lor",'nama pasien'!$AD:$AD,"dirawat didemak")</f>
        <v>0</v>
      </c>
    </row>
    <row r="211" spans="1:33" ht="15" customHeight="1" x14ac:dyDescent="0.25">
      <c r="A211" s="62"/>
      <c r="B211" s="61" t="s">
        <v>194</v>
      </c>
      <c r="C211" s="36" t="s">
        <v>201</v>
      </c>
      <c r="D211" s="172">
        <v>0</v>
      </c>
      <c r="E211" s="39"/>
      <c r="F211" s="172">
        <v>0</v>
      </c>
      <c r="G211" s="172">
        <v>0</v>
      </c>
      <c r="H211" s="172">
        <v>0</v>
      </c>
      <c r="I211" s="172">
        <v>0</v>
      </c>
      <c r="J211" s="172">
        <v>0</v>
      </c>
      <c r="K211" s="172">
        <v>9</v>
      </c>
      <c r="L211" s="172">
        <v>19</v>
      </c>
      <c r="M211" s="172">
        <v>4</v>
      </c>
      <c r="N211" s="3">
        <v>4</v>
      </c>
      <c r="O211" s="25"/>
      <c r="P211" s="26"/>
      <c r="Q211" s="27"/>
      <c r="R211" s="26"/>
      <c r="S211" s="26"/>
      <c r="T211" s="26"/>
      <c r="U211" s="26"/>
      <c r="V211" s="27"/>
      <c r="W211" s="27"/>
      <c r="X211" s="26"/>
      <c r="AA211" s="71" t="e">
        <f>G211+#REF!+#REF!+M211+K211+L211</f>
        <v>#REF!</v>
      </c>
      <c r="AG211">
        <f>COUNTIFS('nama pasien'!$O:$O,"Werdoyo",'nama pasien'!$AD:$AD,"dirawat didemak")</f>
        <v>0</v>
      </c>
    </row>
    <row r="212" spans="1:33" ht="15" customHeight="1" x14ac:dyDescent="0.25">
      <c r="A212" s="62"/>
      <c r="B212" s="61" t="s">
        <v>194</v>
      </c>
      <c r="C212" s="36" t="s">
        <v>202</v>
      </c>
      <c r="D212" s="172">
        <v>0</v>
      </c>
      <c r="E212" s="39"/>
      <c r="F212" s="172">
        <v>0</v>
      </c>
      <c r="G212" s="172">
        <v>0</v>
      </c>
      <c r="H212" s="172">
        <v>0</v>
      </c>
      <c r="I212" s="172">
        <v>0</v>
      </c>
      <c r="J212" s="172">
        <v>0</v>
      </c>
      <c r="K212" s="172">
        <v>6</v>
      </c>
      <c r="L212" s="172">
        <v>31</v>
      </c>
      <c r="M212" s="172">
        <v>2</v>
      </c>
      <c r="N212" s="3">
        <v>1</v>
      </c>
      <c r="O212" s="25"/>
      <c r="P212" s="26"/>
      <c r="Q212" s="27"/>
      <c r="R212" s="26"/>
      <c r="S212" s="26"/>
      <c r="T212" s="26"/>
      <c r="U212" s="26"/>
      <c r="V212" s="27"/>
      <c r="W212" s="27"/>
      <c r="X212" s="26"/>
      <c r="AA212" s="71" t="e">
        <f>G212+#REF!+#REF!+M212+K212+L212</f>
        <v>#REF!</v>
      </c>
      <c r="AG212">
        <f>COUNTIFS('nama pasien'!$O:$O,"Babat",'nama pasien'!$AD:$AD,"dirawat didemak")</f>
        <v>0</v>
      </c>
    </row>
    <row r="213" spans="1:33" ht="15" customHeight="1" x14ac:dyDescent="0.25">
      <c r="A213" s="62"/>
      <c r="B213" s="61" t="s">
        <v>194</v>
      </c>
      <c r="C213" s="36" t="s">
        <v>203</v>
      </c>
      <c r="D213" s="172">
        <v>0</v>
      </c>
      <c r="E213" s="39"/>
      <c r="F213" s="172">
        <v>0</v>
      </c>
      <c r="G213" s="172">
        <v>0</v>
      </c>
      <c r="H213" s="172">
        <v>0</v>
      </c>
      <c r="I213" s="172">
        <v>0</v>
      </c>
      <c r="J213" s="172">
        <v>0</v>
      </c>
      <c r="K213" s="172">
        <v>1</v>
      </c>
      <c r="L213" s="172">
        <v>11</v>
      </c>
      <c r="M213" s="172">
        <v>3</v>
      </c>
      <c r="N213" s="3">
        <v>3</v>
      </c>
      <c r="O213" s="25"/>
      <c r="P213" s="26"/>
      <c r="Q213" s="27"/>
      <c r="R213" s="26"/>
      <c r="S213" s="26"/>
      <c r="T213" s="26"/>
      <c r="U213" s="26"/>
      <c r="V213" s="27"/>
      <c r="W213" s="27"/>
      <c r="X213" s="26"/>
      <c r="AA213" s="71" t="e">
        <f>G213+#REF!+#REF!+M213+K213+L213</f>
        <v>#REF!</v>
      </c>
      <c r="AG213">
        <f>COUNTIFS('nama pasien'!$O:$O,"Prigi",'nama pasien'!$AD:$AD,"dirawat didemak")</f>
        <v>0</v>
      </c>
    </row>
    <row r="214" spans="1:33" ht="15" customHeight="1" x14ac:dyDescent="0.25">
      <c r="A214" s="62"/>
      <c r="B214" s="61" t="s">
        <v>194</v>
      </c>
      <c r="C214" s="36" t="s">
        <v>204</v>
      </c>
      <c r="D214" s="172">
        <v>0</v>
      </c>
      <c r="E214" s="39"/>
      <c r="F214" s="172">
        <v>0</v>
      </c>
      <c r="G214" s="172">
        <v>0</v>
      </c>
      <c r="H214" s="172">
        <v>0</v>
      </c>
      <c r="I214" s="172">
        <v>0</v>
      </c>
      <c r="J214" s="172">
        <v>0</v>
      </c>
      <c r="K214" s="172">
        <v>8</v>
      </c>
      <c r="L214" s="172">
        <v>13</v>
      </c>
      <c r="M214" s="172">
        <v>3</v>
      </c>
      <c r="N214" s="3">
        <v>3</v>
      </c>
      <c r="O214" s="25"/>
      <c r="P214" s="26"/>
      <c r="Q214" s="27"/>
      <c r="R214" s="26"/>
      <c r="S214" s="26"/>
      <c r="T214" s="26"/>
      <c r="U214" s="26"/>
      <c r="V214" s="27"/>
      <c r="W214" s="27"/>
      <c r="X214" s="26"/>
      <c r="AA214" s="71" t="e">
        <f>G214+#REF!+#REF!+M214+K214+L214</f>
        <v>#REF!</v>
      </c>
      <c r="AG214">
        <f>COUNTIFS('nama pasien'!$O:$O,"Sarimulyo",'nama pasien'!$AD:$AD,"dirawat didemak")</f>
        <v>0</v>
      </c>
    </row>
    <row r="215" spans="1:33" ht="15" customHeight="1" x14ac:dyDescent="0.25">
      <c r="A215" s="62"/>
      <c r="B215" s="61" t="s">
        <v>194</v>
      </c>
      <c r="C215" s="36" t="s">
        <v>205</v>
      </c>
      <c r="D215" s="172">
        <v>0</v>
      </c>
      <c r="E215" s="39"/>
      <c r="F215" s="172">
        <v>0</v>
      </c>
      <c r="G215" s="172">
        <v>0</v>
      </c>
      <c r="H215" s="172">
        <v>0</v>
      </c>
      <c r="I215" s="172">
        <v>0</v>
      </c>
      <c r="J215" s="172">
        <v>0</v>
      </c>
      <c r="K215" s="172">
        <v>4</v>
      </c>
      <c r="L215" s="172">
        <v>13</v>
      </c>
      <c r="M215" s="172">
        <v>1</v>
      </c>
      <c r="N215" s="3">
        <v>1</v>
      </c>
      <c r="O215" s="25"/>
      <c r="P215" s="26"/>
      <c r="Q215" s="27"/>
      <c r="R215" s="26"/>
      <c r="S215" s="26"/>
      <c r="T215" s="26"/>
      <c r="U215" s="26"/>
      <c r="V215" s="27"/>
      <c r="W215" s="27"/>
      <c r="X215" s="26"/>
      <c r="AA215" s="71" t="e">
        <f>G215+#REF!+#REF!+M215+K215+L215</f>
        <v>#REF!</v>
      </c>
      <c r="AG215">
        <f>COUNTIFS('nama pasien'!$O:$O,"Solowire",'nama pasien'!$AD:$AD,"dirawat didemak")</f>
        <v>0</v>
      </c>
    </row>
    <row r="216" spans="1:33" ht="15" customHeight="1" x14ac:dyDescent="0.25">
      <c r="A216" s="62"/>
      <c r="B216" s="61" t="s">
        <v>194</v>
      </c>
      <c r="C216" s="36" t="s">
        <v>206</v>
      </c>
      <c r="D216" s="172">
        <v>0</v>
      </c>
      <c r="E216" s="39"/>
      <c r="F216" s="172">
        <v>0</v>
      </c>
      <c r="G216" s="172">
        <v>0</v>
      </c>
      <c r="H216" s="172">
        <v>0</v>
      </c>
      <c r="I216" s="172">
        <v>0</v>
      </c>
      <c r="J216" s="172">
        <v>0</v>
      </c>
      <c r="K216" s="172">
        <v>10</v>
      </c>
      <c r="L216" s="172">
        <v>25</v>
      </c>
      <c r="M216" s="172">
        <v>6</v>
      </c>
      <c r="N216" s="4">
        <v>6</v>
      </c>
      <c r="O216" s="25"/>
      <c r="P216" s="26"/>
      <c r="Q216" s="27"/>
      <c r="R216" s="26"/>
      <c r="S216" s="26"/>
      <c r="T216" s="26"/>
      <c r="U216" s="26"/>
      <c r="V216" s="27"/>
      <c r="W216" s="27"/>
      <c r="X216" s="26"/>
      <c r="AA216" s="71" t="e">
        <f>G216+#REF!+#REF!+M216+K216+L216</f>
        <v>#REF!</v>
      </c>
      <c r="AC216" s="34">
        <v>1</v>
      </c>
      <c r="AG216">
        <f>COUNTIFS('nama pasien'!$O:$O,"Mangunan Lor",'nama pasien'!$AD:$AD,"dirawat didemak")</f>
        <v>0</v>
      </c>
    </row>
    <row r="217" spans="1:33" x14ac:dyDescent="0.25">
      <c r="A217" s="62">
        <v>13</v>
      </c>
      <c r="B217" s="61" t="s">
        <v>207</v>
      </c>
      <c r="C217" s="36" t="s">
        <v>209</v>
      </c>
      <c r="D217" s="172">
        <v>0</v>
      </c>
      <c r="E217" s="39"/>
      <c r="F217" s="172">
        <v>0</v>
      </c>
      <c r="G217" s="172">
        <v>0</v>
      </c>
      <c r="H217" s="172">
        <v>0</v>
      </c>
      <c r="I217" s="172">
        <v>0</v>
      </c>
      <c r="J217" s="172">
        <v>0</v>
      </c>
      <c r="K217" s="172">
        <v>12</v>
      </c>
      <c r="L217" s="172">
        <v>20</v>
      </c>
      <c r="M217" s="172">
        <v>2</v>
      </c>
      <c r="N217" s="10">
        <v>2</v>
      </c>
      <c r="O217" s="25">
        <f t="shared" ref="O217:X217" si="12">SUM(D217:D236)</f>
        <v>0</v>
      </c>
      <c r="P217" s="25">
        <f t="shared" si="12"/>
        <v>0</v>
      </c>
      <c r="Q217" s="25">
        <f>SUM(F217:F236)</f>
        <v>110</v>
      </c>
      <c r="R217" s="25">
        <f t="shared" si="12"/>
        <v>1</v>
      </c>
      <c r="S217" s="25">
        <f t="shared" si="12"/>
        <v>2</v>
      </c>
      <c r="T217" s="25">
        <f t="shared" si="12"/>
        <v>0</v>
      </c>
      <c r="U217" s="25">
        <f t="shared" si="12"/>
        <v>1</v>
      </c>
      <c r="V217" s="25">
        <f t="shared" si="12"/>
        <v>404</v>
      </c>
      <c r="W217" s="25">
        <f t="shared" si="12"/>
        <v>610</v>
      </c>
      <c r="X217" s="25">
        <f t="shared" si="12"/>
        <v>115</v>
      </c>
      <c r="AA217" s="71" t="e">
        <f>G217+#REF!+#REF!+M217+K217+L217</f>
        <v>#REF!</v>
      </c>
      <c r="AB217" s="71" t="e">
        <f>SUM(AA217:AA236)</f>
        <v>#REF!</v>
      </c>
      <c r="AG217">
        <f>COUNTIFS('nama pasien'!$O:$O,"Bedono",'nama pasien'!$AD:$AD,"dirawat didemak")</f>
        <v>0</v>
      </c>
    </row>
    <row r="218" spans="1:33" x14ac:dyDescent="0.25">
      <c r="A218" s="62"/>
      <c r="B218" s="61" t="s">
        <v>207</v>
      </c>
      <c r="C218" s="36" t="s">
        <v>210</v>
      </c>
      <c r="D218" s="172">
        <v>0</v>
      </c>
      <c r="E218" s="39"/>
      <c r="F218" s="172">
        <v>0</v>
      </c>
      <c r="G218" s="172">
        <v>0</v>
      </c>
      <c r="H218" s="172">
        <v>0</v>
      </c>
      <c r="I218" s="172">
        <v>0</v>
      </c>
      <c r="J218" s="172">
        <v>0</v>
      </c>
      <c r="K218" s="172">
        <v>13</v>
      </c>
      <c r="L218" s="172">
        <v>20</v>
      </c>
      <c r="M218" s="172">
        <v>8</v>
      </c>
      <c r="N218" s="10">
        <v>8</v>
      </c>
      <c r="O218" s="25"/>
      <c r="P218" s="26"/>
      <c r="Q218" s="27"/>
      <c r="R218" s="26" t="s">
        <v>319</v>
      </c>
      <c r="S218" s="26"/>
      <c r="T218" s="26"/>
      <c r="U218" s="26"/>
      <c r="V218" s="27"/>
      <c r="W218" s="27"/>
      <c r="X218" s="26"/>
      <c r="AA218" s="71" t="e">
        <f>G218+#REF!+#REF!+M218+K218+L218</f>
        <v>#REF!</v>
      </c>
      <c r="AG218">
        <f>COUNTIFS('nama pasien'!$O:$O,"Gemulak",'nama pasien'!$AD:$AD,"dirawat didemak")</f>
        <v>0</v>
      </c>
    </row>
    <row r="219" spans="1:33" x14ac:dyDescent="0.25">
      <c r="A219" s="62"/>
      <c r="B219" s="61" t="s">
        <v>207</v>
      </c>
      <c r="C219" s="36" t="s">
        <v>211</v>
      </c>
      <c r="D219" s="172">
        <v>0</v>
      </c>
      <c r="E219" s="39"/>
      <c r="F219" s="172">
        <v>34</v>
      </c>
      <c r="G219" s="172">
        <v>0</v>
      </c>
      <c r="H219" s="172">
        <v>0</v>
      </c>
      <c r="I219" s="172">
        <v>0</v>
      </c>
      <c r="J219" s="172">
        <v>0</v>
      </c>
      <c r="K219" s="172">
        <v>139</v>
      </c>
      <c r="L219" s="172">
        <v>130</v>
      </c>
      <c r="M219" s="172">
        <v>38</v>
      </c>
      <c r="N219" s="10">
        <v>38</v>
      </c>
      <c r="O219" s="25"/>
      <c r="P219" s="26"/>
      <c r="Q219" s="27"/>
      <c r="R219" s="26"/>
      <c r="S219" s="26"/>
      <c r="T219" s="26"/>
      <c r="U219" s="26"/>
      <c r="V219" s="27"/>
      <c r="W219" s="27"/>
      <c r="X219" s="26"/>
      <c r="AA219" s="71" t="e">
        <f>G219+#REF!+#REF!+M219+K219+L219</f>
        <v>#REF!</v>
      </c>
      <c r="AG219">
        <f>COUNTIFS('nama pasien'!$O:$O,"Sriwulan",'nama pasien'!$AD:$AD,"dirawat didemak")</f>
        <v>0</v>
      </c>
    </row>
    <row r="220" spans="1:33" x14ac:dyDescent="0.25">
      <c r="A220" s="62"/>
      <c r="B220" s="61" t="s">
        <v>207</v>
      </c>
      <c r="C220" s="36" t="s">
        <v>212</v>
      </c>
      <c r="D220" s="172">
        <v>0</v>
      </c>
      <c r="E220" s="39"/>
      <c r="F220" s="172">
        <v>1</v>
      </c>
      <c r="G220" s="172">
        <v>0</v>
      </c>
      <c r="H220" s="172">
        <v>0</v>
      </c>
      <c r="I220" s="172">
        <v>0</v>
      </c>
      <c r="J220" s="172">
        <v>0</v>
      </c>
      <c r="K220" s="172">
        <v>11</v>
      </c>
      <c r="L220" s="172">
        <v>20</v>
      </c>
      <c r="M220" s="172">
        <v>4</v>
      </c>
      <c r="N220" s="10">
        <v>3</v>
      </c>
      <c r="O220" s="25"/>
      <c r="P220" s="26"/>
      <c r="Q220" s="27"/>
      <c r="R220" s="26"/>
      <c r="S220" s="26"/>
      <c r="T220" s="26"/>
      <c r="U220" s="26"/>
      <c r="V220" s="27"/>
      <c r="W220" s="27"/>
      <c r="X220" s="26"/>
      <c r="AA220" s="71" t="e">
        <f>G220+#REF!+#REF!+M220+K220+L220</f>
        <v>#REF!</v>
      </c>
      <c r="AG220">
        <f>COUNTIFS('nama pasien'!$O:$O,"Tugu",'nama pasien'!$AD:$AD,"dirawat didemak")</f>
        <v>0</v>
      </c>
    </row>
    <row r="221" spans="1:33" x14ac:dyDescent="0.25">
      <c r="A221" s="62"/>
      <c r="B221" s="61" t="s">
        <v>207</v>
      </c>
      <c r="C221" s="36" t="s">
        <v>213</v>
      </c>
      <c r="D221" s="172">
        <v>0</v>
      </c>
      <c r="E221" s="39"/>
      <c r="F221" s="172">
        <v>20</v>
      </c>
      <c r="G221" s="172">
        <v>0</v>
      </c>
      <c r="H221" s="172">
        <v>1</v>
      </c>
      <c r="I221" s="172">
        <v>0</v>
      </c>
      <c r="J221" s="172">
        <v>0</v>
      </c>
      <c r="K221" s="172">
        <v>33</v>
      </c>
      <c r="L221" s="172">
        <v>43</v>
      </c>
      <c r="M221" s="172">
        <v>10</v>
      </c>
      <c r="N221" s="10">
        <v>10</v>
      </c>
      <c r="O221" s="25"/>
      <c r="P221" s="26"/>
      <c r="Q221" s="27"/>
      <c r="R221" s="26"/>
      <c r="S221" s="26"/>
      <c r="T221" s="26"/>
      <c r="U221" s="26"/>
      <c r="V221" s="27"/>
      <c r="W221" s="27"/>
      <c r="X221" s="26"/>
      <c r="AA221" s="71" t="e">
        <f>G221+#REF!+#REF!+M221+K221+L221</f>
        <v>#REF!</v>
      </c>
      <c r="AG221">
        <f>COUNTIFS('nama pasien'!$O:$O,"Purwosari",'nama pasien'!$AD:$AD,"dirawat didemak")</f>
        <v>0</v>
      </c>
    </row>
    <row r="222" spans="1:33" x14ac:dyDescent="0.25">
      <c r="A222" s="62"/>
      <c r="B222" s="61" t="s">
        <v>207</v>
      </c>
      <c r="C222" s="36" t="s">
        <v>66</v>
      </c>
      <c r="D222" s="172">
        <v>0</v>
      </c>
      <c r="E222" s="39"/>
      <c r="F222" s="172">
        <v>15</v>
      </c>
      <c r="G222" s="172">
        <v>1</v>
      </c>
      <c r="H222" s="172">
        <v>0</v>
      </c>
      <c r="I222" s="172">
        <v>0</v>
      </c>
      <c r="J222" s="172">
        <v>0</v>
      </c>
      <c r="K222" s="172">
        <v>5</v>
      </c>
      <c r="L222" s="172">
        <v>26</v>
      </c>
      <c r="M222" s="172">
        <v>1</v>
      </c>
      <c r="N222" s="10">
        <v>1</v>
      </c>
      <c r="O222" s="25"/>
      <c r="P222" s="26"/>
      <c r="Q222" s="27"/>
      <c r="R222" s="26"/>
      <c r="S222" s="26"/>
      <c r="T222" s="26"/>
      <c r="U222" s="26"/>
      <c r="V222" s="27"/>
      <c r="W222" s="27"/>
      <c r="X222" s="26"/>
      <c r="AA222" s="71" t="e">
        <f>G222+#REF!+#REF!+M222+K222+L222</f>
        <v>#REF!</v>
      </c>
      <c r="AG222">
        <f>COUNTIFS('nama pasien'!$O:$O,"Surodadi",'nama pasien'!$AD:$AD,"dirawat didemak")</f>
        <v>0</v>
      </c>
    </row>
    <row r="223" spans="1:33" x14ac:dyDescent="0.25">
      <c r="A223" s="62"/>
      <c r="B223" s="61" t="s">
        <v>207</v>
      </c>
      <c r="C223" s="36" t="s">
        <v>175</v>
      </c>
      <c r="D223" s="172">
        <v>0</v>
      </c>
      <c r="E223" s="39"/>
      <c r="F223" s="172">
        <v>16</v>
      </c>
      <c r="G223" s="172">
        <v>0</v>
      </c>
      <c r="H223" s="172">
        <v>0</v>
      </c>
      <c r="I223" s="172">
        <v>0</v>
      </c>
      <c r="J223" s="172">
        <v>0</v>
      </c>
      <c r="K223" s="172">
        <v>5</v>
      </c>
      <c r="L223" s="172">
        <v>17</v>
      </c>
      <c r="M223" s="172">
        <v>4</v>
      </c>
      <c r="N223" s="10">
        <v>4</v>
      </c>
      <c r="O223" s="25"/>
      <c r="P223" s="26"/>
      <c r="Q223" s="27"/>
      <c r="R223" s="26"/>
      <c r="S223" s="26"/>
      <c r="T223" s="26"/>
      <c r="U223" s="26"/>
      <c r="V223" s="27"/>
      <c r="W223" s="27"/>
      <c r="X223" s="26"/>
      <c r="AA223" s="71" t="e">
        <f>G223+#REF!+#REF!+M223+K223+L223</f>
        <v>#REF!</v>
      </c>
      <c r="AG223">
        <f>COUNTIFS('nama pasien'!$O:$O,"Sidorejo",'nama pasien'!$AD:$AD,"dirawat didemak")</f>
        <v>0</v>
      </c>
    </row>
    <row r="224" spans="1:33" x14ac:dyDescent="0.25">
      <c r="A224" s="62"/>
      <c r="B224" s="61" t="s">
        <v>207</v>
      </c>
      <c r="C224" s="36" t="s">
        <v>214</v>
      </c>
      <c r="D224" s="172">
        <v>0</v>
      </c>
      <c r="E224" s="39"/>
      <c r="F224" s="172">
        <v>9</v>
      </c>
      <c r="G224" s="172">
        <v>0</v>
      </c>
      <c r="H224" s="172">
        <v>0</v>
      </c>
      <c r="I224" s="172">
        <v>0</v>
      </c>
      <c r="J224" s="172">
        <v>0</v>
      </c>
      <c r="K224" s="172">
        <v>1</v>
      </c>
      <c r="L224" s="172">
        <v>10</v>
      </c>
      <c r="M224" s="172">
        <v>1</v>
      </c>
      <c r="N224" s="10">
        <v>1</v>
      </c>
      <c r="O224" s="25"/>
      <c r="P224" s="26"/>
      <c r="Q224" s="27"/>
      <c r="R224" s="26"/>
      <c r="S224" s="26"/>
      <c r="T224" s="26"/>
      <c r="U224" s="26"/>
      <c r="V224" s="27"/>
      <c r="W224" s="27"/>
      <c r="X224" s="26"/>
      <c r="AA224" s="71" t="e">
        <f>G224+#REF!+#REF!+M224+K224+L224</f>
        <v>#REF!</v>
      </c>
      <c r="AG224">
        <f>COUNTIFS('nama pasien'!$O:$O,"Timbulsloko",'nama pasien'!$AD:$AD,"dirawat didemak")</f>
        <v>0</v>
      </c>
    </row>
    <row r="225" spans="1:33" x14ac:dyDescent="0.25">
      <c r="A225" s="62"/>
      <c r="B225" s="61" t="s">
        <v>207</v>
      </c>
      <c r="C225" s="36" t="s">
        <v>60</v>
      </c>
      <c r="D225" s="172">
        <v>0</v>
      </c>
      <c r="E225" s="39"/>
      <c r="F225" s="172">
        <v>13</v>
      </c>
      <c r="G225" s="172">
        <v>0</v>
      </c>
      <c r="H225" s="172">
        <v>0</v>
      </c>
      <c r="I225" s="172">
        <v>0</v>
      </c>
      <c r="J225" s="172">
        <v>0</v>
      </c>
      <c r="K225" s="172">
        <v>2</v>
      </c>
      <c r="L225" s="172">
        <v>19</v>
      </c>
      <c r="M225" s="172">
        <v>4</v>
      </c>
      <c r="N225" s="10">
        <v>4</v>
      </c>
      <c r="O225" s="25"/>
      <c r="P225" s="26"/>
      <c r="Q225" s="27"/>
      <c r="R225" s="26"/>
      <c r="S225" s="26"/>
      <c r="T225" s="26"/>
      <c r="U225" s="26"/>
      <c r="V225" s="27"/>
      <c r="W225" s="27"/>
      <c r="X225" s="26"/>
      <c r="AA225" s="71" t="e">
        <f>G225+#REF!+#REF!+M225+K225+L225</f>
        <v>#REF!</v>
      </c>
      <c r="AG225">
        <f>COUNTIFS('nama pasien'!$O:$O,"Banjarsari",'nama pasien'!$AD:$AD,"dirawat didemak")</f>
        <v>1</v>
      </c>
    </row>
    <row r="226" spans="1:33" x14ac:dyDescent="0.25">
      <c r="A226" s="62"/>
      <c r="B226" s="61" t="s">
        <v>207</v>
      </c>
      <c r="C226" s="36" t="s">
        <v>215</v>
      </c>
      <c r="D226" s="172">
        <v>0</v>
      </c>
      <c r="E226" s="39"/>
      <c r="F226" s="172">
        <v>0</v>
      </c>
      <c r="G226" s="172">
        <v>0</v>
      </c>
      <c r="H226" s="172">
        <v>0</v>
      </c>
      <c r="I226" s="172">
        <v>0</v>
      </c>
      <c r="J226" s="172">
        <v>0</v>
      </c>
      <c r="K226" s="172">
        <v>18</v>
      </c>
      <c r="L226" s="172">
        <v>31</v>
      </c>
      <c r="M226" s="172">
        <v>7</v>
      </c>
      <c r="N226" s="11">
        <v>6</v>
      </c>
      <c r="O226" s="25"/>
      <c r="P226" s="26"/>
      <c r="Q226" s="27"/>
      <c r="R226" s="26"/>
      <c r="S226" s="26"/>
      <c r="T226" s="26"/>
      <c r="U226" s="26"/>
      <c r="V226" s="27"/>
      <c r="W226" s="27"/>
      <c r="X226" s="26"/>
      <c r="AA226" s="71" t="e">
        <f>G226+#REF!+#REF!+M226+K226+L226</f>
        <v>#REF!</v>
      </c>
      <c r="AG226">
        <f>COUNTIFS('nama pasien'!$O:$O,"Sidogemah",'nama pasien'!$AD:$AD,"dirawat didemak")</f>
        <v>0</v>
      </c>
    </row>
    <row r="227" spans="1:33" x14ac:dyDescent="0.25">
      <c r="A227" s="62"/>
      <c r="B227" s="61" t="s">
        <v>207</v>
      </c>
      <c r="C227" s="36" t="s">
        <v>216</v>
      </c>
      <c r="D227" s="172">
        <v>0</v>
      </c>
      <c r="E227" s="39"/>
      <c r="F227" s="172">
        <v>0</v>
      </c>
      <c r="G227" s="172">
        <v>0</v>
      </c>
      <c r="H227" s="172">
        <v>0</v>
      </c>
      <c r="I227" s="172">
        <v>0</v>
      </c>
      <c r="J227" s="172">
        <v>0</v>
      </c>
      <c r="K227" s="172">
        <v>11</v>
      </c>
      <c r="L227" s="172">
        <v>30</v>
      </c>
      <c r="M227" s="172">
        <v>4</v>
      </c>
      <c r="N227" s="5">
        <v>4</v>
      </c>
      <c r="O227" s="25"/>
      <c r="P227" s="26"/>
      <c r="Q227" s="27"/>
      <c r="R227" s="26"/>
      <c r="S227" s="26"/>
      <c r="T227" s="26"/>
      <c r="U227" s="26"/>
      <c r="V227" s="27"/>
      <c r="W227" s="27"/>
      <c r="X227" s="26"/>
      <c r="AA227" s="71" t="e">
        <f>G227+#REF!+#REF!+M227+K227+L227</f>
        <v>#REF!</v>
      </c>
      <c r="AG227">
        <f>COUNTIFS('nama pasien'!$O:$O,"Tambakroto",'nama pasien'!$AD:$AD,"dirawat didemak")</f>
        <v>0</v>
      </c>
    </row>
    <row r="228" spans="1:33" x14ac:dyDescent="0.25">
      <c r="A228" s="62"/>
      <c r="B228" s="61" t="s">
        <v>207</v>
      </c>
      <c r="C228" s="36" t="s">
        <v>217</v>
      </c>
      <c r="D228" s="172">
        <v>0</v>
      </c>
      <c r="E228" s="39"/>
      <c r="F228" s="172">
        <v>0</v>
      </c>
      <c r="G228" s="172">
        <v>0</v>
      </c>
      <c r="H228" s="172">
        <v>0</v>
      </c>
      <c r="I228" s="172">
        <v>0</v>
      </c>
      <c r="J228" s="172">
        <v>0</v>
      </c>
      <c r="K228" s="172">
        <v>33</v>
      </c>
      <c r="L228" s="172">
        <v>54</v>
      </c>
      <c r="M228" s="172">
        <v>3</v>
      </c>
      <c r="N228" s="3">
        <v>3</v>
      </c>
      <c r="O228" s="25"/>
      <c r="P228" s="26"/>
      <c r="Q228" s="27"/>
      <c r="R228" s="26"/>
      <c r="S228" s="26"/>
      <c r="T228" s="26"/>
      <c r="U228" s="26"/>
      <c r="V228" s="27"/>
      <c r="W228" s="27"/>
      <c r="X228" s="26"/>
      <c r="AA228" s="71" t="e">
        <f>G228+#REF!+#REF!+M228+K228+L228</f>
        <v>#REF!</v>
      </c>
      <c r="AG228">
        <f>COUNTIFS('nama pasien'!$O:$O,"Kalisari",'nama pasien'!$AD:$AD,"dirawat didemak")</f>
        <v>0</v>
      </c>
    </row>
    <row r="229" spans="1:33" x14ac:dyDescent="0.25">
      <c r="A229" s="62"/>
      <c r="B229" s="61" t="s">
        <v>207</v>
      </c>
      <c r="C229" s="36" t="s">
        <v>218</v>
      </c>
      <c r="D229" s="172">
        <v>0</v>
      </c>
      <c r="E229" s="39"/>
      <c r="F229" s="172">
        <v>1</v>
      </c>
      <c r="G229" s="172">
        <v>0</v>
      </c>
      <c r="H229" s="172">
        <v>0</v>
      </c>
      <c r="I229" s="172">
        <v>0</v>
      </c>
      <c r="J229" s="172">
        <v>1</v>
      </c>
      <c r="K229" s="172">
        <v>9</v>
      </c>
      <c r="L229" s="172">
        <v>13</v>
      </c>
      <c r="M229" s="172">
        <v>2</v>
      </c>
      <c r="N229" s="3">
        <v>2</v>
      </c>
      <c r="O229" s="25"/>
      <c r="P229" s="26"/>
      <c r="Q229" s="27"/>
      <c r="R229" s="26"/>
      <c r="S229" s="26"/>
      <c r="T229" s="26"/>
      <c r="U229" s="26"/>
      <c r="V229" s="27"/>
      <c r="W229" s="27"/>
      <c r="X229" s="26"/>
      <c r="AA229" s="71" t="e">
        <f>G229+#REF!+#REF!+M229+K229+L229</f>
        <v>#REF!</v>
      </c>
      <c r="AG229">
        <f>COUNTIFS('nama pasien'!$O:$O,"Dombo",'nama pasien'!$AD:$AD,"dirawat didemak")</f>
        <v>0</v>
      </c>
    </row>
    <row r="230" spans="1:33" x14ac:dyDescent="0.25">
      <c r="A230" s="62"/>
      <c r="B230" s="61" t="s">
        <v>207</v>
      </c>
      <c r="C230" s="36" t="s">
        <v>219</v>
      </c>
      <c r="D230" s="172">
        <v>0</v>
      </c>
      <c r="E230" s="39"/>
      <c r="F230" s="172">
        <v>0</v>
      </c>
      <c r="G230" s="172">
        <v>0</v>
      </c>
      <c r="H230" s="172">
        <v>0</v>
      </c>
      <c r="I230" s="172">
        <v>0</v>
      </c>
      <c r="J230" s="172">
        <v>0</v>
      </c>
      <c r="K230" s="172">
        <v>16</v>
      </c>
      <c r="L230" s="172">
        <v>24</v>
      </c>
      <c r="M230" s="172">
        <v>3</v>
      </c>
      <c r="N230" s="3">
        <v>2</v>
      </c>
      <c r="O230" s="25"/>
      <c r="P230" s="26"/>
      <c r="Q230" s="27"/>
      <c r="R230" s="26"/>
      <c r="S230" s="26"/>
      <c r="T230" s="26"/>
      <c r="U230" s="26"/>
      <c r="V230" s="27"/>
      <c r="W230" s="27"/>
      <c r="X230" s="26"/>
      <c r="AA230" s="71" t="e">
        <f>G230+#REF!+#REF!+M230+K230+L230</f>
        <v>#REF!</v>
      </c>
      <c r="AG230">
        <f>COUNTIFS('nama pasien'!$O:$O,"Bulusari",'nama pasien'!$AD:$AD,"dirawat didemak")</f>
        <v>1</v>
      </c>
    </row>
    <row r="231" spans="1:33" x14ac:dyDescent="0.25">
      <c r="A231" s="62"/>
      <c r="B231" s="61" t="s">
        <v>207</v>
      </c>
      <c r="C231" s="36" t="s">
        <v>220</v>
      </c>
      <c r="D231" s="172">
        <v>0</v>
      </c>
      <c r="E231" s="39"/>
      <c r="F231" s="172">
        <v>1</v>
      </c>
      <c r="G231" s="172">
        <v>0</v>
      </c>
      <c r="H231" s="172">
        <v>0</v>
      </c>
      <c r="I231" s="172">
        <v>0</v>
      </c>
      <c r="J231" s="172">
        <v>0</v>
      </c>
      <c r="K231" s="172">
        <v>9</v>
      </c>
      <c r="L231" s="172">
        <v>17</v>
      </c>
      <c r="M231" s="172">
        <v>5</v>
      </c>
      <c r="N231" s="3">
        <v>5</v>
      </c>
      <c r="O231" s="25"/>
      <c r="P231" s="26"/>
      <c r="Q231" s="27"/>
      <c r="R231" s="26"/>
      <c r="S231" s="26"/>
      <c r="T231" s="26"/>
      <c r="U231" s="26"/>
      <c r="V231" s="27"/>
      <c r="W231" s="27"/>
      <c r="X231" s="26"/>
      <c r="AA231" s="71" t="e">
        <f>G231+#REF!+#REF!+M231+K231+L231</f>
        <v>#REF!</v>
      </c>
      <c r="AG231">
        <f>COUNTIFS('nama pasien'!$O:$O,"Jetaksari",'nama pasien'!$AD:$AD,"dirawat didemak")</f>
        <v>0</v>
      </c>
    </row>
    <row r="232" spans="1:33" x14ac:dyDescent="0.25">
      <c r="A232" s="62"/>
      <c r="B232" s="61" t="s">
        <v>207</v>
      </c>
      <c r="C232" s="36" t="s">
        <v>221</v>
      </c>
      <c r="D232" s="172">
        <v>0</v>
      </c>
      <c r="E232" s="39"/>
      <c r="F232" s="172">
        <v>0</v>
      </c>
      <c r="G232" s="172">
        <v>0</v>
      </c>
      <c r="H232" s="172">
        <v>0</v>
      </c>
      <c r="I232" s="172">
        <v>0</v>
      </c>
      <c r="J232" s="172">
        <v>0</v>
      </c>
      <c r="K232" s="172">
        <v>12</v>
      </c>
      <c r="L232" s="172">
        <v>18</v>
      </c>
      <c r="M232" s="172">
        <v>3</v>
      </c>
      <c r="N232" s="3">
        <v>3</v>
      </c>
      <c r="O232" s="25"/>
      <c r="P232" s="26"/>
      <c r="Q232" s="27"/>
      <c r="R232" s="26"/>
      <c r="S232" s="26"/>
      <c r="T232" s="26"/>
      <c r="U232" s="26"/>
      <c r="V232" s="27"/>
      <c r="W232" s="27"/>
      <c r="X232" s="26"/>
      <c r="AA232" s="71" t="e">
        <f>G232+#REF!+#REF!+M232+K232+L232</f>
        <v>#REF!</v>
      </c>
      <c r="AG232">
        <f>COUNTIFS('nama pasien'!$O:$O,"Karangasem",'nama pasien'!$AD:$AD,"dirawat didemak")</f>
        <v>0</v>
      </c>
    </row>
    <row r="233" spans="1:33" x14ac:dyDescent="0.25">
      <c r="A233" s="62"/>
      <c r="B233" s="61" t="s">
        <v>207</v>
      </c>
      <c r="C233" s="36" t="s">
        <v>222</v>
      </c>
      <c r="D233" s="172">
        <v>0</v>
      </c>
      <c r="E233" s="39"/>
      <c r="F233" s="172">
        <v>0</v>
      </c>
      <c r="G233" s="172">
        <v>0</v>
      </c>
      <c r="H233" s="172">
        <v>0</v>
      </c>
      <c r="I233" s="172">
        <v>0</v>
      </c>
      <c r="J233" s="172">
        <v>0</v>
      </c>
      <c r="K233" s="172">
        <v>15</v>
      </c>
      <c r="L233" s="172">
        <v>21</v>
      </c>
      <c r="M233" s="172">
        <v>2</v>
      </c>
      <c r="N233" s="3">
        <v>2</v>
      </c>
      <c r="O233" s="25"/>
      <c r="P233" s="26"/>
      <c r="Q233" s="27"/>
      <c r="R233" s="26"/>
      <c r="S233" s="26"/>
      <c r="T233" s="26"/>
      <c r="U233" s="26"/>
      <c r="V233" s="27"/>
      <c r="W233" s="27"/>
      <c r="X233" s="26"/>
      <c r="AA233" s="71" t="e">
        <f>G233+#REF!+#REF!+M233+K233+L233</f>
        <v>#REF!</v>
      </c>
      <c r="AG233">
        <f>COUNTIFS('nama pasien'!$O:$O,"Prampelan",'nama pasien'!$AD:$AD,"dirawat didemak")</f>
        <v>0</v>
      </c>
    </row>
    <row r="234" spans="1:33" x14ac:dyDescent="0.25">
      <c r="A234" s="62"/>
      <c r="B234" s="61" t="s">
        <v>207</v>
      </c>
      <c r="C234" s="36" t="s">
        <v>223</v>
      </c>
      <c r="D234" s="172">
        <v>0</v>
      </c>
      <c r="E234" s="39"/>
      <c r="F234" s="172">
        <v>0</v>
      </c>
      <c r="G234" s="172">
        <v>0</v>
      </c>
      <c r="H234" s="172">
        <v>1</v>
      </c>
      <c r="I234" s="172">
        <v>0</v>
      </c>
      <c r="J234" s="172">
        <v>0</v>
      </c>
      <c r="K234" s="172">
        <v>36</v>
      </c>
      <c r="L234" s="172">
        <v>44</v>
      </c>
      <c r="M234" s="172">
        <v>7</v>
      </c>
      <c r="N234" s="3">
        <v>6</v>
      </c>
      <c r="O234" s="25"/>
      <c r="P234" s="26"/>
      <c r="Q234" s="27"/>
      <c r="R234" s="26"/>
      <c r="S234" s="26"/>
      <c r="T234" s="26"/>
      <c r="U234" s="26"/>
      <c r="V234" s="27"/>
      <c r="W234" s="27"/>
      <c r="X234" s="26"/>
      <c r="AA234" s="71" t="e">
        <f>G234+#REF!+#REF!+M234+K234+L234</f>
        <v>#REF!</v>
      </c>
      <c r="AG234">
        <f>COUNTIFS('nama pasien'!$O:$O,"Sayung",'nama pasien'!$AD:$AD,"dirawat didemak")</f>
        <v>0</v>
      </c>
    </row>
    <row r="235" spans="1:33" x14ac:dyDescent="0.25">
      <c r="A235" s="62"/>
      <c r="B235" s="61" t="s">
        <v>207</v>
      </c>
      <c r="C235" s="36" t="s">
        <v>224</v>
      </c>
      <c r="D235" s="172">
        <v>0</v>
      </c>
      <c r="E235" s="39"/>
      <c r="F235" s="172">
        <v>0</v>
      </c>
      <c r="G235" s="172">
        <v>0</v>
      </c>
      <c r="H235" s="172">
        <v>0</v>
      </c>
      <c r="I235" s="172">
        <v>0</v>
      </c>
      <c r="J235" s="172">
        <v>0</v>
      </c>
      <c r="K235" s="172">
        <v>11</v>
      </c>
      <c r="L235" s="172">
        <v>19</v>
      </c>
      <c r="M235" s="172">
        <v>3</v>
      </c>
      <c r="N235" s="3">
        <v>3</v>
      </c>
      <c r="O235" s="25"/>
      <c r="P235" s="26"/>
      <c r="Q235" s="27"/>
      <c r="R235" s="26"/>
      <c r="S235" s="26"/>
      <c r="T235" s="26"/>
      <c r="U235" s="26"/>
      <c r="V235" s="27"/>
      <c r="W235" s="27"/>
      <c r="X235" s="26"/>
      <c r="AA235" s="71" t="e">
        <f>G235+#REF!+#REF!+M235+K235+L235</f>
        <v>#REF!</v>
      </c>
      <c r="AG235">
        <f>COUNTIFS('nama pasien'!$O:$O,"Pilangsari",'nama pasien'!$AD:$AD,"dirawat didemak")</f>
        <v>0</v>
      </c>
    </row>
    <row r="236" spans="1:33" x14ac:dyDescent="0.25">
      <c r="A236" s="62"/>
      <c r="B236" s="61" t="s">
        <v>207</v>
      </c>
      <c r="C236" s="36" t="s">
        <v>225</v>
      </c>
      <c r="D236" s="172">
        <v>0</v>
      </c>
      <c r="E236" s="39"/>
      <c r="F236" s="172">
        <v>0</v>
      </c>
      <c r="G236" s="172">
        <v>0</v>
      </c>
      <c r="H236" s="172">
        <v>0</v>
      </c>
      <c r="I236" s="172">
        <v>0</v>
      </c>
      <c r="J236" s="172">
        <v>0</v>
      </c>
      <c r="K236" s="172">
        <v>13</v>
      </c>
      <c r="L236" s="172">
        <v>34</v>
      </c>
      <c r="M236" s="172">
        <v>4</v>
      </c>
      <c r="N236" s="4">
        <v>4</v>
      </c>
      <c r="O236" s="25"/>
      <c r="P236" s="26"/>
      <c r="Q236" s="27"/>
      <c r="R236" s="26"/>
      <c r="S236" s="26"/>
      <c r="T236" s="26"/>
      <c r="U236" s="26"/>
      <c r="V236" s="27"/>
      <c r="W236" s="27"/>
      <c r="X236" s="26"/>
      <c r="AA236" s="71" t="e">
        <f>G236+#REF!+#REF!+M236+K236+L236</f>
        <v>#REF!</v>
      </c>
      <c r="AG236">
        <f>COUNTIFS('nama pasien'!$O:$O,"loireng",'nama pasien'!$AD:$AD,"dirawat didemak")</f>
        <v>0</v>
      </c>
    </row>
    <row r="237" spans="1:33" x14ac:dyDescent="0.25">
      <c r="A237" s="62">
        <v>14</v>
      </c>
      <c r="B237" s="61" t="s">
        <v>226</v>
      </c>
      <c r="C237" s="36" t="s">
        <v>226</v>
      </c>
      <c r="D237" s="172">
        <v>0</v>
      </c>
      <c r="E237" s="39"/>
      <c r="F237" s="172">
        <v>0</v>
      </c>
      <c r="G237" s="172">
        <v>0</v>
      </c>
      <c r="H237" s="172">
        <v>0</v>
      </c>
      <c r="I237" s="172">
        <v>0</v>
      </c>
      <c r="J237" s="172">
        <v>0</v>
      </c>
      <c r="K237" s="172">
        <v>17</v>
      </c>
      <c r="L237" s="172">
        <v>43</v>
      </c>
      <c r="M237" s="172">
        <v>5</v>
      </c>
      <c r="N237" s="5">
        <v>5</v>
      </c>
      <c r="O237" s="25">
        <f t="shared" ref="O237:X237" si="13">SUM(D237:D256)</f>
        <v>0</v>
      </c>
      <c r="P237" s="25">
        <f t="shared" si="13"/>
        <v>0</v>
      </c>
      <c r="Q237" s="25">
        <f>SUM(F237:F256)</f>
        <v>0</v>
      </c>
      <c r="R237" s="25">
        <f t="shared" si="13"/>
        <v>0</v>
      </c>
      <c r="S237" s="25">
        <f t="shared" si="13"/>
        <v>2</v>
      </c>
      <c r="T237" s="25">
        <f t="shared" si="13"/>
        <v>0</v>
      </c>
      <c r="U237" s="25">
        <f t="shared" si="13"/>
        <v>0</v>
      </c>
      <c r="V237" s="25">
        <f t="shared" si="13"/>
        <v>150</v>
      </c>
      <c r="W237" s="25">
        <f t="shared" si="13"/>
        <v>520</v>
      </c>
      <c r="X237" s="25">
        <f t="shared" si="13"/>
        <v>49</v>
      </c>
      <c r="AA237" s="71" t="e">
        <f>G237+#REF!+#REF!+M237+K237+L237</f>
        <v>#REF!</v>
      </c>
      <c r="AB237" s="71" t="e">
        <f>SUM(AA237:AA256)</f>
        <v>#REF!</v>
      </c>
      <c r="AG237">
        <f>COUNTIFS('nama pasien'!$O:$O,"Wedung",'nama pasien'!$AD:$AD,"dirawat didemak")</f>
        <v>1</v>
      </c>
    </row>
    <row r="238" spans="1:33" x14ac:dyDescent="0.25">
      <c r="A238" s="62"/>
      <c r="B238" s="61" t="s">
        <v>226</v>
      </c>
      <c r="C238" s="36" t="s">
        <v>228</v>
      </c>
      <c r="D238" s="172">
        <v>0</v>
      </c>
      <c r="E238" s="39"/>
      <c r="F238" s="172">
        <v>0</v>
      </c>
      <c r="G238" s="172">
        <v>0</v>
      </c>
      <c r="H238" s="172">
        <v>0</v>
      </c>
      <c r="I238" s="172">
        <v>0</v>
      </c>
      <c r="J238" s="172">
        <v>0</v>
      </c>
      <c r="K238" s="172">
        <v>5</v>
      </c>
      <c r="L238" s="172">
        <v>7</v>
      </c>
      <c r="M238" s="172">
        <v>1</v>
      </c>
      <c r="N238" s="3">
        <v>1</v>
      </c>
      <c r="O238" s="25"/>
      <c r="P238" s="26"/>
      <c r="Q238" s="27"/>
      <c r="R238" s="26"/>
      <c r="S238" s="26"/>
      <c r="T238" s="26"/>
      <c r="U238" s="26"/>
      <c r="V238" s="27"/>
      <c r="W238" s="27"/>
      <c r="X238" s="26"/>
      <c r="AA238" s="71" t="e">
        <f>G238+#REF!+#REF!+M238+K238+L238</f>
        <v>#REF!</v>
      </c>
      <c r="AG238">
        <f>COUNTIFS('nama pasien'!$O:$O,"Ruwit",'nama pasien'!$AD:$AD,"dirawat didemak")</f>
        <v>1</v>
      </c>
    </row>
    <row r="239" spans="1:33" x14ac:dyDescent="0.25">
      <c r="A239" s="62"/>
      <c r="B239" s="61" t="s">
        <v>226</v>
      </c>
      <c r="C239" s="36" t="s">
        <v>229</v>
      </c>
      <c r="D239" s="172">
        <v>0</v>
      </c>
      <c r="E239" s="39"/>
      <c r="F239" s="172">
        <v>0</v>
      </c>
      <c r="G239" s="172">
        <v>0</v>
      </c>
      <c r="H239" s="172">
        <v>1</v>
      </c>
      <c r="I239" s="172">
        <v>0</v>
      </c>
      <c r="J239" s="172">
        <v>0</v>
      </c>
      <c r="K239" s="172">
        <v>11</v>
      </c>
      <c r="L239" s="172">
        <v>23</v>
      </c>
      <c r="M239" s="172">
        <v>7</v>
      </c>
      <c r="N239" s="3">
        <v>7</v>
      </c>
      <c r="O239" s="25"/>
      <c r="P239" s="26"/>
      <c r="Q239" s="27"/>
      <c r="R239" s="26"/>
      <c r="S239" s="26"/>
      <c r="T239" s="26"/>
      <c r="U239" s="26"/>
      <c r="V239" s="27"/>
      <c r="W239" s="27"/>
      <c r="X239" s="26"/>
      <c r="AA239" s="71" t="e">
        <f>G239+#REF!+#REF!+M239+K239+L239</f>
        <v>#REF!</v>
      </c>
      <c r="AG239">
        <f>COUNTIFS('nama pasien'!$O:$O,"Bungo",'nama pasien'!$AD:$AD,"dirawat didemak")</f>
        <v>0</v>
      </c>
    </row>
    <row r="240" spans="1:33" x14ac:dyDescent="0.25">
      <c r="A240" s="62"/>
      <c r="B240" s="61" t="s">
        <v>226</v>
      </c>
      <c r="C240" s="36" t="s">
        <v>230</v>
      </c>
      <c r="D240" s="172">
        <v>0</v>
      </c>
      <c r="E240" s="39"/>
      <c r="F240" s="172">
        <v>0</v>
      </c>
      <c r="G240" s="172">
        <v>0</v>
      </c>
      <c r="H240" s="172">
        <v>1</v>
      </c>
      <c r="I240" s="172">
        <v>0</v>
      </c>
      <c r="J240" s="172">
        <v>0</v>
      </c>
      <c r="K240" s="172">
        <v>4</v>
      </c>
      <c r="L240" s="172">
        <v>15</v>
      </c>
      <c r="M240" s="172">
        <v>2</v>
      </c>
      <c r="N240" s="3">
        <v>2</v>
      </c>
      <c r="O240" s="25"/>
      <c r="P240" s="26"/>
      <c r="Q240" s="27"/>
      <c r="R240" s="26"/>
      <c r="S240" s="26"/>
      <c r="T240" s="26"/>
      <c r="U240" s="26"/>
      <c r="V240" s="27"/>
      <c r="W240" s="27"/>
      <c r="X240" s="26"/>
      <c r="AA240" s="71" t="e">
        <f>G240+#REF!+#REF!+M240+K240+L240</f>
        <v>#REF!</v>
      </c>
      <c r="AG240">
        <f>COUNTIFS('nama pasien'!$O:$O,"Ngawen",'nama pasien'!$AD:$AD,"dirawat didemak")</f>
        <v>0</v>
      </c>
    </row>
    <row r="241" spans="1:33" x14ac:dyDescent="0.25">
      <c r="A241" s="62"/>
      <c r="B241" s="61" t="s">
        <v>226</v>
      </c>
      <c r="C241" s="36" t="s">
        <v>231</v>
      </c>
      <c r="D241" s="172">
        <v>0</v>
      </c>
      <c r="E241" s="39"/>
      <c r="F241" s="172">
        <v>0</v>
      </c>
      <c r="G241" s="172">
        <v>0</v>
      </c>
      <c r="H241" s="172">
        <v>0</v>
      </c>
      <c r="I241" s="172">
        <v>0</v>
      </c>
      <c r="J241" s="172">
        <v>0</v>
      </c>
      <c r="K241" s="172">
        <v>8</v>
      </c>
      <c r="L241" s="172">
        <v>19</v>
      </c>
      <c r="M241" s="172">
        <v>5</v>
      </c>
      <c r="N241" s="3">
        <v>4</v>
      </c>
      <c r="O241" s="25"/>
      <c r="P241" s="26"/>
      <c r="Q241" s="27"/>
      <c r="R241" s="26"/>
      <c r="S241" s="26"/>
      <c r="T241" s="26"/>
      <c r="U241" s="26"/>
      <c r="V241" s="27"/>
      <c r="W241" s="27"/>
      <c r="X241" s="26"/>
      <c r="AA241" s="71" t="e">
        <f>G241+#REF!+#REF!+M241+K241+L241</f>
        <v>#REF!</v>
      </c>
      <c r="AG241">
        <f>COUNTIFS('nama pasien'!$O:$O,"Kenduren",'nama pasien'!$AD:$AD,"dirawat didemak")</f>
        <v>0</v>
      </c>
    </row>
    <row r="242" spans="1:33" x14ac:dyDescent="0.25">
      <c r="A242" s="62"/>
      <c r="B242" s="61" t="s">
        <v>226</v>
      </c>
      <c r="C242" s="36" t="s">
        <v>232</v>
      </c>
      <c r="D242" s="172">
        <v>0</v>
      </c>
      <c r="E242" s="39"/>
      <c r="F242" s="172">
        <v>0</v>
      </c>
      <c r="G242" s="172">
        <v>0</v>
      </c>
      <c r="H242" s="172">
        <v>0</v>
      </c>
      <c r="I242" s="172">
        <v>0</v>
      </c>
      <c r="J242" s="172">
        <v>0</v>
      </c>
      <c r="K242" s="172">
        <v>12</v>
      </c>
      <c r="L242" s="172">
        <v>36</v>
      </c>
      <c r="M242" s="172">
        <v>1</v>
      </c>
      <c r="N242" s="3">
        <v>1</v>
      </c>
      <c r="O242" s="25"/>
      <c r="P242" s="26"/>
      <c r="Q242" s="27"/>
      <c r="R242" s="26"/>
      <c r="S242" s="26"/>
      <c r="T242" s="26"/>
      <c r="U242" s="26"/>
      <c r="V242" s="27"/>
      <c r="W242" s="27"/>
      <c r="X242" s="26"/>
      <c r="AA242" s="71" t="e">
        <f>G242+#REF!+#REF!+M242+K242+L242</f>
        <v>#REF!</v>
      </c>
      <c r="AG242">
        <f>COUNTIFS('nama pasien'!$O:$O,"Buko",'nama pasien'!$AD:$AD,"dirawat didemak")</f>
        <v>0</v>
      </c>
    </row>
    <row r="243" spans="1:33" x14ac:dyDescent="0.25">
      <c r="A243" s="62"/>
      <c r="B243" s="61" t="s">
        <v>226</v>
      </c>
      <c r="C243" s="36" t="s">
        <v>233</v>
      </c>
      <c r="D243" s="172">
        <v>0</v>
      </c>
      <c r="E243" s="39"/>
      <c r="F243" s="172">
        <v>0</v>
      </c>
      <c r="G243" s="172">
        <v>0</v>
      </c>
      <c r="H243" s="172">
        <v>0</v>
      </c>
      <c r="I243" s="172">
        <v>0</v>
      </c>
      <c r="J243" s="172">
        <v>0</v>
      </c>
      <c r="K243" s="172">
        <v>0</v>
      </c>
      <c r="L243" s="172">
        <v>4</v>
      </c>
      <c r="M243" s="172">
        <v>0</v>
      </c>
      <c r="N243" s="3">
        <v>0</v>
      </c>
      <c r="O243" s="25"/>
      <c r="P243" s="26"/>
      <c r="Q243" s="27"/>
      <c r="R243" s="26"/>
      <c r="S243" s="26"/>
      <c r="T243" s="26"/>
      <c r="U243" s="26"/>
      <c r="V243" s="27"/>
      <c r="W243" s="27"/>
      <c r="X243" s="26"/>
      <c r="AA243" s="71" t="e">
        <f>G243+#REF!+#REF!+M243+K243+L243</f>
        <v>#REF!</v>
      </c>
      <c r="AG243">
        <f>COUNTIFS('nama pasien'!$O:$O,"Mandung",'nama pasien'!$AD:$AD,"dirawat didemak")</f>
        <v>0</v>
      </c>
    </row>
    <row r="244" spans="1:33" x14ac:dyDescent="0.25">
      <c r="A244" s="62"/>
      <c r="B244" s="61" t="s">
        <v>226</v>
      </c>
      <c r="C244" s="36" t="s">
        <v>234</v>
      </c>
      <c r="D244" s="172">
        <v>0</v>
      </c>
      <c r="E244" s="39"/>
      <c r="F244" s="172">
        <v>0</v>
      </c>
      <c r="G244" s="172">
        <v>0</v>
      </c>
      <c r="H244" s="172">
        <v>0</v>
      </c>
      <c r="I244" s="172">
        <v>0</v>
      </c>
      <c r="J244" s="172">
        <v>0</v>
      </c>
      <c r="K244" s="172">
        <v>5</v>
      </c>
      <c r="L244" s="172">
        <v>33</v>
      </c>
      <c r="M244" s="172">
        <v>2</v>
      </c>
      <c r="N244" s="3">
        <v>2</v>
      </c>
      <c r="O244" s="25"/>
      <c r="P244" s="26"/>
      <c r="Q244" s="27"/>
      <c r="R244" s="26"/>
      <c r="S244" s="26"/>
      <c r="T244" s="26"/>
      <c r="U244" s="26"/>
      <c r="V244" s="27"/>
      <c r="W244" s="27"/>
      <c r="X244" s="26"/>
      <c r="AA244" s="71" t="e">
        <f>G244+#REF!+#REF!+M244+K244+L244</f>
        <v>#REF!</v>
      </c>
      <c r="AG244">
        <f>COUNTIFS('nama pasien'!$O:$O,"Berahan Wtn",'nama pasien'!$AD:$AD,"dirawat didemak")</f>
        <v>0</v>
      </c>
    </row>
    <row r="245" spans="1:33" x14ac:dyDescent="0.25">
      <c r="A245" s="62"/>
      <c r="B245" s="61" t="s">
        <v>226</v>
      </c>
      <c r="C245" s="36" t="s">
        <v>235</v>
      </c>
      <c r="D245" s="172">
        <v>0</v>
      </c>
      <c r="E245" s="39"/>
      <c r="F245" s="172">
        <v>0</v>
      </c>
      <c r="G245" s="172">
        <v>0</v>
      </c>
      <c r="H245" s="172">
        <v>0</v>
      </c>
      <c r="I245" s="172">
        <v>0</v>
      </c>
      <c r="J245" s="172">
        <v>0</v>
      </c>
      <c r="K245" s="172">
        <v>3</v>
      </c>
      <c r="L245" s="172">
        <v>8</v>
      </c>
      <c r="M245" s="172">
        <v>2</v>
      </c>
      <c r="N245" s="3">
        <v>2</v>
      </c>
      <c r="O245" s="25"/>
      <c r="P245" s="26"/>
      <c r="Q245" s="27"/>
      <c r="R245" s="26"/>
      <c r="S245" s="26"/>
      <c r="T245" s="26"/>
      <c r="U245" s="26"/>
      <c r="V245" s="27"/>
      <c r="W245" s="27"/>
      <c r="X245" s="26"/>
      <c r="AA245" s="71" t="e">
        <f>G245+#REF!+#REF!+M245+K245+L245</f>
        <v>#REF!</v>
      </c>
      <c r="AG245">
        <f>COUNTIFS('nama pasien'!$O:$O,"Berahan Kln",'nama pasien'!$AD:$AD,"dirawat didemak")</f>
        <v>0</v>
      </c>
    </row>
    <row r="246" spans="1:33" x14ac:dyDescent="0.25">
      <c r="A246" s="62"/>
      <c r="B246" s="61" t="s">
        <v>226</v>
      </c>
      <c r="C246" s="36" t="s">
        <v>236</v>
      </c>
      <c r="D246" s="172">
        <v>0</v>
      </c>
      <c r="E246" s="39"/>
      <c r="F246" s="172">
        <v>0</v>
      </c>
      <c r="G246" s="172">
        <v>0</v>
      </c>
      <c r="H246" s="172">
        <v>0</v>
      </c>
      <c r="I246" s="172">
        <v>0</v>
      </c>
      <c r="J246" s="172">
        <v>0</v>
      </c>
      <c r="K246" s="172">
        <v>0</v>
      </c>
      <c r="L246" s="172">
        <v>14</v>
      </c>
      <c r="M246" s="172">
        <v>0</v>
      </c>
      <c r="N246" s="4">
        <v>0</v>
      </c>
      <c r="O246" s="25"/>
      <c r="P246" s="26"/>
      <c r="Q246" s="27"/>
      <c r="R246" s="26"/>
      <c r="S246" s="26"/>
      <c r="T246" s="26"/>
      <c r="U246" s="26"/>
      <c r="V246" s="27"/>
      <c r="W246" s="27"/>
      <c r="X246" s="26"/>
      <c r="AA246" s="71" t="e">
        <f>G246+#REF!+#REF!+M246+K246+L246</f>
        <v>#REF!</v>
      </c>
      <c r="AG246">
        <f>COUNTIFS('nama pasien'!$O:$O,"Tempel",'nama pasien'!$AD:$AD,"dirawat didemak")</f>
        <v>0</v>
      </c>
    </row>
    <row r="247" spans="1:33" x14ac:dyDescent="0.25">
      <c r="A247" s="62"/>
      <c r="B247" s="61" t="s">
        <v>226</v>
      </c>
      <c r="C247" s="36" t="s">
        <v>297</v>
      </c>
      <c r="D247" s="172">
        <v>0</v>
      </c>
      <c r="E247" s="39"/>
      <c r="F247" s="172">
        <v>0</v>
      </c>
      <c r="G247" s="172">
        <v>0</v>
      </c>
      <c r="H247" s="172">
        <v>0</v>
      </c>
      <c r="I247" s="172">
        <v>0</v>
      </c>
      <c r="J247" s="172">
        <v>0</v>
      </c>
      <c r="K247" s="172">
        <v>10</v>
      </c>
      <c r="L247" s="172">
        <v>27</v>
      </c>
      <c r="M247" s="172">
        <v>2</v>
      </c>
      <c r="N247" s="5">
        <v>2</v>
      </c>
      <c r="O247" s="25"/>
      <c r="P247" s="26"/>
      <c r="Q247" s="27"/>
      <c r="R247" s="26"/>
      <c r="S247" s="26"/>
      <c r="T247" s="26"/>
      <c r="U247" s="26"/>
      <c r="V247" s="27"/>
      <c r="W247" s="27"/>
      <c r="X247" s="26"/>
      <c r="AA247" s="71" t="e">
        <f>G247+#REF!+#REF!+M247+K247+L247</f>
        <v>#REF!</v>
      </c>
      <c r="AG247">
        <f>COUNTIFS('nama pasien'!$O:$O,"Kedungkarang",'nama pasien'!$AD:$AD,"dirawat didemak")</f>
        <v>0</v>
      </c>
    </row>
    <row r="248" spans="1:33" x14ac:dyDescent="0.25">
      <c r="A248" s="62"/>
      <c r="B248" s="61" t="s">
        <v>226</v>
      </c>
      <c r="C248" s="36" t="s">
        <v>296</v>
      </c>
      <c r="D248" s="172">
        <v>0</v>
      </c>
      <c r="E248" s="39"/>
      <c r="F248" s="172">
        <v>0</v>
      </c>
      <c r="G248" s="172">
        <v>0</v>
      </c>
      <c r="H248" s="172">
        <v>0</v>
      </c>
      <c r="I248" s="172">
        <v>0</v>
      </c>
      <c r="J248" s="172">
        <v>0</v>
      </c>
      <c r="K248" s="172">
        <v>18</v>
      </c>
      <c r="L248" s="172">
        <v>49</v>
      </c>
      <c r="M248" s="172">
        <v>3</v>
      </c>
      <c r="N248" s="3">
        <v>3</v>
      </c>
      <c r="O248" s="25"/>
      <c r="P248" s="26"/>
      <c r="Q248" s="27"/>
      <c r="R248" s="26"/>
      <c r="S248" s="26"/>
      <c r="T248" s="26"/>
      <c r="U248" s="26"/>
      <c r="V248" s="27"/>
      <c r="W248" s="27"/>
      <c r="X248" s="26"/>
      <c r="AA248" s="71" t="e">
        <f>G248+#REF!+#REF!+M248+K248+L248</f>
        <v>#REF!</v>
      </c>
      <c r="AG248">
        <f>COUNTIFS('nama pasien'!$O:$O,"KedungMutih",'nama pasien'!$AD:$AD,"dirawat didemak")</f>
        <v>1</v>
      </c>
    </row>
    <row r="249" spans="1:33" x14ac:dyDescent="0.25">
      <c r="A249" s="62"/>
      <c r="B249" s="61" t="s">
        <v>226</v>
      </c>
      <c r="C249" s="36" t="s">
        <v>238</v>
      </c>
      <c r="D249" s="172">
        <v>0</v>
      </c>
      <c r="E249" s="39"/>
      <c r="F249" s="172">
        <v>0</v>
      </c>
      <c r="G249" s="172">
        <v>0</v>
      </c>
      <c r="H249" s="172">
        <v>0</v>
      </c>
      <c r="I249" s="172">
        <v>0</v>
      </c>
      <c r="J249" s="172">
        <v>0</v>
      </c>
      <c r="K249" s="172">
        <v>11</v>
      </c>
      <c r="L249" s="172">
        <v>20</v>
      </c>
      <c r="M249" s="172">
        <v>1</v>
      </c>
      <c r="N249" s="3">
        <v>1</v>
      </c>
      <c r="O249" s="25"/>
      <c r="P249" s="26"/>
      <c r="Q249" s="27"/>
      <c r="R249" s="26"/>
      <c r="S249" s="26"/>
      <c r="T249" s="26"/>
      <c r="U249" s="26"/>
      <c r="V249" s="27"/>
      <c r="W249" s="27"/>
      <c r="X249" s="26"/>
      <c r="AA249" s="71" t="e">
        <f>G249+#REF!+#REF!+M249+K249+L249</f>
        <v>#REF!</v>
      </c>
      <c r="AG249">
        <f>COUNTIFS('nama pasien'!$O:$O,"Jungsemi",'nama pasien'!$AD:$AD,"dirawat didemak")</f>
        <v>0</v>
      </c>
    </row>
    <row r="250" spans="1:33" x14ac:dyDescent="0.25">
      <c r="A250" s="62"/>
      <c r="B250" s="61" t="s">
        <v>226</v>
      </c>
      <c r="C250" s="36" t="s">
        <v>239</v>
      </c>
      <c r="D250" s="172">
        <v>0</v>
      </c>
      <c r="E250" s="39"/>
      <c r="F250" s="172">
        <v>0</v>
      </c>
      <c r="G250" s="172">
        <v>0</v>
      </c>
      <c r="H250" s="172">
        <v>0</v>
      </c>
      <c r="I250" s="172">
        <v>0</v>
      </c>
      <c r="J250" s="172">
        <v>0</v>
      </c>
      <c r="K250" s="172">
        <v>6</v>
      </c>
      <c r="L250" s="172">
        <v>21</v>
      </c>
      <c r="M250" s="172">
        <v>3</v>
      </c>
      <c r="N250" s="3">
        <v>3</v>
      </c>
      <c r="O250" s="25"/>
      <c r="P250" s="26"/>
      <c r="Q250" s="27"/>
      <c r="R250" s="26"/>
      <c r="S250" s="26"/>
      <c r="T250" s="26"/>
      <c r="U250" s="26"/>
      <c r="V250" s="27"/>
      <c r="W250" s="27"/>
      <c r="X250" s="26"/>
      <c r="AA250" s="71" t="e">
        <f>G250+#REF!+#REF!+M250+K250+L250</f>
        <v>#REF!</v>
      </c>
      <c r="AG250">
        <f>COUNTIFS('nama pasien'!$O:$O,"Jetak",'nama pasien'!$AD:$AD,"dirawat didemak")</f>
        <v>1</v>
      </c>
    </row>
    <row r="251" spans="1:33" x14ac:dyDescent="0.25">
      <c r="A251" s="62"/>
      <c r="B251" s="61" t="s">
        <v>226</v>
      </c>
      <c r="C251" s="36" t="s">
        <v>240</v>
      </c>
      <c r="D251" s="172">
        <v>0</v>
      </c>
      <c r="E251" s="39"/>
      <c r="F251" s="172">
        <v>0</v>
      </c>
      <c r="G251" s="172">
        <v>0</v>
      </c>
      <c r="H251" s="172">
        <v>0</v>
      </c>
      <c r="I251" s="172">
        <v>0</v>
      </c>
      <c r="J251" s="172">
        <v>0</v>
      </c>
      <c r="K251" s="172">
        <v>11</v>
      </c>
      <c r="L251" s="172">
        <v>33</v>
      </c>
      <c r="M251" s="172">
        <v>6</v>
      </c>
      <c r="N251" s="3">
        <v>5</v>
      </c>
      <c r="O251" s="25"/>
      <c r="P251" s="26"/>
      <c r="Q251" s="27"/>
      <c r="R251" s="26"/>
      <c r="S251" s="26"/>
      <c r="T251" s="26"/>
      <c r="U251" s="26"/>
      <c r="V251" s="27"/>
      <c r="W251" s="27"/>
      <c r="X251" s="26"/>
      <c r="AA251" s="71" t="e">
        <f>G251+#REF!+#REF!+M251+K251+L251</f>
        <v>#REF!</v>
      </c>
      <c r="AG251">
        <f>COUNTIFS('nama pasien'!$O:$O,"Jungpasir",'nama pasien'!$AD:$AD,"dirawat didemak")</f>
        <v>0</v>
      </c>
    </row>
    <row r="252" spans="1:33" x14ac:dyDescent="0.25">
      <c r="A252" s="62"/>
      <c r="B252" s="61" t="s">
        <v>226</v>
      </c>
      <c r="C252" s="36" t="s">
        <v>241</v>
      </c>
      <c r="D252" s="172">
        <v>0</v>
      </c>
      <c r="E252" s="39"/>
      <c r="F252" s="172">
        <v>0</v>
      </c>
      <c r="G252" s="172">
        <v>0</v>
      </c>
      <c r="H252" s="172">
        <v>0</v>
      </c>
      <c r="I252" s="172">
        <v>0</v>
      </c>
      <c r="J252" s="172">
        <v>0</v>
      </c>
      <c r="K252" s="172">
        <v>9</v>
      </c>
      <c r="L252" s="172">
        <v>37</v>
      </c>
      <c r="M252" s="172">
        <v>3</v>
      </c>
      <c r="N252" s="3">
        <v>3</v>
      </c>
      <c r="O252" s="25"/>
      <c r="P252" s="26"/>
      <c r="Q252" s="27"/>
      <c r="R252" s="26"/>
      <c r="S252" s="26"/>
      <c r="T252" s="26"/>
      <c r="U252" s="26"/>
      <c r="V252" s="27"/>
      <c r="W252" s="27"/>
      <c r="X252" s="26"/>
      <c r="AA252" s="71" t="e">
        <f>G252+#REF!+#REF!+M252+K252+L252</f>
        <v>#REF!</v>
      </c>
      <c r="AG252">
        <f>COUNTIFS('nama pasien'!$O:$O,"Mutih kulon",'nama pasien'!$AD:$AD,"dirawat didemak")</f>
        <v>0</v>
      </c>
    </row>
    <row r="253" spans="1:33" x14ac:dyDescent="0.25">
      <c r="A253" s="62"/>
      <c r="B253" s="61" t="s">
        <v>226</v>
      </c>
      <c r="C253" s="36" t="s">
        <v>242</v>
      </c>
      <c r="D253" s="172">
        <v>0</v>
      </c>
      <c r="E253" s="39"/>
      <c r="F253" s="172">
        <v>0</v>
      </c>
      <c r="G253" s="172">
        <v>0</v>
      </c>
      <c r="H253" s="172">
        <v>0</v>
      </c>
      <c r="I253" s="172">
        <v>0</v>
      </c>
      <c r="J253" s="172">
        <v>0</v>
      </c>
      <c r="K253" s="172">
        <v>4</v>
      </c>
      <c r="L253" s="172">
        <v>22</v>
      </c>
      <c r="M253" s="172">
        <v>1</v>
      </c>
      <c r="N253" s="3">
        <v>1</v>
      </c>
      <c r="O253" s="25"/>
      <c r="P253" s="26"/>
      <c r="Q253" s="27"/>
      <c r="R253" s="26"/>
      <c r="S253" s="26"/>
      <c r="T253" s="26"/>
      <c r="U253" s="26"/>
      <c r="V253" s="27"/>
      <c r="W253" s="27"/>
      <c r="X253" s="26"/>
      <c r="AA253" s="71" t="e">
        <f>G253+#REF!+#REF!+M253+K253+L253</f>
        <v>#REF!</v>
      </c>
      <c r="AG253">
        <f>COUNTIFS('nama pasien'!$O:$O,"Mutih Wetan",'nama pasien'!$AD:$AD,"dirawat didemak")</f>
        <v>0</v>
      </c>
    </row>
    <row r="254" spans="1:33" x14ac:dyDescent="0.25">
      <c r="A254" s="62"/>
      <c r="B254" s="61" t="s">
        <v>226</v>
      </c>
      <c r="C254" s="36" t="s">
        <v>243</v>
      </c>
      <c r="D254" s="172">
        <v>0</v>
      </c>
      <c r="E254" s="39"/>
      <c r="F254" s="172">
        <v>0</v>
      </c>
      <c r="G254" s="172">
        <v>0</v>
      </c>
      <c r="H254" s="172">
        <v>0</v>
      </c>
      <c r="I254" s="172">
        <v>0</v>
      </c>
      <c r="J254" s="172">
        <v>0</v>
      </c>
      <c r="K254" s="172">
        <v>4</v>
      </c>
      <c r="L254" s="172">
        <v>15</v>
      </c>
      <c r="M254" s="172">
        <v>0</v>
      </c>
      <c r="N254" s="3">
        <v>0</v>
      </c>
      <c r="O254" s="25"/>
      <c r="P254" s="26"/>
      <c r="Q254" s="27"/>
      <c r="R254" s="26"/>
      <c r="S254" s="26"/>
      <c r="T254" s="26"/>
      <c r="U254" s="26"/>
      <c r="V254" s="27"/>
      <c r="W254" s="27"/>
      <c r="X254" s="26"/>
      <c r="AA254" s="71" t="e">
        <f>G254+#REF!+#REF!+M254+K254+L254</f>
        <v>#REF!</v>
      </c>
      <c r="AG254">
        <f>COUNTIFS('nama pasien'!$O:$O,"Kendalasem",'nama pasien'!$AD:$AD,"dirawat didemak")</f>
        <v>0</v>
      </c>
    </row>
    <row r="255" spans="1:33" x14ac:dyDescent="0.25">
      <c r="A255" s="62"/>
      <c r="B255" s="61" t="s">
        <v>226</v>
      </c>
      <c r="C255" s="36" t="s">
        <v>244</v>
      </c>
      <c r="D255" s="172">
        <v>0</v>
      </c>
      <c r="E255" s="39"/>
      <c r="F255" s="172">
        <v>0</v>
      </c>
      <c r="G255" s="172">
        <v>0</v>
      </c>
      <c r="H255" s="172">
        <v>0</v>
      </c>
      <c r="I255" s="172">
        <v>0</v>
      </c>
      <c r="J255" s="172">
        <v>0</v>
      </c>
      <c r="K255" s="172">
        <v>9</v>
      </c>
      <c r="L255" s="172">
        <v>55</v>
      </c>
      <c r="M255" s="172">
        <v>5</v>
      </c>
      <c r="N255" s="3">
        <v>5</v>
      </c>
      <c r="O255" s="25"/>
      <c r="P255" s="26"/>
      <c r="Q255" s="27"/>
      <c r="R255" s="26"/>
      <c r="S255" s="26"/>
      <c r="T255" s="26"/>
      <c r="U255" s="26"/>
      <c r="V255" s="27"/>
      <c r="W255" s="27"/>
      <c r="X255" s="26"/>
      <c r="AA255" s="71" t="e">
        <f>G255+#REF!+#REF!+M255+K255+L255</f>
        <v>#REF!</v>
      </c>
      <c r="AG255">
        <f>COUNTIFS('nama pasien'!$O:$O,"Babalan",'nama pasien'!$AD:$AD,"dirawat didemak")</f>
        <v>0</v>
      </c>
    </row>
    <row r="256" spans="1:33" x14ac:dyDescent="0.25">
      <c r="A256" s="63"/>
      <c r="B256" s="64" t="s">
        <v>226</v>
      </c>
      <c r="C256" s="73" t="s">
        <v>245</v>
      </c>
      <c r="D256" s="172">
        <v>0</v>
      </c>
      <c r="E256" s="40"/>
      <c r="F256" s="172">
        <v>0</v>
      </c>
      <c r="G256" s="172">
        <v>0</v>
      </c>
      <c r="H256" s="172">
        <v>0</v>
      </c>
      <c r="I256" s="172">
        <v>0</v>
      </c>
      <c r="J256" s="172">
        <v>0</v>
      </c>
      <c r="K256" s="172">
        <v>3</v>
      </c>
      <c r="L256" s="172">
        <v>39</v>
      </c>
      <c r="M256" s="172">
        <v>0</v>
      </c>
      <c r="N256" s="4">
        <v>0</v>
      </c>
      <c r="O256" s="25"/>
      <c r="P256" s="26"/>
      <c r="Q256" s="27"/>
      <c r="R256" s="26"/>
      <c r="S256" s="26"/>
      <c r="T256" s="26"/>
      <c r="U256" s="26"/>
      <c r="V256" s="27"/>
      <c r="W256" s="27"/>
      <c r="X256" s="26"/>
      <c r="AA256" s="71" t="e">
        <f>G256+#REF!+#REF!+M256+K256+L256</f>
        <v>#REF!</v>
      </c>
      <c r="AG256">
        <f>COUNTIFS('nama pasien'!$O:$O,"Tedunan",'nama pasien'!$AD:$AD,"dirawat didemak")</f>
        <v>0</v>
      </c>
    </row>
    <row r="257" spans="1:33" x14ac:dyDescent="0.25">
      <c r="A257" s="21"/>
      <c r="B257" s="22" t="s">
        <v>314</v>
      </c>
      <c r="C257" s="17"/>
      <c r="D257" s="173">
        <v>0</v>
      </c>
      <c r="E257" s="32"/>
      <c r="F257" s="173">
        <v>0</v>
      </c>
      <c r="G257" s="172">
        <v>0</v>
      </c>
      <c r="H257" s="172">
        <v>0</v>
      </c>
      <c r="I257" s="172">
        <v>0</v>
      </c>
      <c r="J257" s="172">
        <v>0</v>
      </c>
      <c r="K257" s="172">
        <v>0</v>
      </c>
      <c r="L257" s="172">
        <v>97</v>
      </c>
      <c r="M257" s="172">
        <v>5</v>
      </c>
      <c r="N257" s="177">
        <v>5</v>
      </c>
      <c r="O257" s="35">
        <f t="shared" ref="O257:X257" si="14">D257</f>
        <v>0</v>
      </c>
      <c r="P257" s="35">
        <f t="shared" si="14"/>
        <v>0</v>
      </c>
      <c r="Q257" s="35">
        <f>F257</f>
        <v>0</v>
      </c>
      <c r="R257" s="35">
        <f t="shared" si="14"/>
        <v>0</v>
      </c>
      <c r="S257" s="35">
        <f t="shared" si="14"/>
        <v>0</v>
      </c>
      <c r="T257" s="35">
        <f t="shared" si="14"/>
        <v>0</v>
      </c>
      <c r="U257" s="35">
        <f t="shared" si="14"/>
        <v>0</v>
      </c>
      <c r="V257" s="35">
        <f t="shared" si="14"/>
        <v>0</v>
      </c>
      <c r="W257" s="35">
        <f t="shared" si="14"/>
        <v>97</v>
      </c>
      <c r="X257" s="35">
        <f t="shared" si="14"/>
        <v>5</v>
      </c>
      <c r="AA257" s="71" t="e">
        <f>G257+#REF!+#REF!+M257+K257+L257</f>
        <v>#REF!</v>
      </c>
      <c r="AG257" s="157"/>
    </row>
    <row r="258" spans="1:33" ht="15" customHeight="1" x14ac:dyDescent="0.25">
      <c r="A258" s="197" t="s">
        <v>246</v>
      </c>
      <c r="B258" s="198"/>
      <c r="C258" s="76"/>
      <c r="D258" s="176">
        <v>1</v>
      </c>
      <c r="E258" s="176">
        <f>SUM(E8:E257)</f>
        <v>0</v>
      </c>
      <c r="F258" s="176">
        <v>142</v>
      </c>
      <c r="G258" s="174">
        <v>2</v>
      </c>
      <c r="H258" s="174">
        <v>11</v>
      </c>
      <c r="I258" s="174">
        <v>2</v>
      </c>
      <c r="J258" s="174">
        <v>2</v>
      </c>
      <c r="K258" s="176">
        <v>4007</v>
      </c>
      <c r="L258" s="176">
        <v>11748</v>
      </c>
      <c r="M258" s="176">
        <v>1351</v>
      </c>
      <c r="N258" s="174">
        <v>1306</v>
      </c>
      <c r="O258" s="28">
        <f t="shared" ref="O258:W258" si="15">SUM(O8:O257)</f>
        <v>1</v>
      </c>
      <c r="P258" s="28">
        <f t="shared" si="15"/>
        <v>0</v>
      </c>
      <c r="Q258" s="28">
        <f>SUM(Q8:Q257)</f>
        <v>142</v>
      </c>
      <c r="R258" s="28">
        <f t="shared" si="15"/>
        <v>2</v>
      </c>
      <c r="S258" s="28">
        <f>SUM(S8:S257)</f>
        <v>11</v>
      </c>
      <c r="T258" s="28">
        <f t="shared" si="15"/>
        <v>2</v>
      </c>
      <c r="U258" s="28">
        <f t="shared" si="15"/>
        <v>2</v>
      </c>
      <c r="V258" s="28">
        <f t="shared" si="15"/>
        <v>4007</v>
      </c>
      <c r="W258" s="28">
        <f t="shared" si="15"/>
        <v>11748</v>
      </c>
      <c r="X258" s="28">
        <f>SUM(X8:X257)</f>
        <v>1351</v>
      </c>
      <c r="Z258" s="34">
        <f>SUM(Z8:Z257)</f>
        <v>0</v>
      </c>
      <c r="AA258" s="70" t="e">
        <f>SUM(AA8:AA257)</f>
        <v>#REF!</v>
      </c>
      <c r="AB258" s="70" t="e">
        <f>SUM(AB8:AB257)</f>
        <v>#REF!</v>
      </c>
      <c r="AC258" s="34">
        <f>SUM(AC8:AC257)</f>
        <v>2</v>
      </c>
      <c r="AG258" s="157"/>
    </row>
    <row r="259" spans="1:33" ht="15" customHeight="1" x14ac:dyDescent="0.25">
      <c r="A259" s="19"/>
      <c r="B259" s="12"/>
      <c r="C259" s="12"/>
      <c r="D259" s="12"/>
      <c r="E259" s="33"/>
      <c r="F259" s="69"/>
      <c r="G259" s="68"/>
      <c r="H259" s="68"/>
      <c r="I259" s="68"/>
      <c r="J259" s="68"/>
      <c r="K259" s="12"/>
      <c r="L259" s="12"/>
      <c r="M259" s="12"/>
      <c r="N259" s="12"/>
      <c r="AG259" s="157"/>
    </row>
    <row r="260" spans="1:33" ht="15" customHeight="1" x14ac:dyDescent="0.25">
      <c r="A260" s="13"/>
      <c r="B260" s="18"/>
      <c r="F260" s="69"/>
    </row>
    <row r="261" spans="1:33" ht="15" customHeight="1" x14ac:dyDescent="0.25">
      <c r="A261" s="13"/>
      <c r="F261" s="69"/>
    </row>
    <row r="262" spans="1:33" x14ac:dyDescent="0.25">
      <c r="A262" s="13"/>
      <c r="F262" s="69"/>
    </row>
    <row r="263" spans="1:33" x14ac:dyDescent="0.25">
      <c r="A263" s="13"/>
      <c r="F263" s="69"/>
    </row>
    <row r="264" spans="1:33" x14ac:dyDescent="0.25">
      <c r="A264" s="13"/>
      <c r="F264" s="69"/>
    </row>
    <row r="265" spans="1:33" x14ac:dyDescent="0.25">
      <c r="A265" s="13"/>
      <c r="F265" s="69"/>
    </row>
    <row r="266" spans="1:33" x14ac:dyDescent="0.25">
      <c r="A266" s="13"/>
      <c r="D266" s="12"/>
      <c r="E266" s="33"/>
      <c r="F266" s="69"/>
      <c r="G266" s="68"/>
      <c r="H266" s="68"/>
      <c r="I266" s="68"/>
      <c r="J266" s="68"/>
      <c r="K266" s="12"/>
      <c r="L266" s="12"/>
      <c r="M266" s="12"/>
    </row>
    <row r="267" spans="1:33" x14ac:dyDescent="0.25">
      <c r="A267" s="13"/>
      <c r="F267" s="69"/>
    </row>
    <row r="268" spans="1:33" x14ac:dyDescent="0.25">
      <c r="A268" s="13"/>
      <c r="D268" s="34"/>
      <c r="E268" s="31"/>
      <c r="F268" s="69"/>
      <c r="J268"/>
      <c r="Y268" s="34"/>
      <c r="Z268"/>
      <c r="AB268" s="34"/>
      <c r="AC268"/>
    </row>
    <row r="269" spans="1:33" x14ac:dyDescent="0.25">
      <c r="A269" s="13"/>
      <c r="D269" s="34"/>
      <c r="E269" s="31"/>
      <c r="F269" s="69"/>
      <c r="J269"/>
      <c r="Y269" s="34"/>
      <c r="Z269"/>
      <c r="AB269" s="34"/>
      <c r="AC269"/>
    </row>
    <row r="270" spans="1:33" x14ac:dyDescent="0.25">
      <c r="A270" s="13"/>
      <c r="D270" s="34"/>
      <c r="E270" s="31"/>
      <c r="F270" s="69"/>
      <c r="J270"/>
      <c r="Y270" s="34"/>
      <c r="Z270"/>
      <c r="AB270" s="34"/>
      <c r="AC270"/>
    </row>
    <row r="271" spans="1:33" x14ac:dyDescent="0.25">
      <c r="A271" s="13"/>
      <c r="D271" s="34"/>
      <c r="E271" s="31"/>
      <c r="F271" s="69"/>
      <c r="J271"/>
      <c r="Y271" s="34"/>
      <c r="Z271"/>
      <c r="AB271" s="34"/>
      <c r="AC271"/>
    </row>
    <row r="272" spans="1:33" x14ac:dyDescent="0.25">
      <c r="A272" s="13"/>
      <c r="D272" s="34"/>
      <c r="E272" s="31"/>
      <c r="F272" s="69"/>
      <c r="J272"/>
      <c r="Y272" s="34"/>
      <c r="Z272"/>
      <c r="AB272" s="34"/>
      <c r="AC272"/>
    </row>
    <row r="273" spans="1:29" x14ac:dyDescent="0.25">
      <c r="A273" s="13"/>
      <c r="D273" s="34"/>
      <c r="E273" s="31"/>
      <c r="F273" s="69"/>
      <c r="J273"/>
      <c r="Y273" s="34"/>
      <c r="Z273"/>
      <c r="AB273" s="34"/>
      <c r="AC273"/>
    </row>
    <row r="274" spans="1:29" x14ac:dyDescent="0.25">
      <c r="A274" s="13"/>
      <c r="D274" s="34"/>
      <c r="E274" s="31"/>
      <c r="F274" s="69"/>
      <c r="J274"/>
      <c r="Y274" s="34"/>
      <c r="Z274"/>
      <c r="AB274" s="34"/>
      <c r="AC274"/>
    </row>
    <row r="275" spans="1:29" x14ac:dyDescent="0.25">
      <c r="A275" s="13"/>
      <c r="D275" s="34"/>
      <c r="E275" s="31"/>
      <c r="F275" s="69"/>
      <c r="J275"/>
      <c r="Y275" s="34"/>
      <c r="Z275"/>
      <c r="AB275" s="34"/>
      <c r="AC275"/>
    </row>
    <row r="276" spans="1:29" x14ac:dyDescent="0.25">
      <c r="A276" s="13"/>
      <c r="D276" s="34"/>
      <c r="E276" s="31"/>
      <c r="F276" s="69"/>
      <c r="J276"/>
      <c r="Y276" s="34"/>
      <c r="Z276"/>
      <c r="AB276" s="34"/>
      <c r="AC276"/>
    </row>
    <row r="277" spans="1:29" x14ac:dyDescent="0.25">
      <c r="A277" s="13"/>
      <c r="D277" s="34"/>
      <c r="E277" s="31"/>
      <c r="F277" s="69"/>
      <c r="J277"/>
      <c r="Y277" s="34"/>
      <c r="Z277"/>
      <c r="AB277" s="34"/>
      <c r="AC277"/>
    </row>
    <row r="278" spans="1:29" x14ac:dyDescent="0.25">
      <c r="A278" s="13"/>
      <c r="D278" s="34"/>
      <c r="E278" s="31"/>
      <c r="F278" s="69"/>
      <c r="J278"/>
      <c r="Y278" s="34"/>
      <c r="Z278"/>
      <c r="AB278" s="34"/>
      <c r="AC278"/>
    </row>
    <row r="279" spans="1:29" x14ac:dyDescent="0.25">
      <c r="A279" s="13"/>
      <c r="D279" s="34"/>
      <c r="E279" s="31"/>
      <c r="F279" s="69"/>
      <c r="J279"/>
      <c r="Y279" s="34"/>
      <c r="Z279"/>
      <c r="AB279" s="34"/>
      <c r="AC279"/>
    </row>
    <row r="280" spans="1:29" x14ac:dyDescent="0.25">
      <c r="A280" s="13"/>
      <c r="D280" s="34"/>
      <c r="E280" s="31"/>
      <c r="F280" s="69"/>
      <c r="J280"/>
      <c r="Y280" s="34"/>
      <c r="Z280"/>
      <c r="AB280" s="34"/>
      <c r="AC280"/>
    </row>
    <row r="281" spans="1:29" x14ac:dyDescent="0.25">
      <c r="A281" s="13"/>
      <c r="D281" s="34"/>
      <c r="E281" s="31"/>
      <c r="F281" s="69"/>
      <c r="J281"/>
      <c r="Y281" s="34"/>
      <c r="Z281"/>
      <c r="AB281" s="34"/>
      <c r="AC281"/>
    </row>
    <row r="282" spans="1:29" x14ac:dyDescent="0.25">
      <c r="A282" s="13"/>
      <c r="D282" s="34"/>
      <c r="E282" s="31"/>
      <c r="F282" s="69"/>
      <c r="J282"/>
      <c r="Y282" s="34"/>
      <c r="Z282"/>
      <c r="AB282" s="34"/>
      <c r="AC282"/>
    </row>
    <row r="283" spans="1:29" x14ac:dyDescent="0.25">
      <c r="A283" s="13"/>
      <c r="D283" s="34"/>
      <c r="E283" s="31"/>
      <c r="F283" s="69"/>
      <c r="J283"/>
      <c r="Y283" s="34"/>
      <c r="Z283"/>
      <c r="AB283" s="34"/>
      <c r="AC283"/>
    </row>
    <row r="284" spans="1:29" x14ac:dyDescent="0.25">
      <c r="A284" s="13"/>
      <c r="D284" s="34"/>
      <c r="E284" s="31"/>
      <c r="F284" s="69"/>
      <c r="J284"/>
      <c r="Y284" s="34"/>
      <c r="Z284"/>
      <c r="AB284" s="34"/>
      <c r="AC284"/>
    </row>
    <row r="285" spans="1:29" x14ac:dyDescent="0.25">
      <c r="A285" s="13"/>
      <c r="D285" s="34"/>
      <c r="E285" s="31"/>
      <c r="F285" s="69"/>
      <c r="J285"/>
      <c r="Y285" s="34"/>
      <c r="Z285"/>
      <c r="AB285" s="34"/>
      <c r="AC285"/>
    </row>
    <row r="286" spans="1:29" x14ac:dyDescent="0.25">
      <c r="A286" s="13"/>
      <c r="D286" s="34"/>
      <c r="E286" s="31"/>
      <c r="F286" s="69"/>
      <c r="J286"/>
      <c r="Y286" s="34"/>
      <c r="Z286"/>
      <c r="AB286" s="34"/>
      <c r="AC286"/>
    </row>
    <row r="287" spans="1:29" x14ac:dyDescent="0.25">
      <c r="A287" s="13"/>
      <c r="D287" s="34"/>
      <c r="E287" s="31"/>
      <c r="F287" s="69"/>
      <c r="J287"/>
      <c r="Y287" s="34"/>
      <c r="Z287"/>
      <c r="AB287" s="34"/>
      <c r="AC287"/>
    </row>
    <row r="288" spans="1:29" x14ac:dyDescent="0.25">
      <c r="A288" s="13"/>
      <c r="D288" s="34"/>
      <c r="E288" s="31"/>
      <c r="F288" s="69"/>
      <c r="J288"/>
      <c r="Y288" s="34"/>
      <c r="Z288"/>
      <c r="AB288" s="34"/>
      <c r="AC288"/>
    </row>
    <row r="289" spans="1:29" x14ac:dyDescent="0.25">
      <c r="A289" s="13"/>
      <c r="D289" s="34"/>
      <c r="E289" s="31"/>
      <c r="F289" s="69"/>
      <c r="J289"/>
      <c r="Y289" s="34"/>
      <c r="Z289"/>
      <c r="AB289" s="34"/>
      <c r="AC289"/>
    </row>
    <row r="290" spans="1:29" x14ac:dyDescent="0.25">
      <c r="A290" s="13"/>
      <c r="D290" s="34"/>
      <c r="E290" s="31"/>
      <c r="F290" s="69"/>
      <c r="J290"/>
      <c r="Y290" s="34"/>
      <c r="Z290"/>
      <c r="AB290" s="34"/>
      <c r="AC290"/>
    </row>
    <row r="291" spans="1:29" x14ac:dyDescent="0.25">
      <c r="A291" s="13"/>
      <c r="D291" s="34"/>
      <c r="E291" s="31"/>
      <c r="F291" s="69"/>
      <c r="J291"/>
      <c r="Y291" s="34"/>
      <c r="Z291"/>
      <c r="AB291" s="34"/>
      <c r="AC291"/>
    </row>
    <row r="292" spans="1:29" x14ac:dyDescent="0.25">
      <c r="A292" s="13"/>
      <c r="D292" s="34"/>
      <c r="E292" s="31"/>
      <c r="F292" s="69"/>
      <c r="J292"/>
      <c r="Y292" s="34"/>
      <c r="Z292"/>
      <c r="AB292" s="34"/>
      <c r="AC292"/>
    </row>
    <row r="293" spans="1:29" x14ac:dyDescent="0.25">
      <c r="A293" s="13"/>
      <c r="D293" s="34"/>
      <c r="E293" s="31"/>
      <c r="F293" s="69"/>
      <c r="J293"/>
      <c r="Y293" s="34"/>
      <c r="Z293"/>
      <c r="AB293" s="34"/>
      <c r="AC293"/>
    </row>
    <row r="294" spans="1:29" x14ac:dyDescent="0.25">
      <c r="A294" s="13"/>
      <c r="D294" s="34"/>
      <c r="E294" s="31"/>
      <c r="F294" s="69"/>
      <c r="J294"/>
      <c r="Y294" s="34"/>
      <c r="Z294"/>
      <c r="AB294" s="34"/>
      <c r="AC294"/>
    </row>
    <row r="295" spans="1:29" x14ac:dyDescent="0.25">
      <c r="A295" s="13"/>
      <c r="D295" s="34"/>
      <c r="E295" s="31"/>
      <c r="F295" s="69"/>
      <c r="J295"/>
      <c r="Y295" s="34"/>
      <c r="Z295"/>
      <c r="AB295" s="34"/>
      <c r="AC295"/>
    </row>
    <row r="296" spans="1:29" x14ac:dyDescent="0.25">
      <c r="A296" s="13"/>
      <c r="D296" s="34"/>
      <c r="E296" s="31"/>
      <c r="F296" s="69"/>
      <c r="J296"/>
      <c r="Y296" s="34"/>
      <c r="Z296"/>
      <c r="AB296" s="34"/>
      <c r="AC296"/>
    </row>
    <row r="297" spans="1:29" x14ac:dyDescent="0.25">
      <c r="A297" s="13"/>
      <c r="D297" s="34"/>
      <c r="E297" s="31"/>
      <c r="F297" s="69"/>
      <c r="J297"/>
      <c r="Y297" s="34"/>
      <c r="Z297"/>
      <c r="AB297" s="34"/>
      <c r="AC297"/>
    </row>
    <row r="298" spans="1:29" x14ac:dyDescent="0.25">
      <c r="A298" s="13"/>
      <c r="D298" s="34"/>
      <c r="E298" s="31"/>
      <c r="F298" s="69"/>
      <c r="J298"/>
      <c r="Y298" s="34"/>
      <c r="Z298"/>
      <c r="AB298" s="34"/>
      <c r="AC298"/>
    </row>
    <row r="299" spans="1:29" x14ac:dyDescent="0.25">
      <c r="A299" s="13"/>
      <c r="D299" s="34"/>
      <c r="E299" s="31"/>
      <c r="F299" s="69"/>
      <c r="J299"/>
      <c r="Y299" s="34"/>
      <c r="Z299"/>
      <c r="AB299" s="34"/>
      <c r="AC299"/>
    </row>
    <row r="300" spans="1:29" x14ac:dyDescent="0.25">
      <c r="A300" s="13"/>
      <c r="D300" s="34"/>
      <c r="E300" s="31"/>
      <c r="F300" s="69"/>
      <c r="J300"/>
      <c r="Y300" s="34"/>
      <c r="Z300"/>
      <c r="AB300" s="34"/>
      <c r="AC300"/>
    </row>
    <row r="301" spans="1:29" x14ac:dyDescent="0.25">
      <c r="A301" s="13"/>
      <c r="D301" s="34"/>
      <c r="E301" s="31"/>
      <c r="F301" s="69"/>
      <c r="J301"/>
      <c r="Y301" s="34"/>
      <c r="Z301"/>
      <c r="AB301" s="34"/>
      <c r="AC301"/>
    </row>
    <row r="302" spans="1:29" x14ac:dyDescent="0.25">
      <c r="A302" s="13"/>
      <c r="D302" s="34"/>
      <c r="E302" s="31"/>
      <c r="F302" s="69"/>
      <c r="J302"/>
      <c r="Y302" s="34"/>
      <c r="Z302"/>
      <c r="AB302" s="34"/>
      <c r="AC302"/>
    </row>
    <row r="303" spans="1:29" x14ac:dyDescent="0.25">
      <c r="A303" s="13"/>
      <c r="D303" s="34"/>
      <c r="E303" s="31"/>
      <c r="F303" s="69"/>
      <c r="J303"/>
      <c r="Y303" s="34"/>
      <c r="Z303"/>
      <c r="AB303" s="34"/>
      <c r="AC303"/>
    </row>
    <row r="304" spans="1:29" x14ac:dyDescent="0.25">
      <c r="A304" s="13"/>
      <c r="D304" s="34"/>
      <c r="E304" s="31"/>
      <c r="F304" s="69"/>
      <c r="J304"/>
      <c r="Y304" s="34"/>
      <c r="Z304"/>
      <c r="AB304" s="34"/>
      <c r="AC304"/>
    </row>
    <row r="305" spans="1:29" x14ac:dyDescent="0.25">
      <c r="A305" s="13"/>
      <c r="D305" s="34"/>
      <c r="E305" s="31"/>
      <c r="F305" s="69"/>
      <c r="J305"/>
      <c r="Y305" s="34"/>
      <c r="Z305"/>
      <c r="AB305" s="34"/>
      <c r="AC305"/>
    </row>
    <row r="306" spans="1:29" x14ac:dyDescent="0.25">
      <c r="A306" s="13"/>
      <c r="D306" s="34"/>
      <c r="E306" s="31"/>
      <c r="F306" s="69"/>
      <c r="J306"/>
      <c r="Y306" s="34"/>
      <c r="Z306"/>
      <c r="AB306" s="34"/>
      <c r="AC306"/>
    </row>
    <row r="307" spans="1:29" x14ac:dyDescent="0.25">
      <c r="A307" s="13"/>
      <c r="D307" s="34"/>
      <c r="E307" s="31"/>
      <c r="F307" s="69"/>
      <c r="J307"/>
      <c r="Y307" s="34"/>
      <c r="Z307"/>
      <c r="AB307" s="34"/>
      <c r="AC307"/>
    </row>
    <row r="308" spans="1:29" x14ac:dyDescent="0.25">
      <c r="A308" s="13"/>
      <c r="D308" s="34"/>
      <c r="E308" s="31"/>
      <c r="F308" s="69"/>
      <c r="J308"/>
      <c r="Y308" s="34"/>
      <c r="Z308"/>
      <c r="AB308" s="34"/>
      <c r="AC308"/>
    </row>
    <row r="309" spans="1:29" x14ac:dyDescent="0.25">
      <c r="A309" s="13"/>
      <c r="D309" s="34"/>
      <c r="E309" s="31"/>
      <c r="F309" s="69"/>
      <c r="J309"/>
      <c r="Y309" s="34"/>
      <c r="Z309"/>
      <c r="AB309" s="34"/>
      <c r="AC309"/>
    </row>
    <row r="310" spans="1:29" x14ac:dyDescent="0.25">
      <c r="A310" s="13"/>
      <c r="D310" s="34"/>
      <c r="E310" s="31"/>
      <c r="F310" s="69"/>
      <c r="J310"/>
      <c r="Y310" s="34"/>
      <c r="Z310"/>
      <c r="AB310" s="34"/>
      <c r="AC310"/>
    </row>
    <row r="311" spans="1:29" x14ac:dyDescent="0.25">
      <c r="A311" s="13"/>
      <c r="D311" s="34"/>
      <c r="E311" s="31"/>
      <c r="F311" s="69"/>
      <c r="J311"/>
      <c r="Y311" s="34"/>
      <c r="Z311"/>
      <c r="AB311" s="34"/>
      <c r="AC311"/>
    </row>
    <row r="312" spans="1:29" x14ac:dyDescent="0.25">
      <c r="A312" s="13"/>
      <c r="D312" s="34"/>
      <c r="E312" s="31"/>
      <c r="F312" s="69"/>
      <c r="J312"/>
      <c r="Y312" s="34"/>
      <c r="Z312"/>
      <c r="AB312" s="34"/>
      <c r="AC312"/>
    </row>
    <row r="313" spans="1:29" x14ac:dyDescent="0.25">
      <c r="A313" s="13"/>
      <c r="D313" s="34"/>
      <c r="E313" s="31"/>
      <c r="F313" s="69"/>
      <c r="J313"/>
      <c r="Y313" s="34"/>
      <c r="Z313"/>
      <c r="AB313" s="34"/>
      <c r="AC313"/>
    </row>
    <row r="314" spans="1:29" x14ac:dyDescent="0.25">
      <c r="A314" s="13"/>
      <c r="D314" s="34"/>
      <c r="E314" s="31"/>
      <c r="F314" s="69"/>
      <c r="J314"/>
      <c r="Y314" s="34"/>
      <c r="Z314"/>
      <c r="AB314" s="34"/>
      <c r="AC314"/>
    </row>
    <row r="315" spans="1:29" x14ac:dyDescent="0.25">
      <c r="A315" s="13"/>
      <c r="D315" s="34"/>
      <c r="E315" s="31"/>
      <c r="F315" s="69"/>
      <c r="J315"/>
      <c r="Y315" s="34"/>
      <c r="Z315"/>
      <c r="AB315" s="34"/>
      <c r="AC315"/>
    </row>
    <row r="316" spans="1:29" x14ac:dyDescent="0.25">
      <c r="A316" s="13"/>
      <c r="D316" s="34"/>
      <c r="E316" s="31"/>
      <c r="F316" s="69"/>
      <c r="J316"/>
      <c r="Y316" s="34"/>
      <c r="Z316"/>
      <c r="AB316" s="34"/>
      <c r="AC316"/>
    </row>
    <row r="317" spans="1:29" x14ac:dyDescent="0.25">
      <c r="A317" s="13"/>
      <c r="D317" s="34"/>
      <c r="E317" s="31"/>
      <c r="F317" s="69"/>
      <c r="J317"/>
      <c r="Y317" s="34"/>
      <c r="Z317"/>
      <c r="AB317" s="34"/>
      <c r="AC317"/>
    </row>
    <row r="318" spans="1:29" x14ac:dyDescent="0.25">
      <c r="A318" s="13"/>
      <c r="B318" t="s">
        <v>247</v>
      </c>
      <c r="D318" s="34"/>
      <c r="E318" s="31"/>
      <c r="F318" s="69"/>
      <c r="J318"/>
      <c r="Y318" s="34"/>
      <c r="Z318"/>
      <c r="AB318" s="34"/>
      <c r="AC318"/>
    </row>
    <row r="319" spans="1:29" x14ac:dyDescent="0.25">
      <c r="A319" s="13"/>
      <c r="D319" s="34"/>
      <c r="E319" s="31"/>
      <c r="F319" s="69"/>
      <c r="J319"/>
      <c r="Y319" s="34"/>
      <c r="Z319"/>
      <c r="AB319" s="34"/>
      <c r="AC319"/>
    </row>
    <row r="320" spans="1:29" x14ac:dyDescent="0.25">
      <c r="A320" s="14" t="s">
        <v>1</v>
      </c>
      <c r="B320" s="15" t="s">
        <v>248</v>
      </c>
      <c r="D320" s="34"/>
      <c r="E320" s="31"/>
      <c r="F320" s="69"/>
      <c r="J320"/>
      <c r="M320" s="15" t="s">
        <v>249</v>
      </c>
      <c r="Y320" s="34"/>
      <c r="Z320"/>
      <c r="AB320" s="34"/>
      <c r="AC320"/>
    </row>
    <row r="321" spans="1:29" x14ac:dyDescent="0.25">
      <c r="A321" s="16" t="s">
        <v>250</v>
      </c>
      <c r="B321" s="17" t="s">
        <v>251</v>
      </c>
      <c r="D321" s="34"/>
      <c r="E321" s="31"/>
      <c r="F321" s="69"/>
      <c r="J321"/>
      <c r="M321" s="17" t="s">
        <v>5</v>
      </c>
      <c r="Y321" s="34"/>
      <c r="Z321"/>
      <c r="AB321" s="34"/>
      <c r="AC321"/>
    </row>
    <row r="322" spans="1:29" x14ac:dyDescent="0.25">
      <c r="A322" s="16" t="s">
        <v>252</v>
      </c>
      <c r="B322" s="17" t="s">
        <v>10</v>
      </c>
      <c r="D322" s="34"/>
      <c r="E322" s="31"/>
      <c r="F322" s="69"/>
      <c r="J322"/>
      <c r="M322" s="17" t="s">
        <v>5</v>
      </c>
      <c r="Y322" s="34"/>
      <c r="Z322"/>
      <c r="AB322" s="34"/>
      <c r="AC322"/>
    </row>
    <row r="323" spans="1:29" x14ac:dyDescent="0.25">
      <c r="A323" s="16" t="s">
        <v>253</v>
      </c>
      <c r="B323" s="17" t="s">
        <v>23</v>
      </c>
      <c r="D323" s="34"/>
      <c r="E323" s="31"/>
      <c r="F323" s="69"/>
      <c r="J323"/>
      <c r="M323" s="17" t="s">
        <v>20</v>
      </c>
      <c r="Y323" s="34"/>
      <c r="Z323"/>
      <c r="AB323" s="34"/>
      <c r="AC323"/>
    </row>
    <row r="324" spans="1:29" x14ac:dyDescent="0.25">
      <c r="A324" s="16" t="s">
        <v>254</v>
      </c>
      <c r="B324" s="17" t="s">
        <v>255</v>
      </c>
      <c r="D324" s="34"/>
      <c r="E324" s="31"/>
      <c r="F324" s="69"/>
      <c r="J324"/>
      <c r="M324" s="17" t="s">
        <v>24</v>
      </c>
      <c r="Y324" s="34"/>
      <c r="Z324"/>
      <c r="AB324" s="34"/>
      <c r="AC324"/>
    </row>
    <row r="325" spans="1:29" x14ac:dyDescent="0.25">
      <c r="A325" s="16" t="s">
        <v>256</v>
      </c>
      <c r="B325" s="17" t="s">
        <v>257</v>
      </c>
      <c r="D325" s="34"/>
      <c r="E325" s="31"/>
      <c r="F325" s="69"/>
      <c r="J325"/>
      <c r="M325" s="17" t="s">
        <v>24</v>
      </c>
      <c r="Y325" s="34"/>
      <c r="Z325"/>
      <c r="AB325" s="34"/>
      <c r="AC325"/>
    </row>
    <row r="326" spans="1:29" x14ac:dyDescent="0.25">
      <c r="A326" s="16" t="s">
        <v>258</v>
      </c>
      <c r="B326" s="17" t="s">
        <v>40</v>
      </c>
      <c r="D326" s="34"/>
      <c r="E326" s="31"/>
      <c r="F326" s="69"/>
      <c r="J326"/>
      <c r="M326" s="17" t="s">
        <v>39</v>
      </c>
      <c r="Y326" s="34"/>
      <c r="Z326"/>
      <c r="AB326" s="34"/>
      <c r="AC326"/>
    </row>
    <row r="327" spans="1:29" x14ac:dyDescent="0.25">
      <c r="A327" s="16" t="s">
        <v>259</v>
      </c>
      <c r="B327" s="17" t="s">
        <v>44</v>
      </c>
      <c r="D327" s="34"/>
      <c r="E327" s="31"/>
      <c r="F327" s="69"/>
      <c r="J327"/>
      <c r="M327" s="17" t="s">
        <v>39</v>
      </c>
      <c r="Y327" s="34"/>
      <c r="Z327"/>
      <c r="AB327" s="34"/>
      <c r="AC327"/>
    </row>
    <row r="328" spans="1:29" x14ac:dyDescent="0.25">
      <c r="A328" s="16" t="s">
        <v>260</v>
      </c>
      <c r="B328" s="17" t="s">
        <v>41</v>
      </c>
      <c r="D328" s="34"/>
      <c r="E328" s="31"/>
      <c r="F328" s="69"/>
      <c r="J328"/>
      <c r="M328" s="17" t="s">
        <v>39</v>
      </c>
      <c r="Y328" s="34"/>
      <c r="Z328"/>
      <c r="AB328" s="34"/>
      <c r="AC328"/>
    </row>
    <row r="329" spans="1:29" x14ac:dyDescent="0.25">
      <c r="A329" s="16" t="s">
        <v>261</v>
      </c>
      <c r="B329" s="17" t="s">
        <v>60</v>
      </c>
      <c r="D329" s="34"/>
      <c r="E329" s="31"/>
      <c r="F329" s="69"/>
      <c r="J329"/>
      <c r="M329" s="17" t="s">
        <v>58</v>
      </c>
      <c r="Y329" s="34"/>
      <c r="Z329"/>
      <c r="AB329" s="34"/>
      <c r="AC329"/>
    </row>
    <row r="330" spans="1:29" x14ac:dyDescent="0.25">
      <c r="A330" s="16" t="s">
        <v>262</v>
      </c>
      <c r="B330" s="17" t="s">
        <v>69</v>
      </c>
      <c r="D330" s="34"/>
      <c r="E330" s="31"/>
      <c r="F330" s="69"/>
      <c r="J330"/>
      <c r="M330" s="17" t="s">
        <v>58</v>
      </c>
      <c r="Y330" s="34"/>
      <c r="Z330"/>
      <c r="AB330" s="34"/>
      <c r="AC330"/>
    </row>
    <row r="331" spans="1:29" x14ac:dyDescent="0.25">
      <c r="A331" s="16" t="s">
        <v>263</v>
      </c>
      <c r="B331" s="17" t="s">
        <v>58</v>
      </c>
      <c r="D331" s="34"/>
      <c r="E331" s="31"/>
      <c r="F331" s="69"/>
      <c r="J331"/>
      <c r="M331" s="17" t="s">
        <v>58</v>
      </c>
      <c r="Y331" s="34"/>
      <c r="Z331"/>
      <c r="AB331" s="34"/>
      <c r="AC331"/>
    </row>
    <row r="332" spans="1:29" x14ac:dyDescent="0.25">
      <c r="A332" s="16" t="s">
        <v>264</v>
      </c>
      <c r="B332" s="17" t="s">
        <v>68</v>
      </c>
      <c r="D332" s="34"/>
      <c r="E332" s="31"/>
      <c r="F332" s="69"/>
      <c r="J332"/>
      <c r="M332" s="17" t="s">
        <v>58</v>
      </c>
      <c r="Y332" s="34"/>
      <c r="Z332"/>
      <c r="AB332" s="34"/>
      <c r="AC332"/>
    </row>
    <row r="333" spans="1:29" x14ac:dyDescent="0.25">
      <c r="A333" s="16" t="s">
        <v>265</v>
      </c>
      <c r="B333" s="17" t="s">
        <v>80</v>
      </c>
      <c r="D333" s="34"/>
      <c r="E333" s="31"/>
      <c r="F333" s="69"/>
      <c r="J333"/>
      <c r="M333" s="17" t="s">
        <v>266</v>
      </c>
      <c r="Y333" s="34"/>
      <c r="Z333"/>
      <c r="AB333" s="34"/>
      <c r="AC333"/>
    </row>
    <row r="334" spans="1:29" x14ac:dyDescent="0.25">
      <c r="A334" s="16" t="s">
        <v>267</v>
      </c>
      <c r="B334" s="17" t="s">
        <v>81</v>
      </c>
      <c r="D334" s="34"/>
      <c r="E334" s="31"/>
      <c r="F334" s="69"/>
      <c r="J334"/>
      <c r="M334" s="17" t="s">
        <v>266</v>
      </c>
      <c r="Y334" s="34"/>
      <c r="Z334"/>
      <c r="AB334" s="34"/>
      <c r="AC334"/>
    </row>
    <row r="335" spans="1:29" x14ac:dyDescent="0.25">
      <c r="A335" s="16" t="s">
        <v>268</v>
      </c>
      <c r="B335" s="17" t="s">
        <v>269</v>
      </c>
      <c r="D335" s="34"/>
      <c r="E335" s="31"/>
      <c r="F335" s="69"/>
      <c r="J335"/>
      <c r="M335" s="17" t="s">
        <v>266</v>
      </c>
      <c r="Y335" s="34"/>
      <c r="Z335"/>
      <c r="AB335" s="34"/>
      <c r="AC335"/>
    </row>
    <row r="336" spans="1:29" x14ac:dyDescent="0.25">
      <c r="A336" s="16" t="s">
        <v>270</v>
      </c>
      <c r="B336" s="17" t="s">
        <v>76</v>
      </c>
      <c r="D336" s="34"/>
      <c r="E336" s="31"/>
      <c r="F336" s="69"/>
      <c r="J336"/>
      <c r="M336" s="17" t="s">
        <v>266</v>
      </c>
      <c r="Y336" s="34"/>
      <c r="Z336"/>
      <c r="AB336" s="34"/>
      <c r="AC336"/>
    </row>
    <row r="337" spans="1:29" x14ac:dyDescent="0.25">
      <c r="A337" s="16" t="s">
        <v>271</v>
      </c>
      <c r="B337" s="17" t="s">
        <v>84</v>
      </c>
      <c r="D337" s="34"/>
      <c r="E337" s="31"/>
      <c r="F337" s="69"/>
      <c r="J337"/>
      <c r="M337" s="17" t="s">
        <v>272</v>
      </c>
      <c r="Y337" s="34"/>
      <c r="Z337"/>
      <c r="AB337" s="34"/>
      <c r="AC337"/>
    </row>
    <row r="338" spans="1:29" x14ac:dyDescent="0.25">
      <c r="A338" s="16" t="s">
        <v>273</v>
      </c>
      <c r="B338" s="17" t="s">
        <v>10</v>
      </c>
      <c r="D338" s="34"/>
      <c r="E338" s="31"/>
      <c r="F338" s="69"/>
      <c r="J338"/>
      <c r="M338" s="17" t="s">
        <v>272</v>
      </c>
      <c r="Y338" s="34"/>
      <c r="Z338"/>
      <c r="AB338" s="34"/>
      <c r="AC338"/>
    </row>
    <row r="339" spans="1:29" x14ac:dyDescent="0.25">
      <c r="A339" s="16" t="s">
        <v>274</v>
      </c>
      <c r="B339" s="17" t="s">
        <v>112</v>
      </c>
      <c r="D339" s="34"/>
      <c r="E339" s="31"/>
      <c r="F339" s="69"/>
      <c r="J339"/>
      <c r="M339" s="17" t="s">
        <v>106</v>
      </c>
      <c r="Y339" s="34"/>
      <c r="Z339"/>
      <c r="AB339" s="34"/>
      <c r="AC339"/>
    </row>
    <row r="340" spans="1:29" x14ac:dyDescent="0.25">
      <c r="A340" s="16" t="s">
        <v>275</v>
      </c>
      <c r="B340" s="17" t="s">
        <v>119</v>
      </c>
      <c r="D340" s="34"/>
      <c r="E340" s="31"/>
      <c r="F340" s="69"/>
      <c r="J340"/>
      <c r="M340" s="17" t="s">
        <v>113</v>
      </c>
      <c r="Y340" s="34"/>
      <c r="Z340"/>
      <c r="AB340" s="34"/>
      <c r="AC340"/>
    </row>
    <row r="341" spans="1:29" x14ac:dyDescent="0.25">
      <c r="A341" s="16" t="s">
        <v>276</v>
      </c>
      <c r="B341" s="17" t="s">
        <v>121</v>
      </c>
      <c r="D341" s="34"/>
      <c r="E341" s="31"/>
      <c r="F341" s="69"/>
      <c r="J341"/>
      <c r="M341" s="17" t="s">
        <v>120</v>
      </c>
      <c r="Y341" s="34"/>
      <c r="Z341"/>
      <c r="AB341" s="34"/>
      <c r="AC341"/>
    </row>
    <row r="342" spans="1:29" x14ac:dyDescent="0.25">
      <c r="A342" s="16" t="s">
        <v>277</v>
      </c>
      <c r="B342" s="17" t="s">
        <v>122</v>
      </c>
      <c r="D342" s="34"/>
      <c r="E342" s="31"/>
      <c r="F342" s="69"/>
      <c r="J342"/>
      <c r="M342" s="17" t="s">
        <v>120</v>
      </c>
      <c r="Y342" s="34"/>
      <c r="Z342"/>
      <c r="AB342" s="34"/>
      <c r="AC342"/>
    </row>
    <row r="343" spans="1:29" x14ac:dyDescent="0.25">
      <c r="A343" s="16" t="s">
        <v>278</v>
      </c>
      <c r="B343" s="17" t="s">
        <v>9</v>
      </c>
      <c r="D343" s="34"/>
      <c r="E343" s="31"/>
      <c r="F343" s="69"/>
      <c r="J343"/>
      <c r="M343" s="17" t="s">
        <v>128</v>
      </c>
      <c r="Y343" s="34"/>
      <c r="Z343"/>
      <c r="AB343" s="34"/>
      <c r="AC343"/>
    </row>
    <row r="344" spans="1:29" x14ac:dyDescent="0.25">
      <c r="A344" s="16" t="s">
        <v>279</v>
      </c>
      <c r="B344" s="17" t="s">
        <v>134</v>
      </c>
      <c r="D344" s="34"/>
      <c r="E344" s="31"/>
      <c r="F344" s="69"/>
      <c r="J344"/>
      <c r="M344" s="17" t="s">
        <v>128</v>
      </c>
      <c r="Y344" s="34"/>
      <c r="Z344"/>
      <c r="AB344" s="34"/>
      <c r="AC344"/>
    </row>
    <row r="345" spans="1:29" x14ac:dyDescent="0.25">
      <c r="A345" s="16" t="s">
        <v>280</v>
      </c>
      <c r="B345" s="17" t="s">
        <v>151</v>
      </c>
      <c r="D345" s="34"/>
      <c r="E345" s="31"/>
      <c r="F345" s="69"/>
      <c r="J345"/>
      <c r="M345" s="17" t="s">
        <v>150</v>
      </c>
      <c r="Y345" s="34"/>
      <c r="Z345"/>
      <c r="AB345" s="34"/>
      <c r="AC345"/>
    </row>
    <row r="346" spans="1:29" x14ac:dyDescent="0.25">
      <c r="A346" s="16" t="s">
        <v>281</v>
      </c>
      <c r="B346" s="17" t="s">
        <v>170</v>
      </c>
      <c r="D346" s="34"/>
      <c r="E346" s="31"/>
      <c r="F346" s="69"/>
      <c r="J346"/>
      <c r="M346" s="17" t="s">
        <v>282</v>
      </c>
      <c r="Y346" s="34"/>
      <c r="Z346"/>
      <c r="AB346" s="34"/>
      <c r="AC346"/>
    </row>
    <row r="347" spans="1:29" x14ac:dyDescent="0.25">
      <c r="A347" s="16" t="s">
        <v>283</v>
      </c>
      <c r="B347" s="17" t="s">
        <v>190</v>
      </c>
      <c r="D347" s="34"/>
      <c r="E347" s="31"/>
      <c r="F347" s="69"/>
      <c r="J347"/>
      <c r="M347" s="17" t="s">
        <v>180</v>
      </c>
      <c r="Y347" s="34"/>
      <c r="Z347"/>
      <c r="AB347" s="34"/>
      <c r="AC347"/>
    </row>
    <row r="348" spans="1:29" x14ac:dyDescent="0.25">
      <c r="A348" s="16" t="s">
        <v>284</v>
      </c>
      <c r="B348" s="17" t="s">
        <v>210</v>
      </c>
      <c r="D348" s="34"/>
      <c r="E348" s="31"/>
      <c r="F348" s="69"/>
      <c r="J348"/>
      <c r="M348" s="17" t="s">
        <v>208</v>
      </c>
      <c r="Y348" s="34"/>
      <c r="Z348"/>
      <c r="AB348" s="34"/>
      <c r="AC348"/>
    </row>
    <row r="349" spans="1:29" x14ac:dyDescent="0.25">
      <c r="A349" s="16" t="s">
        <v>285</v>
      </c>
      <c r="B349" s="17" t="s">
        <v>226</v>
      </c>
      <c r="D349" s="34"/>
      <c r="E349" s="31"/>
      <c r="F349" s="69"/>
      <c r="J349"/>
      <c r="M349" s="17" t="s">
        <v>227</v>
      </c>
      <c r="Y349" s="34"/>
      <c r="Z349"/>
      <c r="AB349" s="34"/>
      <c r="AC349"/>
    </row>
    <row r="350" spans="1:29" x14ac:dyDescent="0.25">
      <c r="A350" s="16" t="s">
        <v>286</v>
      </c>
      <c r="B350" s="17" t="s">
        <v>245</v>
      </c>
      <c r="D350" s="34"/>
      <c r="E350" s="31"/>
      <c r="F350" s="69"/>
      <c r="J350"/>
      <c r="M350" s="17" t="s">
        <v>237</v>
      </c>
      <c r="Y350" s="34"/>
      <c r="Z350"/>
      <c r="AB350" s="34"/>
      <c r="AC350"/>
    </row>
    <row r="351" spans="1:29" x14ac:dyDescent="0.25">
      <c r="A351" s="16" t="s">
        <v>287</v>
      </c>
      <c r="B351" s="17" t="s">
        <v>238</v>
      </c>
      <c r="D351" s="34"/>
      <c r="E351" s="31"/>
      <c r="F351" s="69"/>
      <c r="J351"/>
      <c r="M351" s="17" t="s">
        <v>237</v>
      </c>
      <c r="Y351" s="34"/>
      <c r="Z351"/>
      <c r="AB351" s="34"/>
      <c r="AC351"/>
    </row>
    <row r="352" spans="1:29" x14ac:dyDescent="0.25">
      <c r="D352" s="34"/>
      <c r="E352" s="31"/>
      <c r="F352" s="69"/>
      <c r="J352"/>
      <c r="Y352" s="34"/>
      <c r="Z352"/>
      <c r="AB352" s="34"/>
      <c r="AC352"/>
    </row>
    <row r="353" spans="1:29" x14ac:dyDescent="0.25">
      <c r="D353" s="34"/>
      <c r="E353" s="31"/>
      <c r="F353" s="69"/>
      <c r="J353"/>
      <c r="Y353" s="34"/>
      <c r="Z353"/>
      <c r="AB353" s="34"/>
      <c r="AC353"/>
    </row>
    <row r="354" spans="1:29" x14ac:dyDescent="0.25">
      <c r="A354" s="207" t="s">
        <v>288</v>
      </c>
      <c r="B354" s="207"/>
      <c r="D354" s="34"/>
      <c r="E354" s="31"/>
      <c r="F354" s="69"/>
      <c r="J354"/>
      <c r="Y354" s="34"/>
      <c r="Z354"/>
      <c r="AB354" s="34"/>
      <c r="AC354"/>
    </row>
    <row r="355" spans="1:29" x14ac:dyDescent="0.25">
      <c r="D355" s="34"/>
      <c r="E355" s="31"/>
      <c r="F355" s="69"/>
      <c r="J355"/>
      <c r="Y355" s="34"/>
      <c r="Z355"/>
      <c r="AB355" s="34"/>
      <c r="AC355"/>
    </row>
    <row r="356" spans="1:29" x14ac:dyDescent="0.25">
      <c r="A356" s="14" t="s">
        <v>1</v>
      </c>
      <c r="B356" s="15" t="s">
        <v>248</v>
      </c>
      <c r="D356" s="34"/>
      <c r="E356" s="31"/>
      <c r="F356" s="69"/>
      <c r="J356"/>
      <c r="M356" s="15" t="s">
        <v>249</v>
      </c>
      <c r="Y356" s="34"/>
      <c r="Z356"/>
      <c r="AB356" s="34"/>
      <c r="AC356"/>
    </row>
    <row r="357" spans="1:29" x14ac:dyDescent="0.25">
      <c r="A357" s="16" t="s">
        <v>250</v>
      </c>
      <c r="B357" s="17" t="s">
        <v>27</v>
      </c>
      <c r="D357" s="34"/>
      <c r="E357" s="31"/>
      <c r="F357" s="69"/>
      <c r="J357"/>
      <c r="M357" s="17" t="s">
        <v>24</v>
      </c>
      <c r="Y357" s="34"/>
      <c r="Z357"/>
      <c r="AB357" s="34"/>
      <c r="AC357"/>
    </row>
    <row r="358" spans="1:29" x14ac:dyDescent="0.25">
      <c r="A358" s="16" t="s">
        <v>252</v>
      </c>
      <c r="B358" s="17" t="s">
        <v>32</v>
      </c>
      <c r="D358" s="34"/>
      <c r="E358" s="31"/>
      <c r="F358" s="69"/>
      <c r="J358"/>
      <c r="M358" s="17" t="s">
        <v>24</v>
      </c>
      <c r="Y358" s="34"/>
      <c r="Z358"/>
      <c r="AB358" s="34"/>
      <c r="AC358"/>
    </row>
    <row r="359" spans="1:29" x14ac:dyDescent="0.25">
      <c r="A359" s="16" t="s">
        <v>253</v>
      </c>
      <c r="B359" s="17" t="s">
        <v>46</v>
      </c>
      <c r="D359" s="34"/>
      <c r="E359" s="31"/>
      <c r="F359" s="69"/>
      <c r="J359"/>
      <c r="M359" s="17" t="s">
        <v>38</v>
      </c>
      <c r="Y359" s="34"/>
      <c r="Z359"/>
      <c r="AB359" s="34"/>
      <c r="AC359"/>
    </row>
    <row r="360" spans="1:29" x14ac:dyDescent="0.25">
      <c r="A360" s="16" t="s">
        <v>254</v>
      </c>
      <c r="B360" s="17" t="s">
        <v>47</v>
      </c>
      <c r="D360" s="34"/>
      <c r="E360" s="31"/>
      <c r="F360" s="69"/>
      <c r="J360"/>
      <c r="M360" s="17" t="s">
        <v>38</v>
      </c>
      <c r="Y360" s="34"/>
      <c r="Z360"/>
      <c r="AB360" s="34"/>
      <c r="AC360"/>
    </row>
    <row r="361" spans="1:29" x14ac:dyDescent="0.25">
      <c r="A361" s="16" t="s">
        <v>256</v>
      </c>
      <c r="B361" s="17" t="s">
        <v>89</v>
      </c>
      <c r="D361" s="34"/>
      <c r="E361" s="31"/>
      <c r="F361" s="69"/>
      <c r="J361"/>
      <c r="M361" s="17" t="s">
        <v>76</v>
      </c>
      <c r="Y361" s="34"/>
      <c r="Z361"/>
      <c r="AB361" s="34"/>
      <c r="AC361"/>
    </row>
    <row r="362" spans="1:29" x14ac:dyDescent="0.25">
      <c r="A362" s="16" t="s">
        <v>258</v>
      </c>
      <c r="B362" s="17" t="s">
        <v>107</v>
      </c>
      <c r="D362" s="34"/>
      <c r="E362" s="31"/>
      <c r="F362" s="69"/>
      <c r="J362"/>
      <c r="M362" s="17" t="s">
        <v>106</v>
      </c>
      <c r="Y362" s="34"/>
      <c r="Z362"/>
      <c r="AB362" s="34"/>
      <c r="AC362"/>
    </row>
    <row r="363" spans="1:29" x14ac:dyDescent="0.25">
      <c r="A363" s="16" t="s">
        <v>259</v>
      </c>
      <c r="B363" s="17" t="s">
        <v>136</v>
      </c>
      <c r="D363" s="34"/>
      <c r="E363" s="31"/>
      <c r="F363" s="69"/>
      <c r="J363"/>
      <c r="M363" s="17" t="s">
        <v>128</v>
      </c>
      <c r="Y363" s="34"/>
      <c r="Z363"/>
      <c r="AB363" s="34"/>
      <c r="AC363"/>
    </row>
    <row r="364" spans="1:29" x14ac:dyDescent="0.25">
      <c r="A364" s="16" t="s">
        <v>260</v>
      </c>
      <c r="B364" s="17" t="s">
        <v>289</v>
      </c>
      <c r="D364" s="34"/>
      <c r="E364" s="31"/>
      <c r="F364" s="69"/>
      <c r="J364"/>
      <c r="M364" s="17" t="s">
        <v>138</v>
      </c>
      <c r="Y364" s="34"/>
      <c r="Z364"/>
      <c r="AB364" s="34"/>
      <c r="AC364"/>
    </row>
    <row r="365" spans="1:29" x14ac:dyDescent="0.25">
      <c r="A365" s="16" t="s">
        <v>261</v>
      </c>
      <c r="B365" s="17" t="s">
        <v>143</v>
      </c>
      <c r="D365" s="34"/>
      <c r="E365" s="31"/>
      <c r="F365" s="69"/>
      <c r="J365"/>
      <c r="M365" s="17" t="s">
        <v>138</v>
      </c>
      <c r="Y365" s="34"/>
      <c r="Z365"/>
      <c r="AB365" s="34"/>
      <c r="AC365"/>
    </row>
    <row r="366" spans="1:29" x14ac:dyDescent="0.25">
      <c r="A366" s="16" t="s">
        <v>262</v>
      </c>
      <c r="B366" s="17" t="s">
        <v>175</v>
      </c>
      <c r="D366" s="34"/>
      <c r="E366" s="31"/>
      <c r="F366" s="69"/>
      <c r="J366"/>
      <c r="M366" s="17" t="s">
        <v>169</v>
      </c>
      <c r="Y366" s="34"/>
      <c r="Z366"/>
      <c r="AB366" s="34"/>
      <c r="AC366"/>
    </row>
    <row r="367" spans="1:29" x14ac:dyDescent="0.25">
      <c r="A367" s="16" t="s">
        <v>263</v>
      </c>
      <c r="B367" s="17" t="s">
        <v>181</v>
      </c>
      <c r="D367" s="34"/>
      <c r="E367" s="31"/>
      <c r="F367" s="69"/>
      <c r="J367"/>
      <c r="M367" s="17" t="s">
        <v>180</v>
      </c>
      <c r="Y367" s="34"/>
      <c r="Z367"/>
      <c r="AB367" s="34"/>
      <c r="AC367"/>
    </row>
    <row r="368" spans="1:29" x14ac:dyDescent="0.25">
      <c r="A368" s="16" t="s">
        <v>264</v>
      </c>
      <c r="B368" s="17" t="s">
        <v>56</v>
      </c>
      <c r="D368" s="34"/>
      <c r="E368" s="31"/>
      <c r="F368" s="69"/>
      <c r="J368"/>
      <c r="M368" s="17" t="s">
        <v>180</v>
      </c>
      <c r="Y368" s="34"/>
      <c r="Z368"/>
      <c r="AB368" s="34"/>
      <c r="AC368"/>
    </row>
    <row r="369" spans="1:29" x14ac:dyDescent="0.25">
      <c r="A369" s="16" t="s">
        <v>265</v>
      </c>
      <c r="B369" s="17" t="s">
        <v>185</v>
      </c>
      <c r="D369" s="34"/>
      <c r="E369" s="31"/>
      <c r="F369" s="69"/>
      <c r="J369"/>
      <c r="M369" s="17" t="s">
        <v>180</v>
      </c>
      <c r="Y369" s="34"/>
      <c r="Z369"/>
      <c r="AB369" s="34"/>
      <c r="AC369"/>
    </row>
    <row r="370" spans="1:29" x14ac:dyDescent="0.25">
      <c r="A370" s="16" t="s">
        <v>267</v>
      </c>
      <c r="B370" s="17" t="s">
        <v>60</v>
      </c>
      <c r="D370" s="34"/>
      <c r="E370" s="31"/>
      <c r="F370" s="69"/>
      <c r="J370"/>
      <c r="M370" s="17" t="s">
        <v>208</v>
      </c>
      <c r="Y370" s="34"/>
      <c r="Z370"/>
      <c r="AB370" s="34"/>
      <c r="AC370"/>
    </row>
    <row r="371" spans="1:29" x14ac:dyDescent="0.25">
      <c r="A371" s="16" t="s">
        <v>268</v>
      </c>
      <c r="B371" s="17" t="s">
        <v>215</v>
      </c>
      <c r="D371" s="34"/>
      <c r="E371" s="31"/>
      <c r="F371" s="69"/>
      <c r="J371"/>
      <c r="M371" s="17" t="s">
        <v>208</v>
      </c>
      <c r="Y371" s="34"/>
      <c r="Z371"/>
      <c r="AB371" s="34"/>
      <c r="AC371"/>
    </row>
    <row r="372" spans="1:29" x14ac:dyDescent="0.25">
      <c r="D372" s="34"/>
      <c r="E372" s="31"/>
      <c r="F372" s="69"/>
      <c r="J372"/>
      <c r="Y372" s="34"/>
      <c r="Z372"/>
      <c r="AB372" s="34"/>
      <c r="AC372"/>
    </row>
    <row r="373" spans="1:29" x14ac:dyDescent="0.25">
      <c r="D373" s="34"/>
      <c r="E373" s="31"/>
      <c r="F373" s="69"/>
      <c r="J373"/>
      <c r="Y373" s="34"/>
      <c r="Z373"/>
      <c r="AB373" s="34"/>
      <c r="AC373"/>
    </row>
    <row r="374" spans="1:29" x14ac:dyDescent="0.25">
      <c r="D374" s="34"/>
      <c r="E374" s="31"/>
      <c r="F374" s="69"/>
      <c r="J374"/>
      <c r="Y374" s="34"/>
      <c r="Z374"/>
      <c r="AB374" s="34"/>
      <c r="AC374"/>
    </row>
    <row r="375" spans="1:29" x14ac:dyDescent="0.25">
      <c r="D375" s="34"/>
      <c r="E375" s="31"/>
      <c r="F375" s="69"/>
      <c r="J375"/>
      <c r="Y375" s="34"/>
      <c r="Z375"/>
      <c r="AB375" s="34"/>
      <c r="AC375"/>
    </row>
    <row r="376" spans="1:29" x14ac:dyDescent="0.25">
      <c r="D376" s="34"/>
      <c r="E376" s="31"/>
      <c r="F376" s="69"/>
      <c r="J376"/>
      <c r="Y376" s="34"/>
      <c r="Z376"/>
      <c r="AB376" s="34"/>
      <c r="AC376"/>
    </row>
    <row r="377" spans="1:29" x14ac:dyDescent="0.25">
      <c r="D377" s="34"/>
      <c r="E377" s="31"/>
      <c r="F377" s="69"/>
      <c r="J377"/>
      <c r="Y377" s="34"/>
      <c r="Z377"/>
      <c r="AB377" s="34"/>
      <c r="AC377"/>
    </row>
    <row r="378" spans="1:29" x14ac:dyDescent="0.25">
      <c r="D378" s="34"/>
      <c r="E378" s="31"/>
      <c r="F378" s="69"/>
      <c r="J378"/>
      <c r="Y378" s="34"/>
      <c r="Z378"/>
      <c r="AB378" s="34"/>
      <c r="AC378"/>
    </row>
    <row r="379" spans="1:29" x14ac:dyDescent="0.25">
      <c r="D379" s="34"/>
      <c r="E379" s="31"/>
      <c r="F379" s="69"/>
      <c r="J379"/>
      <c r="Y379" s="34"/>
      <c r="Z379"/>
      <c r="AB379" s="34"/>
      <c r="AC379"/>
    </row>
    <row r="380" spans="1:29" x14ac:dyDescent="0.25">
      <c r="D380" s="34"/>
      <c r="E380" s="31"/>
      <c r="F380" s="69"/>
      <c r="J380"/>
      <c r="Y380" s="34"/>
      <c r="Z380"/>
      <c r="AB380" s="34"/>
      <c r="AC380"/>
    </row>
    <row r="381" spans="1:29" x14ac:dyDescent="0.25">
      <c r="D381" s="34"/>
      <c r="E381" s="31"/>
      <c r="F381" s="69"/>
      <c r="J381"/>
      <c r="Y381" s="34"/>
      <c r="Z381"/>
      <c r="AB381" s="34"/>
      <c r="AC381"/>
    </row>
    <row r="382" spans="1:29" x14ac:dyDescent="0.25">
      <c r="D382" s="34"/>
      <c r="E382" s="31"/>
      <c r="F382" s="69"/>
      <c r="J382"/>
      <c r="Y382" s="34"/>
      <c r="Z382"/>
      <c r="AB382" s="34"/>
      <c r="AC382"/>
    </row>
    <row r="383" spans="1:29" x14ac:dyDescent="0.25">
      <c r="D383" s="34"/>
      <c r="E383" s="31"/>
      <c r="F383" s="69"/>
      <c r="J383"/>
      <c r="Y383" s="34"/>
      <c r="Z383"/>
      <c r="AB383" s="34"/>
      <c r="AC383"/>
    </row>
    <row r="384" spans="1:29" x14ac:dyDescent="0.25">
      <c r="D384" s="34"/>
      <c r="E384" s="31"/>
      <c r="F384" s="69"/>
      <c r="J384"/>
      <c r="Y384" s="34"/>
      <c r="Z384"/>
      <c r="AB384" s="34"/>
      <c r="AC384"/>
    </row>
    <row r="385" spans="4:29" x14ac:dyDescent="0.25">
      <c r="D385" s="34"/>
      <c r="E385" s="31"/>
      <c r="F385" s="69"/>
      <c r="J385"/>
      <c r="Y385" s="34"/>
      <c r="Z385"/>
      <c r="AB385" s="34"/>
      <c r="AC385"/>
    </row>
    <row r="386" spans="4:29" x14ac:dyDescent="0.25">
      <c r="D386" s="34"/>
      <c r="E386" s="31"/>
      <c r="F386" s="69"/>
      <c r="J386"/>
      <c r="Y386" s="34"/>
      <c r="Z386"/>
      <c r="AB386" s="34"/>
      <c r="AC386"/>
    </row>
    <row r="387" spans="4:29" x14ac:dyDescent="0.25">
      <c r="D387" s="34"/>
      <c r="E387" s="31"/>
      <c r="F387" s="69"/>
      <c r="J387"/>
      <c r="Y387" s="34"/>
      <c r="Z387"/>
      <c r="AB387" s="34"/>
      <c r="AC387"/>
    </row>
    <row r="388" spans="4:29" x14ac:dyDescent="0.25">
      <c r="D388" s="34"/>
      <c r="E388" s="31"/>
      <c r="F388" s="69"/>
      <c r="J388"/>
      <c r="Y388" s="34"/>
      <c r="Z388"/>
      <c r="AB388" s="34"/>
      <c r="AC388"/>
    </row>
    <row r="389" spans="4:29" x14ac:dyDescent="0.25">
      <c r="D389" s="34"/>
      <c r="E389" s="31"/>
      <c r="F389" s="69"/>
      <c r="J389"/>
      <c r="Y389" s="34"/>
      <c r="Z389"/>
      <c r="AB389" s="34"/>
      <c r="AC389"/>
    </row>
    <row r="390" spans="4:29" x14ac:dyDescent="0.25">
      <c r="D390" s="34"/>
      <c r="E390" s="31"/>
      <c r="F390" s="69"/>
      <c r="J390"/>
      <c r="Y390" s="34"/>
      <c r="Z390"/>
      <c r="AB390" s="34"/>
      <c r="AC390"/>
    </row>
    <row r="391" spans="4:29" x14ac:dyDescent="0.25">
      <c r="D391" s="34"/>
      <c r="E391" s="31"/>
      <c r="F391" s="69"/>
      <c r="J391"/>
      <c r="Y391" s="34"/>
      <c r="Z391"/>
      <c r="AB391" s="34"/>
      <c r="AC391"/>
    </row>
    <row r="392" spans="4:29" x14ac:dyDescent="0.25">
      <c r="D392" s="34"/>
      <c r="E392" s="31"/>
      <c r="F392" s="69"/>
      <c r="J392"/>
      <c r="Y392" s="34"/>
      <c r="Z392"/>
      <c r="AB392" s="34"/>
      <c r="AC392"/>
    </row>
    <row r="393" spans="4:29" x14ac:dyDescent="0.25">
      <c r="D393" s="34"/>
      <c r="E393" s="31"/>
      <c r="F393" s="69"/>
      <c r="J393"/>
      <c r="Y393" s="34"/>
      <c r="Z393"/>
      <c r="AB393" s="34"/>
      <c r="AC393"/>
    </row>
    <row r="394" spans="4:29" x14ac:dyDescent="0.25">
      <c r="D394" s="34"/>
      <c r="E394" s="31"/>
      <c r="F394" s="69"/>
      <c r="J394"/>
      <c r="Y394" s="34"/>
      <c r="Z394"/>
      <c r="AB394" s="34"/>
      <c r="AC394"/>
    </row>
    <row r="395" spans="4:29" x14ac:dyDescent="0.25">
      <c r="D395" s="34"/>
      <c r="E395" s="31"/>
      <c r="F395" s="69"/>
      <c r="J395"/>
      <c r="Y395" s="34"/>
      <c r="Z395"/>
      <c r="AB395" s="34"/>
      <c r="AC395"/>
    </row>
    <row r="396" spans="4:29" x14ac:dyDescent="0.25">
      <c r="D396" s="34"/>
      <c r="E396" s="31"/>
      <c r="F396" s="69"/>
      <c r="J396"/>
      <c r="Y396" s="34"/>
      <c r="Z396"/>
      <c r="AB396" s="34"/>
      <c r="AC396"/>
    </row>
    <row r="397" spans="4:29" x14ac:dyDescent="0.25">
      <c r="D397" s="34"/>
      <c r="E397" s="31"/>
      <c r="F397" s="69"/>
      <c r="J397"/>
      <c r="Y397" s="34"/>
      <c r="Z397"/>
      <c r="AB397" s="34"/>
      <c r="AC397"/>
    </row>
    <row r="398" spans="4:29" x14ac:dyDescent="0.25">
      <c r="D398" s="34"/>
      <c r="E398" s="31"/>
      <c r="F398" s="69"/>
      <c r="J398"/>
      <c r="Y398" s="34"/>
      <c r="Z398"/>
      <c r="AB398" s="34"/>
      <c r="AC398"/>
    </row>
    <row r="399" spans="4:29" x14ac:dyDescent="0.25">
      <c r="D399" s="34"/>
      <c r="E399" s="31"/>
      <c r="F399" s="69"/>
      <c r="J399"/>
      <c r="Y399" s="34"/>
      <c r="Z399"/>
      <c r="AB399" s="34"/>
      <c r="AC399"/>
    </row>
    <row r="400" spans="4:29" x14ac:dyDescent="0.25">
      <c r="D400" s="34"/>
      <c r="E400" s="31"/>
      <c r="F400" s="69"/>
      <c r="J400"/>
      <c r="Y400" s="34"/>
      <c r="Z400"/>
      <c r="AB400" s="34"/>
      <c r="AC400"/>
    </row>
    <row r="401" spans="4:29" x14ac:dyDescent="0.25">
      <c r="D401" s="34"/>
      <c r="E401" s="31"/>
      <c r="F401" s="69"/>
      <c r="J401"/>
      <c r="Y401" s="34"/>
      <c r="Z401"/>
      <c r="AB401" s="34"/>
      <c r="AC401"/>
    </row>
    <row r="402" spans="4:29" x14ac:dyDescent="0.25">
      <c r="D402" s="34"/>
      <c r="E402" s="31"/>
      <c r="F402" s="69"/>
      <c r="J402"/>
      <c r="Y402" s="34"/>
      <c r="Z402"/>
      <c r="AB402" s="34"/>
      <c r="AC402"/>
    </row>
    <row r="403" spans="4:29" x14ac:dyDescent="0.25">
      <c r="D403" s="34"/>
      <c r="E403" s="31"/>
      <c r="F403" s="69"/>
      <c r="J403"/>
      <c r="Y403" s="34"/>
      <c r="Z403"/>
      <c r="AB403" s="34"/>
      <c r="AC403"/>
    </row>
    <row r="404" spans="4:29" x14ac:dyDescent="0.25">
      <c r="D404" s="34"/>
      <c r="E404" s="31"/>
      <c r="F404" s="69"/>
      <c r="J404"/>
      <c r="Y404" s="34"/>
      <c r="Z404"/>
      <c r="AB404" s="34"/>
      <c r="AC404"/>
    </row>
    <row r="405" spans="4:29" x14ac:dyDescent="0.25">
      <c r="D405" s="34"/>
      <c r="E405" s="31"/>
      <c r="F405" s="69"/>
      <c r="J405"/>
      <c r="Y405" s="34"/>
      <c r="Z405"/>
      <c r="AB405" s="34"/>
      <c r="AC405"/>
    </row>
    <row r="406" spans="4:29" x14ac:dyDescent="0.25">
      <c r="D406" s="34"/>
      <c r="E406" s="31"/>
      <c r="F406" s="69"/>
      <c r="J406"/>
      <c r="Y406" s="34"/>
      <c r="Z406"/>
      <c r="AB406" s="34"/>
      <c r="AC406"/>
    </row>
    <row r="407" spans="4:29" x14ac:dyDescent="0.25">
      <c r="D407" s="34"/>
      <c r="E407" s="31"/>
      <c r="F407" s="69"/>
      <c r="J407"/>
      <c r="Y407" s="34"/>
      <c r="Z407"/>
      <c r="AB407" s="34"/>
      <c r="AC407"/>
    </row>
    <row r="408" spans="4:29" x14ac:dyDescent="0.25">
      <c r="D408" s="34"/>
      <c r="E408" s="31"/>
      <c r="F408" s="69"/>
      <c r="J408"/>
      <c r="Y408" s="34"/>
      <c r="Z408"/>
      <c r="AB408" s="34"/>
      <c r="AC408"/>
    </row>
    <row r="409" spans="4:29" x14ac:dyDescent="0.25">
      <c r="D409" s="34"/>
      <c r="E409" s="31"/>
      <c r="F409" s="69"/>
      <c r="J409"/>
      <c r="Y409" s="34"/>
      <c r="Z409"/>
      <c r="AB409" s="34"/>
      <c r="AC409"/>
    </row>
    <row r="410" spans="4:29" x14ac:dyDescent="0.25">
      <c r="D410" s="34"/>
      <c r="E410" s="31"/>
      <c r="F410" s="69"/>
      <c r="J410"/>
      <c r="Y410" s="34"/>
      <c r="Z410"/>
      <c r="AB410" s="34"/>
      <c r="AC410"/>
    </row>
    <row r="411" spans="4:29" x14ac:dyDescent="0.25">
      <c r="D411" s="34"/>
      <c r="E411" s="31"/>
      <c r="F411" s="69"/>
      <c r="J411"/>
      <c r="Y411" s="34"/>
      <c r="Z411"/>
      <c r="AB411" s="34"/>
      <c r="AC411"/>
    </row>
    <row r="412" spans="4:29" x14ac:dyDescent="0.25">
      <c r="D412" s="34"/>
      <c r="E412" s="31"/>
      <c r="F412" s="69"/>
      <c r="J412"/>
      <c r="Y412" s="34"/>
      <c r="Z412"/>
      <c r="AB412" s="34"/>
      <c r="AC412"/>
    </row>
    <row r="413" spans="4:29" x14ac:dyDescent="0.25">
      <c r="D413" s="34"/>
      <c r="E413" s="31"/>
      <c r="F413" s="69"/>
      <c r="J413"/>
      <c r="Y413" s="34"/>
      <c r="Z413"/>
      <c r="AB413" s="34"/>
      <c r="AC413"/>
    </row>
    <row r="414" spans="4:29" x14ac:dyDescent="0.25">
      <c r="D414" s="34"/>
      <c r="E414" s="31"/>
      <c r="F414" s="69"/>
      <c r="J414"/>
      <c r="Y414" s="34"/>
      <c r="Z414"/>
      <c r="AB414" s="34"/>
      <c r="AC414"/>
    </row>
    <row r="415" spans="4:29" x14ac:dyDescent="0.25">
      <c r="D415" s="34"/>
      <c r="E415" s="31"/>
      <c r="F415" s="69"/>
      <c r="J415"/>
      <c r="Y415" s="34"/>
      <c r="Z415"/>
      <c r="AB415" s="34"/>
      <c r="AC415"/>
    </row>
    <row r="416" spans="4:29" x14ac:dyDescent="0.25">
      <c r="D416" s="34"/>
      <c r="E416" s="31"/>
      <c r="F416" s="69"/>
      <c r="J416"/>
      <c r="Y416" s="34"/>
      <c r="Z416"/>
      <c r="AB416" s="34"/>
      <c r="AC416"/>
    </row>
    <row r="417" spans="4:29" x14ac:dyDescent="0.25">
      <c r="D417" s="34"/>
      <c r="E417" s="31"/>
      <c r="F417" s="69"/>
      <c r="J417"/>
      <c r="Y417" s="34"/>
      <c r="Z417"/>
      <c r="AB417" s="34"/>
      <c r="AC417"/>
    </row>
    <row r="418" spans="4:29" x14ac:dyDescent="0.25">
      <c r="D418" s="34"/>
      <c r="E418" s="31"/>
      <c r="F418" s="69"/>
      <c r="J418"/>
      <c r="Y418" s="34"/>
      <c r="Z418"/>
      <c r="AB418" s="34"/>
      <c r="AC418"/>
    </row>
    <row r="419" spans="4:29" x14ac:dyDescent="0.25">
      <c r="D419" s="34"/>
      <c r="E419" s="31"/>
      <c r="F419" s="69"/>
      <c r="J419"/>
      <c r="Y419" s="34"/>
      <c r="Z419"/>
      <c r="AB419" s="34"/>
      <c r="AC419"/>
    </row>
    <row r="420" spans="4:29" x14ac:dyDescent="0.25">
      <c r="D420" s="34"/>
      <c r="E420" s="31"/>
      <c r="F420" s="69"/>
      <c r="J420"/>
      <c r="Y420" s="34"/>
      <c r="Z420"/>
      <c r="AB420" s="34"/>
      <c r="AC420"/>
    </row>
    <row r="421" spans="4:29" x14ac:dyDescent="0.25">
      <c r="D421" s="34"/>
      <c r="E421" s="31"/>
      <c r="F421" s="69"/>
      <c r="J421"/>
      <c r="Y421" s="34"/>
      <c r="Z421"/>
      <c r="AB421" s="34"/>
      <c r="AC421"/>
    </row>
    <row r="422" spans="4:29" x14ac:dyDescent="0.25">
      <c r="D422" s="34"/>
      <c r="E422" s="31"/>
      <c r="F422" s="69"/>
      <c r="J422"/>
      <c r="Y422" s="34"/>
      <c r="Z422"/>
      <c r="AB422" s="34"/>
      <c r="AC422"/>
    </row>
    <row r="423" spans="4:29" x14ac:dyDescent="0.25">
      <c r="D423" s="34"/>
      <c r="E423" s="31"/>
      <c r="F423" s="69"/>
      <c r="J423"/>
      <c r="Y423" s="34"/>
      <c r="Z423"/>
      <c r="AB423" s="34"/>
      <c r="AC423"/>
    </row>
    <row r="424" spans="4:29" x14ac:dyDescent="0.25">
      <c r="D424" s="34"/>
      <c r="E424" s="31"/>
      <c r="F424" s="69"/>
      <c r="J424"/>
      <c r="Y424" s="34"/>
      <c r="Z424"/>
      <c r="AB424" s="34"/>
      <c r="AC424"/>
    </row>
    <row r="425" spans="4:29" x14ac:dyDescent="0.25">
      <c r="D425" s="34"/>
      <c r="E425" s="31"/>
      <c r="F425" s="69"/>
      <c r="J425"/>
      <c r="Y425" s="34"/>
      <c r="Z425"/>
      <c r="AB425" s="34"/>
      <c r="AC425"/>
    </row>
    <row r="426" spans="4:29" x14ac:dyDescent="0.25">
      <c r="D426" s="34"/>
      <c r="E426" s="31"/>
      <c r="F426" s="69"/>
      <c r="J426"/>
      <c r="Y426" s="34"/>
      <c r="Z426"/>
      <c r="AB426" s="34"/>
      <c r="AC426"/>
    </row>
    <row r="427" spans="4:29" x14ac:dyDescent="0.25">
      <c r="D427" s="34"/>
      <c r="E427" s="31"/>
      <c r="F427" s="69"/>
      <c r="J427"/>
      <c r="Y427" s="34"/>
      <c r="Z427"/>
      <c r="AB427" s="34"/>
      <c r="AC427"/>
    </row>
    <row r="428" spans="4:29" x14ac:dyDescent="0.25">
      <c r="D428" s="34"/>
      <c r="E428" s="31"/>
      <c r="F428" s="69"/>
      <c r="J428"/>
      <c r="Y428" s="34"/>
      <c r="Z428"/>
      <c r="AB428" s="34"/>
      <c r="AC428"/>
    </row>
    <row r="429" spans="4:29" x14ac:dyDescent="0.25">
      <c r="D429" s="34"/>
      <c r="E429" s="31"/>
      <c r="F429" s="69"/>
      <c r="J429"/>
      <c r="Y429" s="34"/>
      <c r="Z429"/>
      <c r="AB429" s="34"/>
      <c r="AC429"/>
    </row>
    <row r="430" spans="4:29" x14ac:dyDescent="0.25">
      <c r="D430" s="34"/>
      <c r="E430" s="31"/>
      <c r="F430" s="69"/>
      <c r="J430"/>
      <c r="Y430" s="34"/>
      <c r="Z430"/>
      <c r="AB430" s="34"/>
      <c r="AC430"/>
    </row>
    <row r="431" spans="4:29" x14ac:dyDescent="0.25">
      <c r="D431" s="34"/>
      <c r="E431" s="31"/>
      <c r="F431" s="69"/>
      <c r="J431"/>
      <c r="Y431" s="34"/>
      <c r="Z431"/>
      <c r="AB431" s="34"/>
      <c r="AC431"/>
    </row>
    <row r="432" spans="4:29" x14ac:dyDescent="0.25">
      <c r="D432" s="34"/>
      <c r="E432" s="31"/>
      <c r="F432" s="69"/>
      <c r="J432"/>
      <c r="Y432" s="34"/>
      <c r="Z432"/>
      <c r="AB432" s="34"/>
      <c r="AC432"/>
    </row>
    <row r="433" spans="4:29" x14ac:dyDescent="0.25">
      <c r="D433" s="34"/>
      <c r="E433" s="31"/>
      <c r="F433" s="69"/>
      <c r="J433"/>
      <c r="Y433" s="34"/>
      <c r="Z433"/>
      <c r="AB433" s="34"/>
      <c r="AC433"/>
    </row>
    <row r="434" spans="4:29" x14ac:dyDescent="0.25">
      <c r="D434" s="34"/>
      <c r="E434" s="31"/>
      <c r="F434" s="69"/>
      <c r="J434"/>
      <c r="Y434" s="34"/>
      <c r="Z434"/>
      <c r="AB434" s="34"/>
      <c r="AC434"/>
    </row>
    <row r="435" spans="4:29" x14ac:dyDescent="0.25">
      <c r="D435" s="34"/>
      <c r="E435" s="31"/>
      <c r="F435" s="69"/>
      <c r="J435"/>
      <c r="Y435" s="34"/>
      <c r="Z435"/>
      <c r="AB435" s="34"/>
      <c r="AC435"/>
    </row>
    <row r="436" spans="4:29" x14ac:dyDescent="0.25">
      <c r="D436" s="34"/>
      <c r="E436" s="31"/>
      <c r="F436" s="69"/>
      <c r="J436"/>
      <c r="Y436" s="34"/>
      <c r="Z436"/>
      <c r="AB436" s="34"/>
      <c r="AC436"/>
    </row>
    <row r="437" spans="4:29" x14ac:dyDescent="0.25">
      <c r="D437" s="34"/>
      <c r="E437" s="31"/>
      <c r="F437" s="69"/>
      <c r="J437"/>
      <c r="Y437" s="34"/>
      <c r="Z437"/>
      <c r="AB437" s="34"/>
      <c r="AC437"/>
    </row>
    <row r="438" spans="4:29" x14ac:dyDescent="0.25">
      <c r="D438" s="34"/>
      <c r="E438" s="31"/>
      <c r="F438" s="69"/>
      <c r="J438"/>
      <c r="Y438" s="34"/>
      <c r="Z438"/>
      <c r="AB438" s="34"/>
      <c r="AC438"/>
    </row>
    <row r="439" spans="4:29" x14ac:dyDescent="0.25">
      <c r="D439" s="34"/>
      <c r="E439" s="31"/>
      <c r="F439" s="69"/>
      <c r="J439"/>
      <c r="Y439" s="34"/>
      <c r="Z439"/>
      <c r="AB439" s="34"/>
      <c r="AC439"/>
    </row>
    <row r="440" spans="4:29" x14ac:dyDescent="0.25">
      <c r="D440" s="34"/>
      <c r="E440" s="31"/>
      <c r="F440" s="69"/>
      <c r="J440"/>
      <c r="Y440" s="34"/>
      <c r="Z440"/>
      <c r="AB440" s="34"/>
      <c r="AC440"/>
    </row>
    <row r="441" spans="4:29" x14ac:dyDescent="0.25">
      <c r="D441" s="34"/>
      <c r="E441" s="31"/>
      <c r="F441" s="69"/>
      <c r="J441"/>
      <c r="Y441" s="34"/>
      <c r="Z441"/>
      <c r="AB441" s="34"/>
      <c r="AC441"/>
    </row>
    <row r="442" spans="4:29" x14ac:dyDescent="0.25">
      <c r="D442" s="34"/>
      <c r="E442" s="31"/>
      <c r="F442" s="69"/>
      <c r="J442"/>
      <c r="Y442" s="34"/>
      <c r="Z442"/>
      <c r="AB442" s="34"/>
      <c r="AC442"/>
    </row>
    <row r="443" spans="4:29" x14ac:dyDescent="0.25">
      <c r="D443" s="34"/>
      <c r="E443" s="31"/>
      <c r="F443" s="69"/>
      <c r="J443"/>
      <c r="Y443" s="34"/>
      <c r="Z443"/>
      <c r="AB443" s="34"/>
      <c r="AC443"/>
    </row>
    <row r="444" spans="4:29" x14ac:dyDescent="0.25">
      <c r="D444" s="34"/>
      <c r="E444" s="31"/>
      <c r="F444" s="69"/>
      <c r="J444"/>
      <c r="Y444" s="34"/>
      <c r="Z444"/>
      <c r="AB444" s="34"/>
      <c r="AC444"/>
    </row>
    <row r="445" spans="4:29" x14ac:dyDescent="0.25">
      <c r="D445" s="34"/>
      <c r="E445" s="31"/>
      <c r="F445" s="69"/>
      <c r="J445"/>
      <c r="Y445" s="34"/>
      <c r="Z445"/>
      <c r="AB445" s="34"/>
      <c r="AC445"/>
    </row>
    <row r="446" spans="4:29" x14ac:dyDescent="0.25">
      <c r="D446" s="34"/>
      <c r="E446" s="31"/>
      <c r="F446" s="69"/>
      <c r="J446"/>
      <c r="Y446" s="34"/>
      <c r="Z446"/>
      <c r="AB446" s="34"/>
      <c r="AC446"/>
    </row>
    <row r="447" spans="4:29" x14ac:dyDescent="0.25">
      <c r="D447" s="34"/>
      <c r="E447" s="31"/>
      <c r="F447" s="69"/>
      <c r="J447"/>
      <c r="Y447" s="34"/>
      <c r="Z447"/>
      <c r="AB447" s="34"/>
      <c r="AC447"/>
    </row>
    <row r="448" spans="4:29" x14ac:dyDescent="0.25">
      <c r="D448" s="34"/>
      <c r="E448" s="31"/>
      <c r="F448" s="69"/>
      <c r="J448"/>
      <c r="Y448" s="34"/>
      <c r="Z448"/>
      <c r="AB448" s="34"/>
      <c r="AC448"/>
    </row>
    <row r="449" spans="4:29" x14ac:dyDescent="0.25">
      <c r="D449" s="34"/>
      <c r="E449" s="31"/>
      <c r="F449" s="69"/>
      <c r="J449"/>
      <c r="Y449" s="34"/>
      <c r="Z449"/>
      <c r="AB449" s="34"/>
      <c r="AC449"/>
    </row>
    <row r="450" spans="4:29" x14ac:dyDescent="0.25">
      <c r="D450" s="34"/>
      <c r="E450" s="31"/>
      <c r="F450" s="69"/>
      <c r="J450"/>
      <c r="Y450" s="34"/>
      <c r="Z450"/>
      <c r="AB450" s="34"/>
      <c r="AC450"/>
    </row>
    <row r="451" spans="4:29" x14ac:dyDescent="0.25">
      <c r="D451" s="34"/>
      <c r="E451" s="31"/>
      <c r="F451" s="69"/>
      <c r="J451"/>
      <c r="Y451" s="34"/>
      <c r="Z451"/>
      <c r="AB451" s="34"/>
      <c r="AC451"/>
    </row>
    <row r="452" spans="4:29" x14ac:dyDescent="0.25">
      <c r="D452" s="34"/>
      <c r="E452" s="31"/>
      <c r="F452" s="69"/>
      <c r="J452"/>
      <c r="Y452" s="34"/>
      <c r="Z452"/>
      <c r="AB452" s="34"/>
      <c r="AC452"/>
    </row>
    <row r="453" spans="4:29" x14ac:dyDescent="0.25">
      <c r="D453" s="34"/>
      <c r="E453" s="31"/>
      <c r="F453" s="69"/>
      <c r="J453"/>
      <c r="Y453" s="34"/>
      <c r="Z453"/>
      <c r="AB453" s="34"/>
      <c r="AC453"/>
    </row>
    <row r="454" spans="4:29" x14ac:dyDescent="0.25">
      <c r="D454" s="34"/>
      <c r="E454" s="31"/>
      <c r="F454" s="69"/>
      <c r="J454"/>
      <c r="Y454" s="34"/>
      <c r="Z454"/>
      <c r="AB454" s="34"/>
      <c r="AC454"/>
    </row>
    <row r="455" spans="4:29" x14ac:dyDescent="0.25">
      <c r="D455" s="34"/>
      <c r="E455" s="31"/>
      <c r="F455" s="69"/>
      <c r="J455"/>
      <c r="Y455" s="34"/>
      <c r="Z455"/>
      <c r="AB455" s="34"/>
      <c r="AC455"/>
    </row>
    <row r="456" spans="4:29" x14ac:dyDescent="0.25">
      <c r="D456" s="34"/>
      <c r="E456" s="31"/>
      <c r="F456" s="69"/>
      <c r="J456"/>
      <c r="Y456" s="34"/>
      <c r="Z456"/>
      <c r="AB456" s="34"/>
      <c r="AC456"/>
    </row>
    <row r="457" spans="4:29" x14ac:dyDescent="0.25">
      <c r="D457" s="34"/>
      <c r="E457" s="31"/>
      <c r="F457" s="69"/>
      <c r="J457"/>
      <c r="Y457" s="34"/>
      <c r="Z457"/>
      <c r="AB457" s="34"/>
      <c r="AC457"/>
    </row>
    <row r="458" spans="4:29" x14ac:dyDescent="0.25">
      <c r="D458" s="34"/>
      <c r="E458" s="31"/>
      <c r="F458" s="69"/>
      <c r="J458"/>
      <c r="Y458" s="34"/>
      <c r="Z458"/>
      <c r="AB458" s="34"/>
      <c r="AC458"/>
    </row>
    <row r="459" spans="4:29" x14ac:dyDescent="0.25">
      <c r="D459" s="34"/>
      <c r="E459" s="31"/>
      <c r="F459" s="69"/>
      <c r="J459"/>
      <c r="Y459" s="34"/>
      <c r="Z459"/>
      <c r="AB459" s="34"/>
      <c r="AC459"/>
    </row>
    <row r="460" spans="4:29" x14ac:dyDescent="0.25">
      <c r="D460" s="34"/>
      <c r="E460" s="31"/>
      <c r="F460" s="69"/>
      <c r="J460"/>
      <c r="Y460" s="34"/>
      <c r="Z460"/>
      <c r="AB460" s="34"/>
      <c r="AC460"/>
    </row>
    <row r="461" spans="4:29" x14ac:dyDescent="0.25">
      <c r="D461" s="34"/>
      <c r="E461" s="31"/>
      <c r="F461" s="69"/>
      <c r="J461"/>
      <c r="Y461" s="34"/>
      <c r="Z461"/>
      <c r="AB461" s="34"/>
      <c r="AC461"/>
    </row>
    <row r="462" spans="4:29" x14ac:dyDescent="0.25">
      <c r="D462" s="34"/>
      <c r="E462" s="31"/>
      <c r="F462" s="69"/>
      <c r="J462"/>
      <c r="Y462" s="34"/>
      <c r="Z462"/>
      <c r="AB462" s="34"/>
      <c r="AC462"/>
    </row>
    <row r="463" spans="4:29" x14ac:dyDescent="0.25">
      <c r="D463" s="34"/>
      <c r="E463" s="31"/>
      <c r="F463" s="69"/>
      <c r="J463"/>
      <c r="Y463" s="34"/>
      <c r="Z463"/>
      <c r="AB463" s="34"/>
      <c r="AC463"/>
    </row>
    <row r="464" spans="4:29" x14ac:dyDescent="0.25">
      <c r="D464" s="34"/>
      <c r="E464" s="31"/>
      <c r="F464" s="69"/>
      <c r="J464"/>
      <c r="Y464" s="34"/>
      <c r="Z464"/>
      <c r="AB464" s="34"/>
      <c r="AC464"/>
    </row>
    <row r="465" spans="4:29" x14ac:dyDescent="0.25">
      <c r="D465" s="34"/>
      <c r="E465" s="31"/>
      <c r="F465" s="69"/>
      <c r="J465"/>
      <c r="Y465" s="34"/>
      <c r="Z465"/>
      <c r="AB465" s="34"/>
      <c r="AC465"/>
    </row>
    <row r="466" spans="4:29" x14ac:dyDescent="0.25">
      <c r="D466" s="34"/>
      <c r="E466" s="31"/>
      <c r="F466" s="69"/>
      <c r="J466"/>
      <c r="Y466" s="34"/>
      <c r="Z466"/>
      <c r="AB466" s="34"/>
      <c r="AC466"/>
    </row>
    <row r="467" spans="4:29" x14ac:dyDescent="0.25">
      <c r="D467" s="34"/>
      <c r="E467" s="31"/>
      <c r="F467" s="69"/>
      <c r="J467"/>
      <c r="Y467" s="34"/>
      <c r="Z467"/>
      <c r="AB467" s="34"/>
      <c r="AC467"/>
    </row>
    <row r="468" spans="4:29" x14ac:dyDescent="0.25">
      <c r="D468" s="34"/>
      <c r="E468" s="31"/>
      <c r="F468" s="69"/>
      <c r="J468"/>
      <c r="Y468" s="34"/>
      <c r="Z468"/>
      <c r="AB468" s="34"/>
      <c r="AC468"/>
    </row>
    <row r="469" spans="4:29" x14ac:dyDescent="0.25">
      <c r="D469" s="34"/>
      <c r="E469" s="31"/>
      <c r="F469" s="69"/>
      <c r="J469"/>
      <c r="Y469" s="34"/>
      <c r="Z469"/>
      <c r="AB469" s="34"/>
      <c r="AC469"/>
    </row>
    <row r="470" spans="4:29" x14ac:dyDescent="0.25">
      <c r="D470" s="34"/>
      <c r="E470" s="31"/>
      <c r="F470" s="69"/>
      <c r="J470"/>
      <c r="Y470" s="34"/>
      <c r="Z470"/>
      <c r="AB470" s="34"/>
      <c r="AC470"/>
    </row>
    <row r="471" spans="4:29" x14ac:dyDescent="0.25">
      <c r="D471" s="34"/>
      <c r="E471" s="31"/>
      <c r="F471" s="69"/>
      <c r="J471"/>
      <c r="Y471" s="34"/>
      <c r="Z471"/>
      <c r="AB471" s="34"/>
      <c r="AC471"/>
    </row>
    <row r="472" spans="4:29" x14ac:dyDescent="0.25">
      <c r="D472" s="34"/>
      <c r="E472" s="31"/>
      <c r="F472" s="69"/>
      <c r="J472"/>
      <c r="Y472" s="34"/>
      <c r="Z472"/>
      <c r="AB472" s="34"/>
      <c r="AC472"/>
    </row>
    <row r="473" spans="4:29" x14ac:dyDescent="0.25">
      <c r="D473" s="34"/>
      <c r="E473" s="31"/>
      <c r="F473" s="69"/>
      <c r="J473"/>
      <c r="Y473" s="34"/>
      <c r="Z473"/>
      <c r="AB473" s="34"/>
      <c r="AC473"/>
    </row>
    <row r="474" spans="4:29" x14ac:dyDescent="0.25">
      <c r="D474" s="34"/>
      <c r="E474" s="31"/>
      <c r="F474" s="69"/>
      <c r="J474"/>
      <c r="Y474" s="34"/>
      <c r="Z474"/>
      <c r="AB474" s="34"/>
      <c r="AC474"/>
    </row>
    <row r="475" spans="4:29" x14ac:dyDescent="0.25">
      <c r="D475" s="34"/>
      <c r="E475" s="31"/>
      <c r="F475" s="69"/>
      <c r="J475"/>
      <c r="Y475" s="34"/>
      <c r="Z475"/>
      <c r="AB475" s="34"/>
      <c r="AC475"/>
    </row>
    <row r="476" spans="4:29" x14ac:dyDescent="0.25">
      <c r="D476" s="34"/>
      <c r="E476" s="31"/>
      <c r="F476" s="69"/>
      <c r="J476"/>
      <c r="Y476" s="34"/>
      <c r="Z476"/>
      <c r="AB476" s="34"/>
      <c r="AC476"/>
    </row>
    <row r="477" spans="4:29" x14ac:dyDescent="0.25">
      <c r="D477" s="34"/>
      <c r="E477" s="31"/>
      <c r="F477" s="69"/>
      <c r="J477"/>
      <c r="Y477" s="34"/>
      <c r="Z477"/>
      <c r="AB477" s="34"/>
      <c r="AC477"/>
    </row>
    <row r="478" spans="4:29" x14ac:dyDescent="0.25">
      <c r="D478" s="34"/>
      <c r="E478" s="31"/>
      <c r="F478" s="69"/>
      <c r="J478"/>
      <c r="Y478" s="34"/>
      <c r="Z478"/>
      <c r="AB478" s="34"/>
      <c r="AC478"/>
    </row>
    <row r="479" spans="4:29" x14ac:dyDescent="0.25">
      <c r="D479" s="34"/>
      <c r="E479" s="31"/>
      <c r="F479" s="69"/>
      <c r="J479"/>
      <c r="Y479" s="34"/>
      <c r="Z479"/>
      <c r="AB479" s="34"/>
      <c r="AC479"/>
    </row>
    <row r="480" spans="4:29" x14ac:dyDescent="0.25">
      <c r="D480" s="34"/>
      <c r="E480" s="31"/>
      <c r="F480" s="69"/>
      <c r="J480"/>
      <c r="Y480" s="34"/>
      <c r="Z480"/>
      <c r="AB480" s="34"/>
      <c r="AC480"/>
    </row>
    <row r="481" spans="4:29" x14ac:dyDescent="0.25">
      <c r="D481" s="34"/>
      <c r="E481" s="31"/>
      <c r="F481" s="69"/>
      <c r="J481"/>
      <c r="Y481" s="34"/>
      <c r="Z481"/>
      <c r="AB481" s="34"/>
      <c r="AC481"/>
    </row>
    <row r="482" spans="4:29" x14ac:dyDescent="0.25">
      <c r="D482" s="34"/>
      <c r="E482" s="31"/>
      <c r="F482" s="69"/>
      <c r="J482"/>
      <c r="Y482" s="34"/>
      <c r="Z482"/>
      <c r="AB482" s="34"/>
      <c r="AC482"/>
    </row>
    <row r="483" spans="4:29" x14ac:dyDescent="0.25">
      <c r="D483" s="34"/>
      <c r="E483" s="31"/>
      <c r="F483" s="69"/>
      <c r="J483"/>
      <c r="Y483" s="34"/>
      <c r="Z483"/>
      <c r="AB483" s="34"/>
      <c r="AC483"/>
    </row>
    <row r="484" spans="4:29" x14ac:dyDescent="0.25">
      <c r="D484" s="34"/>
      <c r="E484" s="31"/>
      <c r="F484" s="69"/>
      <c r="J484"/>
      <c r="Y484" s="34"/>
      <c r="Z484"/>
      <c r="AB484" s="34"/>
      <c r="AC484"/>
    </row>
    <row r="485" spans="4:29" x14ac:dyDescent="0.25">
      <c r="D485" s="34"/>
      <c r="E485" s="31"/>
      <c r="F485" s="69"/>
      <c r="J485"/>
      <c r="Y485" s="34"/>
      <c r="Z485"/>
      <c r="AB485" s="34"/>
      <c r="AC485"/>
    </row>
    <row r="486" spans="4:29" x14ac:dyDescent="0.25">
      <c r="D486" s="34"/>
      <c r="E486" s="31"/>
      <c r="F486" s="69"/>
      <c r="J486"/>
      <c r="Y486" s="34"/>
      <c r="Z486"/>
      <c r="AB486" s="34"/>
      <c r="AC486"/>
    </row>
    <row r="487" spans="4:29" x14ac:dyDescent="0.25">
      <c r="D487" s="34"/>
      <c r="E487" s="31"/>
      <c r="F487" s="69"/>
      <c r="J487"/>
      <c r="Y487" s="34"/>
      <c r="Z487"/>
      <c r="AB487" s="34"/>
      <c r="AC487"/>
    </row>
    <row r="488" spans="4:29" x14ac:dyDescent="0.25">
      <c r="D488" s="34"/>
      <c r="E488" s="31"/>
      <c r="F488" s="69"/>
      <c r="J488"/>
      <c r="Y488" s="34"/>
      <c r="Z488"/>
      <c r="AB488" s="34"/>
      <c r="AC488"/>
    </row>
    <row r="489" spans="4:29" x14ac:dyDescent="0.25">
      <c r="D489" s="34"/>
      <c r="E489" s="31"/>
      <c r="F489" s="69"/>
      <c r="J489"/>
      <c r="Y489" s="34"/>
      <c r="Z489"/>
      <c r="AB489" s="34"/>
      <c r="AC489"/>
    </row>
    <row r="490" spans="4:29" x14ac:dyDescent="0.25">
      <c r="D490" s="34"/>
      <c r="E490" s="31"/>
      <c r="J490"/>
      <c r="Y490" s="34"/>
      <c r="Z490"/>
      <c r="AB490" s="34"/>
      <c r="AC490"/>
    </row>
    <row r="491" spans="4:29" x14ac:dyDescent="0.25">
      <c r="D491" s="34"/>
      <c r="E491" s="31"/>
      <c r="J491"/>
      <c r="Y491" s="34"/>
      <c r="Z491"/>
      <c r="AB491" s="34"/>
      <c r="AC491"/>
    </row>
    <row r="492" spans="4:29" x14ac:dyDescent="0.25">
      <c r="D492" s="34"/>
      <c r="E492" s="31"/>
      <c r="J492"/>
      <c r="Y492" s="34"/>
      <c r="Z492"/>
      <c r="AB492" s="34"/>
      <c r="AC492"/>
    </row>
    <row r="493" spans="4:29" x14ac:dyDescent="0.25">
      <c r="D493" s="34"/>
      <c r="E493" s="31"/>
      <c r="J493"/>
      <c r="Y493" s="34"/>
      <c r="Z493"/>
      <c r="AB493" s="34"/>
      <c r="AC493"/>
    </row>
    <row r="494" spans="4:29" x14ac:dyDescent="0.25">
      <c r="D494" s="34"/>
      <c r="E494" s="31"/>
      <c r="J494"/>
      <c r="Y494" s="34"/>
      <c r="Z494"/>
      <c r="AB494" s="34"/>
      <c r="AC494"/>
    </row>
    <row r="495" spans="4:29" x14ac:dyDescent="0.25">
      <c r="D495" s="34"/>
      <c r="E495" s="31"/>
      <c r="J495"/>
      <c r="Y495" s="34"/>
      <c r="Z495"/>
      <c r="AB495" s="34"/>
      <c r="AC495"/>
    </row>
    <row r="496" spans="4:29" x14ac:dyDescent="0.25">
      <c r="D496" s="34"/>
      <c r="E496" s="31"/>
      <c r="J496"/>
      <c r="Y496" s="34"/>
      <c r="Z496"/>
      <c r="AB496" s="34"/>
      <c r="AC496"/>
    </row>
    <row r="497" spans="4:29" x14ac:dyDescent="0.25">
      <c r="D497" s="34"/>
      <c r="E497" s="31"/>
      <c r="J497"/>
      <c r="Y497" s="34"/>
      <c r="Z497"/>
      <c r="AB497" s="34"/>
      <c r="AC497"/>
    </row>
    <row r="498" spans="4:29" x14ac:dyDescent="0.25">
      <c r="D498" s="34"/>
      <c r="E498" s="31"/>
      <c r="J498"/>
      <c r="Y498" s="34"/>
      <c r="Z498"/>
      <c r="AB498" s="34"/>
      <c r="AC498"/>
    </row>
    <row r="499" spans="4:29" x14ac:dyDescent="0.25">
      <c r="D499" s="34"/>
      <c r="E499" s="31"/>
      <c r="J499"/>
      <c r="Y499" s="34"/>
      <c r="Z499"/>
      <c r="AB499" s="34"/>
      <c r="AC499"/>
    </row>
    <row r="500" spans="4:29" x14ac:dyDescent="0.25">
      <c r="D500" s="34"/>
      <c r="E500" s="31"/>
      <c r="J500"/>
      <c r="Y500" s="34"/>
      <c r="Z500"/>
      <c r="AB500" s="34"/>
      <c r="AC500"/>
    </row>
    <row r="501" spans="4:29" x14ac:dyDescent="0.25">
      <c r="D501" s="34"/>
      <c r="E501" s="31"/>
      <c r="J501"/>
      <c r="Y501" s="34"/>
      <c r="Z501"/>
      <c r="AB501" s="34"/>
      <c r="AC501"/>
    </row>
    <row r="502" spans="4:29" x14ac:dyDescent="0.25">
      <c r="D502" s="34"/>
      <c r="E502" s="31"/>
      <c r="J502"/>
      <c r="Y502" s="34"/>
      <c r="Z502"/>
      <c r="AB502" s="34"/>
      <c r="AC502"/>
    </row>
    <row r="503" spans="4:29" x14ac:dyDescent="0.25">
      <c r="D503" s="34"/>
      <c r="E503" s="31"/>
      <c r="J503"/>
      <c r="Y503" s="34"/>
      <c r="Z503"/>
      <c r="AB503" s="34"/>
      <c r="AC503"/>
    </row>
    <row r="504" spans="4:29" x14ac:dyDescent="0.25">
      <c r="D504" s="34"/>
      <c r="E504" s="31"/>
      <c r="J504"/>
      <c r="Y504" s="34"/>
      <c r="Z504"/>
      <c r="AB504" s="34"/>
      <c r="AC504"/>
    </row>
    <row r="505" spans="4:29" x14ac:dyDescent="0.25">
      <c r="D505" s="34"/>
      <c r="E505" s="31"/>
      <c r="J505"/>
      <c r="Y505" s="34"/>
      <c r="Z505"/>
      <c r="AB505" s="34"/>
      <c r="AC505"/>
    </row>
    <row r="506" spans="4:29" x14ac:dyDescent="0.25">
      <c r="D506" s="34"/>
      <c r="E506" s="31"/>
      <c r="J506"/>
      <c r="Y506" s="34"/>
      <c r="Z506"/>
      <c r="AB506" s="34"/>
      <c r="AC506"/>
    </row>
    <row r="507" spans="4:29" x14ac:dyDescent="0.25">
      <c r="D507" s="34"/>
      <c r="E507" s="31"/>
      <c r="J507"/>
      <c r="Y507" s="34"/>
      <c r="Z507"/>
      <c r="AB507" s="34"/>
      <c r="AC507"/>
    </row>
    <row r="508" spans="4:29" x14ac:dyDescent="0.25">
      <c r="D508" s="34"/>
      <c r="E508" s="31"/>
      <c r="J508"/>
      <c r="Y508" s="34"/>
      <c r="Z508"/>
      <c r="AB508" s="34"/>
      <c r="AC508"/>
    </row>
    <row r="509" spans="4:29" x14ac:dyDescent="0.25">
      <c r="D509" s="34"/>
      <c r="E509" s="31"/>
      <c r="J509"/>
      <c r="Y509" s="34"/>
      <c r="Z509"/>
      <c r="AB509" s="34"/>
      <c r="AC509"/>
    </row>
    <row r="510" spans="4:29" x14ac:dyDescent="0.25">
      <c r="D510" s="34"/>
      <c r="E510" s="31"/>
      <c r="J510"/>
      <c r="Y510" s="34"/>
      <c r="Z510"/>
      <c r="AB510" s="34"/>
      <c r="AC510"/>
    </row>
    <row r="511" spans="4:29" x14ac:dyDescent="0.25">
      <c r="D511" s="34"/>
      <c r="E511" s="31"/>
      <c r="J511"/>
      <c r="Y511" s="34"/>
      <c r="Z511"/>
      <c r="AB511" s="34"/>
      <c r="AC511"/>
    </row>
    <row r="512" spans="4:29" x14ac:dyDescent="0.25">
      <c r="D512" s="34"/>
      <c r="E512" s="31"/>
      <c r="J512"/>
      <c r="Y512" s="34"/>
      <c r="Z512"/>
      <c r="AB512" s="34"/>
      <c r="AC512"/>
    </row>
    <row r="513" spans="4:29" x14ac:dyDescent="0.25">
      <c r="D513" s="34"/>
      <c r="E513" s="31"/>
      <c r="J513"/>
      <c r="Y513" s="34"/>
      <c r="Z513"/>
      <c r="AB513" s="34"/>
      <c r="AC513"/>
    </row>
    <row r="514" spans="4:29" x14ac:dyDescent="0.25">
      <c r="D514" s="34"/>
      <c r="E514" s="31"/>
      <c r="J514"/>
      <c r="Y514" s="34"/>
      <c r="Z514"/>
      <c r="AB514" s="34"/>
      <c r="AC514"/>
    </row>
    <row r="515" spans="4:29" x14ac:dyDescent="0.25">
      <c r="D515" s="34"/>
      <c r="E515" s="31"/>
      <c r="J515"/>
      <c r="Y515" s="34"/>
      <c r="Z515"/>
      <c r="AB515" s="34"/>
      <c r="AC515"/>
    </row>
    <row r="516" spans="4:29" x14ac:dyDescent="0.25">
      <c r="D516" s="34"/>
      <c r="E516" s="31"/>
      <c r="J516"/>
      <c r="Y516" s="34"/>
      <c r="Z516"/>
      <c r="AB516" s="34"/>
      <c r="AC516"/>
    </row>
    <row r="517" spans="4:29" x14ac:dyDescent="0.25">
      <c r="D517" s="34"/>
      <c r="E517" s="31"/>
      <c r="J517"/>
      <c r="Y517" s="34"/>
      <c r="Z517"/>
      <c r="AB517" s="34"/>
      <c r="AC517"/>
    </row>
    <row r="518" spans="4:29" x14ac:dyDescent="0.25">
      <c r="D518" s="34"/>
      <c r="E518" s="31"/>
      <c r="J518"/>
      <c r="Y518" s="34"/>
      <c r="Z518"/>
      <c r="AB518" s="34"/>
      <c r="AC518"/>
    </row>
    <row r="519" spans="4:29" x14ac:dyDescent="0.25">
      <c r="D519" s="34"/>
      <c r="E519" s="31"/>
      <c r="J519"/>
      <c r="Y519" s="34"/>
      <c r="Z519"/>
      <c r="AB519" s="34"/>
      <c r="AC519"/>
    </row>
  </sheetData>
  <mergeCells count="24">
    <mergeCell ref="A354:B354"/>
    <mergeCell ref="N5:N7"/>
    <mergeCell ref="D5:D7"/>
    <mergeCell ref="A5:A7"/>
    <mergeCell ref="B5:B7"/>
    <mergeCell ref="C5:C7"/>
    <mergeCell ref="M5:M7"/>
    <mergeCell ref="J5:J7"/>
    <mergeCell ref="K5:K7"/>
    <mergeCell ref="G5:G7"/>
    <mergeCell ref="L5:L7"/>
    <mergeCell ref="F5:F7"/>
    <mergeCell ref="E5:E7"/>
    <mergeCell ref="V5:V7"/>
    <mergeCell ref="P5:P7"/>
    <mergeCell ref="A258:B258"/>
    <mergeCell ref="X5:X7"/>
    <mergeCell ref="O5:O7"/>
    <mergeCell ref="U5:U7"/>
    <mergeCell ref="R5:R7"/>
    <mergeCell ref="I5:I7"/>
    <mergeCell ref="T5:T7"/>
    <mergeCell ref="W5:W7"/>
    <mergeCell ref="Q5:Q7"/>
  </mergeCells>
  <pageMargins left="0.35433070866141736" right="0.19685039370078741" top="0.74803149606299213" bottom="0.74803149606299213" header="0.31496062992125984" footer="0.31496062992125984"/>
  <pageSetup paperSize="256" scale="70" orientation="portrait" horizontalDpi="4294967292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D1" zoomScale="90" zoomScaleNormal="90" workbookViewId="0">
      <selection activeCell="R18" sqref="R18"/>
    </sheetView>
  </sheetViews>
  <sheetFormatPr defaultColWidth="9.140625" defaultRowHeight="15" x14ac:dyDescent="0.25"/>
  <cols>
    <col min="1" max="1" width="6.42578125" style="45" customWidth="1"/>
    <col min="2" max="2" width="24.5703125" style="44" customWidth="1"/>
    <col min="3" max="3" width="17.5703125" style="45" customWidth="1"/>
    <col min="4" max="4" width="13.28515625" style="45" customWidth="1"/>
    <col min="5" max="5" width="12.7109375" style="44" customWidth="1"/>
    <col min="6" max="6" width="15.28515625" style="45" customWidth="1"/>
    <col min="7" max="7" width="18.28515625" style="44" customWidth="1"/>
    <col min="8" max="8" width="15.28515625" style="45" customWidth="1"/>
    <col min="9" max="9" width="18.28515625" style="44" customWidth="1"/>
    <col min="10" max="11" width="9.140625" style="44"/>
    <col min="12" max="12" width="15.5703125" style="44" customWidth="1"/>
    <col min="13" max="13" width="14.85546875" style="44" customWidth="1"/>
    <col min="15" max="15" width="0" style="44" hidden="1" customWidth="1"/>
    <col min="16" max="16384" width="9.140625" style="44"/>
  </cols>
  <sheetData>
    <row r="1" spans="1:15" x14ac:dyDescent="0.25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</row>
    <row r="2" spans="1:15" x14ac:dyDescent="0.25">
      <c r="A2" s="171" t="s">
        <v>1934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</row>
    <row r="3" spans="1:15" x14ac:dyDescent="0.25">
      <c r="A3" s="218">
        <f>perdesa!B4</f>
        <v>44913</v>
      </c>
      <c r="B3" s="218"/>
    </row>
    <row r="4" spans="1:15" s="48" customFormat="1" ht="60" x14ac:dyDescent="0.25">
      <c r="A4" s="46" t="s">
        <v>1</v>
      </c>
      <c r="B4" s="47" t="s">
        <v>2</v>
      </c>
      <c r="C4" s="53" t="s">
        <v>1932</v>
      </c>
      <c r="D4" s="54" t="s">
        <v>291</v>
      </c>
      <c r="E4" s="55" t="s">
        <v>1933</v>
      </c>
      <c r="F4" s="165" t="s">
        <v>317</v>
      </c>
      <c r="G4" s="169" t="s">
        <v>1937</v>
      </c>
      <c r="H4" s="165" t="s">
        <v>1935</v>
      </c>
      <c r="I4" s="169" t="s">
        <v>1936</v>
      </c>
      <c r="J4" s="52" t="s">
        <v>321</v>
      </c>
      <c r="K4" s="52" t="s">
        <v>322</v>
      </c>
      <c r="L4" s="51" t="s">
        <v>316</v>
      </c>
      <c r="M4" s="178" t="s">
        <v>314</v>
      </c>
      <c r="N4" s="77"/>
    </row>
    <row r="5" spans="1:15" x14ac:dyDescent="0.25">
      <c r="A5" s="49"/>
      <c r="B5" s="17"/>
      <c r="C5" s="49"/>
      <c r="D5" s="49"/>
      <c r="E5" s="46"/>
      <c r="F5" s="49"/>
      <c r="G5" s="50"/>
      <c r="H5" s="49"/>
      <c r="I5" s="50"/>
      <c r="J5" s="46"/>
      <c r="K5" s="46"/>
      <c r="L5" s="50"/>
      <c r="M5" s="50"/>
    </row>
    <row r="6" spans="1:15" customFormat="1" x14ac:dyDescent="0.25">
      <c r="A6" s="15">
        <v>1</v>
      </c>
      <c r="B6" s="17" t="s">
        <v>303</v>
      </c>
      <c r="C6" s="15">
        <f>perdesa!O155</f>
        <v>0</v>
      </c>
      <c r="D6" s="15">
        <f>perdesa!P155</f>
        <v>0</v>
      </c>
      <c r="E6" s="15">
        <f>perdesa!Q155</f>
        <v>1</v>
      </c>
      <c r="F6" s="168">
        <f>perdesa!R155</f>
        <v>0</v>
      </c>
      <c r="G6" s="168">
        <f>perdesa!S155</f>
        <v>0</v>
      </c>
      <c r="H6" s="168">
        <f>perdesa!T155</f>
        <v>0</v>
      </c>
      <c r="I6" s="168">
        <f>perdesa!U155</f>
        <v>0</v>
      </c>
      <c r="J6" s="168">
        <f>perdesa!V155</f>
        <v>170</v>
      </c>
      <c r="K6" s="168">
        <f>perdesa!W155</f>
        <v>870</v>
      </c>
      <c r="L6" s="168">
        <f>perdesa!X155</f>
        <v>58</v>
      </c>
      <c r="M6" s="17"/>
      <c r="O6">
        <f t="shared" ref="O6:O20" si="0">SUM(F6:K6)</f>
        <v>1040</v>
      </c>
    </row>
    <row r="7" spans="1:15" customFormat="1" x14ac:dyDescent="0.25">
      <c r="A7" s="15">
        <v>2</v>
      </c>
      <c r="B7" s="17" t="s">
        <v>301</v>
      </c>
      <c r="C7" s="15">
        <f>perdesa!O175</f>
        <v>0</v>
      </c>
      <c r="D7" s="15">
        <f>perdesa!P175</f>
        <v>0</v>
      </c>
      <c r="E7" s="15">
        <f>perdesa!Q175</f>
        <v>0</v>
      </c>
      <c r="F7" s="168">
        <f>perdesa!R175</f>
        <v>0</v>
      </c>
      <c r="G7" s="168">
        <f>perdesa!S175</f>
        <v>0</v>
      </c>
      <c r="H7" s="168">
        <f>perdesa!T175</f>
        <v>0</v>
      </c>
      <c r="I7" s="168">
        <f>perdesa!U175</f>
        <v>0</v>
      </c>
      <c r="J7" s="168">
        <f>perdesa!V175</f>
        <v>392</v>
      </c>
      <c r="K7" s="168">
        <f>perdesa!W175</f>
        <v>1228</v>
      </c>
      <c r="L7" s="168">
        <f>perdesa!X175</f>
        <v>115</v>
      </c>
      <c r="M7" s="17"/>
      <c r="O7">
        <f t="shared" si="0"/>
        <v>1620</v>
      </c>
    </row>
    <row r="8" spans="1:15" customFormat="1" x14ac:dyDescent="0.25">
      <c r="A8" s="15">
        <v>3</v>
      </c>
      <c r="B8" s="17" t="s">
        <v>312</v>
      </c>
      <c r="C8" s="15">
        <f>perdesa!O237</f>
        <v>0</v>
      </c>
      <c r="D8" s="15">
        <f>perdesa!P237</f>
        <v>0</v>
      </c>
      <c r="E8" s="15">
        <f>perdesa!Q237</f>
        <v>0</v>
      </c>
      <c r="F8" s="168">
        <f>perdesa!R237</f>
        <v>0</v>
      </c>
      <c r="G8" s="168">
        <f>perdesa!S237</f>
        <v>2</v>
      </c>
      <c r="H8" s="168">
        <f>perdesa!T237</f>
        <v>0</v>
      </c>
      <c r="I8" s="168">
        <f>perdesa!U237</f>
        <v>0</v>
      </c>
      <c r="J8" s="168">
        <f>perdesa!V237</f>
        <v>150</v>
      </c>
      <c r="K8" s="168">
        <f>perdesa!W237</f>
        <v>520</v>
      </c>
      <c r="L8" s="168">
        <f>perdesa!X237</f>
        <v>49</v>
      </c>
      <c r="M8" s="17"/>
      <c r="O8" s="34">
        <f t="shared" si="0"/>
        <v>672</v>
      </c>
    </row>
    <row r="9" spans="1:15" customFormat="1" x14ac:dyDescent="0.25">
      <c r="A9" s="15">
        <v>4</v>
      </c>
      <c r="B9" s="17" t="s">
        <v>310</v>
      </c>
      <c r="C9" s="15">
        <f>perdesa!O83</f>
        <v>0</v>
      </c>
      <c r="D9" s="15">
        <f>perdesa!P83</f>
        <v>0</v>
      </c>
      <c r="E9" s="15">
        <f>perdesa!Q83</f>
        <v>4</v>
      </c>
      <c r="F9" s="168">
        <f>perdesa!R83</f>
        <v>0</v>
      </c>
      <c r="G9" s="168">
        <f>perdesa!S83</f>
        <v>0</v>
      </c>
      <c r="H9" s="168">
        <f>perdesa!T83</f>
        <v>0</v>
      </c>
      <c r="I9" s="168">
        <f>perdesa!U83</f>
        <v>0</v>
      </c>
      <c r="J9" s="168">
        <f>perdesa!V83</f>
        <v>340</v>
      </c>
      <c r="K9" s="168">
        <f>perdesa!W83</f>
        <v>790</v>
      </c>
      <c r="L9" s="168">
        <f>perdesa!X83</f>
        <v>71</v>
      </c>
      <c r="M9" s="17"/>
      <c r="O9">
        <f t="shared" si="0"/>
        <v>1130</v>
      </c>
    </row>
    <row r="10" spans="1:15" customFormat="1" x14ac:dyDescent="0.25">
      <c r="A10" s="15">
        <v>5</v>
      </c>
      <c r="B10" s="17" t="s">
        <v>0</v>
      </c>
      <c r="C10" s="15">
        <f>perdesa!O27</f>
        <v>0</v>
      </c>
      <c r="D10" s="15">
        <f>perdesa!P27</f>
        <v>0</v>
      </c>
      <c r="E10" s="15">
        <f>perdesa!Q27</f>
        <v>0</v>
      </c>
      <c r="F10" s="168">
        <f>perdesa!R27</f>
        <v>0</v>
      </c>
      <c r="G10" s="168">
        <f>perdesa!S27</f>
        <v>1</v>
      </c>
      <c r="H10" s="168">
        <f>perdesa!T27</f>
        <v>0</v>
      </c>
      <c r="I10" s="168">
        <f>perdesa!U27</f>
        <v>0</v>
      </c>
      <c r="J10" s="168">
        <f>perdesa!V27</f>
        <v>146</v>
      </c>
      <c r="K10" s="168">
        <f>perdesa!W27</f>
        <v>400</v>
      </c>
      <c r="L10" s="168">
        <f>perdesa!X27</f>
        <v>68</v>
      </c>
      <c r="M10" s="17"/>
      <c r="O10" s="34">
        <f t="shared" si="0"/>
        <v>547</v>
      </c>
    </row>
    <row r="11" spans="1:15" customFormat="1" x14ac:dyDescent="0.25">
      <c r="A11" s="15">
        <v>6</v>
      </c>
      <c r="B11" s="17" t="s">
        <v>302</v>
      </c>
      <c r="C11" s="15">
        <f>perdesa!O115</f>
        <v>0</v>
      </c>
      <c r="D11" s="15">
        <f>perdesa!P115</f>
        <v>0</v>
      </c>
      <c r="E11" s="15">
        <f>perdesa!Q115</f>
        <v>0</v>
      </c>
      <c r="F11" s="168">
        <f>perdesa!R115</f>
        <v>0</v>
      </c>
      <c r="G11" s="168">
        <f>perdesa!S115</f>
        <v>1</v>
      </c>
      <c r="H11" s="168">
        <f>perdesa!T115</f>
        <v>0</v>
      </c>
      <c r="I11" s="168">
        <f>perdesa!U115</f>
        <v>0</v>
      </c>
      <c r="J11" s="168">
        <f>perdesa!V115</f>
        <v>394</v>
      </c>
      <c r="K11" s="168">
        <f>perdesa!W115</f>
        <v>1654</v>
      </c>
      <c r="L11" s="168">
        <f>perdesa!X115</f>
        <v>222</v>
      </c>
      <c r="M11" s="17"/>
      <c r="O11" s="34">
        <f t="shared" si="0"/>
        <v>2049</v>
      </c>
    </row>
    <row r="12" spans="1:15" customFormat="1" x14ac:dyDescent="0.25">
      <c r="A12" s="15">
        <v>7</v>
      </c>
      <c r="B12" s="17" t="s">
        <v>304</v>
      </c>
      <c r="C12" s="15">
        <f>perdesa!O217</f>
        <v>0</v>
      </c>
      <c r="D12" s="15">
        <f>perdesa!P217</f>
        <v>0</v>
      </c>
      <c r="E12" s="15">
        <f>perdesa!Q217</f>
        <v>110</v>
      </c>
      <c r="F12" s="168">
        <f>perdesa!R217</f>
        <v>1</v>
      </c>
      <c r="G12" s="168">
        <f>perdesa!S217</f>
        <v>2</v>
      </c>
      <c r="H12" s="168">
        <f>perdesa!T217</f>
        <v>0</v>
      </c>
      <c r="I12" s="168">
        <f>perdesa!U217</f>
        <v>1</v>
      </c>
      <c r="J12" s="168">
        <f>perdesa!V217</f>
        <v>404</v>
      </c>
      <c r="K12" s="168">
        <f>perdesa!W217</f>
        <v>610</v>
      </c>
      <c r="L12" s="168">
        <f>perdesa!X217</f>
        <v>115</v>
      </c>
      <c r="M12" s="17"/>
      <c r="O12" s="34">
        <f t="shared" si="0"/>
        <v>1018</v>
      </c>
    </row>
    <row r="13" spans="1:15" customFormat="1" x14ac:dyDescent="0.25">
      <c r="A13" s="15">
        <v>8</v>
      </c>
      <c r="B13" s="175" t="s">
        <v>305</v>
      </c>
      <c r="C13" s="15">
        <f>perdesa!O44</f>
        <v>0</v>
      </c>
      <c r="D13" s="15">
        <f>perdesa!P44</f>
        <v>0</v>
      </c>
      <c r="E13" s="15">
        <f>perdesa!Q44</f>
        <v>1</v>
      </c>
      <c r="F13" s="168">
        <f>perdesa!R44</f>
        <v>0</v>
      </c>
      <c r="G13" s="168">
        <f>perdesa!S44</f>
        <v>1</v>
      </c>
      <c r="H13" s="168">
        <f>perdesa!T44</f>
        <v>0</v>
      </c>
      <c r="I13" s="168">
        <f>perdesa!U44</f>
        <v>0</v>
      </c>
      <c r="J13" s="168">
        <f>perdesa!V44</f>
        <v>149</v>
      </c>
      <c r="K13" s="168">
        <f>perdesa!W44</f>
        <v>648</v>
      </c>
      <c r="L13" s="168">
        <f>perdesa!X44</f>
        <v>97</v>
      </c>
      <c r="M13" s="17"/>
      <c r="O13">
        <f t="shared" si="0"/>
        <v>798</v>
      </c>
    </row>
    <row r="14" spans="1:15" customFormat="1" x14ac:dyDescent="0.25">
      <c r="A14" s="15">
        <v>9</v>
      </c>
      <c r="B14" s="17" t="s">
        <v>311</v>
      </c>
      <c r="C14" s="15">
        <f>perdesa!O134</f>
        <v>0</v>
      </c>
      <c r="D14" s="15">
        <f>perdesa!P134</f>
        <v>0</v>
      </c>
      <c r="E14" s="15">
        <f>perdesa!Q134</f>
        <v>12</v>
      </c>
      <c r="F14" s="168">
        <f>perdesa!R134</f>
        <v>0</v>
      </c>
      <c r="G14" s="168">
        <f>perdesa!S134</f>
        <v>1</v>
      </c>
      <c r="H14" s="168">
        <f>perdesa!T134</f>
        <v>0</v>
      </c>
      <c r="I14" s="168">
        <f>perdesa!U134</f>
        <v>1</v>
      </c>
      <c r="J14" s="168">
        <f>perdesa!V134</f>
        <v>93</v>
      </c>
      <c r="K14" s="168">
        <f>perdesa!W134</f>
        <v>758</v>
      </c>
      <c r="L14" s="168">
        <f>perdesa!X134</f>
        <v>61</v>
      </c>
      <c r="M14" s="17"/>
      <c r="O14" s="34">
        <f t="shared" si="0"/>
        <v>853</v>
      </c>
    </row>
    <row r="15" spans="1:15" customFormat="1" x14ac:dyDescent="0.25">
      <c r="A15" s="15">
        <v>10</v>
      </c>
      <c r="B15" s="17" t="s">
        <v>300</v>
      </c>
      <c r="C15" s="15">
        <f>perdesa!O8</f>
        <v>0</v>
      </c>
      <c r="D15" s="15">
        <f>perdesa!P8</f>
        <v>0</v>
      </c>
      <c r="E15" s="15">
        <f>perdesa!Q8</f>
        <v>0</v>
      </c>
      <c r="F15" s="168">
        <f>perdesa!R8</f>
        <v>0</v>
      </c>
      <c r="G15" s="168">
        <f>perdesa!S8</f>
        <v>3</v>
      </c>
      <c r="H15" s="168">
        <f>perdesa!T8</f>
        <v>2</v>
      </c>
      <c r="I15" s="168">
        <f>perdesa!U8</f>
        <v>0</v>
      </c>
      <c r="J15" s="168">
        <f>perdesa!V8</f>
        <v>1188</v>
      </c>
      <c r="K15" s="168">
        <f>perdesa!W8</f>
        <v>2479</v>
      </c>
      <c r="L15" s="168">
        <f>perdesa!X8</f>
        <v>307</v>
      </c>
      <c r="M15" s="17"/>
      <c r="O15" s="34">
        <f t="shared" si="0"/>
        <v>3672</v>
      </c>
    </row>
    <row r="16" spans="1:15" customFormat="1" x14ac:dyDescent="0.25">
      <c r="A16" s="15">
        <v>11</v>
      </c>
      <c r="B16" s="17" t="s">
        <v>306</v>
      </c>
      <c r="C16" s="15">
        <f>perdesa!O203</f>
        <v>0</v>
      </c>
      <c r="D16" s="15">
        <f>perdesa!P203</f>
        <v>0</v>
      </c>
      <c r="E16" s="15">
        <f>perdesa!Q203</f>
        <v>0</v>
      </c>
      <c r="F16" s="168">
        <f>perdesa!R203</f>
        <v>0</v>
      </c>
      <c r="G16" s="168">
        <f>perdesa!S203</f>
        <v>0</v>
      </c>
      <c r="H16" s="168">
        <f>perdesa!T203</f>
        <v>0</v>
      </c>
      <c r="I16" s="168">
        <f>perdesa!U203</f>
        <v>0</v>
      </c>
      <c r="J16" s="168">
        <f>perdesa!V203</f>
        <v>154</v>
      </c>
      <c r="K16" s="168">
        <f>perdesa!W203</f>
        <v>345</v>
      </c>
      <c r="L16" s="168">
        <f>perdesa!X203</f>
        <v>54</v>
      </c>
      <c r="M16" s="17"/>
      <c r="O16">
        <f t="shared" si="0"/>
        <v>499</v>
      </c>
    </row>
    <row r="17" spans="1:15" customFormat="1" x14ac:dyDescent="0.25">
      <c r="A17" s="15">
        <v>12</v>
      </c>
      <c r="B17" s="17" t="s">
        <v>307</v>
      </c>
      <c r="C17" s="15">
        <f>perdesa!O187</f>
        <v>0</v>
      </c>
      <c r="D17" s="15">
        <f>perdesa!P187</f>
        <v>0</v>
      </c>
      <c r="E17" s="15">
        <f>perdesa!Q187</f>
        <v>0</v>
      </c>
      <c r="F17" s="168">
        <f>perdesa!R187</f>
        <v>1</v>
      </c>
      <c r="G17" s="168">
        <f>perdesa!S187</f>
        <v>0</v>
      </c>
      <c r="H17" s="168">
        <f>perdesa!T187</f>
        <v>0</v>
      </c>
      <c r="I17" s="168">
        <f>perdesa!U187</f>
        <v>0</v>
      </c>
      <c r="J17" s="168">
        <f>perdesa!V187</f>
        <v>120</v>
      </c>
      <c r="K17" s="168">
        <f>perdesa!W187</f>
        <v>534</v>
      </c>
      <c r="L17" s="168">
        <f>perdesa!X187</f>
        <v>39</v>
      </c>
      <c r="M17" s="17"/>
      <c r="O17">
        <f t="shared" si="0"/>
        <v>655</v>
      </c>
    </row>
    <row r="18" spans="1:15" customFormat="1" x14ac:dyDescent="0.25">
      <c r="A18" s="15">
        <v>13</v>
      </c>
      <c r="B18" s="17" t="s">
        <v>308</v>
      </c>
      <c r="C18" s="15">
        <f>perdesa!O65</f>
        <v>1</v>
      </c>
      <c r="D18" s="15">
        <f>perdesa!P65</f>
        <v>0</v>
      </c>
      <c r="E18" s="15">
        <f>perdesa!Q65</f>
        <v>14</v>
      </c>
      <c r="F18" s="168">
        <f>perdesa!R65</f>
        <v>0</v>
      </c>
      <c r="G18" s="168">
        <f>perdesa!S65</f>
        <v>0</v>
      </c>
      <c r="H18" s="168">
        <f>perdesa!T65</f>
        <v>0</v>
      </c>
      <c r="I18" s="168">
        <f>perdesa!U65</f>
        <v>0</v>
      </c>
      <c r="J18" s="168">
        <f>perdesa!V65</f>
        <v>170</v>
      </c>
      <c r="K18" s="168">
        <f>perdesa!W65</f>
        <v>420</v>
      </c>
      <c r="L18" s="168">
        <f>perdesa!X65</f>
        <v>43</v>
      </c>
      <c r="M18" s="17"/>
      <c r="O18" s="34">
        <f t="shared" si="0"/>
        <v>590</v>
      </c>
    </row>
    <row r="19" spans="1:15" customFormat="1" x14ac:dyDescent="0.25">
      <c r="A19" s="15">
        <v>14</v>
      </c>
      <c r="B19" s="17" t="s">
        <v>309</v>
      </c>
      <c r="C19" s="15">
        <f>perdesa!O100</f>
        <v>0</v>
      </c>
      <c r="D19" s="15">
        <f>perdesa!P100</f>
        <v>0</v>
      </c>
      <c r="E19" s="15">
        <f>perdesa!Q100</f>
        <v>0</v>
      </c>
      <c r="F19" s="168">
        <f>perdesa!R100</f>
        <v>0</v>
      </c>
      <c r="G19" s="168">
        <f>perdesa!S100</f>
        <v>0</v>
      </c>
      <c r="H19" s="168">
        <f>perdesa!T100</f>
        <v>0</v>
      </c>
      <c r="I19" s="168">
        <f>perdesa!U100</f>
        <v>0</v>
      </c>
      <c r="J19" s="168">
        <f>perdesa!V100</f>
        <v>137</v>
      </c>
      <c r="K19" s="168">
        <f>perdesa!W100</f>
        <v>395</v>
      </c>
      <c r="L19" s="168">
        <f>perdesa!X100</f>
        <v>47</v>
      </c>
      <c r="M19" s="17"/>
      <c r="O19">
        <f t="shared" si="0"/>
        <v>532</v>
      </c>
    </row>
    <row r="20" spans="1:15" customFormat="1" x14ac:dyDescent="0.25">
      <c r="A20" s="15">
        <v>15</v>
      </c>
      <c r="B20" s="17" t="s">
        <v>314</v>
      </c>
      <c r="C20" s="15">
        <f>perdesa!O257</f>
        <v>0</v>
      </c>
      <c r="D20" s="15">
        <f>perdesa!P257</f>
        <v>0</v>
      </c>
      <c r="E20" s="15">
        <f>perdesa!Q257</f>
        <v>0</v>
      </c>
      <c r="F20" s="168">
        <f>perdesa!R257</f>
        <v>0</v>
      </c>
      <c r="G20" s="168">
        <f>perdesa!S257</f>
        <v>0</v>
      </c>
      <c r="H20" s="168">
        <f>perdesa!T257</f>
        <v>0</v>
      </c>
      <c r="I20" s="168">
        <f>perdesa!U257</f>
        <v>0</v>
      </c>
      <c r="J20" s="168">
        <f>perdesa!V257</f>
        <v>0</v>
      </c>
      <c r="K20" s="168">
        <f>perdesa!W257</f>
        <v>97</v>
      </c>
      <c r="L20" s="168">
        <f>perdesa!X257</f>
        <v>5</v>
      </c>
      <c r="M20" s="17"/>
      <c r="O20">
        <f t="shared" si="0"/>
        <v>97</v>
      </c>
    </row>
    <row r="21" spans="1:15" x14ac:dyDescent="0.25">
      <c r="A21" s="49"/>
      <c r="B21" s="50" t="s">
        <v>313</v>
      </c>
      <c r="C21" s="49">
        <f>SUM(C6:C20)</f>
        <v>1</v>
      </c>
      <c r="D21" s="49">
        <f t="shared" ref="D21" si="1">SUM(D6:D20)</f>
        <v>0</v>
      </c>
      <c r="E21" s="49">
        <f>SUM(E6:E20)</f>
        <v>142</v>
      </c>
      <c r="F21" s="49">
        <f>SUM(F6:F20)</f>
        <v>2</v>
      </c>
      <c r="G21" s="49">
        <f t="shared" ref="G21:L21" si="2">SUM(G6:G20)</f>
        <v>11</v>
      </c>
      <c r="H21" s="49">
        <f t="shared" si="2"/>
        <v>2</v>
      </c>
      <c r="I21" s="49">
        <f t="shared" si="2"/>
        <v>2</v>
      </c>
      <c r="J21" s="49">
        <f t="shared" si="2"/>
        <v>4007</v>
      </c>
      <c r="K21" s="49">
        <f t="shared" si="2"/>
        <v>11748</v>
      </c>
      <c r="L21" s="49">
        <f t="shared" si="2"/>
        <v>1351</v>
      </c>
      <c r="M21" s="50"/>
      <c r="O21" s="44">
        <f>SUM(O6:O20)</f>
        <v>15772</v>
      </c>
    </row>
  </sheetData>
  <sortState ref="A4:D19">
    <sortCondition descending="1" ref="D5"/>
  </sortState>
  <mergeCells count="1"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nama pasien</vt:lpstr>
      <vt:lpstr>perdesa</vt:lpstr>
      <vt:lpstr>per kecamatan</vt:lpstr>
      <vt:lpstr>'nama pasien'!Print_Area</vt:lpstr>
      <vt:lpstr>perdesa!Print_Area</vt:lpstr>
      <vt:lpstr>perdesa!Print_Titles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USER</cp:lastModifiedBy>
  <cp:lastPrinted>2020-06-29T10:29:17Z</cp:lastPrinted>
  <dcterms:created xsi:type="dcterms:W3CDTF">2020-03-25T02:32:05Z</dcterms:created>
  <dcterms:modified xsi:type="dcterms:W3CDTF">2022-12-26T07:58:57Z</dcterms:modified>
</cp:coreProperties>
</file>