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firstSheet="2" activeTab="13"/>
  </bookViews>
  <sheets>
    <sheet name="jan-april 19" sheetId="1" r:id="rId1"/>
    <sheet name="Sheet1" sheetId="2" r:id="rId2"/>
    <sheet name="MEUI" sheetId="3" r:id="rId3"/>
    <sheet name="juni" sheetId="4" r:id="rId4"/>
    <sheet name="JULI" sheetId="5" r:id="rId5"/>
    <sheet name="juli  slm perubahan" sheetId="6" r:id="rId6"/>
    <sheet name="agustus" sheetId="7" r:id="rId7"/>
    <sheet name="agustus stlh perubahan" sheetId="8" r:id="rId8"/>
    <sheet name="september" sheetId="9" r:id="rId9"/>
    <sheet name="1-3 oktober " sheetId="10" r:id="rId10"/>
    <sheet name="4-15 oktober" sheetId="11" r:id="rId11"/>
    <sheet name="OKTOBER" sheetId="12" r:id="rId12"/>
    <sheet name="november" sheetId="13" r:id="rId13"/>
    <sheet name="desember" sheetId="14" r:id="rId14"/>
  </sheets>
  <externalReferences>
    <externalReference r:id="rId17"/>
  </externalReferences>
  <definedNames>
    <definedName name="OLE_LINK1" localSheetId="0">'jan-april 19'!#REF!</definedName>
    <definedName name="_xlnm.Print_Area" localSheetId="0">'jan-april 19'!$A$1:$N$524</definedName>
    <definedName name="_xlnm.Print_Area" localSheetId="3">'juni'!$A$1:$O$108</definedName>
    <definedName name="_xlnm.Print_Titles" localSheetId="6">'agustus'!$7:$10</definedName>
    <definedName name="_xlnm.Print_Titles" localSheetId="7">'agustus stlh perubahan'!$7:$10</definedName>
    <definedName name="_xlnm.Print_Titles" localSheetId="0">'jan-april 19'!$436:$438</definedName>
    <definedName name="_xlnm.Print_Titles" localSheetId="4">'JULI'!$125:$127</definedName>
    <definedName name="_xlnm.Print_Titles" localSheetId="5">'juli  slm perubahan'!$7:$9</definedName>
    <definedName name="_xlnm.Print_Titles" localSheetId="3">'juni'!$8:$11</definedName>
    <definedName name="_xlnm.Print_Titles" localSheetId="2">'MEUI'!$8:$10</definedName>
  </definedNames>
  <calcPr fullCalcOnLoad="1"/>
</workbook>
</file>

<file path=xl/sharedStrings.xml><?xml version="1.0" encoding="utf-8"?>
<sst xmlns="http://schemas.openxmlformats.org/spreadsheetml/2006/main" count="3338" uniqueCount="201">
  <si>
    <t>LAPORAN PERKEMBANGAN FISIK DAN KEUANGAN</t>
  </si>
  <si>
    <t>OPD     : DINAS LINGKUNGAN HIDUP KABUPATEN DEMAK</t>
  </si>
  <si>
    <t>No</t>
  </si>
  <si>
    <t>Nama Program / Kegiatan</t>
  </si>
  <si>
    <t>Pagu Dana            ( Rp. )</t>
  </si>
  <si>
    <t>Nilai Kontrak        ( Rp. )</t>
  </si>
  <si>
    <t>Pelaksana</t>
  </si>
  <si>
    <t>KEUANGAN</t>
  </si>
  <si>
    <t>FISIK</t>
  </si>
  <si>
    <t>Keterangan</t>
  </si>
  <si>
    <t>SP2D ( Rp. )</t>
  </si>
  <si>
    <t>%</t>
  </si>
  <si>
    <t>SPJ ( Rp. )</t>
  </si>
  <si>
    <t>Target   ( % )</t>
  </si>
  <si>
    <t>Realisasi(%)</t>
  </si>
  <si>
    <t>I</t>
  </si>
  <si>
    <t>Belanja Tidak Langsung</t>
  </si>
  <si>
    <t>Gaji Pokok PNS/Uang Representasi</t>
  </si>
  <si>
    <t>Tunjangan Keluarga</t>
  </si>
  <si>
    <t>Tunjangan Jabatan</t>
  </si>
  <si>
    <t>Tunjangan Fungsional Umum</t>
  </si>
  <si>
    <t>Tunjangan Beras</t>
  </si>
  <si>
    <t>Tunjangan PPh/tunjangan khusus</t>
  </si>
  <si>
    <t xml:space="preserve">Pembulatan Gaji </t>
  </si>
  <si>
    <t>Iuran Asuransi Kesehatan</t>
  </si>
  <si>
    <t>Jaminan Kecelakaan Kerja</t>
  </si>
  <si>
    <t>Jaminan Kematian</t>
  </si>
  <si>
    <t>Tambahan Penghasilan Berdasarkan Beban Kerja</t>
  </si>
  <si>
    <t>II</t>
  </si>
  <si>
    <t>Belanja Langsung</t>
  </si>
  <si>
    <t>Pelayanan Administrasi Perkantoran</t>
  </si>
  <si>
    <t>Penyediaan jasa surat menyurat</t>
  </si>
  <si>
    <t>-</t>
  </si>
  <si>
    <t>Penyediaan jasa administrasi keuangan</t>
  </si>
  <si>
    <t>Penyediaan alat tulis kantor</t>
  </si>
  <si>
    <t>Penyediaan barang cetakan dan penggandaan</t>
  </si>
  <si>
    <t>Penyediaan komponen instalasi listrik/penerangan bangunan kantor</t>
  </si>
  <si>
    <t>Penyediaan jasa peralatan dan perlengkapan kantor</t>
  </si>
  <si>
    <t>Penyediaan bahan bacaan dan peraturan perundang - undangan</t>
  </si>
  <si>
    <t>Penyediaan makanan dan minuman</t>
  </si>
  <si>
    <t>Rapat - rapat koordinasi dan konsultasi keluar daerah</t>
  </si>
  <si>
    <t>Penyediaan jasa pegawai non PNS</t>
  </si>
  <si>
    <t>Peningkatan sarana dan perasarana Aparatur</t>
  </si>
  <si>
    <t>Pengadaan perlengkapan gedung kantor</t>
  </si>
  <si>
    <t>Pengadaan peralatan gedung kantor</t>
  </si>
  <si>
    <t>Pemeliharaan rutin/ berkala gedung kantor</t>
  </si>
  <si>
    <t>Pemeliharaan rutin/ berkala kendaraan dinas/ operasional</t>
  </si>
  <si>
    <t>Pemeliharaan rutin/ berkala peralatan gedung kantor</t>
  </si>
  <si>
    <t>Pemeliharaan rutin/ berkala mebelair</t>
  </si>
  <si>
    <t>Peningkatan kapasitas sumberdaya aparatur</t>
  </si>
  <si>
    <t>Pendidikan dan pelatihan formal</t>
  </si>
  <si>
    <t>Program Pengembangan Kinerja Pengelolaan Persampahan</t>
  </si>
  <si>
    <t>Penyediaan prasarana dan sarana pengelolaan persampahan</t>
  </si>
  <si>
    <t>Peningkatan operasi dan pemeliharaan prasarana dan sarana persampahan</t>
  </si>
  <si>
    <t>Peningkatan peran serta masyarakat dalam pengelolaan persampahan</t>
  </si>
  <si>
    <t>Monitoring, evaluasi dan pelaporan</t>
  </si>
  <si>
    <t>Program Pengendalian Pencemaran &amp; Perusakan LH</t>
  </si>
  <si>
    <t>Koordinasi Penilaian Kota Sehat/Adipura</t>
  </si>
  <si>
    <t>Pemantauan Kualitas Lingkungan</t>
  </si>
  <si>
    <t>Pengawasan pelaksanaan kebijakan bidang LH</t>
  </si>
  <si>
    <t>Peningkatan peringkat kinerja perusahaan (proper)</t>
  </si>
  <si>
    <t>Koordinasi pengelolaan Prokasih/Superkasih</t>
  </si>
  <si>
    <t>Koordinasi Penyusunan AMDAL</t>
  </si>
  <si>
    <t>Program Perlindungan dan Konservasi SDA</t>
  </si>
  <si>
    <t>Pengendalian Dampak Perubahan Iklim</t>
  </si>
  <si>
    <t>Koordinasi pengelolaan konservasi SDA</t>
  </si>
  <si>
    <t>Pengelolaan keanekaragaman hayati dan ekosistem</t>
  </si>
  <si>
    <t>Program Peningkatan Kualitas dan Akses Informasi SDA dan LH</t>
  </si>
  <si>
    <t>Peningkatan edukasi dan komunikasi masyarakat di bidang lingkungan</t>
  </si>
  <si>
    <t>Pengembangan data dan informasi lingkungan</t>
  </si>
  <si>
    <t>Program Peningkatan Pengendalian Polusi</t>
  </si>
  <si>
    <t>Penyuluhan dan pengendalian polusi dan pencemaran</t>
  </si>
  <si>
    <t>Kabupaten Demak</t>
  </si>
  <si>
    <t>Kepala Dinas Lingkungan Hidup</t>
  </si>
  <si>
    <t>Drs. AGUS MUSYAFAK, M.Si</t>
  </si>
  <si>
    <t>NIP. 19670821 198607 1 001</t>
  </si>
  <si>
    <t>Penyediaan jasa komunikasi, sumber daya air dan listrik</t>
  </si>
  <si>
    <t>SETELAH PERUBAHAN DAN TAMBAHAN ANGGARAN</t>
  </si>
  <si>
    <t>Pengelolaan B3 dan Limbah B3</t>
  </si>
  <si>
    <t>Pengkajian dampak lingkungan</t>
  </si>
  <si>
    <t>Penyusunan kebijakan pengendalian pencemaran dan perusakan lingkungan hidup</t>
  </si>
  <si>
    <t>Peningkatan peran serta masyarakat dalam pengendalian lingkungan hidup</t>
  </si>
  <si>
    <t>Total Penyerapan dana sampai dengan 31 Januari 2018</t>
  </si>
  <si>
    <t>KEGIATAN APBD,DBHCHT DAN  D.A.K  KAB. DEMAK TAHUN ANGGARAN 2019</t>
  </si>
  <si>
    <t>BULAN : JANUARI 2019</t>
  </si>
  <si>
    <t>Pengembangan produksi ramah lingkungan</t>
  </si>
  <si>
    <t>Demak , 31 Januari 2019</t>
  </si>
  <si>
    <t>sisa</t>
  </si>
  <si>
    <t>BULAN : FEBRUARI 2019</t>
  </si>
  <si>
    <t>Demak , 14 Februari 2019</t>
  </si>
  <si>
    <t>UP</t>
  </si>
  <si>
    <t>SPJ FEBRUARI</t>
  </si>
  <si>
    <t>SISA UP</t>
  </si>
  <si>
    <t>SPJ</t>
  </si>
  <si>
    <t>BIDANG 1</t>
  </si>
  <si>
    <t>BIDANG 2</t>
  </si>
  <si>
    <t>BIDANG 3</t>
  </si>
  <si>
    <t>SEKRETARIAT</t>
  </si>
  <si>
    <t>Demak , 28 Februari 2019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</si>
  <si>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</si>
  <si>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BULAN : MARET 2019</t>
  </si>
  <si>
    <t>Demak , 31 Maret 2019</t>
  </si>
  <si>
    <t>BULAN :APRIL 2019</t>
  </si>
  <si>
    <t>Demak , 30 April 2019</t>
  </si>
  <si>
    <t>Nomor Kontrak</t>
  </si>
  <si>
    <t>Tanggal pelaksana</t>
  </si>
  <si>
    <t>BULAN : MEI 2019</t>
  </si>
  <si>
    <t>660.1/P.1PK/BA.P/2019</t>
  </si>
  <si>
    <t>CV. LAJU KENCANA</t>
  </si>
  <si>
    <t>KONVEKSI AZZAHRO</t>
  </si>
  <si>
    <t>01/IV/BA/2019</t>
  </si>
  <si>
    <t>SPK/050/PPK.KPT/SPK/2019</t>
  </si>
  <si>
    <t>SPK/50/PPK/SPK/2019</t>
  </si>
  <si>
    <t>SPK:050/PPK.TS/SPK/2019</t>
  </si>
  <si>
    <t>CV.NOBEL PRATAMA</t>
  </si>
  <si>
    <t>CV.ARAFAH</t>
  </si>
  <si>
    <t>26 FEBRUARI 2019</t>
  </si>
  <si>
    <t>19 MARET 2019</t>
  </si>
  <si>
    <t>SPK/PPK.SDM/SPK/2019</t>
  </si>
  <si>
    <t>CV. ANTAR JAYA</t>
  </si>
  <si>
    <t>29 JANUARI 2019</t>
  </si>
  <si>
    <t>SPK:050/PPK.P.PS/SPK/20189</t>
  </si>
  <si>
    <t>SPK:050/PPK.P.AC/SPK/2019</t>
  </si>
  <si>
    <t>SPK:050/PPK.P.KAIO/SPK/2019</t>
  </si>
  <si>
    <t>CV.WIBAWA PARAHITA</t>
  </si>
  <si>
    <t>15 MARET 2019</t>
  </si>
  <si>
    <t>Demak ,27 Mei 2019</t>
  </si>
  <si>
    <t>5 marert 2019</t>
  </si>
  <si>
    <t>CV.LAJUR KENCANA</t>
  </si>
  <si>
    <t>SPK:050/PPK.EK/SPK/2019</t>
  </si>
  <si>
    <t>SPK:050/PPK.PKT/SPK/2019</t>
  </si>
  <si>
    <t>CV.PULUNG MANUNGGAL</t>
  </si>
  <si>
    <t>BULAN : JUNI 2019</t>
  </si>
  <si>
    <t>Demak  28 Juni 2019</t>
  </si>
  <si>
    <t>CV.SIRO KARYA</t>
  </si>
  <si>
    <t>26 maret 2019</t>
  </si>
  <si>
    <t>SPK:050/PPK.PPI/SPK/2019</t>
  </si>
  <si>
    <t>BULAN :JULI 2019</t>
  </si>
  <si>
    <t>Demak  16 juli 2019</t>
  </si>
  <si>
    <t xml:space="preserve">Tunjangan Fungsional </t>
  </si>
  <si>
    <t>050/PPK.KLHS/SPK/2019</t>
  </si>
  <si>
    <t>PT.TRIKARSA BUWANA PERSADA GEMILANG</t>
  </si>
  <si>
    <t>SPK:050/PPK.PKA/SPK/2019</t>
  </si>
  <si>
    <t>29 maret 2019</t>
  </si>
  <si>
    <t>CV.KARSA ADICIPTA</t>
  </si>
  <si>
    <t>SPK:050/PPK.PKU/SPK/2019</t>
  </si>
  <si>
    <t>CV. TUNAS</t>
  </si>
  <si>
    <t>SPK:050/PPK.DTBS/SPK/2019</t>
  </si>
  <si>
    <t>CV.IDEAL MANDIRI CONSULTAN</t>
  </si>
  <si>
    <t>SPK:050/PPK.PS/SPK/2019</t>
  </si>
  <si>
    <t>SPK:050/PPK.IKPLHD/SPK/2019</t>
  </si>
  <si>
    <t>SPK:050/PPK.GRK/SPK/2019</t>
  </si>
  <si>
    <t>CV.DAMAR KUMALA</t>
  </si>
  <si>
    <t>SPK:050/PPK.IPDPL/SPK/2019</t>
  </si>
  <si>
    <t>SPK:050/PPK.BIO/SPK/2019</t>
  </si>
  <si>
    <t>27 maret 2019</t>
  </si>
  <si>
    <t>CV.UTAMA GRAHA</t>
  </si>
  <si>
    <t>mendahului perubahan</t>
  </si>
  <si>
    <t>Demak  31 juli 2019</t>
  </si>
  <si>
    <t>Pagu Dana                   ( Rp. )</t>
  </si>
  <si>
    <r>
      <t xml:space="preserve">BULAN </t>
    </r>
    <r>
      <rPr>
        <b/>
        <sz val="10"/>
        <rFont val="Arial"/>
        <family val="2"/>
      </rPr>
      <t>: JULI 2019</t>
    </r>
  </si>
  <si>
    <r>
      <t xml:space="preserve">OPD     : </t>
    </r>
    <r>
      <rPr>
        <b/>
        <sz val="10"/>
        <rFont val="Arial"/>
        <family val="2"/>
      </rPr>
      <t>DINAS LINGKUNGAN HIDUP KABUPATEN DEMAK</t>
    </r>
  </si>
  <si>
    <t>sebelum perubahan</t>
  </si>
  <si>
    <t>Demak  31 Agustus 2019</t>
  </si>
  <si>
    <r>
      <t xml:space="preserve">BULAN </t>
    </r>
    <r>
      <rPr>
        <b/>
        <sz val="10"/>
        <rFont val="Arial"/>
        <family val="2"/>
      </rPr>
      <t>: AGUSTUS 2019</t>
    </r>
  </si>
  <si>
    <t>bidang 1</t>
  </si>
  <si>
    <t>bidang 2</t>
  </si>
  <si>
    <t>bidang 3</t>
  </si>
  <si>
    <t>Pagu Dana  setelah perubahan                  ( Rp. )</t>
  </si>
  <si>
    <t>Penyuluhan dan pengendalian polusi dan pencemaran (DBHCHT)</t>
  </si>
  <si>
    <t>Demak  30 September  2019</t>
  </si>
  <si>
    <t>BULAN : SEPTEMBER  2019</t>
  </si>
  <si>
    <t>SPK:050/PPK.PTS/spk/2019</t>
  </si>
  <si>
    <t>SK : 170/SK. 33-21.500/IX/2019</t>
  </si>
  <si>
    <t>kholifah</t>
  </si>
  <si>
    <t>Hj.mudakolah</t>
  </si>
  <si>
    <t>Demak  3 Oktober   2019</t>
  </si>
  <si>
    <t>BULAN : Oktober  2019</t>
  </si>
  <si>
    <t>Demak  15 Oktober   2019</t>
  </si>
  <si>
    <t>BULAN : 15 Oktober  2019</t>
  </si>
  <si>
    <t>BULAN : OKTOBER  2019</t>
  </si>
  <si>
    <t>Demak 25 Oktober   2019</t>
  </si>
  <si>
    <t>Demak 30 November  2019</t>
  </si>
  <si>
    <t>BULAN : NOVEMBER  2019</t>
  </si>
  <si>
    <t>SPK:027/06/SPK/PPK/IX/2019</t>
  </si>
  <si>
    <t>CV.TOTOSUHARTO&amp;REKAN</t>
  </si>
  <si>
    <t>SPK:050/PPK/PPTST/PPK/2019</t>
  </si>
  <si>
    <t>11 OKTOBER 2019</t>
  </si>
  <si>
    <t>CV.LAUT BIRU</t>
  </si>
  <si>
    <t>23 OKTOBER 2019</t>
  </si>
  <si>
    <t>SPK:050/PPK.PPPB/SPK/2019</t>
  </si>
  <si>
    <t>Kepala Dinas Lingkungan Hidup Kabupaten Demak</t>
  </si>
  <si>
    <t>BULAN : NOVEMBER 2019</t>
  </si>
  <si>
    <t>BULAN : DESEMBER 2019</t>
  </si>
  <si>
    <t>Demak 31 Desember  2019</t>
  </si>
  <si>
    <t>CV.GAJAH MADA</t>
  </si>
  <si>
    <t>11 oktober 2019</t>
  </si>
  <si>
    <t>15 oktober 2019</t>
  </si>
  <si>
    <t>SPK:050/PPK.PSST/SPK/2019</t>
  </si>
  <si>
    <t>SPK: 050/PPK.PB/SPK/2019</t>
  </si>
  <si>
    <t>KEGIATAN APBD,DBHCHT DAN D.A.K KAB. DEMAK TAHUN ANGGARAN 2019</t>
  </si>
</sst>
</file>

<file path=xl/styles.xml><?xml version="1.0" encoding="utf-8"?>
<styleSheet xmlns="http://schemas.openxmlformats.org/spreadsheetml/2006/main">
  <numFmts count="4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_);_(* \(#,##0\);_(* &quot;-&quot;??_);_(@_)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_);_(* \(#,##0.0\);_(* &quot;-&quot;??_);_(@_)"/>
    <numFmt numFmtId="183" formatCode="_(* #,##0.000_);_(* \(#,##0.000\);_(* &quot;-&quot;??_);_(@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0_);_(* \(#,##0.0000\);_(* &quot;-&quot;??_);_(@_)"/>
    <numFmt numFmtId="195" formatCode="_(* #,##0.00000_);_(* \(#,##0.00000\);_(* &quot;-&quot;??_);_(@_)"/>
    <numFmt numFmtId="196" formatCode="0.000%"/>
    <numFmt numFmtId="197" formatCode="0.0%"/>
    <numFmt numFmtId="198" formatCode="[$-409]dddd\,\ mmmm\ d\,\ yyyy"/>
    <numFmt numFmtId="199" formatCode="[$-409]h:mm:ss\ AM/PM"/>
    <numFmt numFmtId="200" formatCode="_(&quot;$&quot;* #,##0.0_);_(&quot;$&quot;* \(#,##0.0\);_(&quot;$&quot;* &quot;-&quot;??_);_(@_)"/>
    <numFmt numFmtId="201" formatCode="_(&quot;$&quot;* #,##0_);_(&quot;$&quot;* \(#,##0\);_(&quot;$&quot;* &quot;-&quot;??_);_(@_)"/>
    <numFmt numFmtId="202" formatCode="_(* #,##0.0_);_(* \(#,##0.0\);_(* &quot;-&quot;?_);_(@_)"/>
    <numFmt numFmtId="203" formatCode="[$-409]d\-mmm\-yy;@"/>
    <numFmt numFmtId="204" formatCode="0.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  <font>
      <sz val="7"/>
      <name val="Times New Roman"/>
      <family val="1"/>
    </font>
    <font>
      <u val="singleAccounting"/>
      <sz val="10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7"/>
      <name val="Tahoma"/>
      <family val="2"/>
    </font>
    <font>
      <sz val="7"/>
      <name val="Arial Narrow"/>
      <family val="2"/>
    </font>
    <font>
      <sz val="7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i/>
      <sz val="8"/>
      <name val="Times New Roman"/>
      <family val="1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color theme="0"/>
      <name val="Arial"/>
      <family val="2"/>
    </font>
    <font>
      <sz val="10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54" fillId="0" borderId="0" applyFont="0" applyFill="0" applyBorder="0" applyAlignment="0" applyProtection="0"/>
    <xf numFmtId="176" fontId="5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54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8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9" fontId="4" fillId="0" borderId="12" xfId="0" applyNumberFormat="1" applyFont="1" applyFill="1" applyBorder="1" applyAlignment="1">
      <alignment horizontal="center"/>
    </xf>
    <xf numFmtId="169" fontId="5" fillId="0" borderId="12" xfId="43" applyFont="1" applyFill="1" applyBorder="1" applyAlignment="1">
      <alignment horizontal="center"/>
    </xf>
    <xf numFmtId="169" fontId="3" fillId="0" borderId="12" xfId="0" applyNumberFormat="1" applyFont="1" applyFill="1" applyBorder="1" applyAlignment="1">
      <alignment/>
    </xf>
    <xf numFmtId="169" fontId="5" fillId="0" borderId="12" xfId="42" applyNumberFormat="1" applyFont="1" applyFill="1" applyBorder="1" applyAlignment="1">
      <alignment/>
    </xf>
    <xf numFmtId="169" fontId="3" fillId="0" borderId="12" xfId="42" applyNumberFormat="1" applyFont="1" applyFill="1" applyBorder="1" applyAlignment="1">
      <alignment/>
    </xf>
    <xf numFmtId="169" fontId="7" fillId="0" borderId="12" xfId="43" applyFont="1" applyFill="1" applyBorder="1" applyAlignment="1">
      <alignment/>
    </xf>
    <xf numFmtId="169" fontId="5" fillId="0" borderId="12" xfId="43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4" xfId="0" applyFont="1" applyFill="1" applyBorder="1" applyAlignment="1">
      <alignment horizontal="left"/>
    </xf>
    <xf numFmtId="169" fontId="5" fillId="0" borderId="14" xfId="43" applyNumberFormat="1" applyFont="1" applyFill="1" applyBorder="1" applyAlignment="1">
      <alignment vertical="top"/>
    </xf>
    <xf numFmtId="169" fontId="0" fillId="0" borderId="14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9" fontId="5" fillId="0" borderId="0" xfId="43" applyNumberFormat="1" applyFont="1" applyFill="1" applyBorder="1" applyAlignment="1">
      <alignment vertical="top"/>
    </xf>
    <xf numFmtId="169" fontId="0" fillId="0" borderId="0" xfId="42" applyNumberFormat="1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169" fontId="5" fillId="0" borderId="15" xfId="43" applyNumberFormat="1" applyFont="1" applyFill="1" applyBorder="1" applyAlignment="1">
      <alignment vertical="top"/>
    </xf>
    <xf numFmtId="169" fontId="0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justify" wrapText="1"/>
    </xf>
    <xf numFmtId="169" fontId="5" fillId="0" borderId="12" xfId="43" applyFont="1" applyFill="1" applyBorder="1" applyAlignment="1">
      <alignment vertical="top"/>
    </xf>
    <xf numFmtId="169" fontId="5" fillId="0" borderId="12" xfId="43" applyNumberFormat="1" applyFont="1" applyFill="1" applyBorder="1" applyAlignment="1">
      <alignment vertical="top"/>
    </xf>
    <xf numFmtId="0" fontId="3" fillId="0" borderId="12" xfId="0" applyFont="1" applyFill="1" applyBorder="1" applyAlignment="1">
      <alignment horizontal="left" wrapText="1"/>
    </xf>
    <xf numFmtId="178" fontId="3" fillId="0" borderId="12" xfId="42" applyNumberFormat="1" applyFont="1" applyFill="1" applyBorder="1" applyAlignment="1">
      <alignment vertical="justify"/>
    </xf>
    <xf numFmtId="169" fontId="0" fillId="0" borderId="12" xfId="43" applyNumberFormat="1" applyFont="1" applyFill="1" applyBorder="1" applyAlignment="1">
      <alignment vertical="top"/>
    </xf>
    <xf numFmtId="178" fontId="5" fillId="0" borderId="16" xfId="0" applyNumberFormat="1" applyFont="1" applyFill="1" applyBorder="1" applyAlignment="1">
      <alignment horizontal="left" vertical="justify" wrapText="1"/>
    </xf>
    <xf numFmtId="169" fontId="5" fillId="0" borderId="16" xfId="43" applyFont="1" applyFill="1" applyBorder="1" applyAlignment="1">
      <alignment vertical="top"/>
    </xf>
    <xf numFmtId="169" fontId="5" fillId="0" borderId="16" xfId="43" applyNumberFormat="1" applyFont="1" applyFill="1" applyBorder="1" applyAlignment="1">
      <alignment vertical="top"/>
    </xf>
    <xf numFmtId="169" fontId="3" fillId="0" borderId="16" xfId="42" applyNumberFormat="1" applyFont="1" applyFill="1" applyBorder="1" applyAlignment="1">
      <alignment/>
    </xf>
    <xf numFmtId="169" fontId="3" fillId="0" borderId="16" xfId="0" applyNumberFormat="1" applyFont="1" applyFill="1" applyBorder="1" applyAlignment="1">
      <alignment/>
    </xf>
    <xf numFmtId="169" fontId="0" fillId="0" borderId="12" xfId="0" applyNumberFormat="1" applyFont="1" applyFill="1" applyBorder="1" applyAlignment="1">
      <alignment/>
    </xf>
    <xf numFmtId="169" fontId="0" fillId="0" borderId="16" xfId="0" applyNumberFormat="1" applyFont="1" applyFill="1" applyBorder="1" applyAlignment="1">
      <alignment/>
    </xf>
    <xf numFmtId="169" fontId="0" fillId="0" borderId="12" xfId="42" applyNumberFormat="1" applyFont="1" applyFill="1" applyBorder="1" applyAlignment="1">
      <alignment/>
    </xf>
    <xf numFmtId="169" fontId="0" fillId="0" borderId="12" xfId="42" applyNumberFormat="1" applyFont="1" applyFill="1" applyBorder="1" applyAlignment="1">
      <alignment vertical="top"/>
    </xf>
    <xf numFmtId="169" fontId="5" fillId="0" borderId="16" xfId="42" applyNumberFormat="1" applyFont="1" applyFill="1" applyBorder="1" applyAlignment="1">
      <alignment/>
    </xf>
    <xf numFmtId="169" fontId="5" fillId="0" borderId="12" xfId="0" applyNumberFormat="1" applyFont="1" applyFill="1" applyBorder="1" applyAlignment="1">
      <alignment/>
    </xf>
    <xf numFmtId="178" fontId="5" fillId="0" borderId="12" xfId="42" applyNumberFormat="1" applyFont="1" applyFill="1" applyBorder="1" applyAlignment="1">
      <alignment vertical="top"/>
    </xf>
    <xf numFmtId="178" fontId="3" fillId="0" borderId="12" xfId="42" applyNumberFormat="1" applyFont="1" applyFill="1" applyBorder="1" applyAlignment="1">
      <alignment/>
    </xf>
    <xf numFmtId="169" fontId="5" fillId="0" borderId="12" xfId="43" applyFont="1" applyFill="1" applyBorder="1" applyAlignment="1">
      <alignment horizontal="left" wrapText="1"/>
    </xf>
    <xf numFmtId="169" fontId="5" fillId="0" borderId="12" xfId="43" applyFont="1" applyFill="1" applyBorder="1" applyAlignment="1">
      <alignment horizontal="left" vertical="top" wrapText="1"/>
    </xf>
    <xf numFmtId="169" fontId="5" fillId="0" borderId="12" xfId="43" applyNumberFormat="1" applyFont="1" applyFill="1" applyBorder="1" applyAlignment="1">
      <alignment horizontal="left" vertical="top" wrapText="1"/>
    </xf>
    <xf numFmtId="169" fontId="3" fillId="0" borderId="10" xfId="0" applyNumberFormat="1" applyFont="1" applyFill="1" applyBorder="1" applyAlignment="1">
      <alignment/>
    </xf>
    <xf numFmtId="169" fontId="71" fillId="0" borderId="0" xfId="0" applyNumberFormat="1" applyFont="1" applyFill="1" applyAlignment="1">
      <alignment/>
    </xf>
    <xf numFmtId="169" fontId="71" fillId="0" borderId="0" xfId="43" applyFont="1" applyFill="1" applyAlignment="1">
      <alignment/>
    </xf>
    <xf numFmtId="0" fontId="71" fillId="0" borderId="0" xfId="0" applyFont="1" applyFill="1" applyAlignment="1">
      <alignment/>
    </xf>
    <xf numFmtId="0" fontId="5" fillId="0" borderId="12" xfId="0" applyFont="1" applyFill="1" applyBorder="1" applyAlignment="1">
      <alignment horizontal="left"/>
    </xf>
    <xf numFmtId="178" fontId="3" fillId="0" borderId="16" xfId="42" applyNumberFormat="1" applyFont="1" applyFill="1" applyBorder="1" applyAlignment="1">
      <alignment/>
    </xf>
    <xf numFmtId="169" fontId="10" fillId="0" borderId="12" xfId="0" applyNumberFormat="1" applyFont="1" applyFill="1" applyBorder="1" applyAlignment="1">
      <alignment/>
    </xf>
    <xf numFmtId="169" fontId="9" fillId="0" borderId="16" xfId="42" applyNumberFormat="1" applyFont="1" applyFill="1" applyBorder="1" applyAlignment="1">
      <alignment/>
    </xf>
    <xf numFmtId="169" fontId="9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 vertical="top" wrapText="1"/>
    </xf>
    <xf numFmtId="169" fontId="9" fillId="0" borderId="12" xfId="43" applyFont="1" applyFill="1" applyBorder="1" applyAlignment="1">
      <alignment vertical="top" wrapText="1"/>
    </xf>
    <xf numFmtId="169" fontId="9" fillId="0" borderId="12" xfId="43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/>
    </xf>
    <xf numFmtId="169" fontId="0" fillId="0" borderId="12" xfId="0" applyNumberFormat="1" applyFill="1" applyBorder="1" applyAlignment="1">
      <alignment/>
    </xf>
    <xf numFmtId="169" fontId="0" fillId="0" borderId="16" xfId="42" applyNumberFormat="1" applyFont="1" applyFill="1" applyBorder="1" applyAlignment="1">
      <alignment/>
    </xf>
    <xf numFmtId="169" fontId="10" fillId="0" borderId="16" xfId="42" applyNumberFormat="1" applyFont="1" applyFill="1" applyBorder="1" applyAlignment="1">
      <alignment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169" fontId="4" fillId="0" borderId="12" xfId="0" applyNumberFormat="1" applyFont="1" applyFill="1" applyBorder="1" applyAlignment="1">
      <alignment/>
    </xf>
    <xf numFmtId="169" fontId="4" fillId="0" borderId="16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 wrapText="1"/>
    </xf>
    <xf numFmtId="169" fontId="0" fillId="0" borderId="12" xfId="0" applyNumberFormat="1" applyFont="1" applyFill="1" applyBorder="1" applyAlignment="1" quotePrefix="1">
      <alignment horizontal="right"/>
    </xf>
    <xf numFmtId="178" fontId="5" fillId="0" borderId="12" xfId="42" applyNumberFormat="1" applyFont="1" applyFill="1" applyBorder="1" applyAlignment="1">
      <alignment/>
    </xf>
    <xf numFmtId="169" fontId="5" fillId="0" borderId="12" xfId="0" applyNumberFormat="1" applyFont="1" applyFill="1" applyBorder="1" applyAlignment="1" quotePrefix="1">
      <alignment horizontal="right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9" fontId="5" fillId="0" borderId="14" xfId="43" applyFont="1" applyFill="1" applyBorder="1" applyAlignment="1">
      <alignment vertical="top"/>
    </xf>
    <xf numFmtId="169" fontId="0" fillId="0" borderId="14" xfId="0" applyNumberFormat="1" applyFont="1" applyFill="1" applyBorder="1" applyAlignment="1">
      <alignment/>
    </xf>
    <xf numFmtId="169" fontId="3" fillId="0" borderId="14" xfId="42" applyNumberFormat="1" applyFont="1" applyFill="1" applyBorder="1" applyAlignment="1">
      <alignment/>
    </xf>
    <xf numFmtId="169" fontId="0" fillId="0" borderId="14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9" fontId="5" fillId="0" borderId="0" xfId="43" applyFont="1" applyFill="1" applyBorder="1" applyAlignment="1">
      <alignment vertical="top"/>
    </xf>
    <xf numFmtId="169" fontId="0" fillId="0" borderId="0" xfId="0" applyNumberFormat="1" applyFont="1" applyFill="1" applyBorder="1" applyAlignment="1">
      <alignment/>
    </xf>
    <xf numFmtId="169" fontId="3" fillId="0" borderId="0" xfId="42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169" fontId="5" fillId="0" borderId="15" xfId="43" applyFont="1" applyFill="1" applyBorder="1" applyAlignment="1">
      <alignment vertical="top"/>
    </xf>
    <xf numFmtId="169" fontId="0" fillId="0" borderId="15" xfId="0" applyNumberFormat="1" applyFont="1" applyFill="1" applyBorder="1" applyAlignment="1">
      <alignment/>
    </xf>
    <xf numFmtId="169" fontId="3" fillId="0" borderId="15" xfId="42" applyNumberFormat="1" applyFont="1" applyFill="1" applyBorder="1" applyAlignment="1">
      <alignment/>
    </xf>
    <xf numFmtId="169" fontId="0" fillId="0" borderId="15" xfId="0" applyNumberFormat="1" applyFill="1" applyBorder="1" applyAlignment="1">
      <alignment/>
    </xf>
    <xf numFmtId="169" fontId="0" fillId="0" borderId="18" xfId="0" applyNumberFormat="1" applyFill="1" applyBorder="1" applyAlignment="1">
      <alignment/>
    </xf>
    <xf numFmtId="0" fontId="3" fillId="0" borderId="12" xfId="0" applyFont="1" applyFill="1" applyBorder="1" applyAlignment="1">
      <alignment horizontal="left" vertical="justify"/>
    </xf>
    <xf numFmtId="0" fontId="5" fillId="0" borderId="16" xfId="0" applyFont="1" applyFill="1" applyBorder="1" applyAlignment="1">
      <alignment/>
    </xf>
    <xf numFmtId="169" fontId="0" fillId="0" borderId="16" xfId="0" applyNumberForma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vertical="center" wrapText="1"/>
    </xf>
    <xf numFmtId="0" fontId="5" fillId="0" borderId="12" xfId="0" applyFont="1" applyFill="1" applyBorder="1" applyAlignment="1" quotePrefix="1">
      <alignment vertical="center" wrapText="1"/>
    </xf>
    <xf numFmtId="169" fontId="8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vertical="justify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0" fontId="72" fillId="0" borderId="0" xfId="0" applyFont="1" applyFill="1" applyBorder="1" applyAlignment="1">
      <alignment horizontal="left"/>
    </xf>
    <xf numFmtId="171" fontId="73" fillId="0" borderId="0" xfId="0" applyNumberFormat="1" applyFont="1" applyFill="1" applyAlignment="1">
      <alignment/>
    </xf>
    <xf numFmtId="0" fontId="71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169" fontId="0" fillId="0" borderId="17" xfId="0" applyNumberFormat="1" applyFont="1" applyFill="1" applyBorder="1" applyAlignment="1">
      <alignment/>
    </xf>
    <xf numFmtId="169" fontId="0" fillId="0" borderId="17" xfId="0" applyNumberFormat="1" applyFill="1" applyBorder="1" applyAlignment="1">
      <alignment/>
    </xf>
    <xf numFmtId="0" fontId="3" fillId="0" borderId="16" xfId="0" applyFont="1" applyFill="1" applyBorder="1" applyAlignment="1">
      <alignment horizontal="left" vertical="justify"/>
    </xf>
    <xf numFmtId="169" fontId="10" fillId="0" borderId="12" xfId="42" applyNumberFormat="1" applyFont="1" applyFill="1" applyBorder="1" applyAlignment="1">
      <alignment vertical="top"/>
    </xf>
    <xf numFmtId="169" fontId="10" fillId="0" borderId="12" xfId="42" applyNumberFormat="1" applyFont="1" applyFill="1" applyBorder="1" applyAlignment="1">
      <alignment/>
    </xf>
    <xf numFmtId="169" fontId="5" fillId="0" borderId="12" xfId="0" applyNumberFormat="1" applyFont="1" applyFill="1" applyBorder="1" applyAlignment="1">
      <alignment horizontal="center"/>
    </xf>
    <xf numFmtId="169" fontId="5" fillId="0" borderId="17" xfId="0" applyNumberFormat="1" applyFont="1" applyFill="1" applyBorder="1" applyAlignment="1">
      <alignment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180" fontId="11" fillId="0" borderId="10" xfId="0" applyNumberFormat="1" applyFont="1" applyFill="1" applyBorder="1" applyAlignment="1">
      <alignment/>
    </xf>
    <xf numFmtId="180" fontId="11" fillId="0" borderId="10" xfId="42" applyNumberFormat="1" applyFont="1" applyFill="1" applyBorder="1" applyAlignment="1">
      <alignment/>
    </xf>
    <xf numFmtId="183" fontId="5" fillId="0" borderId="0" xfId="42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0" fontId="5" fillId="0" borderId="17" xfId="0" applyFont="1" applyFill="1" applyBorder="1" applyAlignment="1">
      <alignment vertical="center" wrapText="1"/>
    </xf>
    <xf numFmtId="178" fontId="5" fillId="0" borderId="17" xfId="42" applyNumberFormat="1" applyFont="1" applyFill="1" applyBorder="1" applyAlignment="1">
      <alignment/>
    </xf>
    <xf numFmtId="169" fontId="5" fillId="0" borderId="17" xfId="42" applyNumberFormat="1" applyFont="1" applyFill="1" applyBorder="1" applyAlignment="1">
      <alignment/>
    </xf>
    <xf numFmtId="178" fontId="5" fillId="0" borderId="12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180" fontId="11" fillId="0" borderId="0" xfId="42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5" fillId="0" borderId="16" xfId="0" applyFont="1" applyFill="1" applyBorder="1" applyAlignment="1">
      <alignment vertical="center" wrapText="1"/>
    </xf>
    <xf numFmtId="178" fontId="5" fillId="0" borderId="16" xfId="42" applyNumberFormat="1" applyFont="1" applyFill="1" applyBorder="1" applyAlignment="1">
      <alignment/>
    </xf>
    <xf numFmtId="169" fontId="8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69" fontId="0" fillId="0" borderId="0" xfId="0" applyNumberFormat="1" applyFont="1" applyFill="1" applyAlignment="1">
      <alignment/>
    </xf>
    <xf numFmtId="169" fontId="0" fillId="0" borderId="0" xfId="43" applyFont="1" applyFill="1" applyAlignment="1">
      <alignment/>
    </xf>
    <xf numFmtId="0" fontId="0" fillId="0" borderId="0" xfId="0" applyFont="1" applyFill="1" applyBorder="1" applyAlignment="1">
      <alignment horizontal="right"/>
    </xf>
    <xf numFmtId="9" fontId="3" fillId="0" borderId="0" xfId="59" applyFont="1" applyFill="1" applyAlignment="1">
      <alignment/>
    </xf>
    <xf numFmtId="0" fontId="0" fillId="0" borderId="0" xfId="0" applyFont="1" applyFill="1" applyBorder="1" applyAlignment="1">
      <alignment horizontal="left"/>
    </xf>
    <xf numFmtId="171" fontId="3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9" fontId="4" fillId="0" borderId="12" xfId="42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9" fontId="1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171" fontId="0" fillId="0" borderId="0" xfId="0" applyNumberFormat="1" applyFont="1" applyFill="1" applyAlignment="1">
      <alignment/>
    </xf>
    <xf numFmtId="178" fontId="0" fillId="0" borderId="12" xfId="42" applyNumberFormat="1" applyFont="1" applyFill="1" applyBorder="1" applyAlignment="1">
      <alignment vertical="justify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8" fontId="13" fillId="0" borderId="0" xfId="42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Fill="1" applyBorder="1" applyAlignment="1">
      <alignment/>
    </xf>
    <xf numFmtId="0" fontId="72" fillId="0" borderId="0" xfId="0" applyFont="1" applyFill="1" applyAlignment="1">
      <alignment horizontal="center"/>
    </xf>
    <xf numFmtId="0" fontId="5" fillId="33" borderId="12" xfId="0" applyFont="1" applyFill="1" applyBorder="1" applyAlignment="1">
      <alignment/>
    </xf>
    <xf numFmtId="178" fontId="5" fillId="33" borderId="12" xfId="42" applyNumberFormat="1" applyFont="1" applyFill="1" applyBorder="1" applyAlignment="1">
      <alignment/>
    </xf>
    <xf numFmtId="169" fontId="5" fillId="33" borderId="12" xfId="0" applyNumberFormat="1" applyFont="1" applyFill="1" applyBorder="1" applyAlignment="1">
      <alignment/>
    </xf>
    <xf numFmtId="169" fontId="5" fillId="33" borderId="12" xfId="42" applyNumberFormat="1" applyFont="1" applyFill="1" applyBorder="1" applyAlignment="1">
      <alignment/>
    </xf>
    <xf numFmtId="0" fontId="5" fillId="33" borderId="12" xfId="0" applyFont="1" applyFill="1" applyBorder="1" applyAlignment="1">
      <alignment vertical="center" wrapText="1"/>
    </xf>
    <xf numFmtId="178" fontId="75" fillId="0" borderId="12" xfId="42" applyNumberFormat="1" applyFont="1" applyFill="1" applyBorder="1" applyAlignment="1">
      <alignment/>
    </xf>
    <xf numFmtId="178" fontId="4" fillId="0" borderId="12" xfId="42" applyNumberFormat="1" applyFont="1" applyFill="1" applyBorder="1" applyAlignment="1">
      <alignment vertical="justify"/>
    </xf>
    <xf numFmtId="178" fontId="5" fillId="0" borderId="12" xfId="42" applyNumberFormat="1" applyFont="1" applyFill="1" applyBorder="1" applyAlignment="1">
      <alignment vertical="justify"/>
    </xf>
    <xf numFmtId="169" fontId="5" fillId="0" borderId="16" xfId="0" applyNumberFormat="1" applyFont="1" applyFill="1" applyBorder="1" applyAlignment="1">
      <alignment/>
    </xf>
    <xf numFmtId="178" fontId="4" fillId="0" borderId="16" xfId="42" applyNumberFormat="1" applyFont="1" applyFill="1" applyBorder="1" applyAlignment="1">
      <alignment/>
    </xf>
    <xf numFmtId="169" fontId="4" fillId="0" borderId="16" xfId="0" applyNumberFormat="1" applyFont="1" applyFill="1" applyBorder="1" applyAlignment="1">
      <alignment/>
    </xf>
    <xf numFmtId="169" fontId="5" fillId="0" borderId="12" xfId="42" applyNumberFormat="1" applyFont="1" applyFill="1" applyBorder="1" applyAlignment="1">
      <alignment vertical="top"/>
    </xf>
    <xf numFmtId="169" fontId="9" fillId="0" borderId="12" xfId="42" applyNumberFormat="1" applyFont="1" applyFill="1" applyBorder="1" applyAlignment="1">
      <alignment vertical="top"/>
    </xf>
    <xf numFmtId="169" fontId="9" fillId="0" borderId="16" xfId="42" applyNumberFormat="1" applyFont="1" applyFill="1" applyBorder="1" applyAlignment="1">
      <alignment vertical="top"/>
    </xf>
    <xf numFmtId="178" fontId="4" fillId="0" borderId="12" xfId="42" applyNumberFormat="1" applyFont="1" applyFill="1" applyBorder="1" applyAlignment="1">
      <alignment/>
    </xf>
    <xf numFmtId="169" fontId="9" fillId="0" borderId="12" xfId="42" applyNumberFormat="1" applyFont="1" applyFill="1" applyBorder="1" applyAlignment="1">
      <alignment/>
    </xf>
    <xf numFmtId="178" fontId="5" fillId="0" borderId="12" xfId="42" applyNumberFormat="1" applyFont="1" applyFill="1" applyBorder="1" applyAlignment="1">
      <alignment vertical="center"/>
    </xf>
    <xf numFmtId="169" fontId="5" fillId="0" borderId="12" xfId="0" applyNumberFormat="1" applyFont="1" applyFill="1" applyBorder="1" applyAlignment="1">
      <alignment vertical="center"/>
    </xf>
    <xf numFmtId="169" fontId="0" fillId="0" borderId="12" xfId="0" applyNumberFormat="1" applyFont="1" applyFill="1" applyBorder="1" applyAlignment="1">
      <alignment vertical="center"/>
    </xf>
    <xf numFmtId="169" fontId="5" fillId="0" borderId="16" xfId="42" applyNumberFormat="1" applyFont="1" applyFill="1" applyBorder="1" applyAlignment="1">
      <alignment vertical="center"/>
    </xf>
    <xf numFmtId="178" fontId="76" fillId="0" borderId="12" xfId="42" applyNumberFormat="1" applyFont="1" applyFill="1" applyBorder="1" applyAlignment="1">
      <alignment/>
    </xf>
    <xf numFmtId="169" fontId="76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69" fontId="14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169" fontId="8" fillId="0" borderId="12" xfId="0" applyNumberFormat="1" applyFont="1" applyFill="1" applyBorder="1" applyAlignment="1" quotePrefix="1">
      <alignment horizontal="right"/>
    </xf>
    <xf numFmtId="169" fontId="14" fillId="0" borderId="12" xfId="0" applyNumberFormat="1" applyFont="1" applyFill="1" applyBorder="1" applyAlignment="1" quotePrefix="1">
      <alignment horizontal="right"/>
    </xf>
    <xf numFmtId="169" fontId="14" fillId="0" borderId="12" xfId="0" applyNumberFormat="1" applyFont="1" applyFill="1" applyBorder="1" applyAlignment="1">
      <alignment/>
    </xf>
    <xf numFmtId="169" fontId="14" fillId="33" borderId="12" xfId="0" applyNumberFormat="1" applyFont="1" applyFill="1" applyBorder="1" applyAlignment="1">
      <alignment/>
    </xf>
    <xf numFmtId="169" fontId="11" fillId="0" borderId="12" xfId="0" applyNumberFormat="1" applyFont="1" applyFill="1" applyBorder="1" applyAlignment="1">
      <alignment/>
    </xf>
    <xf numFmtId="178" fontId="11" fillId="0" borderId="12" xfId="42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78" fontId="11" fillId="0" borderId="12" xfId="42" applyNumberFormat="1" applyFont="1" applyFill="1" applyBorder="1" applyAlignment="1">
      <alignment vertical="justify"/>
    </xf>
    <xf numFmtId="169" fontId="14" fillId="0" borderId="12" xfId="43" applyFont="1" applyFill="1" applyBorder="1" applyAlignment="1">
      <alignment vertical="top"/>
    </xf>
    <xf numFmtId="178" fontId="11" fillId="0" borderId="16" xfId="42" applyNumberFormat="1" applyFont="1" applyFill="1" applyBorder="1" applyAlignment="1">
      <alignment/>
    </xf>
    <xf numFmtId="169" fontId="8" fillId="0" borderId="17" xfId="0" applyNumberFormat="1" applyFont="1" applyFill="1" applyBorder="1" applyAlignment="1">
      <alignment/>
    </xf>
    <xf numFmtId="169" fontId="8" fillId="0" borderId="12" xfId="0" applyNumberFormat="1" applyFont="1" applyFill="1" applyBorder="1" applyAlignment="1">
      <alignment vertical="center"/>
    </xf>
    <xf numFmtId="169" fontId="15" fillId="0" borderId="12" xfId="0" applyNumberFormat="1" applyFont="1" applyFill="1" applyBorder="1" applyAlignment="1">
      <alignment/>
    </xf>
    <xf numFmtId="169" fontId="11" fillId="0" borderId="0" xfId="0" applyNumberFormat="1" applyFont="1" applyFill="1" applyBorder="1" applyAlignment="1">
      <alignment/>
    </xf>
    <xf numFmtId="169" fontId="8" fillId="0" borderId="0" xfId="43" applyFont="1" applyFill="1" applyAlignment="1">
      <alignment/>
    </xf>
    <xf numFmtId="169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9" fontId="16" fillId="0" borderId="12" xfId="0" applyNumberFormat="1" applyFont="1" applyFill="1" applyBorder="1" applyAlignment="1">
      <alignment horizontal="center"/>
    </xf>
    <xf numFmtId="169" fontId="14" fillId="0" borderId="12" xfId="43" applyFont="1" applyFill="1" applyBorder="1" applyAlignment="1">
      <alignment horizontal="center"/>
    </xf>
    <xf numFmtId="178" fontId="11" fillId="0" borderId="12" xfId="0" applyNumberFormat="1" applyFont="1" applyFill="1" applyBorder="1" applyAlignment="1">
      <alignment/>
    </xf>
    <xf numFmtId="178" fontId="14" fillId="0" borderId="12" xfId="42" applyNumberFormat="1" applyFont="1" applyFill="1" applyBorder="1" applyAlignment="1">
      <alignment/>
    </xf>
    <xf numFmtId="178" fontId="14" fillId="33" borderId="12" xfId="42" applyNumberFormat="1" applyFont="1" applyFill="1" applyBorder="1" applyAlignment="1">
      <alignment/>
    </xf>
    <xf numFmtId="169" fontId="14" fillId="0" borderId="16" xfId="43" applyFont="1" applyFill="1" applyBorder="1" applyAlignment="1">
      <alignment vertical="top"/>
    </xf>
    <xf numFmtId="178" fontId="14" fillId="0" borderId="17" xfId="42" applyNumberFormat="1" applyFont="1" applyFill="1" applyBorder="1" applyAlignment="1">
      <alignment/>
    </xf>
    <xf numFmtId="178" fontId="14" fillId="0" borderId="12" xfId="42" applyNumberFormat="1" applyFont="1" applyFill="1" applyBorder="1" applyAlignment="1">
      <alignment vertical="center"/>
    </xf>
    <xf numFmtId="178" fontId="14" fillId="0" borderId="12" xfId="42" applyNumberFormat="1" applyFont="1" applyFill="1" applyBorder="1" applyAlignment="1">
      <alignment vertical="top"/>
    </xf>
    <xf numFmtId="178" fontId="14" fillId="0" borderId="16" xfId="42" applyNumberFormat="1" applyFont="1" applyFill="1" applyBorder="1" applyAlignment="1">
      <alignment/>
    </xf>
    <xf numFmtId="169" fontId="17" fillId="0" borderId="12" xfId="43" applyFont="1" applyFill="1" applyBorder="1" applyAlignment="1">
      <alignment vertical="top" wrapText="1"/>
    </xf>
    <xf numFmtId="169" fontId="14" fillId="0" borderId="12" xfId="43" applyFont="1" applyFill="1" applyBorder="1" applyAlignment="1">
      <alignment horizontal="left" vertical="top" wrapText="1"/>
    </xf>
    <xf numFmtId="171" fontId="77" fillId="0" borderId="0" xfId="0" applyNumberFormat="1" applyFont="1" applyFill="1" applyAlignment="1">
      <alignment/>
    </xf>
    <xf numFmtId="171" fontId="11" fillId="0" borderId="0" xfId="0" applyNumberFormat="1" applyFont="1" applyFill="1" applyAlignment="1">
      <alignment/>
    </xf>
    <xf numFmtId="203" fontId="8" fillId="0" borderId="0" xfId="0" applyNumberFormat="1" applyFont="1" applyFill="1" applyAlignment="1">
      <alignment/>
    </xf>
    <xf numFmtId="203" fontId="8" fillId="0" borderId="0" xfId="0" applyNumberFormat="1" applyFont="1" applyFill="1" applyAlignment="1">
      <alignment horizontal="center"/>
    </xf>
    <xf numFmtId="203" fontId="8" fillId="0" borderId="10" xfId="0" applyNumberFormat="1" applyFont="1" applyFill="1" applyBorder="1" applyAlignment="1">
      <alignment horizontal="center"/>
    </xf>
    <xf numFmtId="203" fontId="8" fillId="0" borderId="11" xfId="0" applyNumberFormat="1" applyFont="1" applyFill="1" applyBorder="1" applyAlignment="1">
      <alignment horizontal="center"/>
    </xf>
    <xf numFmtId="203" fontId="14" fillId="0" borderId="12" xfId="0" applyNumberFormat="1" applyFont="1" applyFill="1" applyBorder="1" applyAlignment="1">
      <alignment horizontal="center"/>
    </xf>
    <xf numFmtId="203" fontId="8" fillId="0" borderId="12" xfId="0" applyNumberFormat="1" applyFont="1" applyFill="1" applyBorder="1" applyAlignment="1" quotePrefix="1">
      <alignment horizontal="right"/>
    </xf>
    <xf numFmtId="203" fontId="14" fillId="0" borderId="12" xfId="0" applyNumberFormat="1" applyFont="1" applyFill="1" applyBorder="1" applyAlignment="1" quotePrefix="1">
      <alignment horizontal="right"/>
    </xf>
    <xf numFmtId="203" fontId="14" fillId="0" borderId="12" xfId="0" applyNumberFormat="1" applyFont="1" applyFill="1" applyBorder="1" applyAlignment="1">
      <alignment/>
    </xf>
    <xf numFmtId="203" fontId="14" fillId="33" borderId="12" xfId="0" applyNumberFormat="1" applyFont="1" applyFill="1" applyBorder="1" applyAlignment="1">
      <alignment/>
    </xf>
    <xf numFmtId="203" fontId="11" fillId="0" borderId="12" xfId="0" applyNumberFormat="1" applyFont="1" applyFill="1" applyBorder="1" applyAlignment="1">
      <alignment/>
    </xf>
    <xf numFmtId="203" fontId="11" fillId="0" borderId="12" xfId="42" applyNumberFormat="1" applyFont="1" applyFill="1" applyBorder="1" applyAlignment="1">
      <alignment/>
    </xf>
    <xf numFmtId="203" fontId="8" fillId="0" borderId="12" xfId="0" applyNumberFormat="1" applyFont="1" applyFill="1" applyBorder="1" applyAlignment="1">
      <alignment/>
    </xf>
    <xf numFmtId="203" fontId="11" fillId="0" borderId="12" xfId="42" applyNumberFormat="1" applyFont="1" applyFill="1" applyBorder="1" applyAlignment="1">
      <alignment vertical="justify"/>
    </xf>
    <xf numFmtId="203" fontId="14" fillId="0" borderId="12" xfId="43" applyNumberFormat="1" applyFont="1" applyFill="1" applyBorder="1" applyAlignment="1">
      <alignment vertical="top"/>
    </xf>
    <xf numFmtId="203" fontId="8" fillId="0" borderId="16" xfId="0" applyNumberFormat="1" applyFont="1" applyFill="1" applyBorder="1" applyAlignment="1">
      <alignment/>
    </xf>
    <xf numFmtId="203" fontId="11" fillId="0" borderId="16" xfId="42" applyNumberFormat="1" applyFont="1" applyFill="1" applyBorder="1" applyAlignment="1">
      <alignment/>
    </xf>
    <xf numFmtId="203" fontId="8" fillId="0" borderId="17" xfId="0" applyNumberFormat="1" applyFont="1" applyFill="1" applyBorder="1" applyAlignment="1">
      <alignment/>
    </xf>
    <xf numFmtId="203" fontId="8" fillId="0" borderId="12" xfId="0" applyNumberFormat="1" applyFont="1" applyFill="1" applyBorder="1" applyAlignment="1">
      <alignment vertical="center"/>
    </xf>
    <xf numFmtId="203" fontId="15" fillId="0" borderId="12" xfId="0" applyNumberFormat="1" applyFont="1" applyFill="1" applyBorder="1" applyAlignment="1">
      <alignment/>
    </xf>
    <xf numFmtId="203" fontId="11" fillId="0" borderId="0" xfId="0" applyNumberFormat="1" applyFont="1" applyFill="1" applyBorder="1" applyAlignment="1">
      <alignment/>
    </xf>
    <xf numFmtId="203" fontId="8" fillId="0" borderId="0" xfId="43" applyNumberFormat="1" applyFont="1" applyFill="1" applyAlignment="1">
      <alignment/>
    </xf>
    <xf numFmtId="203" fontId="8" fillId="0" borderId="0" xfId="0" applyNumberFormat="1" applyFont="1" applyAlignment="1">
      <alignment/>
    </xf>
    <xf numFmtId="0" fontId="5" fillId="0" borderId="16" xfId="0" applyFont="1" applyFill="1" applyBorder="1" applyAlignment="1">
      <alignment horizontal="left" vertical="justify" wrapText="1"/>
    </xf>
    <xf numFmtId="0" fontId="18" fillId="0" borderId="16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203" fontId="19" fillId="0" borderId="19" xfId="0" applyNumberFormat="1" applyFont="1" applyFill="1" applyBorder="1" applyAlignment="1">
      <alignment/>
    </xf>
    <xf numFmtId="169" fontId="7" fillId="0" borderId="20" xfId="43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justify"/>
    </xf>
    <xf numFmtId="0" fontId="5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justify"/>
    </xf>
    <xf numFmtId="0" fontId="5" fillId="0" borderId="12" xfId="0" applyFont="1" applyFill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/>
    </xf>
    <xf numFmtId="0" fontId="20" fillId="0" borderId="0" xfId="0" applyFont="1" applyFill="1" applyBorder="1" applyAlignment="1">
      <alignment/>
    </xf>
    <xf numFmtId="178" fontId="21" fillId="0" borderId="12" xfId="42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169" fontId="22" fillId="0" borderId="12" xfId="43" applyFont="1" applyFill="1" applyBorder="1" applyAlignment="1">
      <alignment vertical="top"/>
    </xf>
    <xf numFmtId="203" fontId="12" fillId="0" borderId="12" xfId="43" applyNumberFormat="1" applyFont="1" applyFill="1" applyBorder="1" applyAlignment="1">
      <alignment vertical="top"/>
    </xf>
    <xf numFmtId="0" fontId="8" fillId="0" borderId="12" xfId="0" applyFont="1" applyBorder="1" applyAlignment="1">
      <alignment/>
    </xf>
    <xf numFmtId="169" fontId="20" fillId="0" borderId="10" xfId="0" applyNumberFormat="1" applyFont="1" applyFill="1" applyBorder="1" applyAlignment="1">
      <alignment/>
    </xf>
    <xf numFmtId="203" fontId="20" fillId="0" borderId="10" xfId="0" applyNumberFormat="1" applyFont="1" applyFill="1" applyBorder="1" applyAlignment="1">
      <alignment/>
    </xf>
    <xf numFmtId="178" fontId="20" fillId="0" borderId="12" xfId="0" applyNumberFormat="1" applyFont="1" applyFill="1" applyBorder="1" applyAlignment="1">
      <alignment/>
    </xf>
    <xf numFmtId="180" fontId="20" fillId="0" borderId="10" xfId="0" applyNumberFormat="1" applyFont="1" applyFill="1" applyBorder="1" applyAlignment="1">
      <alignment/>
    </xf>
    <xf numFmtId="169" fontId="12" fillId="0" borderId="12" xfId="43" applyFont="1" applyFill="1" applyBorder="1" applyAlignment="1">
      <alignment vertical="top"/>
    </xf>
    <xf numFmtId="0" fontId="23" fillId="0" borderId="0" xfId="0" applyFont="1" applyAlignment="1">
      <alignment/>
    </xf>
    <xf numFmtId="169" fontId="5" fillId="0" borderId="11" xfId="43" applyFont="1" applyFill="1" applyBorder="1" applyAlignment="1">
      <alignment vertical="top"/>
    </xf>
    <xf numFmtId="0" fontId="23" fillId="0" borderId="0" xfId="0" applyFont="1" applyFill="1" applyBorder="1" applyAlignment="1">
      <alignment/>
    </xf>
    <xf numFmtId="203" fontId="8" fillId="0" borderId="17" xfId="0" applyNumberFormat="1" applyFont="1" applyBorder="1" applyAlignment="1">
      <alignment/>
    </xf>
    <xf numFmtId="203" fontId="8" fillId="0" borderId="11" xfId="0" applyNumberFormat="1" applyFont="1" applyBorder="1" applyAlignment="1">
      <alignment/>
    </xf>
    <xf numFmtId="203" fontId="8" fillId="0" borderId="16" xfId="0" applyNumberFormat="1" applyFont="1" applyBorder="1" applyAlignment="1">
      <alignment/>
    </xf>
    <xf numFmtId="0" fontId="3" fillId="0" borderId="16" xfId="0" applyFont="1" applyFill="1" applyBorder="1" applyAlignment="1">
      <alignment horizontal="left" wrapText="1"/>
    </xf>
    <xf numFmtId="178" fontId="3" fillId="0" borderId="16" xfId="42" applyNumberFormat="1" applyFont="1" applyFill="1" applyBorder="1" applyAlignment="1">
      <alignment vertical="justify"/>
    </xf>
    <xf numFmtId="178" fontId="11" fillId="0" borderId="16" xfId="42" applyNumberFormat="1" applyFont="1" applyFill="1" applyBorder="1" applyAlignment="1">
      <alignment vertical="justify"/>
    </xf>
    <xf numFmtId="203" fontId="11" fillId="0" borderId="16" xfId="42" applyNumberFormat="1" applyFont="1" applyFill="1" applyBorder="1" applyAlignment="1">
      <alignment vertical="justify"/>
    </xf>
    <xf numFmtId="178" fontId="4" fillId="0" borderId="16" xfId="42" applyNumberFormat="1" applyFont="1" applyFill="1" applyBorder="1" applyAlignment="1">
      <alignment vertical="justify"/>
    </xf>
    <xf numFmtId="178" fontId="5" fillId="0" borderId="16" xfId="42" applyNumberFormat="1" applyFont="1" applyFill="1" applyBorder="1" applyAlignment="1">
      <alignment vertical="justify"/>
    </xf>
    <xf numFmtId="0" fontId="5" fillId="0" borderId="1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 vertical="justify" wrapText="1"/>
    </xf>
    <xf numFmtId="169" fontId="5" fillId="0" borderId="21" xfId="43" applyFont="1" applyFill="1" applyBorder="1" applyAlignment="1">
      <alignment vertical="top"/>
    </xf>
    <xf numFmtId="169" fontId="14" fillId="0" borderId="21" xfId="43" applyFont="1" applyFill="1" applyBorder="1" applyAlignment="1">
      <alignment vertical="top"/>
    </xf>
    <xf numFmtId="169" fontId="0" fillId="0" borderId="21" xfId="0" applyNumberFormat="1" applyFont="1" applyFill="1" applyBorder="1" applyAlignment="1">
      <alignment/>
    </xf>
    <xf numFmtId="169" fontId="8" fillId="0" borderId="21" xfId="0" applyNumberFormat="1" applyFont="1" applyFill="1" applyBorder="1" applyAlignment="1">
      <alignment/>
    </xf>
    <xf numFmtId="203" fontId="8" fillId="0" borderId="21" xfId="0" applyNumberFormat="1" applyFont="1" applyFill="1" applyBorder="1" applyAlignment="1">
      <alignment/>
    </xf>
    <xf numFmtId="169" fontId="5" fillId="0" borderId="21" xfId="43" applyNumberFormat="1" applyFont="1" applyFill="1" applyBorder="1" applyAlignment="1">
      <alignment vertical="top"/>
    </xf>
    <xf numFmtId="169" fontId="0" fillId="0" borderId="21" xfId="42" applyNumberFormat="1" applyFont="1" applyFill="1" applyBorder="1" applyAlignment="1">
      <alignment/>
    </xf>
    <xf numFmtId="169" fontId="0" fillId="0" borderId="21" xfId="0" applyNumberFormat="1" applyFill="1" applyBorder="1" applyAlignment="1">
      <alignment/>
    </xf>
    <xf numFmtId="171" fontId="5" fillId="0" borderId="12" xfId="0" applyNumberFormat="1" applyFont="1" applyFill="1" applyBorder="1" applyAlignment="1">
      <alignment/>
    </xf>
    <xf numFmtId="171" fontId="24" fillId="0" borderId="12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5" fillId="0" borderId="11" xfId="0" applyFont="1" applyFill="1" applyBorder="1" applyAlignment="1">
      <alignment/>
    </xf>
    <xf numFmtId="169" fontId="7" fillId="0" borderId="22" xfId="43" applyFont="1" applyFill="1" applyBorder="1" applyAlignment="1">
      <alignment/>
    </xf>
    <xf numFmtId="0" fontId="8" fillId="0" borderId="11" xfId="0" applyFont="1" applyFill="1" applyBorder="1" applyAlignment="1">
      <alignment/>
    </xf>
    <xf numFmtId="169" fontId="5" fillId="0" borderId="11" xfId="0" applyNumberFormat="1" applyFont="1" applyFill="1" applyBorder="1" applyAlignment="1">
      <alignment/>
    </xf>
    <xf numFmtId="203" fontId="14" fillId="0" borderId="11" xfId="0" applyNumberFormat="1" applyFont="1" applyFill="1" applyBorder="1" applyAlignment="1">
      <alignment/>
    </xf>
    <xf numFmtId="169" fontId="5" fillId="0" borderId="11" xfId="43" applyNumberFormat="1" applyFont="1" applyFill="1" applyBorder="1" applyAlignment="1">
      <alignment/>
    </xf>
    <xf numFmtId="169" fontId="5" fillId="0" borderId="11" xfId="42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2" fontId="0" fillId="0" borderId="11" xfId="0" applyNumberFormat="1" applyBorder="1" applyAlignment="1">
      <alignment/>
    </xf>
    <xf numFmtId="178" fontId="4" fillId="0" borderId="12" xfId="42" applyNumberFormat="1" applyFont="1" applyFill="1" applyBorder="1" applyAlignment="1">
      <alignment horizontal="center"/>
    </xf>
    <xf numFmtId="169" fontId="5" fillId="0" borderId="11" xfId="0" applyNumberFormat="1" applyFont="1" applyFill="1" applyBorder="1" applyAlignment="1">
      <alignment horizontal="center"/>
    </xf>
    <xf numFmtId="169" fontId="0" fillId="0" borderId="21" xfId="0" applyNumberFormat="1" applyFont="1" applyFill="1" applyBorder="1" applyAlignment="1">
      <alignment horizontal="center"/>
    </xf>
    <xf numFmtId="169" fontId="5" fillId="0" borderId="16" xfId="0" applyNumberFormat="1" applyFont="1" applyFill="1" applyBorder="1" applyAlignment="1">
      <alignment horizontal="center"/>
    </xf>
    <xf numFmtId="169" fontId="5" fillId="0" borderId="12" xfId="42" applyNumberFormat="1" applyFont="1" applyFill="1" applyBorder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169" fontId="71" fillId="0" borderId="0" xfId="0" applyNumberFormat="1" applyFont="1" applyFill="1" applyAlignment="1">
      <alignment horizontal="center"/>
    </xf>
    <xf numFmtId="169" fontId="20" fillId="0" borderId="23" xfId="0" applyNumberFormat="1" applyFont="1" applyFill="1" applyBorder="1" applyAlignment="1">
      <alignment/>
    </xf>
    <xf numFmtId="169" fontId="3" fillId="0" borderId="24" xfId="0" applyNumberFormat="1" applyFont="1" applyFill="1" applyBorder="1" applyAlignment="1">
      <alignment/>
    </xf>
    <xf numFmtId="169" fontId="0" fillId="0" borderId="17" xfId="42" applyNumberFormat="1" applyFont="1" applyFill="1" applyBorder="1" applyAlignment="1">
      <alignment horizontal="center"/>
    </xf>
    <xf numFmtId="169" fontId="5" fillId="0" borderId="17" xfId="43" applyNumberFormat="1" applyFont="1" applyFill="1" applyBorder="1" applyAlignment="1">
      <alignment horizontal="left" vertical="top" wrapText="1"/>
    </xf>
    <xf numFmtId="169" fontId="0" fillId="0" borderId="17" xfId="42" applyNumberFormat="1" applyFont="1" applyFill="1" applyBorder="1" applyAlignment="1">
      <alignment/>
    </xf>
    <xf numFmtId="178" fontId="4" fillId="0" borderId="25" xfId="42" applyNumberFormat="1" applyFont="1" applyFill="1" applyBorder="1" applyAlignment="1">
      <alignment horizontal="center"/>
    </xf>
    <xf numFmtId="169" fontId="3" fillId="0" borderId="26" xfId="0" applyNumberFormat="1" applyFont="1" applyFill="1" applyBorder="1" applyAlignment="1">
      <alignment/>
    </xf>
    <xf numFmtId="178" fontId="4" fillId="0" borderId="26" xfId="42" applyNumberFormat="1" applyFont="1" applyFill="1" applyBorder="1" applyAlignment="1">
      <alignment/>
    </xf>
    <xf numFmtId="2" fontId="3" fillId="0" borderId="26" xfId="0" applyNumberFormat="1" applyFont="1" applyBorder="1" applyAlignment="1">
      <alignment/>
    </xf>
    <xf numFmtId="169" fontId="4" fillId="0" borderId="27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169" fontId="23" fillId="0" borderId="12" xfId="0" applyNumberFormat="1" applyFont="1" applyFill="1" applyBorder="1" applyAlignment="1">
      <alignment vertical="center" wrapText="1"/>
    </xf>
    <xf numFmtId="178" fontId="12" fillId="0" borderId="12" xfId="42" applyNumberFormat="1" applyFont="1" applyFill="1" applyBorder="1" applyAlignment="1">
      <alignment wrapText="1"/>
    </xf>
    <xf numFmtId="169" fontId="12" fillId="0" borderId="12" xfId="43" applyFont="1" applyFill="1" applyBorder="1" applyAlignment="1">
      <alignment wrapText="1"/>
    </xf>
    <xf numFmtId="169" fontId="8" fillId="0" borderId="12" xfId="0" applyNumberFormat="1" applyFont="1" applyFill="1" applyBorder="1" applyAlignment="1">
      <alignment wrapText="1"/>
    </xf>
    <xf numFmtId="169" fontId="5" fillId="0" borderId="17" xfId="0" applyNumberFormat="1" applyFont="1" applyFill="1" applyBorder="1" applyAlignment="1">
      <alignment vertical="center"/>
    </xf>
    <xf numFmtId="169" fontId="8" fillId="0" borderId="17" xfId="0" applyNumberFormat="1" applyFont="1" applyFill="1" applyBorder="1" applyAlignment="1">
      <alignment vertical="center"/>
    </xf>
    <xf numFmtId="203" fontId="8" fillId="0" borderId="17" xfId="0" applyNumberFormat="1" applyFont="1" applyFill="1" applyBorder="1" applyAlignment="1">
      <alignment vertical="center"/>
    </xf>
    <xf numFmtId="169" fontId="5" fillId="0" borderId="17" xfId="42" applyNumberFormat="1" applyFont="1" applyFill="1" applyBorder="1" applyAlignment="1">
      <alignment vertical="center"/>
    </xf>
    <xf numFmtId="178" fontId="4" fillId="0" borderId="12" xfId="42" applyNumberFormat="1" applyFont="1" applyFill="1" applyBorder="1" applyAlignment="1">
      <alignment horizontal="center" vertical="center"/>
    </xf>
    <xf numFmtId="171" fontId="4" fillId="0" borderId="12" xfId="42" applyNumberFormat="1" applyFont="1" applyFill="1" applyBorder="1" applyAlignment="1">
      <alignment/>
    </xf>
    <xf numFmtId="171" fontId="5" fillId="0" borderId="12" xfId="42" applyNumberFormat="1" applyFont="1" applyFill="1" applyBorder="1" applyAlignment="1">
      <alignment/>
    </xf>
    <xf numFmtId="178" fontId="5" fillId="0" borderId="12" xfId="42" applyNumberFormat="1" applyFont="1" applyFill="1" applyBorder="1" applyAlignment="1">
      <alignment horizontal="center"/>
    </xf>
    <xf numFmtId="171" fontId="4" fillId="0" borderId="12" xfId="42" applyNumberFormat="1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Fill="1" applyBorder="1" applyAlignment="1">
      <alignment/>
    </xf>
    <xf numFmtId="178" fontId="4" fillId="0" borderId="16" xfId="42" applyNumberFormat="1" applyFont="1" applyFill="1" applyBorder="1" applyAlignment="1">
      <alignment horizontal="center"/>
    </xf>
    <xf numFmtId="169" fontId="23" fillId="0" borderId="12" xfId="0" applyNumberFormat="1" applyFont="1" applyFill="1" applyBorder="1" applyAlignment="1">
      <alignment/>
    </xf>
    <xf numFmtId="169" fontId="23" fillId="0" borderId="12" xfId="0" applyNumberFormat="1" applyFont="1" applyFill="1" applyBorder="1" applyAlignment="1">
      <alignment wrapText="1"/>
    </xf>
    <xf numFmtId="169" fontId="23" fillId="0" borderId="12" xfId="0" applyNumberFormat="1" applyFont="1" applyFill="1" applyBorder="1" applyAlignment="1">
      <alignment/>
    </xf>
    <xf numFmtId="203" fontId="3" fillId="0" borderId="10" xfId="0" applyNumberFormat="1" applyFont="1" applyFill="1" applyBorder="1" applyAlignment="1">
      <alignment/>
    </xf>
    <xf numFmtId="169" fontId="3" fillId="0" borderId="23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171" fontId="5" fillId="0" borderId="12" xfId="42" applyNumberFormat="1" applyFont="1" applyFill="1" applyBorder="1" applyAlignment="1">
      <alignment horizontal="center"/>
    </xf>
    <xf numFmtId="178" fontId="5" fillId="0" borderId="12" xfId="42" applyNumberFormat="1" applyFont="1" applyFill="1" applyBorder="1" applyAlignment="1">
      <alignment horizontal="center" vertical="center"/>
    </xf>
    <xf numFmtId="178" fontId="5" fillId="0" borderId="11" xfId="42" applyNumberFormat="1" applyFont="1" applyFill="1" applyBorder="1" applyAlignment="1">
      <alignment horizontal="center"/>
    </xf>
    <xf numFmtId="178" fontId="5" fillId="0" borderId="11" xfId="42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171" fontId="6" fillId="0" borderId="12" xfId="0" applyNumberFormat="1" applyFont="1" applyFill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Fill="1" applyBorder="1" applyAlignment="1">
      <alignment/>
    </xf>
    <xf numFmtId="203" fontId="8" fillId="0" borderId="12" xfId="0" applyNumberFormat="1" applyFont="1" applyBorder="1" applyAlignment="1">
      <alignment/>
    </xf>
    <xf numFmtId="169" fontId="5" fillId="0" borderId="28" xfId="0" applyNumberFormat="1" applyFont="1" applyFill="1" applyBorder="1" applyAlignment="1">
      <alignment horizontal="center"/>
    </xf>
    <xf numFmtId="169" fontId="5" fillId="0" borderId="19" xfId="42" applyNumberFormat="1" applyFont="1" applyFill="1" applyBorder="1" applyAlignment="1">
      <alignment/>
    </xf>
    <xf numFmtId="169" fontId="5" fillId="0" borderId="11" xfId="43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178" fontId="3" fillId="0" borderId="16" xfId="42" applyNumberFormat="1" applyFont="1" applyFill="1" applyBorder="1" applyAlignment="1">
      <alignment vertical="center"/>
    </xf>
    <xf numFmtId="178" fontId="11" fillId="0" borderId="16" xfId="42" applyNumberFormat="1" applyFont="1" applyFill="1" applyBorder="1" applyAlignment="1">
      <alignment vertical="center"/>
    </xf>
    <xf numFmtId="203" fontId="11" fillId="0" borderId="16" xfId="42" applyNumberFormat="1" applyFont="1" applyFill="1" applyBorder="1" applyAlignment="1">
      <alignment vertical="center"/>
    </xf>
    <xf numFmtId="178" fontId="4" fillId="0" borderId="16" xfId="42" applyNumberFormat="1" applyFont="1" applyFill="1" applyBorder="1" applyAlignment="1">
      <alignment vertical="center"/>
    </xf>
    <xf numFmtId="171" fontId="4" fillId="0" borderId="12" xfId="42" applyNumberFormat="1" applyFont="1" applyFill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169" fontId="4" fillId="0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Fill="1" applyBorder="1" applyAlignment="1">
      <alignment horizontal="center"/>
    </xf>
    <xf numFmtId="169" fontId="4" fillId="0" borderId="28" xfId="0" applyNumberFormat="1" applyFont="1" applyFill="1" applyBorder="1" applyAlignment="1">
      <alignment horizontal="center"/>
    </xf>
    <xf numFmtId="169" fontId="5" fillId="0" borderId="28" xfId="0" applyNumberFormat="1" applyFont="1" applyFill="1" applyBorder="1" applyAlignment="1">
      <alignment/>
    </xf>
    <xf numFmtId="178" fontId="3" fillId="0" borderId="28" xfId="0" applyNumberFormat="1" applyFont="1" applyFill="1" applyBorder="1" applyAlignment="1">
      <alignment/>
    </xf>
    <xf numFmtId="169" fontId="3" fillId="0" borderId="28" xfId="0" applyNumberFormat="1" applyFont="1" applyFill="1" applyBorder="1" applyAlignment="1">
      <alignment/>
    </xf>
    <xf numFmtId="178" fontId="5" fillId="0" borderId="28" xfId="42" applyNumberFormat="1" applyFont="1" applyFill="1" applyBorder="1" applyAlignment="1">
      <alignment vertical="justify"/>
    </xf>
    <xf numFmtId="178" fontId="5" fillId="0" borderId="28" xfId="42" applyNumberFormat="1" applyFont="1" applyFill="1" applyBorder="1" applyAlignment="1">
      <alignment vertical="center"/>
    </xf>
    <xf numFmtId="169" fontId="0" fillId="0" borderId="28" xfId="42" applyNumberFormat="1" applyFont="1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/>
    </xf>
    <xf numFmtId="171" fontId="14" fillId="0" borderId="12" xfId="0" applyNumberFormat="1" applyFont="1" applyFill="1" applyBorder="1" applyAlignment="1">
      <alignment/>
    </xf>
    <xf numFmtId="169" fontId="7" fillId="0" borderId="32" xfId="43" applyFont="1" applyFill="1" applyBorder="1" applyAlignment="1">
      <alignment/>
    </xf>
    <xf numFmtId="203" fontId="14" fillId="0" borderId="17" xfId="0" applyNumberFormat="1" applyFont="1" applyFill="1" applyBorder="1" applyAlignment="1">
      <alignment/>
    </xf>
    <xf numFmtId="169" fontId="5" fillId="0" borderId="17" xfId="43" applyNumberFormat="1" applyFont="1" applyFill="1" applyBorder="1" applyAlignment="1">
      <alignment/>
    </xf>
    <xf numFmtId="178" fontId="5" fillId="0" borderId="17" xfId="42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/>
    </xf>
    <xf numFmtId="169" fontId="5" fillId="0" borderId="33" xfId="0" applyNumberFormat="1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169" fontId="5" fillId="0" borderId="29" xfId="43" applyNumberFormat="1" applyFont="1" applyFill="1" applyBorder="1" applyAlignment="1">
      <alignment/>
    </xf>
    <xf numFmtId="0" fontId="20" fillId="0" borderId="28" xfId="0" applyFont="1" applyFill="1" applyBorder="1" applyAlignment="1">
      <alignment horizontal="center" vertical="justify"/>
    </xf>
    <xf numFmtId="178" fontId="11" fillId="0" borderId="29" xfId="42" applyNumberFormat="1" applyFont="1" applyFill="1" applyBorder="1" applyAlignment="1">
      <alignment vertical="justify"/>
    </xf>
    <xf numFmtId="178" fontId="4" fillId="0" borderId="29" xfId="42" applyNumberFormat="1" applyFont="1" applyFill="1" applyBorder="1" applyAlignment="1">
      <alignment vertical="justify"/>
    </xf>
    <xf numFmtId="169" fontId="5" fillId="0" borderId="29" xfId="43" applyFont="1" applyFill="1" applyBorder="1" applyAlignment="1">
      <alignment vertical="top"/>
    </xf>
    <xf numFmtId="169" fontId="22" fillId="0" borderId="29" xfId="43" applyFont="1" applyFill="1" applyBorder="1" applyAlignment="1">
      <alignment vertical="top"/>
    </xf>
    <xf numFmtId="169" fontId="14" fillId="0" borderId="29" xfId="43" applyFont="1" applyFill="1" applyBorder="1" applyAlignment="1">
      <alignment vertical="top"/>
    </xf>
    <xf numFmtId="178" fontId="5" fillId="0" borderId="28" xfId="42" applyNumberFormat="1" applyFont="1" applyFill="1" applyBorder="1" applyAlignment="1">
      <alignment/>
    </xf>
    <xf numFmtId="2" fontId="3" fillId="0" borderId="28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0" fontId="5" fillId="34" borderId="12" xfId="0" applyFont="1" applyFill="1" applyBorder="1" applyAlignment="1">
      <alignment vertical="center" wrapText="1"/>
    </xf>
    <xf numFmtId="178" fontId="5" fillId="34" borderId="12" xfId="42" applyNumberFormat="1" applyFont="1" applyFill="1" applyBorder="1" applyAlignment="1">
      <alignment/>
    </xf>
    <xf numFmtId="178" fontId="14" fillId="34" borderId="12" xfId="42" applyNumberFormat="1" applyFont="1" applyFill="1" applyBorder="1" applyAlignment="1">
      <alignment/>
    </xf>
    <xf numFmtId="169" fontId="8" fillId="34" borderId="12" xfId="0" applyNumberFormat="1" applyFont="1" applyFill="1" applyBorder="1" applyAlignment="1">
      <alignment/>
    </xf>
    <xf numFmtId="203" fontId="8" fillId="34" borderId="12" xfId="0" applyNumberFormat="1" applyFont="1" applyFill="1" applyBorder="1" applyAlignment="1">
      <alignment/>
    </xf>
    <xf numFmtId="169" fontId="5" fillId="34" borderId="12" xfId="42" applyNumberFormat="1" applyFont="1" applyFill="1" applyBorder="1" applyAlignment="1">
      <alignment/>
    </xf>
    <xf numFmtId="178" fontId="5" fillId="34" borderId="12" xfId="42" applyNumberFormat="1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/>
    </xf>
    <xf numFmtId="169" fontId="5" fillId="34" borderId="12" xfId="0" applyNumberFormat="1" applyFont="1" applyFill="1" applyBorder="1" applyAlignment="1">
      <alignment/>
    </xf>
    <xf numFmtId="178" fontId="5" fillId="34" borderId="12" xfId="42" applyNumberFormat="1" applyFont="1" applyFill="1" applyBorder="1" applyAlignment="1">
      <alignment vertical="justify"/>
    </xf>
    <xf numFmtId="0" fontId="5" fillId="34" borderId="17" xfId="0" applyFont="1" applyFill="1" applyBorder="1" applyAlignment="1">
      <alignment vertical="center" wrapText="1"/>
    </xf>
    <xf numFmtId="178" fontId="5" fillId="34" borderId="17" xfId="42" applyNumberFormat="1" applyFont="1" applyFill="1" applyBorder="1" applyAlignment="1">
      <alignment/>
    </xf>
    <xf numFmtId="169" fontId="12" fillId="34" borderId="12" xfId="43" applyFont="1" applyFill="1" applyBorder="1" applyAlignment="1">
      <alignment wrapText="1"/>
    </xf>
    <xf numFmtId="169" fontId="5" fillId="34" borderId="17" xfId="0" applyNumberFormat="1" applyFont="1" applyFill="1" applyBorder="1" applyAlignment="1">
      <alignment vertical="center"/>
    </xf>
    <xf numFmtId="169" fontId="8" fillId="34" borderId="17" xfId="0" applyNumberFormat="1" applyFont="1" applyFill="1" applyBorder="1" applyAlignment="1">
      <alignment vertical="center"/>
    </xf>
    <xf numFmtId="203" fontId="8" fillId="34" borderId="17" xfId="0" applyNumberFormat="1" applyFont="1" applyFill="1" applyBorder="1" applyAlignment="1">
      <alignment vertical="center"/>
    </xf>
    <xf numFmtId="169" fontId="5" fillId="34" borderId="17" xfId="42" applyNumberFormat="1" applyFont="1" applyFill="1" applyBorder="1" applyAlignment="1">
      <alignment vertical="center"/>
    </xf>
    <xf numFmtId="178" fontId="5" fillId="34" borderId="12" xfId="42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vertical="center"/>
    </xf>
    <xf numFmtId="178" fontId="5" fillId="34" borderId="12" xfId="42" applyNumberFormat="1" applyFont="1" applyFill="1" applyBorder="1" applyAlignment="1">
      <alignment vertical="center"/>
    </xf>
    <xf numFmtId="178" fontId="14" fillId="34" borderId="12" xfId="42" applyNumberFormat="1" applyFont="1" applyFill="1" applyBorder="1" applyAlignment="1">
      <alignment vertical="center"/>
    </xf>
    <xf numFmtId="169" fontId="5" fillId="34" borderId="12" xfId="0" applyNumberFormat="1" applyFont="1" applyFill="1" applyBorder="1" applyAlignment="1">
      <alignment vertical="center"/>
    </xf>
    <xf numFmtId="169" fontId="8" fillId="34" borderId="12" xfId="0" applyNumberFormat="1" applyFont="1" applyFill="1" applyBorder="1" applyAlignment="1">
      <alignment vertical="center"/>
    </xf>
    <xf numFmtId="203" fontId="8" fillId="34" borderId="12" xfId="0" applyNumberFormat="1" applyFont="1" applyFill="1" applyBorder="1" applyAlignment="1">
      <alignment vertical="center"/>
    </xf>
    <xf numFmtId="171" fontId="5" fillId="34" borderId="12" xfId="42" applyNumberFormat="1" applyFont="1" applyFill="1" applyBorder="1" applyAlignment="1">
      <alignment horizontal="center"/>
    </xf>
    <xf numFmtId="178" fontId="12" fillId="34" borderId="12" xfId="42" applyNumberFormat="1" applyFont="1" applyFill="1" applyBorder="1" applyAlignment="1">
      <alignment wrapText="1"/>
    </xf>
    <xf numFmtId="169" fontId="23" fillId="34" borderId="12" xfId="0" applyNumberFormat="1" applyFont="1" applyFill="1" applyBorder="1" applyAlignment="1">
      <alignment vertical="center" wrapText="1"/>
    </xf>
    <xf numFmtId="178" fontId="5" fillId="34" borderId="12" xfId="42" applyNumberFormat="1" applyFont="1" applyFill="1" applyBorder="1" applyAlignment="1">
      <alignment vertical="top"/>
    </xf>
    <xf numFmtId="178" fontId="14" fillId="34" borderId="12" xfId="42" applyNumberFormat="1" applyFont="1" applyFill="1" applyBorder="1" applyAlignment="1">
      <alignment vertical="top"/>
    </xf>
    <xf numFmtId="0" fontId="5" fillId="34" borderId="12" xfId="0" applyFont="1" applyFill="1" applyBorder="1" applyAlignment="1" quotePrefix="1">
      <alignment vertical="center" wrapText="1"/>
    </xf>
    <xf numFmtId="178" fontId="0" fillId="0" borderId="0" xfId="0" applyNumberFormat="1" applyAlignment="1">
      <alignment/>
    </xf>
    <xf numFmtId="0" fontId="5" fillId="34" borderId="1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78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5" fillId="34" borderId="17" xfId="0" applyFont="1" applyFill="1" applyBorder="1" applyAlignment="1">
      <alignment horizontal="center"/>
    </xf>
    <xf numFmtId="171" fontId="5" fillId="34" borderId="12" xfId="42" applyNumberFormat="1" applyFont="1" applyFill="1" applyBorder="1" applyAlignment="1">
      <alignment/>
    </xf>
    <xf numFmtId="169" fontId="0" fillId="34" borderId="0" xfId="0" applyNumberFormat="1" applyFill="1" applyAlignment="1">
      <alignment/>
    </xf>
    <xf numFmtId="0" fontId="5" fillId="35" borderId="12" xfId="0" applyFont="1" applyFill="1" applyBorder="1" applyAlignment="1">
      <alignment horizontal="center" vertical="justify" wrapText="1"/>
    </xf>
    <xf numFmtId="0" fontId="9" fillId="35" borderId="12" xfId="0" applyFont="1" applyFill="1" applyBorder="1" applyAlignment="1">
      <alignment horizontal="left" vertical="top" wrapText="1"/>
    </xf>
    <xf numFmtId="169" fontId="9" fillId="35" borderId="12" xfId="43" applyFont="1" applyFill="1" applyBorder="1" applyAlignment="1">
      <alignment vertical="top" wrapText="1"/>
    </xf>
    <xf numFmtId="169" fontId="17" fillId="35" borderId="12" xfId="43" applyFont="1" applyFill="1" applyBorder="1" applyAlignment="1">
      <alignment vertical="top" wrapText="1"/>
    </xf>
    <xf numFmtId="169" fontId="9" fillId="35" borderId="12" xfId="0" applyNumberFormat="1" applyFont="1" applyFill="1" applyBorder="1" applyAlignment="1">
      <alignment/>
    </xf>
    <xf numFmtId="169" fontId="15" fillId="35" borderId="12" xfId="0" applyNumberFormat="1" applyFont="1" applyFill="1" applyBorder="1" applyAlignment="1">
      <alignment/>
    </xf>
    <xf numFmtId="203" fontId="15" fillId="35" borderId="12" xfId="0" applyNumberFormat="1" applyFont="1" applyFill="1" applyBorder="1" applyAlignment="1">
      <alignment/>
    </xf>
    <xf numFmtId="169" fontId="9" fillId="35" borderId="12" xfId="43" applyNumberFormat="1" applyFont="1" applyFill="1" applyBorder="1" applyAlignment="1">
      <alignment vertical="top" wrapText="1"/>
    </xf>
    <xf numFmtId="178" fontId="5" fillId="35" borderId="12" xfId="42" applyNumberFormat="1" applyFont="1" applyFill="1" applyBorder="1" applyAlignment="1">
      <alignment horizontal="center"/>
    </xf>
    <xf numFmtId="178" fontId="5" fillId="35" borderId="12" xfId="42" applyNumberFormat="1" applyFont="1" applyFill="1" applyBorder="1" applyAlignment="1">
      <alignment/>
    </xf>
    <xf numFmtId="2" fontId="3" fillId="35" borderId="12" xfId="0" applyNumberFormat="1" applyFont="1" applyFill="1" applyBorder="1" applyAlignment="1">
      <alignment/>
    </xf>
    <xf numFmtId="169" fontId="5" fillId="35" borderId="12" xfId="0" applyNumberFormat="1" applyFont="1" applyFill="1" applyBorder="1" applyAlignment="1">
      <alignment/>
    </xf>
    <xf numFmtId="178" fontId="5" fillId="35" borderId="12" xfId="42" applyNumberFormat="1" applyFont="1" applyFill="1" applyBorder="1" applyAlignment="1">
      <alignment vertical="justify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5" fillId="36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 vertical="center" wrapText="1"/>
    </xf>
    <xf numFmtId="178" fontId="5" fillId="36" borderId="12" xfId="42" applyNumberFormat="1" applyFont="1" applyFill="1" applyBorder="1" applyAlignment="1">
      <alignment/>
    </xf>
    <xf numFmtId="178" fontId="14" fillId="36" borderId="12" xfId="42" applyNumberFormat="1" applyFont="1" applyFill="1" applyBorder="1" applyAlignment="1">
      <alignment/>
    </xf>
    <xf numFmtId="169" fontId="5" fillId="36" borderId="12" xfId="0" applyNumberFormat="1" applyFont="1" applyFill="1" applyBorder="1" applyAlignment="1">
      <alignment/>
    </xf>
    <xf numFmtId="169" fontId="8" fillId="36" borderId="12" xfId="0" applyNumberFormat="1" applyFont="1" applyFill="1" applyBorder="1" applyAlignment="1">
      <alignment/>
    </xf>
    <xf numFmtId="203" fontId="8" fillId="36" borderId="12" xfId="0" applyNumberFormat="1" applyFont="1" applyFill="1" applyBorder="1" applyAlignment="1">
      <alignment/>
    </xf>
    <xf numFmtId="169" fontId="5" fillId="36" borderId="12" xfId="42" applyNumberFormat="1" applyFont="1" applyFill="1" applyBorder="1" applyAlignment="1">
      <alignment/>
    </xf>
    <xf numFmtId="178" fontId="5" fillId="36" borderId="12" xfId="42" applyNumberFormat="1" applyFont="1" applyFill="1" applyBorder="1" applyAlignment="1">
      <alignment horizontal="center"/>
    </xf>
    <xf numFmtId="2" fontId="3" fillId="36" borderId="12" xfId="0" applyNumberFormat="1" applyFont="1" applyFill="1" applyBorder="1" applyAlignment="1">
      <alignment/>
    </xf>
    <xf numFmtId="178" fontId="5" fillId="36" borderId="12" xfId="42" applyNumberFormat="1" applyFont="1" applyFill="1" applyBorder="1" applyAlignment="1">
      <alignment vertical="justify"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71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 vertical="justify" wrapText="1"/>
    </xf>
    <xf numFmtId="0" fontId="9" fillId="33" borderId="12" xfId="0" applyFont="1" applyFill="1" applyBorder="1" applyAlignment="1">
      <alignment horizontal="left" vertical="top" wrapText="1"/>
    </xf>
    <xf numFmtId="169" fontId="9" fillId="33" borderId="12" xfId="43" applyFont="1" applyFill="1" applyBorder="1" applyAlignment="1">
      <alignment vertical="top" wrapText="1"/>
    </xf>
    <xf numFmtId="169" fontId="17" fillId="33" borderId="12" xfId="43" applyFont="1" applyFill="1" applyBorder="1" applyAlignment="1">
      <alignment vertical="top" wrapText="1"/>
    </xf>
    <xf numFmtId="169" fontId="9" fillId="33" borderId="12" xfId="0" applyNumberFormat="1" applyFont="1" applyFill="1" applyBorder="1" applyAlignment="1">
      <alignment/>
    </xf>
    <xf numFmtId="169" fontId="15" fillId="33" borderId="12" xfId="0" applyNumberFormat="1" applyFont="1" applyFill="1" applyBorder="1" applyAlignment="1">
      <alignment/>
    </xf>
    <xf numFmtId="203" fontId="15" fillId="33" borderId="12" xfId="0" applyNumberFormat="1" applyFont="1" applyFill="1" applyBorder="1" applyAlignment="1">
      <alignment/>
    </xf>
    <xf numFmtId="169" fontId="9" fillId="33" borderId="12" xfId="43" applyNumberFormat="1" applyFont="1" applyFill="1" applyBorder="1" applyAlignment="1">
      <alignment vertical="top" wrapText="1"/>
    </xf>
    <xf numFmtId="178" fontId="5" fillId="33" borderId="12" xfId="42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/>
    </xf>
    <xf numFmtId="178" fontId="5" fillId="33" borderId="12" xfId="42" applyNumberFormat="1" applyFont="1" applyFill="1" applyBorder="1" applyAlignment="1">
      <alignment vertical="justify"/>
    </xf>
    <xf numFmtId="0" fontId="0" fillId="33" borderId="10" xfId="0" applyFill="1" applyBorder="1" applyAlignment="1">
      <alignment/>
    </xf>
    <xf numFmtId="178" fontId="78" fillId="0" borderId="0" xfId="42" applyNumberFormat="1" applyFont="1" applyFill="1" applyBorder="1" applyAlignment="1">
      <alignment/>
    </xf>
    <xf numFmtId="178" fontId="72" fillId="0" borderId="0" xfId="0" applyNumberFormat="1" applyFon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 quotePrefix="1">
      <alignment vertical="center" wrapText="1"/>
    </xf>
    <xf numFmtId="169" fontId="8" fillId="33" borderId="12" xfId="0" applyNumberFormat="1" applyFont="1" applyFill="1" applyBorder="1" applyAlignment="1">
      <alignment/>
    </xf>
    <xf numFmtId="203" fontId="8" fillId="33" borderId="12" xfId="0" applyNumberFormat="1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vertical="center" wrapText="1"/>
    </xf>
    <xf numFmtId="178" fontId="5" fillId="33" borderId="17" xfId="42" applyNumberFormat="1" applyFont="1" applyFill="1" applyBorder="1" applyAlignment="1">
      <alignment/>
    </xf>
    <xf numFmtId="178" fontId="14" fillId="33" borderId="17" xfId="42" applyNumberFormat="1" applyFont="1" applyFill="1" applyBorder="1" applyAlignment="1">
      <alignment/>
    </xf>
    <xf numFmtId="169" fontId="5" fillId="33" borderId="17" xfId="0" applyNumberFormat="1" applyFont="1" applyFill="1" applyBorder="1" applyAlignment="1">
      <alignment/>
    </xf>
    <xf numFmtId="169" fontId="8" fillId="33" borderId="17" xfId="0" applyNumberFormat="1" applyFont="1" applyFill="1" applyBorder="1" applyAlignment="1">
      <alignment/>
    </xf>
    <xf numFmtId="203" fontId="8" fillId="33" borderId="17" xfId="0" applyNumberFormat="1" applyFont="1" applyFill="1" applyBorder="1" applyAlignment="1">
      <alignment/>
    </xf>
    <xf numFmtId="169" fontId="5" fillId="33" borderId="17" xfId="42" applyNumberFormat="1" applyFont="1" applyFill="1" applyBorder="1" applyAlignment="1">
      <alignment/>
    </xf>
    <xf numFmtId="169" fontId="12" fillId="33" borderId="12" xfId="43" applyFont="1" applyFill="1" applyBorder="1" applyAlignment="1">
      <alignment wrapText="1"/>
    </xf>
    <xf numFmtId="169" fontId="5" fillId="33" borderId="17" xfId="0" applyNumberFormat="1" applyFont="1" applyFill="1" applyBorder="1" applyAlignment="1">
      <alignment vertical="center"/>
    </xf>
    <xf numFmtId="169" fontId="8" fillId="33" borderId="17" xfId="0" applyNumberFormat="1" applyFont="1" applyFill="1" applyBorder="1" applyAlignment="1">
      <alignment vertical="center"/>
    </xf>
    <xf numFmtId="203" fontId="8" fillId="33" borderId="17" xfId="0" applyNumberFormat="1" applyFont="1" applyFill="1" applyBorder="1" applyAlignment="1">
      <alignment vertical="center"/>
    </xf>
    <xf numFmtId="169" fontId="5" fillId="33" borderId="17" xfId="42" applyNumberFormat="1" applyFont="1" applyFill="1" applyBorder="1" applyAlignment="1">
      <alignment vertical="center"/>
    </xf>
    <xf numFmtId="178" fontId="5" fillId="33" borderId="12" xfId="42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178" fontId="5" fillId="33" borderId="12" xfId="42" applyNumberFormat="1" applyFont="1" applyFill="1" applyBorder="1" applyAlignment="1">
      <alignment vertical="center"/>
    </xf>
    <xf numFmtId="178" fontId="14" fillId="33" borderId="12" xfId="42" applyNumberFormat="1" applyFont="1" applyFill="1" applyBorder="1" applyAlignment="1">
      <alignment vertical="center"/>
    </xf>
    <xf numFmtId="169" fontId="5" fillId="33" borderId="12" xfId="0" applyNumberFormat="1" applyFont="1" applyFill="1" applyBorder="1" applyAlignment="1">
      <alignment vertical="center"/>
    </xf>
    <xf numFmtId="169" fontId="8" fillId="33" borderId="12" xfId="0" applyNumberFormat="1" applyFont="1" applyFill="1" applyBorder="1" applyAlignment="1">
      <alignment vertical="center"/>
    </xf>
    <xf numFmtId="203" fontId="8" fillId="33" borderId="12" xfId="0" applyNumberFormat="1" applyFont="1" applyFill="1" applyBorder="1" applyAlignment="1">
      <alignment vertical="center"/>
    </xf>
    <xf numFmtId="171" fontId="5" fillId="33" borderId="12" xfId="42" applyNumberFormat="1" applyFont="1" applyFill="1" applyBorder="1" applyAlignment="1">
      <alignment horizontal="center"/>
    </xf>
    <xf numFmtId="171" fontId="5" fillId="33" borderId="12" xfId="42" applyNumberFormat="1" applyFont="1" applyFill="1" applyBorder="1" applyAlignment="1">
      <alignment/>
    </xf>
    <xf numFmtId="178" fontId="12" fillId="33" borderId="12" xfId="42" applyNumberFormat="1" applyFont="1" applyFill="1" applyBorder="1" applyAlignment="1">
      <alignment wrapText="1"/>
    </xf>
    <xf numFmtId="169" fontId="23" fillId="33" borderId="12" xfId="0" applyNumberFormat="1" applyFont="1" applyFill="1" applyBorder="1" applyAlignment="1">
      <alignment vertical="center" wrapText="1"/>
    </xf>
    <xf numFmtId="178" fontId="5" fillId="33" borderId="12" xfId="42" applyNumberFormat="1" applyFont="1" applyFill="1" applyBorder="1" applyAlignment="1">
      <alignment vertical="top"/>
    </xf>
    <xf numFmtId="178" fontId="14" fillId="33" borderId="12" xfId="42" applyNumberFormat="1" applyFont="1" applyFill="1" applyBorder="1" applyAlignment="1">
      <alignment vertical="top"/>
    </xf>
    <xf numFmtId="0" fontId="0" fillId="33" borderId="12" xfId="0" applyFont="1" applyFill="1" applyBorder="1" applyAlignment="1">
      <alignment horizontal="center"/>
    </xf>
    <xf numFmtId="178" fontId="5" fillId="33" borderId="12" xfId="0" applyNumberFormat="1" applyFont="1" applyFill="1" applyBorder="1" applyAlignment="1">
      <alignment horizontal="left"/>
    </xf>
    <xf numFmtId="169" fontId="5" fillId="33" borderId="12" xfId="43" applyFont="1" applyFill="1" applyBorder="1" applyAlignment="1">
      <alignment vertical="top"/>
    </xf>
    <xf numFmtId="169" fontId="14" fillId="33" borderId="12" xfId="43" applyFont="1" applyFill="1" applyBorder="1" applyAlignment="1">
      <alignment vertical="top"/>
    </xf>
    <xf numFmtId="169" fontId="0" fillId="33" borderId="12" xfId="0" applyNumberFormat="1" applyFont="1" applyFill="1" applyBorder="1" applyAlignment="1">
      <alignment/>
    </xf>
    <xf numFmtId="169" fontId="5" fillId="33" borderId="12" xfId="43" applyNumberFormat="1" applyFont="1" applyFill="1" applyBorder="1" applyAlignment="1">
      <alignment vertical="top"/>
    </xf>
    <xf numFmtId="169" fontId="5" fillId="33" borderId="12" xfId="42" applyNumberFormat="1" applyFont="1" applyFill="1" applyBorder="1" applyAlignment="1">
      <alignment horizontal="center"/>
    </xf>
    <xf numFmtId="2" fontId="0" fillId="33" borderId="12" xfId="0" applyNumberFormat="1" applyFill="1" applyBorder="1" applyAlignment="1">
      <alignment/>
    </xf>
    <xf numFmtId="0" fontId="3" fillId="33" borderId="16" xfId="0" applyFont="1" applyFill="1" applyBorder="1" applyAlignment="1">
      <alignment horizontal="center" vertical="justify"/>
    </xf>
    <xf numFmtId="0" fontId="3" fillId="33" borderId="16" xfId="0" applyFont="1" applyFill="1" applyBorder="1" applyAlignment="1">
      <alignment vertical="center" wrapText="1"/>
    </xf>
    <xf numFmtId="178" fontId="3" fillId="33" borderId="16" xfId="42" applyNumberFormat="1" applyFont="1" applyFill="1" applyBorder="1" applyAlignment="1">
      <alignment/>
    </xf>
    <xf numFmtId="178" fontId="11" fillId="33" borderId="16" xfId="42" applyNumberFormat="1" applyFont="1" applyFill="1" applyBorder="1" applyAlignment="1">
      <alignment/>
    </xf>
    <xf numFmtId="203" fontId="11" fillId="33" borderId="16" xfId="42" applyNumberFormat="1" applyFont="1" applyFill="1" applyBorder="1" applyAlignment="1">
      <alignment/>
    </xf>
    <xf numFmtId="178" fontId="4" fillId="33" borderId="16" xfId="42" applyNumberFormat="1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vertical="center" wrapText="1"/>
    </xf>
    <xf numFmtId="178" fontId="5" fillId="33" borderId="16" xfId="42" applyNumberFormat="1" applyFont="1" applyFill="1" applyBorder="1" applyAlignment="1">
      <alignment/>
    </xf>
    <xf numFmtId="178" fontId="14" fillId="33" borderId="16" xfId="42" applyNumberFormat="1" applyFont="1" applyFill="1" applyBorder="1" applyAlignment="1">
      <alignment/>
    </xf>
    <xf numFmtId="169" fontId="8" fillId="33" borderId="16" xfId="0" applyNumberFormat="1" applyFont="1" applyFill="1" applyBorder="1" applyAlignment="1">
      <alignment/>
    </xf>
    <xf numFmtId="203" fontId="8" fillId="33" borderId="16" xfId="0" applyNumberFormat="1" applyFont="1" applyFill="1" applyBorder="1" applyAlignment="1">
      <alignment/>
    </xf>
    <xf numFmtId="169" fontId="5" fillId="33" borderId="16" xfId="0" applyNumberFormat="1" applyFont="1" applyFill="1" applyBorder="1" applyAlignment="1">
      <alignment horizontal="center"/>
    </xf>
    <xf numFmtId="169" fontId="5" fillId="33" borderId="16" xfId="42" applyNumberFormat="1" applyFont="1" applyFill="1" applyBorder="1" applyAlignment="1">
      <alignment/>
    </xf>
    <xf numFmtId="169" fontId="9" fillId="33" borderId="12" xfId="42" applyNumberFormat="1" applyFont="1" applyFill="1" applyBorder="1" applyAlignment="1">
      <alignment vertical="top"/>
    </xf>
    <xf numFmtId="169" fontId="5" fillId="33" borderId="16" xfId="0" applyNumberFormat="1" applyFont="1" applyFill="1" applyBorder="1" applyAlignment="1">
      <alignment/>
    </xf>
    <xf numFmtId="178" fontId="4" fillId="33" borderId="12" xfId="42" applyNumberFormat="1" applyFont="1" applyFill="1" applyBorder="1" applyAlignment="1">
      <alignment horizontal="center"/>
    </xf>
    <xf numFmtId="171" fontId="4" fillId="33" borderId="12" xfId="42" applyNumberFormat="1" applyFont="1" applyFill="1" applyBorder="1" applyAlignment="1">
      <alignment/>
    </xf>
    <xf numFmtId="169" fontId="4" fillId="33" borderId="12" xfId="0" applyNumberFormat="1" applyFont="1" applyFill="1" applyBorder="1" applyAlignment="1">
      <alignment/>
    </xf>
    <xf numFmtId="169" fontId="12" fillId="33" borderId="12" xfId="43" applyFont="1" applyFill="1" applyBorder="1" applyAlignment="1">
      <alignment vertical="top"/>
    </xf>
    <xf numFmtId="203" fontId="14" fillId="33" borderId="12" xfId="43" applyNumberFormat="1" applyFont="1" applyFill="1" applyBorder="1" applyAlignment="1">
      <alignment vertical="top"/>
    </xf>
    <xf numFmtId="169" fontId="23" fillId="33" borderId="12" xfId="0" applyNumberFormat="1" applyFont="1" applyFill="1" applyBorder="1" applyAlignment="1">
      <alignment/>
    </xf>
    <xf numFmtId="169" fontId="23" fillId="33" borderId="12" xfId="0" applyNumberFormat="1" applyFont="1" applyFill="1" applyBorder="1" applyAlignment="1">
      <alignment/>
    </xf>
    <xf numFmtId="169" fontId="23" fillId="33" borderId="12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169" fontId="4" fillId="33" borderId="12" xfId="42" applyNumberFormat="1" applyFont="1" applyFill="1" applyBorder="1" applyAlignment="1">
      <alignment/>
    </xf>
    <xf numFmtId="203" fontId="3" fillId="0" borderId="0" xfId="0" applyNumberFormat="1" applyFont="1" applyFill="1" applyBorder="1" applyAlignment="1">
      <alignment/>
    </xf>
    <xf numFmtId="178" fontId="4" fillId="0" borderId="0" xfId="42" applyNumberFormat="1" applyFont="1" applyFill="1" applyBorder="1" applyAlignment="1">
      <alignment horizontal="center"/>
    </xf>
    <xf numFmtId="178" fontId="4" fillId="0" borderId="0" xfId="42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178" fontId="16" fillId="0" borderId="12" xfId="0" applyNumberFormat="1" applyFont="1" applyFill="1" applyBorder="1" applyAlignment="1">
      <alignment/>
    </xf>
    <xf numFmtId="2" fontId="4" fillId="0" borderId="12" xfId="0" applyNumberFormat="1" applyFont="1" applyBorder="1" applyAlignment="1">
      <alignment/>
    </xf>
    <xf numFmtId="178" fontId="16" fillId="0" borderId="12" xfId="42" applyNumberFormat="1" applyFont="1" applyFill="1" applyBorder="1" applyAlignment="1">
      <alignment/>
    </xf>
    <xf numFmtId="169" fontId="16" fillId="0" borderId="12" xfId="0" applyNumberFormat="1" applyFont="1" applyFill="1" applyBorder="1" applyAlignment="1">
      <alignment/>
    </xf>
    <xf numFmtId="203" fontId="16" fillId="0" borderId="12" xfId="0" applyNumberFormat="1" applyFont="1" applyFill="1" applyBorder="1" applyAlignment="1">
      <alignment/>
    </xf>
    <xf numFmtId="203" fontId="16" fillId="0" borderId="12" xfId="42" applyNumberFormat="1" applyFont="1" applyFill="1" applyBorder="1" applyAlignment="1">
      <alignment/>
    </xf>
    <xf numFmtId="178" fontId="16" fillId="0" borderId="16" xfId="42" applyNumberFormat="1" applyFont="1" applyFill="1" applyBorder="1" applyAlignment="1">
      <alignment/>
    </xf>
    <xf numFmtId="203" fontId="16" fillId="0" borderId="16" xfId="42" applyNumberFormat="1" applyFont="1" applyFill="1" applyBorder="1" applyAlignment="1">
      <alignment/>
    </xf>
    <xf numFmtId="178" fontId="16" fillId="33" borderId="16" xfId="42" applyNumberFormat="1" applyFont="1" applyFill="1" applyBorder="1" applyAlignment="1">
      <alignment/>
    </xf>
    <xf numFmtId="203" fontId="16" fillId="33" borderId="16" xfId="42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5" fillId="37" borderId="12" xfId="0" applyFont="1" applyFill="1" applyBorder="1" applyAlignment="1">
      <alignment horizontal="center"/>
    </xf>
    <xf numFmtId="0" fontId="5" fillId="37" borderId="12" xfId="0" applyFont="1" applyFill="1" applyBorder="1" applyAlignment="1">
      <alignment vertical="center" wrapText="1"/>
    </xf>
    <xf numFmtId="178" fontId="5" fillId="37" borderId="12" xfId="42" applyNumberFormat="1" applyFont="1" applyFill="1" applyBorder="1" applyAlignment="1">
      <alignment/>
    </xf>
    <xf numFmtId="178" fontId="14" fillId="37" borderId="12" xfId="42" applyNumberFormat="1" applyFont="1" applyFill="1" applyBorder="1" applyAlignment="1">
      <alignment/>
    </xf>
    <xf numFmtId="169" fontId="5" fillId="37" borderId="12" xfId="0" applyNumberFormat="1" applyFont="1" applyFill="1" applyBorder="1" applyAlignment="1">
      <alignment/>
    </xf>
    <xf numFmtId="169" fontId="14" fillId="37" borderId="12" xfId="0" applyNumberFormat="1" applyFont="1" applyFill="1" applyBorder="1" applyAlignment="1">
      <alignment/>
    </xf>
    <xf numFmtId="203" fontId="14" fillId="37" borderId="12" xfId="0" applyNumberFormat="1" applyFont="1" applyFill="1" applyBorder="1" applyAlignment="1">
      <alignment/>
    </xf>
    <xf numFmtId="169" fontId="5" fillId="37" borderId="12" xfId="42" applyNumberFormat="1" applyFont="1" applyFill="1" applyBorder="1" applyAlignment="1">
      <alignment/>
    </xf>
    <xf numFmtId="178" fontId="5" fillId="37" borderId="12" xfId="42" applyNumberFormat="1" applyFont="1" applyFill="1" applyBorder="1" applyAlignment="1">
      <alignment horizontal="center"/>
    </xf>
    <xf numFmtId="2" fontId="0" fillId="37" borderId="12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0" fontId="5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left" vertical="justify" wrapText="1"/>
    </xf>
    <xf numFmtId="169" fontId="5" fillId="38" borderId="12" xfId="43" applyFont="1" applyFill="1" applyBorder="1" applyAlignment="1">
      <alignment vertical="top"/>
    </xf>
    <xf numFmtId="169" fontId="14" fillId="38" borderId="12" xfId="43" applyFont="1" applyFill="1" applyBorder="1" applyAlignment="1">
      <alignment vertical="top"/>
    </xf>
    <xf numFmtId="169" fontId="0" fillId="38" borderId="12" xfId="0" applyNumberFormat="1" applyFont="1" applyFill="1" applyBorder="1" applyAlignment="1">
      <alignment/>
    </xf>
    <xf numFmtId="169" fontId="8" fillId="38" borderId="12" xfId="0" applyNumberFormat="1" applyFont="1" applyFill="1" applyBorder="1" applyAlignment="1">
      <alignment/>
    </xf>
    <xf numFmtId="203" fontId="8" fillId="38" borderId="12" xfId="0" applyNumberFormat="1" applyFont="1" applyFill="1" applyBorder="1" applyAlignment="1">
      <alignment/>
    </xf>
    <xf numFmtId="169" fontId="5" fillId="38" borderId="12" xfId="43" applyNumberFormat="1" applyFont="1" applyFill="1" applyBorder="1" applyAlignment="1">
      <alignment vertical="top"/>
    </xf>
    <xf numFmtId="178" fontId="5" fillId="38" borderId="12" xfId="42" applyNumberFormat="1" applyFont="1" applyFill="1" applyBorder="1" applyAlignment="1">
      <alignment horizontal="center"/>
    </xf>
    <xf numFmtId="178" fontId="5" fillId="38" borderId="12" xfId="42" applyNumberFormat="1" applyFont="1" applyFill="1" applyBorder="1" applyAlignment="1">
      <alignment/>
    </xf>
    <xf numFmtId="2" fontId="0" fillId="38" borderId="12" xfId="0" applyNumberFormat="1" applyFont="1" applyFill="1" applyBorder="1" applyAlignment="1">
      <alignment/>
    </xf>
    <xf numFmtId="169" fontId="5" fillId="38" borderId="12" xfId="0" applyNumberFormat="1" applyFont="1" applyFill="1" applyBorder="1" applyAlignment="1">
      <alignment/>
    </xf>
    <xf numFmtId="178" fontId="5" fillId="38" borderId="12" xfId="42" applyNumberFormat="1" applyFont="1" applyFill="1" applyBorder="1" applyAlignment="1">
      <alignment vertical="justify"/>
    </xf>
    <xf numFmtId="0" fontId="0" fillId="38" borderId="10" xfId="0" applyFill="1" applyBorder="1" applyAlignment="1">
      <alignment/>
    </xf>
    <xf numFmtId="0" fontId="0" fillId="38" borderId="0" xfId="0" applyFill="1" applyAlignment="1">
      <alignment/>
    </xf>
    <xf numFmtId="0" fontId="5" fillId="38" borderId="12" xfId="0" applyFont="1" applyFill="1" applyBorder="1" applyAlignment="1">
      <alignment vertical="center" wrapText="1"/>
    </xf>
    <xf numFmtId="178" fontId="14" fillId="38" borderId="12" xfId="42" applyNumberFormat="1" applyFont="1" applyFill="1" applyBorder="1" applyAlignment="1">
      <alignment/>
    </xf>
    <xf numFmtId="2" fontId="3" fillId="38" borderId="12" xfId="0" applyNumberFormat="1" applyFont="1" applyFill="1" applyBorder="1" applyAlignment="1">
      <alignment/>
    </xf>
    <xf numFmtId="178" fontId="5" fillId="37" borderId="12" xfId="42" applyNumberFormat="1" applyFont="1" applyFill="1" applyBorder="1" applyAlignment="1">
      <alignment vertical="top"/>
    </xf>
    <xf numFmtId="178" fontId="14" fillId="37" borderId="12" xfId="42" applyNumberFormat="1" applyFont="1" applyFill="1" applyBorder="1" applyAlignment="1">
      <alignment vertical="top"/>
    </xf>
    <xf numFmtId="169" fontId="8" fillId="37" borderId="12" xfId="0" applyNumberFormat="1" applyFont="1" applyFill="1" applyBorder="1" applyAlignment="1">
      <alignment/>
    </xf>
    <xf numFmtId="203" fontId="8" fillId="37" borderId="12" xfId="0" applyNumberFormat="1" applyFont="1" applyFill="1" applyBorder="1" applyAlignment="1">
      <alignment/>
    </xf>
    <xf numFmtId="2" fontId="3" fillId="37" borderId="12" xfId="0" applyNumberFormat="1" applyFont="1" applyFill="1" applyBorder="1" applyAlignment="1">
      <alignment/>
    </xf>
    <xf numFmtId="178" fontId="5" fillId="37" borderId="12" xfId="42" applyNumberFormat="1" applyFont="1" applyFill="1" applyBorder="1" applyAlignment="1">
      <alignment vertical="justify"/>
    </xf>
    <xf numFmtId="0" fontId="0" fillId="0" borderId="10" xfId="0" applyBorder="1" applyAlignment="1">
      <alignment vertical="center"/>
    </xf>
    <xf numFmtId="178" fontId="25" fillId="0" borderId="26" xfId="42" applyNumberFormat="1" applyFont="1" applyFill="1" applyBorder="1" applyAlignment="1">
      <alignment vertical="center"/>
    </xf>
    <xf numFmtId="178" fontId="25" fillId="0" borderId="25" xfId="42" applyNumberFormat="1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vertical="center"/>
    </xf>
    <xf numFmtId="203" fontId="4" fillId="0" borderId="10" xfId="0" applyNumberFormat="1" applyFont="1" applyFill="1" applyBorder="1" applyAlignment="1">
      <alignment vertical="center"/>
    </xf>
    <xf numFmtId="169" fontId="4" fillId="0" borderId="23" xfId="0" applyNumberFormat="1" applyFont="1" applyFill="1" applyBorder="1" applyAlignment="1">
      <alignment vertical="center"/>
    </xf>
    <xf numFmtId="169" fontId="4" fillId="0" borderId="26" xfId="0" applyNumberFormat="1" applyFont="1" applyFill="1" applyBorder="1" applyAlignment="1">
      <alignment vertical="center"/>
    </xf>
    <xf numFmtId="2" fontId="4" fillId="0" borderId="26" xfId="0" applyNumberFormat="1" applyFont="1" applyBorder="1" applyAlignment="1">
      <alignment vertical="center"/>
    </xf>
    <xf numFmtId="169" fontId="4" fillId="0" borderId="24" xfId="0" applyNumberFormat="1" applyFont="1" applyFill="1" applyBorder="1" applyAlignment="1">
      <alignment vertical="center"/>
    </xf>
    <xf numFmtId="169" fontId="5" fillId="33" borderId="0" xfId="0" applyNumberFormat="1" applyFont="1" applyFill="1" applyBorder="1" applyAlignment="1">
      <alignment/>
    </xf>
    <xf numFmtId="169" fontId="0" fillId="0" borderId="0" xfId="0" applyNumberFormat="1" applyBorder="1" applyAlignment="1">
      <alignment/>
    </xf>
    <xf numFmtId="0" fontId="71" fillId="0" borderId="0" xfId="0" applyFont="1" applyFill="1" applyAlignment="1">
      <alignment horizontal="center"/>
    </xf>
    <xf numFmtId="169" fontId="22" fillId="33" borderId="12" xfId="43" applyFont="1" applyFill="1" applyBorder="1" applyAlignment="1">
      <alignment vertical="top"/>
    </xf>
    <xf numFmtId="203" fontId="12" fillId="33" borderId="12" xfId="43" applyNumberFormat="1" applyFont="1" applyFill="1" applyBorder="1" applyAlignment="1">
      <alignment vertical="top"/>
    </xf>
    <xf numFmtId="169" fontId="5" fillId="33" borderId="12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/>
    </xf>
    <xf numFmtId="0" fontId="23" fillId="33" borderId="28" xfId="0" applyFont="1" applyFill="1" applyBorder="1" applyAlignment="1">
      <alignment/>
    </xf>
    <xf numFmtId="0" fontId="23" fillId="33" borderId="29" xfId="0" applyFont="1" applyFill="1" applyBorder="1" applyAlignment="1">
      <alignment/>
    </xf>
    <xf numFmtId="169" fontId="14" fillId="33" borderId="29" xfId="43" applyFont="1" applyFill="1" applyBorder="1" applyAlignment="1">
      <alignment vertical="top"/>
    </xf>
    <xf numFmtId="171" fontId="0" fillId="33" borderId="0" xfId="42" applyFont="1" applyFill="1" applyAlignment="1">
      <alignment/>
    </xf>
    <xf numFmtId="171" fontId="5" fillId="33" borderId="12" xfId="42" applyFont="1" applyFill="1" applyBorder="1" applyAlignment="1">
      <alignment vertical="top"/>
    </xf>
    <xf numFmtId="0" fontId="5" fillId="33" borderId="12" xfId="0" applyFont="1" applyFill="1" applyBorder="1" applyAlignment="1">
      <alignment horizontal="left" vertical="justify" wrapText="1"/>
    </xf>
    <xf numFmtId="171" fontId="5" fillId="33" borderId="17" xfId="0" applyNumberFormat="1" applyFont="1" applyFill="1" applyBorder="1" applyAlignment="1">
      <alignment/>
    </xf>
    <xf numFmtId="171" fontId="6" fillId="33" borderId="12" xfId="42" applyNumberFormat="1" applyFont="1" applyFill="1" applyBorder="1" applyAlignment="1">
      <alignment horizontal="center"/>
    </xf>
    <xf numFmtId="171" fontId="6" fillId="33" borderId="17" xfId="0" applyNumberFormat="1" applyFont="1" applyFill="1" applyBorder="1" applyAlignment="1">
      <alignment/>
    </xf>
    <xf numFmtId="169" fontId="7" fillId="0" borderId="19" xfId="43" applyFont="1" applyFill="1" applyBorder="1" applyAlignment="1">
      <alignment/>
    </xf>
    <xf numFmtId="203" fontId="14" fillId="0" borderId="16" xfId="0" applyNumberFormat="1" applyFont="1" applyFill="1" applyBorder="1" applyAlignment="1">
      <alignment/>
    </xf>
    <xf numFmtId="169" fontId="5" fillId="0" borderId="16" xfId="43" applyNumberFormat="1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vertical="center" wrapText="1"/>
    </xf>
    <xf numFmtId="178" fontId="4" fillId="33" borderId="12" xfId="42" applyNumberFormat="1" applyFont="1" applyFill="1" applyBorder="1" applyAlignment="1">
      <alignment/>
    </xf>
    <xf numFmtId="178" fontId="16" fillId="33" borderId="12" xfId="42" applyNumberFormat="1" applyFont="1" applyFill="1" applyBorder="1" applyAlignment="1">
      <alignment/>
    </xf>
    <xf numFmtId="169" fontId="16" fillId="33" borderId="12" xfId="0" applyNumberFormat="1" applyFont="1" applyFill="1" applyBorder="1" applyAlignment="1">
      <alignment/>
    </xf>
    <xf numFmtId="203" fontId="16" fillId="33" borderId="12" xfId="0" applyNumberFormat="1" applyFont="1" applyFill="1" applyBorder="1" applyAlignment="1">
      <alignment/>
    </xf>
    <xf numFmtId="178" fontId="21" fillId="33" borderId="12" xfId="42" applyNumberFormat="1" applyFont="1" applyFill="1" applyBorder="1" applyAlignment="1">
      <alignment/>
    </xf>
    <xf numFmtId="203" fontId="16" fillId="33" borderId="12" xfId="42" applyNumberFormat="1" applyFont="1" applyFill="1" applyBorder="1" applyAlignment="1">
      <alignment/>
    </xf>
    <xf numFmtId="169" fontId="7" fillId="33" borderId="20" xfId="43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69" fontId="5" fillId="33" borderId="12" xfId="43" applyNumberFormat="1" applyFont="1" applyFill="1" applyBorder="1" applyAlignment="1">
      <alignment/>
    </xf>
    <xf numFmtId="0" fontId="5" fillId="33" borderId="16" xfId="0" applyFont="1" applyFill="1" applyBorder="1" applyAlignment="1">
      <alignment/>
    </xf>
    <xf numFmtId="169" fontId="7" fillId="33" borderId="19" xfId="43" applyFont="1" applyFill="1" applyBorder="1" applyAlignment="1">
      <alignment/>
    </xf>
    <xf numFmtId="203" fontId="14" fillId="33" borderId="16" xfId="0" applyNumberFormat="1" applyFont="1" applyFill="1" applyBorder="1" applyAlignment="1">
      <alignment/>
    </xf>
    <xf numFmtId="169" fontId="5" fillId="33" borderId="16" xfId="43" applyNumberFormat="1" applyFont="1" applyFill="1" applyBorder="1" applyAlignment="1">
      <alignment/>
    </xf>
    <xf numFmtId="0" fontId="3" fillId="33" borderId="16" xfId="0" applyFont="1" applyFill="1" applyBorder="1" applyAlignment="1">
      <alignment horizontal="left" wrapText="1"/>
    </xf>
    <xf numFmtId="178" fontId="3" fillId="33" borderId="16" xfId="42" applyNumberFormat="1" applyFont="1" applyFill="1" applyBorder="1" applyAlignment="1">
      <alignment vertical="justify"/>
    </xf>
    <xf numFmtId="178" fontId="11" fillId="33" borderId="16" xfId="42" applyNumberFormat="1" applyFont="1" applyFill="1" applyBorder="1" applyAlignment="1">
      <alignment vertical="justify"/>
    </xf>
    <xf numFmtId="203" fontId="11" fillId="33" borderId="16" xfId="42" applyNumberFormat="1" applyFont="1" applyFill="1" applyBorder="1" applyAlignment="1">
      <alignment vertical="justify"/>
    </xf>
    <xf numFmtId="178" fontId="4" fillId="33" borderId="16" xfId="42" applyNumberFormat="1" applyFont="1" applyFill="1" applyBorder="1" applyAlignment="1">
      <alignment vertical="justify"/>
    </xf>
    <xf numFmtId="0" fontId="0" fillId="33" borderId="10" xfId="0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203" fontId="8" fillId="33" borderId="10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left" vertical="justify" wrapText="1"/>
    </xf>
    <xf numFmtId="169" fontId="5" fillId="33" borderId="16" xfId="43" applyFont="1" applyFill="1" applyBorder="1" applyAlignment="1">
      <alignment vertical="top"/>
    </xf>
    <xf numFmtId="169" fontId="14" fillId="33" borderId="16" xfId="43" applyFont="1" applyFill="1" applyBorder="1" applyAlignment="1">
      <alignment vertical="top"/>
    </xf>
    <xf numFmtId="169" fontId="5" fillId="33" borderId="16" xfId="43" applyNumberFormat="1" applyFont="1" applyFill="1" applyBorder="1" applyAlignment="1">
      <alignment vertical="top"/>
    </xf>
    <xf numFmtId="0" fontId="3" fillId="33" borderId="1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justify"/>
    </xf>
    <xf numFmtId="178" fontId="3" fillId="33" borderId="12" xfId="42" applyNumberFormat="1" applyFont="1" applyFill="1" applyBorder="1" applyAlignment="1">
      <alignment/>
    </xf>
    <xf numFmtId="178" fontId="11" fillId="33" borderId="12" xfId="42" applyNumberFormat="1" applyFont="1" applyFill="1" applyBorder="1" applyAlignment="1">
      <alignment/>
    </xf>
    <xf numFmtId="203" fontId="11" fillId="33" borderId="12" xfId="42" applyNumberFormat="1" applyFont="1" applyFill="1" applyBorder="1" applyAlignment="1">
      <alignment/>
    </xf>
    <xf numFmtId="178" fontId="4" fillId="33" borderId="12" xfId="42" applyNumberFormat="1" applyFont="1" applyFill="1" applyBorder="1" applyAlignment="1">
      <alignment vertical="justify"/>
    </xf>
    <xf numFmtId="0" fontId="0" fillId="33" borderId="10" xfId="0" applyFont="1" applyFill="1" applyBorder="1" applyAlignment="1">
      <alignment horizontal="center"/>
    </xf>
    <xf numFmtId="169" fontId="5" fillId="33" borderId="12" xfId="43" applyFont="1" applyFill="1" applyBorder="1" applyAlignment="1">
      <alignment horizontal="left" wrapText="1"/>
    </xf>
    <xf numFmtId="169" fontId="5" fillId="33" borderId="12" xfId="43" applyFont="1" applyFill="1" applyBorder="1" applyAlignment="1">
      <alignment horizontal="left" vertical="top" wrapText="1"/>
    </xf>
    <xf numFmtId="169" fontId="14" fillId="33" borderId="12" xfId="43" applyFont="1" applyFill="1" applyBorder="1" applyAlignment="1">
      <alignment horizontal="left" vertical="top" wrapText="1"/>
    </xf>
    <xf numFmtId="169" fontId="5" fillId="33" borderId="12" xfId="43" applyNumberFormat="1" applyFont="1" applyFill="1" applyBorder="1" applyAlignment="1">
      <alignment horizontal="left" vertical="top" wrapText="1"/>
    </xf>
    <xf numFmtId="169" fontId="0" fillId="33" borderId="17" xfId="42" applyNumberFormat="1" applyFont="1" applyFill="1" applyBorder="1" applyAlignment="1">
      <alignment horizontal="center"/>
    </xf>
    <xf numFmtId="169" fontId="5" fillId="33" borderId="17" xfId="43" applyNumberFormat="1" applyFont="1" applyFill="1" applyBorder="1" applyAlignment="1">
      <alignment horizontal="left" vertical="top" wrapText="1"/>
    </xf>
    <xf numFmtId="169" fontId="0" fillId="33" borderId="17" xfId="42" applyNumberFormat="1" applyFont="1" applyFill="1" applyBorder="1" applyAlignment="1">
      <alignment/>
    </xf>
    <xf numFmtId="169" fontId="0" fillId="33" borderId="12" xfId="42" applyNumberFormat="1" applyFont="1" applyFill="1" applyBorder="1" applyAlignment="1">
      <alignment/>
    </xf>
    <xf numFmtId="169" fontId="5" fillId="14" borderId="12" xfId="43" applyNumberFormat="1" applyFont="1" applyFill="1" applyBorder="1" applyAlignment="1">
      <alignment vertical="top"/>
    </xf>
    <xf numFmtId="171" fontId="6" fillId="14" borderId="17" xfId="0" applyNumberFormat="1" applyFont="1" applyFill="1" applyBorder="1" applyAlignment="1">
      <alignment/>
    </xf>
    <xf numFmtId="169" fontId="5" fillId="14" borderId="12" xfId="42" applyNumberFormat="1" applyFont="1" applyFill="1" applyBorder="1" applyAlignment="1">
      <alignment/>
    </xf>
    <xf numFmtId="178" fontId="5" fillId="14" borderId="12" xfId="42" applyNumberFormat="1" applyFont="1" applyFill="1" applyBorder="1" applyAlignment="1">
      <alignment/>
    </xf>
    <xf numFmtId="169" fontId="4" fillId="33" borderId="12" xfId="42" applyNumberFormat="1" applyFont="1" applyFill="1" applyBorder="1" applyAlignment="1">
      <alignment horizontal="center"/>
    </xf>
    <xf numFmtId="169" fontId="4" fillId="0" borderId="12" xfId="42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20" fillId="0" borderId="12" xfId="0" applyFont="1" applyFill="1" applyBorder="1" applyAlignment="1">
      <alignment/>
    </xf>
    <xf numFmtId="0" fontId="0" fillId="33" borderId="2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26" fillId="0" borderId="12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left"/>
    </xf>
    <xf numFmtId="178" fontId="26" fillId="0" borderId="12" xfId="0" applyNumberFormat="1" applyFont="1" applyFill="1" applyBorder="1" applyAlignment="1">
      <alignment/>
    </xf>
    <xf numFmtId="178" fontId="28" fillId="0" borderId="12" xfId="0" applyNumberFormat="1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203" fontId="17" fillId="0" borderId="12" xfId="0" applyNumberFormat="1" applyFont="1" applyFill="1" applyBorder="1" applyAlignment="1">
      <alignment horizontal="center"/>
    </xf>
    <xf numFmtId="178" fontId="26" fillId="0" borderId="12" xfId="42" applyNumberFormat="1" applyFont="1" applyFill="1" applyBorder="1" applyAlignment="1">
      <alignment horizontal="center"/>
    </xf>
    <xf numFmtId="178" fontId="26" fillId="0" borderId="12" xfId="42" applyNumberFormat="1" applyFont="1" applyFill="1" applyBorder="1" applyAlignment="1">
      <alignment/>
    </xf>
    <xf numFmtId="169" fontId="26" fillId="0" borderId="12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169" fontId="26" fillId="0" borderId="12" xfId="0" applyNumberFormat="1" applyFont="1" applyFill="1" applyBorder="1" applyAlignment="1">
      <alignment horizontal="center"/>
    </xf>
    <xf numFmtId="169" fontId="28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69" fontId="17" fillId="0" borderId="12" xfId="0" applyNumberFormat="1" applyFont="1" applyFill="1" applyBorder="1" applyAlignment="1">
      <alignment horizontal="center"/>
    </xf>
    <xf numFmtId="0" fontId="29" fillId="0" borderId="10" xfId="0" applyFont="1" applyBorder="1" applyAlignment="1">
      <alignment/>
    </xf>
    <xf numFmtId="169" fontId="0" fillId="0" borderId="0" xfId="0" applyNumberFormat="1" applyFont="1" applyFill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169" fontId="3" fillId="0" borderId="12" xfId="0" applyNumberFormat="1" applyFont="1" applyBorder="1" applyAlignment="1">
      <alignment/>
    </xf>
    <xf numFmtId="169" fontId="0" fillId="0" borderId="12" xfId="0" applyNumberFormat="1" applyFont="1" applyBorder="1" applyAlignment="1">
      <alignment/>
    </xf>
    <xf numFmtId="169" fontId="0" fillId="0" borderId="12" xfId="0" applyNumberFormat="1" applyBorder="1" applyAlignment="1">
      <alignment/>
    </xf>
    <xf numFmtId="169" fontId="4" fillId="0" borderId="12" xfId="0" applyNumberFormat="1" applyFont="1" applyBorder="1" applyAlignment="1">
      <alignment/>
    </xf>
    <xf numFmtId="169" fontId="0" fillId="33" borderId="12" xfId="0" applyNumberFormat="1" applyFont="1" applyFill="1" applyBorder="1" applyAlignment="1">
      <alignment/>
    </xf>
    <xf numFmtId="169" fontId="0" fillId="33" borderId="12" xfId="0" applyNumberFormat="1" applyFill="1" applyBorder="1" applyAlignment="1">
      <alignment/>
    </xf>
    <xf numFmtId="169" fontId="6" fillId="33" borderId="12" xfId="0" applyNumberFormat="1" applyFont="1" applyFill="1" applyBorder="1" applyAlignment="1">
      <alignment/>
    </xf>
    <xf numFmtId="169" fontId="3" fillId="33" borderId="12" xfId="0" applyNumberFormat="1" applyFont="1" applyFill="1" applyBorder="1" applyAlignment="1">
      <alignment/>
    </xf>
    <xf numFmtId="169" fontId="0" fillId="33" borderId="10" xfId="0" applyNumberFormat="1" applyFill="1" applyBorder="1" applyAlignment="1">
      <alignment horizontal="center"/>
    </xf>
    <xf numFmtId="169" fontId="0" fillId="33" borderId="0" xfId="0" applyNumberFormat="1" applyFill="1" applyAlignment="1">
      <alignment/>
    </xf>
    <xf numFmtId="169" fontId="4" fillId="0" borderId="26" xfId="0" applyNumberFormat="1" applyFont="1" applyBorder="1" applyAlignment="1">
      <alignment vertical="center"/>
    </xf>
    <xf numFmtId="169" fontId="71" fillId="0" borderId="0" xfId="0" applyNumberFormat="1" applyFont="1" applyFill="1" applyBorder="1" applyAlignment="1">
      <alignment horizontal="center"/>
    </xf>
    <xf numFmtId="169" fontId="74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6" fillId="33" borderId="12" xfId="42" applyNumberFormat="1" applyFont="1" applyFill="1" applyBorder="1" applyAlignment="1">
      <alignment horizontal="center"/>
    </xf>
    <xf numFmtId="171" fontId="5" fillId="0" borderId="0" xfId="0" applyNumberFormat="1" applyFont="1" applyFill="1" applyBorder="1" applyAlignment="1">
      <alignment/>
    </xf>
    <xf numFmtId="169" fontId="5" fillId="34" borderId="12" xfId="42" applyNumberFormat="1" applyFont="1" applyFill="1" applyBorder="1" applyAlignment="1">
      <alignment horizontal="center"/>
    </xf>
    <xf numFmtId="169" fontId="26" fillId="0" borderId="12" xfId="42" applyNumberFormat="1" applyFont="1" applyFill="1" applyBorder="1" applyAlignment="1">
      <alignment horizontal="center"/>
    </xf>
    <xf numFmtId="169" fontId="26" fillId="0" borderId="12" xfId="42" applyNumberFormat="1" applyFont="1" applyFill="1" applyBorder="1" applyAlignment="1">
      <alignment/>
    </xf>
    <xf numFmtId="169" fontId="27" fillId="0" borderId="12" xfId="0" applyNumberFormat="1" applyFont="1" applyBorder="1" applyAlignment="1">
      <alignment/>
    </xf>
    <xf numFmtId="169" fontId="26" fillId="0" borderId="12" xfId="0" applyNumberFormat="1" applyFont="1" applyBorder="1" applyAlignment="1">
      <alignment/>
    </xf>
    <xf numFmtId="169" fontId="0" fillId="37" borderId="12" xfId="0" applyNumberFormat="1" applyFont="1" applyFill="1" applyBorder="1" applyAlignment="1">
      <alignment/>
    </xf>
    <xf numFmtId="169" fontId="6" fillId="0" borderId="12" xfId="0" applyNumberFormat="1" applyFont="1" applyFill="1" applyBorder="1" applyAlignment="1">
      <alignment/>
    </xf>
    <xf numFmtId="169" fontId="0" fillId="38" borderId="12" xfId="0" applyNumberFormat="1" applyFont="1" applyFill="1" applyBorder="1" applyAlignment="1">
      <alignment/>
    </xf>
    <xf numFmtId="169" fontId="3" fillId="38" borderId="12" xfId="0" applyNumberFormat="1" applyFont="1" applyFill="1" applyBorder="1" applyAlignment="1">
      <alignment/>
    </xf>
    <xf numFmtId="169" fontId="3" fillId="34" borderId="12" xfId="0" applyNumberFormat="1" applyFont="1" applyFill="1" applyBorder="1" applyAlignment="1">
      <alignment/>
    </xf>
    <xf numFmtId="169" fontId="3" fillId="37" borderId="12" xfId="0" applyNumberFormat="1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1" xfId="0" applyFill="1" applyBorder="1" applyAlignment="1">
      <alignment/>
    </xf>
    <xf numFmtId="169" fontId="6" fillId="33" borderId="17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left" vertical="top" wrapText="1"/>
    </xf>
    <xf numFmtId="169" fontId="5" fillId="33" borderId="12" xfId="43" applyFont="1" applyFill="1" applyBorder="1" applyAlignment="1">
      <alignment vertical="top" wrapText="1"/>
    </xf>
    <xf numFmtId="169" fontId="14" fillId="33" borderId="12" xfId="43" applyFont="1" applyFill="1" applyBorder="1" applyAlignment="1">
      <alignment vertical="top" wrapText="1"/>
    </xf>
    <xf numFmtId="169" fontId="5" fillId="33" borderId="12" xfId="43" applyNumberFormat="1" applyFont="1" applyFill="1" applyBorder="1" applyAlignment="1">
      <alignment vertical="top" wrapText="1"/>
    </xf>
    <xf numFmtId="0" fontId="20" fillId="33" borderId="12" xfId="0" applyFont="1" applyFill="1" applyBorder="1" applyAlignment="1">
      <alignment/>
    </xf>
    <xf numFmtId="0" fontId="23" fillId="0" borderId="12" xfId="0" applyFont="1" applyBorder="1" applyAlignment="1">
      <alignment/>
    </xf>
    <xf numFmtId="0" fontId="3" fillId="33" borderId="12" xfId="0" applyFont="1" applyFill="1" applyBorder="1" applyAlignment="1">
      <alignment/>
    </xf>
    <xf numFmtId="0" fontId="23" fillId="0" borderId="16" xfId="0" applyFont="1" applyBorder="1" applyAlignment="1">
      <alignment/>
    </xf>
    <xf numFmtId="169" fontId="22" fillId="33" borderId="16" xfId="43" applyFont="1" applyFill="1" applyBorder="1" applyAlignment="1">
      <alignment vertical="top"/>
    </xf>
    <xf numFmtId="203" fontId="12" fillId="33" borderId="16" xfId="43" applyNumberFormat="1" applyFont="1" applyFill="1" applyBorder="1" applyAlignment="1">
      <alignment vertical="top"/>
    </xf>
    <xf numFmtId="169" fontId="5" fillId="33" borderId="34" xfId="43" applyFont="1" applyFill="1" applyBorder="1" applyAlignment="1">
      <alignment vertical="top"/>
    </xf>
    <xf numFmtId="169" fontId="5" fillId="33" borderId="35" xfId="43" applyFont="1" applyFill="1" applyBorder="1" applyAlignment="1">
      <alignment vertical="top"/>
    </xf>
    <xf numFmtId="169" fontId="0" fillId="33" borderId="34" xfId="0" applyNumberFormat="1" applyFont="1" applyFill="1" applyBorder="1" applyAlignment="1">
      <alignment/>
    </xf>
    <xf numFmtId="178" fontId="5" fillId="33" borderId="16" xfId="42" applyNumberFormat="1" applyFont="1" applyFill="1" applyBorder="1" applyAlignment="1">
      <alignment vertical="justify"/>
    </xf>
    <xf numFmtId="0" fontId="0" fillId="33" borderId="16" xfId="0" applyFill="1" applyBorder="1" applyAlignment="1">
      <alignment/>
    </xf>
    <xf numFmtId="0" fontId="0" fillId="33" borderId="31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vertical="center"/>
    </xf>
    <xf numFmtId="203" fontId="4" fillId="0" borderId="0" xfId="0" applyNumberFormat="1" applyFont="1" applyFill="1" applyBorder="1" applyAlignment="1">
      <alignment vertical="center"/>
    </xf>
    <xf numFmtId="178" fontId="25" fillId="0" borderId="0" xfId="42" applyNumberFormat="1" applyFont="1" applyFill="1" applyBorder="1" applyAlignment="1">
      <alignment horizontal="center" vertical="center"/>
    </xf>
    <xf numFmtId="178" fontId="25" fillId="0" borderId="0" xfId="42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35" xfId="0" applyFill="1" applyBorder="1" applyAlignment="1">
      <alignment/>
    </xf>
    <xf numFmtId="0" fontId="0" fillId="0" borderId="35" xfId="0" applyBorder="1" applyAlignment="1">
      <alignment/>
    </xf>
    <xf numFmtId="0" fontId="71" fillId="0" borderId="0" xfId="0" applyFont="1" applyFill="1" applyAlignment="1">
      <alignment horizontal="center"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/>
    </xf>
    <xf numFmtId="203" fontId="23" fillId="33" borderId="12" xfId="0" applyNumberFormat="1" applyFont="1" applyFill="1" applyBorder="1" applyAlignment="1">
      <alignment/>
    </xf>
    <xf numFmtId="178" fontId="5" fillId="33" borderId="16" xfId="42" applyNumberFormat="1" applyFont="1" applyFill="1" applyBorder="1" applyAlignment="1">
      <alignment horizontal="center"/>
    </xf>
    <xf numFmtId="203" fontId="23" fillId="33" borderId="16" xfId="0" applyNumberFormat="1" applyFont="1" applyFill="1" applyBorder="1" applyAlignment="1">
      <alignment/>
    </xf>
    <xf numFmtId="169" fontId="12" fillId="33" borderId="16" xfId="43" applyFont="1" applyFill="1" applyBorder="1" applyAlignment="1">
      <alignment vertical="top"/>
    </xf>
    <xf numFmtId="178" fontId="0" fillId="33" borderId="12" xfId="0" applyNumberFormat="1" applyFill="1" applyBorder="1" applyAlignment="1">
      <alignment/>
    </xf>
    <xf numFmtId="169" fontId="5" fillId="33" borderId="30" xfId="43" applyFont="1" applyFill="1" applyBorder="1" applyAlignment="1">
      <alignment vertical="top"/>
    </xf>
    <xf numFmtId="169" fontId="5" fillId="33" borderId="0" xfId="0" applyNumberFormat="1" applyFont="1" applyFill="1" applyBorder="1" applyAlignment="1">
      <alignment horizontal="center"/>
    </xf>
    <xf numFmtId="169" fontId="5" fillId="33" borderId="0" xfId="43" applyFont="1" applyFill="1" applyBorder="1" applyAlignment="1">
      <alignment vertical="top"/>
    </xf>
    <xf numFmtId="169" fontId="5" fillId="33" borderId="22" xfId="0" applyNumberFormat="1" applyFont="1" applyFill="1" applyBorder="1" applyAlignment="1">
      <alignment horizontal="center"/>
    </xf>
    <xf numFmtId="169" fontId="0" fillId="33" borderId="30" xfId="0" applyNumberFormat="1" applyFont="1" applyFill="1" applyBorder="1" applyAlignment="1">
      <alignment/>
    </xf>
    <xf numFmtId="169" fontId="5" fillId="33" borderId="22" xfId="0" applyNumberFormat="1" applyFont="1" applyFill="1" applyBorder="1" applyAlignment="1">
      <alignment/>
    </xf>
    <xf numFmtId="178" fontId="5" fillId="33" borderId="11" xfId="42" applyNumberFormat="1" applyFont="1" applyFill="1" applyBorder="1" applyAlignment="1">
      <alignment vertical="justify"/>
    </xf>
    <xf numFmtId="0" fontId="0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justify"/>
    </xf>
    <xf numFmtId="0" fontId="5" fillId="33" borderId="2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left" vertical="justify" wrapText="1"/>
    </xf>
    <xf numFmtId="169" fontId="5" fillId="33" borderId="21" xfId="43" applyFont="1" applyFill="1" applyBorder="1" applyAlignment="1">
      <alignment vertical="top"/>
    </xf>
    <xf numFmtId="169" fontId="22" fillId="33" borderId="21" xfId="43" applyFont="1" applyFill="1" applyBorder="1" applyAlignment="1">
      <alignment vertical="top"/>
    </xf>
    <xf numFmtId="169" fontId="14" fillId="33" borderId="21" xfId="43" applyFont="1" applyFill="1" applyBorder="1" applyAlignment="1">
      <alignment vertical="top"/>
    </xf>
    <xf numFmtId="203" fontId="12" fillId="33" borderId="21" xfId="43" applyNumberFormat="1" applyFont="1" applyFill="1" applyBorder="1" applyAlignment="1">
      <alignment vertical="top"/>
    </xf>
    <xf numFmtId="169" fontId="5" fillId="33" borderId="36" xfId="43" applyFont="1" applyFill="1" applyBorder="1" applyAlignment="1">
      <alignment vertical="top"/>
    </xf>
    <xf numFmtId="169" fontId="5" fillId="33" borderId="15" xfId="0" applyNumberFormat="1" applyFont="1" applyFill="1" applyBorder="1" applyAlignment="1">
      <alignment horizontal="center"/>
    </xf>
    <xf numFmtId="169" fontId="5" fillId="33" borderId="15" xfId="43" applyFont="1" applyFill="1" applyBorder="1" applyAlignment="1">
      <alignment vertical="top"/>
    </xf>
    <xf numFmtId="169" fontId="5" fillId="33" borderId="37" xfId="0" applyNumberFormat="1" applyFont="1" applyFill="1" applyBorder="1" applyAlignment="1">
      <alignment horizontal="center"/>
    </xf>
    <xf numFmtId="169" fontId="0" fillId="33" borderId="36" xfId="0" applyNumberFormat="1" applyFont="1" applyFill="1" applyBorder="1" applyAlignment="1">
      <alignment/>
    </xf>
    <xf numFmtId="169" fontId="5" fillId="33" borderId="37" xfId="0" applyNumberFormat="1" applyFont="1" applyFill="1" applyBorder="1" applyAlignment="1">
      <alignment/>
    </xf>
    <xf numFmtId="178" fontId="5" fillId="33" borderId="21" xfId="42" applyNumberFormat="1" applyFont="1" applyFill="1" applyBorder="1" applyAlignment="1">
      <alignment vertical="justify"/>
    </xf>
    <xf numFmtId="0" fontId="71" fillId="0" borderId="0" xfId="0" applyFont="1" applyFill="1" applyAlignment="1">
      <alignment horizontal="center"/>
    </xf>
    <xf numFmtId="0" fontId="0" fillId="33" borderId="21" xfId="0" applyFill="1" applyBorder="1" applyAlignment="1">
      <alignment/>
    </xf>
    <xf numFmtId="0" fontId="71" fillId="0" borderId="0" xfId="0" applyFont="1" applyFill="1" applyAlignment="1">
      <alignment horizontal="center"/>
    </xf>
    <xf numFmtId="178" fontId="5" fillId="33" borderId="16" xfId="42" applyNumberFormat="1" applyFont="1" applyFill="1" applyBorder="1" applyAlignment="1">
      <alignment vertical="top"/>
    </xf>
    <xf numFmtId="178" fontId="14" fillId="33" borderId="16" xfId="42" applyNumberFormat="1" applyFont="1" applyFill="1" applyBorder="1" applyAlignment="1">
      <alignment vertical="top"/>
    </xf>
    <xf numFmtId="203" fontId="23" fillId="33" borderId="12" xfId="0" applyNumberFormat="1" applyFont="1" applyFill="1" applyBorder="1" applyAlignment="1" quotePrefix="1">
      <alignment/>
    </xf>
    <xf numFmtId="203" fontId="23" fillId="33" borderId="16" xfId="0" applyNumberFormat="1" applyFont="1" applyFill="1" applyBorder="1" applyAlignment="1" quotePrefix="1">
      <alignment/>
    </xf>
    <xf numFmtId="169" fontId="5" fillId="33" borderId="0" xfId="42" applyNumberFormat="1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8" fillId="0" borderId="3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203" fontId="8" fillId="0" borderId="31" xfId="0" applyNumberFormat="1" applyFont="1" applyFill="1" applyBorder="1" applyAlignment="1">
      <alignment horizontal="center" vertical="center" wrapText="1"/>
    </xf>
    <xf numFmtId="203" fontId="8" fillId="0" borderId="11" xfId="0" applyNumberFormat="1" applyFont="1" applyFill="1" applyBorder="1" applyAlignment="1">
      <alignment horizontal="center" vertical="center" wrapText="1"/>
    </xf>
    <xf numFmtId="203" fontId="8" fillId="0" borderId="2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9" fontId="0" fillId="0" borderId="31" xfId="0" applyNumberFormat="1" applyFill="1" applyBorder="1" applyAlignment="1">
      <alignment horizontal="center" vertical="center" wrapText="1"/>
    </xf>
    <xf numFmtId="169" fontId="0" fillId="0" borderId="21" xfId="0" applyNumberForma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169" fontId="0" fillId="33" borderId="31" xfId="0" applyNumberFormat="1" applyFill="1" applyBorder="1" applyAlignment="1">
      <alignment horizontal="center" vertical="center" wrapText="1"/>
    </xf>
    <xf numFmtId="169" fontId="0" fillId="33" borderId="21" xfId="0" applyNumberForma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21" xfId="0" applyFill="1" applyBorder="1" applyAlignment="1">
      <alignment/>
    </xf>
    <xf numFmtId="203" fontId="8" fillId="33" borderId="31" xfId="0" applyNumberFormat="1" applyFont="1" applyFill="1" applyBorder="1" applyAlignment="1">
      <alignment horizontal="center" vertical="center" wrapText="1"/>
    </xf>
    <xf numFmtId="203" fontId="8" fillId="33" borderId="11" xfId="0" applyNumberFormat="1" applyFont="1" applyFill="1" applyBorder="1" applyAlignment="1">
      <alignment horizontal="center" vertical="center" wrapText="1"/>
    </xf>
    <xf numFmtId="203" fontId="8" fillId="33" borderId="21" xfId="0" applyNumberFormat="1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.%202019\ANGGARAN%202019\Rncn%20UP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kang"/>
      <sheetName val="pengajuan gu sekretariat"/>
      <sheetName val="UP"/>
      <sheetName val="rnc SPJ"/>
      <sheetName val="SPJ 2018 (SKRG)"/>
      <sheetName val="REKAP"/>
      <sheetName val="pjk psl 24"/>
      <sheetName val="Sheet1"/>
    </sheetNames>
    <sheetDataSet>
      <sheetData sheetId="4">
        <row r="3">
          <cell r="H3">
            <v>13089325</v>
          </cell>
        </row>
        <row r="8">
          <cell r="H8">
            <v>12505000</v>
          </cell>
        </row>
        <row r="16">
          <cell r="H16">
            <v>5799900</v>
          </cell>
        </row>
        <row r="22">
          <cell r="H22">
            <v>5562250</v>
          </cell>
        </row>
        <row r="30">
          <cell r="H30">
            <v>10037184</v>
          </cell>
        </row>
        <row r="34">
          <cell r="H34">
            <v>60400000</v>
          </cell>
        </row>
        <row r="56">
          <cell r="H56">
            <v>104783500</v>
          </cell>
        </row>
        <row r="153">
          <cell r="H153">
            <v>4875000</v>
          </cell>
        </row>
        <row r="158">
          <cell r="H158">
            <v>9474000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4"/>
  <sheetViews>
    <sheetView view="pageBreakPreview" zoomScaleSheetLayoutView="100" workbookViewId="0" topLeftCell="A391">
      <selection activeCell="F378" sqref="F378"/>
    </sheetView>
  </sheetViews>
  <sheetFormatPr defaultColWidth="9.140625" defaultRowHeight="12.75"/>
  <cols>
    <col min="1" max="1" width="4.00390625" style="1" customWidth="1"/>
    <col min="2" max="2" width="63.421875" style="1" customWidth="1"/>
    <col min="3" max="3" width="15.8515625" style="1" customWidth="1"/>
    <col min="4" max="4" width="14.7109375" style="1" customWidth="1"/>
    <col min="5" max="5" width="18.7109375" style="1" customWidth="1"/>
    <col min="6" max="6" width="15.00390625" style="1" customWidth="1"/>
    <col min="7" max="7" width="6.28125" style="1" customWidth="1"/>
    <col min="8" max="8" width="14.7109375" style="1" customWidth="1"/>
    <col min="9" max="9" width="5.7109375" style="1" customWidth="1"/>
    <col min="10" max="10" width="6.8515625" style="1" customWidth="1"/>
    <col min="11" max="11" width="5.8515625" style="1" customWidth="1"/>
    <col min="12" max="12" width="14.7109375" style="1" customWidth="1"/>
    <col min="13" max="13" width="5.8515625" style="1" customWidth="1"/>
    <col min="14" max="14" width="10.28125" style="1" customWidth="1"/>
    <col min="15" max="16" width="15.00390625" style="1" bestFit="1" customWidth="1"/>
    <col min="17" max="17" width="10.00390625" style="1" bestFit="1" customWidth="1"/>
    <col min="18" max="16384" width="9.140625" style="1" customWidth="1"/>
  </cols>
  <sheetData>
    <row r="1" spans="1:14" ht="15.75">
      <c r="A1" s="811" t="s">
        <v>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150"/>
    </row>
    <row r="2" spans="1:14" ht="12.75">
      <c r="A2" s="812" t="s">
        <v>83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151"/>
    </row>
    <row r="3" spans="1:14" ht="12.75">
      <c r="A3" s="813" t="s">
        <v>77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152"/>
    </row>
    <row r="4" spans="1:14" ht="12.75">
      <c r="A4" s="60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2.75">
      <c r="A5" s="144" t="s">
        <v>84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ht="12.75">
      <c r="A6" s="60"/>
    </row>
    <row r="7" spans="1:14" ht="12.75">
      <c r="A7" s="808" t="s">
        <v>2</v>
      </c>
      <c r="B7" s="808" t="s">
        <v>3</v>
      </c>
      <c r="C7" s="808" t="s">
        <v>4</v>
      </c>
      <c r="D7" s="808" t="s">
        <v>5</v>
      </c>
      <c r="E7" s="808" t="s">
        <v>6</v>
      </c>
      <c r="F7" s="816" t="s">
        <v>7</v>
      </c>
      <c r="G7" s="817"/>
      <c r="H7" s="817"/>
      <c r="I7" s="818"/>
      <c r="J7" s="816" t="s">
        <v>8</v>
      </c>
      <c r="K7" s="818"/>
      <c r="L7" s="805" t="s">
        <v>87</v>
      </c>
      <c r="M7" s="808" t="s">
        <v>9</v>
      </c>
      <c r="N7" s="155"/>
    </row>
    <row r="8" spans="1:14" ht="12.75">
      <c r="A8" s="806"/>
      <c r="B8" s="806"/>
      <c r="C8" s="806"/>
      <c r="D8" s="814"/>
      <c r="E8" s="806"/>
      <c r="F8" s="809" t="s">
        <v>10</v>
      </c>
      <c r="G8" s="808" t="s">
        <v>11</v>
      </c>
      <c r="H8" s="808" t="s">
        <v>12</v>
      </c>
      <c r="I8" s="808" t="s">
        <v>11</v>
      </c>
      <c r="J8" s="808" t="s">
        <v>13</v>
      </c>
      <c r="K8" s="808" t="s">
        <v>14</v>
      </c>
      <c r="L8" s="806"/>
      <c r="M8" s="806"/>
      <c r="N8" s="155"/>
    </row>
    <row r="9" spans="1:14" ht="12.75">
      <c r="A9" s="807"/>
      <c r="B9" s="807"/>
      <c r="C9" s="807"/>
      <c r="D9" s="815"/>
      <c r="E9" s="807"/>
      <c r="F9" s="810"/>
      <c r="G9" s="807"/>
      <c r="H9" s="807"/>
      <c r="I9" s="807"/>
      <c r="J9" s="807"/>
      <c r="K9" s="807"/>
      <c r="L9" s="807"/>
      <c r="M9" s="807"/>
      <c r="N9" s="155"/>
    </row>
    <row r="10" spans="1:14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156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56"/>
    </row>
    <row r="12" spans="1:14" ht="12.75">
      <c r="A12" s="61" t="s">
        <v>15</v>
      </c>
      <c r="B12" s="62" t="s">
        <v>16</v>
      </c>
      <c r="C12" s="4">
        <f>SUM(C13:C23)</f>
        <v>2320392000</v>
      </c>
      <c r="D12" s="63"/>
      <c r="E12" s="114"/>
      <c r="F12" s="4">
        <f>SUM(F13:F23)</f>
        <v>112216992</v>
      </c>
      <c r="G12" s="64">
        <f>SUM(F12/C12*100)</f>
        <v>4.836122172460515</v>
      </c>
      <c r="H12" s="4">
        <f>SUM(H13:H23)</f>
        <v>112216992</v>
      </c>
      <c r="I12" s="145">
        <f>SUM(H12/C12*100)</f>
        <v>4.836122172460515</v>
      </c>
      <c r="J12" s="64">
        <v>3</v>
      </c>
      <c r="K12" s="64">
        <f>(K13+K14+K15+K16+K17+K18+K19+K20+K21+K22+K23)/11</f>
        <v>4.665472505822962</v>
      </c>
      <c r="L12" s="4">
        <f>SUM(L13:L23)</f>
        <v>2208175008</v>
      </c>
      <c r="M12" s="63"/>
      <c r="N12" s="148"/>
    </row>
    <row r="13" spans="1:15" ht="12.75">
      <c r="A13" s="66">
        <v>1</v>
      </c>
      <c r="B13" s="47" t="s">
        <v>17</v>
      </c>
      <c r="C13" s="5">
        <v>1209000000</v>
      </c>
      <c r="D13" s="63"/>
      <c r="E13" s="63"/>
      <c r="F13" s="114">
        <v>81950400</v>
      </c>
      <c r="G13" s="37">
        <f>SUM(F13/C13*100)</f>
        <v>6.778362282878411</v>
      </c>
      <c r="H13" s="114">
        <v>81950400</v>
      </c>
      <c r="I13" s="145">
        <f aca="true" t="shared" si="0" ref="I13:I19">SUM(H13/C13*100)</f>
        <v>6.778362282878411</v>
      </c>
      <c r="J13" s="37">
        <v>3</v>
      </c>
      <c r="K13" s="37">
        <f>I13</f>
        <v>6.778362282878411</v>
      </c>
      <c r="L13" s="37">
        <f>C13-H13</f>
        <v>1127049600</v>
      </c>
      <c r="M13" s="63"/>
      <c r="N13" s="148"/>
      <c r="O13" s="1">
        <f>648845000/2320392000</f>
        <v>0.27962732159048986</v>
      </c>
    </row>
    <row r="14" spans="1:14" ht="12.75">
      <c r="A14" s="66">
        <v>2</v>
      </c>
      <c r="B14" s="47" t="s">
        <v>18</v>
      </c>
      <c r="C14" s="5">
        <v>132000000</v>
      </c>
      <c r="D14" s="63"/>
      <c r="E14" s="63"/>
      <c r="F14" s="5">
        <v>8838178</v>
      </c>
      <c r="G14" s="37">
        <f>SUM(F14/C14*100)</f>
        <v>6.695589393939394</v>
      </c>
      <c r="H14" s="5">
        <v>8838178</v>
      </c>
      <c r="I14" s="145">
        <f t="shared" si="0"/>
        <v>6.695589393939394</v>
      </c>
      <c r="J14" s="37">
        <v>3</v>
      </c>
      <c r="K14" s="37">
        <f aca="true" t="shared" si="1" ref="K14:K23">I14</f>
        <v>6.695589393939394</v>
      </c>
      <c r="L14" s="37">
        <f aca="true" t="shared" si="2" ref="L14:L23">C14-H14</f>
        <v>123161822</v>
      </c>
      <c r="M14" s="63"/>
      <c r="N14" s="148"/>
    </row>
    <row r="15" spans="1:14" ht="12.75">
      <c r="A15" s="66">
        <v>3</v>
      </c>
      <c r="B15" s="47" t="s">
        <v>19</v>
      </c>
      <c r="C15" s="5">
        <v>165000000</v>
      </c>
      <c r="D15" s="63"/>
      <c r="E15" s="63"/>
      <c r="F15" s="5">
        <v>11625000</v>
      </c>
      <c r="G15" s="37">
        <f aca="true" t="shared" si="3" ref="G15:G23">SUM(F15/C15*100)</f>
        <v>7.045454545454545</v>
      </c>
      <c r="H15" s="5">
        <v>11625000</v>
      </c>
      <c r="I15" s="145">
        <f t="shared" si="0"/>
        <v>7.045454545454545</v>
      </c>
      <c r="J15" s="37">
        <v>3</v>
      </c>
      <c r="K15" s="37">
        <f t="shared" si="1"/>
        <v>7.045454545454545</v>
      </c>
      <c r="L15" s="37">
        <f t="shared" si="2"/>
        <v>153375000</v>
      </c>
      <c r="M15" s="63"/>
      <c r="N15" s="148"/>
    </row>
    <row r="16" spans="1:14" ht="12.75">
      <c r="A16" s="66">
        <v>4</v>
      </c>
      <c r="B16" s="47" t="s">
        <v>20</v>
      </c>
      <c r="C16" s="5">
        <v>23000000</v>
      </c>
      <c r="D16" s="63"/>
      <c r="E16" s="63"/>
      <c r="F16" s="5">
        <v>1270000</v>
      </c>
      <c r="G16" s="37">
        <f t="shared" si="3"/>
        <v>5.521739130434783</v>
      </c>
      <c r="H16" s="5">
        <v>1270000</v>
      </c>
      <c r="I16" s="145">
        <f t="shared" si="0"/>
        <v>5.521739130434783</v>
      </c>
      <c r="J16" s="37">
        <v>3</v>
      </c>
      <c r="K16" s="37">
        <f t="shared" si="1"/>
        <v>5.521739130434783</v>
      </c>
      <c r="L16" s="37">
        <f t="shared" si="2"/>
        <v>21730000</v>
      </c>
      <c r="M16" s="63"/>
      <c r="N16" s="148"/>
    </row>
    <row r="17" spans="1:14" ht="12.75">
      <c r="A17" s="66">
        <v>5</v>
      </c>
      <c r="B17" s="47" t="s">
        <v>21</v>
      </c>
      <c r="C17" s="5">
        <v>64000000</v>
      </c>
      <c r="D17" s="63"/>
      <c r="E17" s="63"/>
      <c r="F17" s="5">
        <v>4852140</v>
      </c>
      <c r="G17" s="37">
        <f t="shared" si="3"/>
        <v>7.581468750000001</v>
      </c>
      <c r="H17" s="5">
        <v>4852140</v>
      </c>
      <c r="I17" s="145">
        <f t="shared" si="0"/>
        <v>7.581468750000001</v>
      </c>
      <c r="J17" s="37">
        <v>3</v>
      </c>
      <c r="K17" s="37">
        <f t="shared" si="1"/>
        <v>7.581468750000001</v>
      </c>
      <c r="L17" s="37">
        <f t="shared" si="2"/>
        <v>59147860</v>
      </c>
      <c r="M17" s="63"/>
      <c r="N17" s="148"/>
    </row>
    <row r="18" spans="1:14" ht="12.75">
      <c r="A18" s="66">
        <v>6</v>
      </c>
      <c r="B18" s="47" t="s">
        <v>22</v>
      </c>
      <c r="C18" s="5">
        <v>10045000</v>
      </c>
      <c r="D18" s="63"/>
      <c r="E18" s="63"/>
      <c r="F18" s="5">
        <v>169557</v>
      </c>
      <c r="G18" s="37">
        <f t="shared" si="3"/>
        <v>1.6879741164758586</v>
      </c>
      <c r="H18" s="5">
        <v>169557</v>
      </c>
      <c r="I18" s="145">
        <f t="shared" si="0"/>
        <v>1.6879741164758586</v>
      </c>
      <c r="J18" s="37">
        <v>3</v>
      </c>
      <c r="K18" s="37">
        <f t="shared" si="1"/>
        <v>1.6879741164758586</v>
      </c>
      <c r="L18" s="37">
        <f t="shared" si="2"/>
        <v>9875443</v>
      </c>
      <c r="M18" s="63"/>
      <c r="N18" s="148"/>
    </row>
    <row r="19" spans="1:14" ht="12.75">
      <c r="A19" s="66">
        <v>7</v>
      </c>
      <c r="B19" s="47" t="s">
        <v>23</v>
      </c>
      <c r="C19" s="5">
        <v>157000</v>
      </c>
      <c r="D19" s="63"/>
      <c r="E19" s="63"/>
      <c r="F19" s="5">
        <v>1339</v>
      </c>
      <c r="G19" s="37">
        <f t="shared" si="3"/>
        <v>0.8528662420382166</v>
      </c>
      <c r="H19" s="5">
        <v>1339</v>
      </c>
      <c r="I19" s="145">
        <f t="shared" si="0"/>
        <v>0.8528662420382166</v>
      </c>
      <c r="J19" s="37">
        <v>3</v>
      </c>
      <c r="K19" s="149">
        <f t="shared" si="1"/>
        <v>0.8528662420382166</v>
      </c>
      <c r="L19" s="37">
        <f t="shared" si="2"/>
        <v>155661</v>
      </c>
      <c r="M19" s="63"/>
      <c r="N19" s="148"/>
    </row>
    <row r="20" spans="1:14" ht="12.75">
      <c r="A20" s="66">
        <v>8</v>
      </c>
      <c r="B20" s="47" t="s">
        <v>24</v>
      </c>
      <c r="C20" s="5">
        <v>35000000</v>
      </c>
      <c r="D20" s="63"/>
      <c r="E20" s="63"/>
      <c r="F20" s="5">
        <v>2723658</v>
      </c>
      <c r="G20" s="37">
        <f t="shared" si="3"/>
        <v>7.781879999999999</v>
      </c>
      <c r="H20" s="5">
        <v>2723658</v>
      </c>
      <c r="I20" s="36">
        <f>SUM(H21/C20*100)</f>
        <v>0.56194</v>
      </c>
      <c r="J20" s="37">
        <v>3</v>
      </c>
      <c r="K20" s="37">
        <f t="shared" si="1"/>
        <v>0.56194</v>
      </c>
      <c r="L20" s="37">
        <f t="shared" si="2"/>
        <v>32276342</v>
      </c>
      <c r="M20" s="63"/>
      <c r="N20" s="148"/>
    </row>
    <row r="21" spans="1:14" ht="12.75">
      <c r="A21" s="66">
        <v>9</v>
      </c>
      <c r="B21" s="47" t="s">
        <v>25</v>
      </c>
      <c r="C21" s="5">
        <v>4305000</v>
      </c>
      <c r="D21" s="63"/>
      <c r="E21" s="63"/>
      <c r="F21" s="5">
        <v>196679</v>
      </c>
      <c r="G21" s="37">
        <f t="shared" si="3"/>
        <v>4.568617886178862</v>
      </c>
      <c r="H21" s="5">
        <v>196679</v>
      </c>
      <c r="I21" s="36">
        <f>SUM(H21/C21*100)</f>
        <v>4.568617886178862</v>
      </c>
      <c r="J21" s="37">
        <v>3</v>
      </c>
      <c r="K21" s="37">
        <f t="shared" si="1"/>
        <v>4.568617886178862</v>
      </c>
      <c r="L21" s="37">
        <f t="shared" si="2"/>
        <v>4108321</v>
      </c>
      <c r="M21" s="63"/>
      <c r="N21" s="148"/>
    </row>
    <row r="22" spans="1:14" ht="12.75">
      <c r="A22" s="66">
        <v>10</v>
      </c>
      <c r="B22" s="47" t="s">
        <v>26</v>
      </c>
      <c r="C22" s="5">
        <v>5885000</v>
      </c>
      <c r="D22" s="63"/>
      <c r="E22" s="63"/>
      <c r="F22" s="5">
        <v>590041</v>
      </c>
      <c r="G22" s="37">
        <f t="shared" si="3"/>
        <v>10.026185216652507</v>
      </c>
      <c r="H22" s="5">
        <v>590041</v>
      </c>
      <c r="I22" s="36">
        <f>SUM(H22/C22*100)</f>
        <v>10.026185216652507</v>
      </c>
      <c r="J22" s="37">
        <v>3</v>
      </c>
      <c r="K22" s="37">
        <f t="shared" si="1"/>
        <v>10.026185216652507</v>
      </c>
      <c r="L22" s="37">
        <f t="shared" si="2"/>
        <v>5294959</v>
      </c>
      <c r="M22" s="63"/>
      <c r="N22" s="148"/>
    </row>
    <row r="23" spans="1:14" ht="12.75">
      <c r="A23" s="66">
        <v>11</v>
      </c>
      <c r="B23" s="47" t="s">
        <v>27</v>
      </c>
      <c r="C23" s="5">
        <v>672000000</v>
      </c>
      <c r="D23" s="63"/>
      <c r="E23" s="63"/>
      <c r="F23" s="5"/>
      <c r="G23" s="37">
        <f t="shared" si="3"/>
        <v>0</v>
      </c>
      <c r="H23" s="5">
        <v>0</v>
      </c>
      <c r="I23" s="36">
        <f>SUM(H23/C23*100)</f>
        <v>0</v>
      </c>
      <c r="J23" s="37">
        <v>3</v>
      </c>
      <c r="K23" s="37">
        <f t="shared" si="1"/>
        <v>0</v>
      </c>
      <c r="L23" s="37">
        <f t="shared" si="2"/>
        <v>672000000</v>
      </c>
      <c r="M23" s="63"/>
      <c r="N23" s="148"/>
    </row>
    <row r="24" spans="1:16" ht="12.75">
      <c r="A24" s="66"/>
      <c r="B24" s="47"/>
      <c r="C24" s="5"/>
      <c r="D24" s="63"/>
      <c r="E24" s="63"/>
      <c r="F24" s="5"/>
      <c r="G24" s="37"/>
      <c r="H24" s="5"/>
      <c r="I24" s="36"/>
      <c r="J24" s="37"/>
      <c r="K24" s="37"/>
      <c r="L24" s="37"/>
      <c r="M24" s="63"/>
      <c r="N24" s="148"/>
      <c r="P24" s="120"/>
    </row>
    <row r="25" spans="1:14" ht="12.75">
      <c r="A25" s="61" t="s">
        <v>28</v>
      </c>
      <c r="B25" s="62" t="s">
        <v>29</v>
      </c>
      <c r="C25" s="67">
        <f>C26+C39+C47+C60+C65+C79+C84+C88</f>
        <v>9196607500</v>
      </c>
      <c r="D25" s="67">
        <f>D26+D39+D47+D60+D65+D79+D84+D88</f>
        <v>0</v>
      </c>
      <c r="E25" s="63"/>
      <c r="F25" s="67">
        <f>F26+F39+F47+F60+F65+F79+F84+F88</f>
        <v>35654656</v>
      </c>
      <c r="G25" s="6">
        <f aca="true" t="shared" si="4" ref="G25:G37">SUM(F25/C25*100)</f>
        <v>0.3876935706998477</v>
      </c>
      <c r="H25" s="67">
        <f>H26+H39+H47+H60+H65+H79+H84+H88</f>
        <v>35654656</v>
      </c>
      <c r="I25" s="8">
        <f>SUM(H25/C25*100)</f>
        <v>0.3876935706998477</v>
      </c>
      <c r="J25" s="6">
        <f>(J26+J39+J47+J60+J65+J79+J84+J88)/8</f>
        <v>16.34375</v>
      </c>
      <c r="K25" s="6">
        <f>(K26+K39+K47+K60+K65+K79+K84+K88)/8</f>
        <v>0.04363536107199195</v>
      </c>
      <c r="L25" s="67">
        <f>L26+L39+L47+L60+L65+L79+L84+L88</f>
        <v>9160952844</v>
      </c>
      <c r="M25" s="63"/>
      <c r="N25" s="148"/>
    </row>
    <row r="26" spans="1:15" ht="12.75">
      <c r="A26" s="68">
        <v>1</v>
      </c>
      <c r="B26" s="69" t="s">
        <v>30</v>
      </c>
      <c r="C26" s="67">
        <f>SUM(C27:C37)</f>
        <v>1362525500</v>
      </c>
      <c r="D26" s="67">
        <f>SUM(D27:D37)</f>
        <v>0</v>
      </c>
      <c r="E26" s="70"/>
      <c r="F26" s="6">
        <f>SUM(F27:F37)</f>
        <v>35654656</v>
      </c>
      <c r="G26" s="6">
        <f t="shared" si="4"/>
        <v>2.616806511144195</v>
      </c>
      <c r="H26" s="6">
        <f>SUM(H27:H37)</f>
        <v>35654656</v>
      </c>
      <c r="I26" s="8">
        <f aca="true" t="shared" si="5" ref="I26:I37">SUM(H26/C26*100)</f>
        <v>2.616806511144195</v>
      </c>
      <c r="J26" s="64">
        <v>3</v>
      </c>
      <c r="K26" s="64">
        <f>(K27+K28+K29+K30+K31+K32+K33+K34+K35+K36+K37)/11</f>
        <v>0.3490828885759356</v>
      </c>
      <c r="L26" s="6">
        <f>SUM(L27:L37)</f>
        <v>1326870844</v>
      </c>
      <c r="M26" s="56"/>
      <c r="N26" s="86"/>
      <c r="O26" s="153">
        <f>388296000/1362525500</f>
        <v>0.2849825562897722</v>
      </c>
    </row>
    <row r="27" spans="1:15" ht="12.75">
      <c r="A27" s="55">
        <v>1</v>
      </c>
      <c r="B27" s="55" t="s">
        <v>31</v>
      </c>
      <c r="C27" s="71">
        <v>6310000</v>
      </c>
      <c r="D27" s="72" t="s">
        <v>32</v>
      </c>
      <c r="E27" s="72" t="s">
        <v>32</v>
      </c>
      <c r="F27" s="71"/>
      <c r="G27" s="37">
        <f t="shared" si="4"/>
        <v>0</v>
      </c>
      <c r="H27" s="71"/>
      <c r="I27" s="36">
        <f t="shared" si="5"/>
        <v>0</v>
      </c>
      <c r="J27" s="37">
        <v>3</v>
      </c>
      <c r="K27" s="37">
        <f aca="true" t="shared" si="6" ref="K27:K42">I27</f>
        <v>0</v>
      </c>
      <c r="L27" s="37">
        <f>C27-H27</f>
        <v>6310000</v>
      </c>
      <c r="M27" s="37"/>
      <c r="N27" s="146"/>
      <c r="O27" s="121">
        <f>1800000/6310000</f>
        <v>0.28526148969889065</v>
      </c>
    </row>
    <row r="28" spans="1:17" ht="12.75">
      <c r="A28" s="55">
        <v>2</v>
      </c>
      <c r="B28" s="73" t="s">
        <v>76</v>
      </c>
      <c r="C28" s="71">
        <v>60000000</v>
      </c>
      <c r="D28" s="37"/>
      <c r="E28" s="37"/>
      <c r="F28" s="7"/>
      <c r="G28" s="37">
        <f t="shared" si="4"/>
        <v>0</v>
      </c>
      <c r="H28" s="7"/>
      <c r="I28" s="36">
        <f t="shared" si="5"/>
        <v>0</v>
      </c>
      <c r="J28" s="37">
        <v>4</v>
      </c>
      <c r="K28" s="37">
        <f t="shared" si="6"/>
        <v>0</v>
      </c>
      <c r="L28" s="37">
        <f aca="true" t="shared" si="7" ref="L28:L48">C28-H28</f>
        <v>60000000</v>
      </c>
      <c r="M28" s="37"/>
      <c r="N28" s="146"/>
      <c r="O28" s="121">
        <f>22500000/60000000</f>
        <v>0.375</v>
      </c>
      <c r="Q28" s="121"/>
    </row>
    <row r="29" spans="1:15" ht="12.75">
      <c r="A29" s="55">
        <v>3</v>
      </c>
      <c r="B29" s="55" t="s">
        <v>33</v>
      </c>
      <c r="C29" s="71">
        <v>31435000</v>
      </c>
      <c r="D29" s="37">
        <v>0</v>
      </c>
      <c r="E29" s="37">
        <v>0</v>
      </c>
      <c r="F29" s="7"/>
      <c r="G29" s="37">
        <f t="shared" si="4"/>
        <v>0</v>
      </c>
      <c r="H29" s="7"/>
      <c r="I29" s="36">
        <f t="shared" si="5"/>
        <v>0</v>
      </c>
      <c r="J29" s="37">
        <v>3</v>
      </c>
      <c r="K29" s="37">
        <f t="shared" si="6"/>
        <v>0</v>
      </c>
      <c r="L29" s="37">
        <f t="shared" si="7"/>
        <v>31435000</v>
      </c>
      <c r="M29" s="37"/>
      <c r="N29" s="146"/>
      <c r="O29" s="121">
        <f>8610000/31435000</f>
        <v>0.27389852075711785</v>
      </c>
    </row>
    <row r="30" spans="1:15" ht="12.75">
      <c r="A30" s="55">
        <v>4</v>
      </c>
      <c r="B30" s="73" t="s">
        <v>34</v>
      </c>
      <c r="C30" s="71">
        <v>55000000</v>
      </c>
      <c r="D30" s="37">
        <v>0</v>
      </c>
      <c r="E30" s="37">
        <v>0</v>
      </c>
      <c r="F30" s="7"/>
      <c r="G30" s="37">
        <f t="shared" si="4"/>
        <v>0</v>
      </c>
      <c r="H30" s="7"/>
      <c r="I30" s="36">
        <f t="shared" si="5"/>
        <v>0</v>
      </c>
      <c r="J30" s="37">
        <v>4</v>
      </c>
      <c r="K30" s="37">
        <f t="shared" si="6"/>
        <v>0</v>
      </c>
      <c r="L30" s="37">
        <f t="shared" si="7"/>
        <v>55000000</v>
      </c>
      <c r="M30" s="37"/>
      <c r="N30" s="146"/>
      <c r="O30" s="121">
        <f>20583000/55000000</f>
        <v>0.37423636363636364</v>
      </c>
    </row>
    <row r="31" spans="1:15" ht="12.75">
      <c r="A31" s="55">
        <v>5</v>
      </c>
      <c r="B31" s="73" t="s">
        <v>35</v>
      </c>
      <c r="C31" s="71">
        <v>26676500</v>
      </c>
      <c r="D31" s="37">
        <v>0</v>
      </c>
      <c r="E31" s="37">
        <v>0</v>
      </c>
      <c r="F31" s="7"/>
      <c r="G31" s="37">
        <f t="shared" si="4"/>
        <v>0</v>
      </c>
      <c r="H31" s="7"/>
      <c r="I31" s="36">
        <f t="shared" si="5"/>
        <v>0</v>
      </c>
      <c r="J31" s="37">
        <v>3</v>
      </c>
      <c r="K31" s="37">
        <f t="shared" si="6"/>
        <v>0</v>
      </c>
      <c r="L31" s="37">
        <f t="shared" si="7"/>
        <v>26676500</v>
      </c>
      <c r="M31" s="37"/>
      <c r="N31" s="146"/>
      <c r="O31" s="121">
        <f>7232000/26676500</f>
        <v>0.27110003186325043</v>
      </c>
    </row>
    <row r="32" spans="1:15" ht="12.75">
      <c r="A32" s="55">
        <v>6</v>
      </c>
      <c r="B32" s="73" t="s">
        <v>36</v>
      </c>
      <c r="C32" s="71">
        <v>4000000</v>
      </c>
      <c r="D32" s="37">
        <v>0</v>
      </c>
      <c r="E32" s="37">
        <v>0</v>
      </c>
      <c r="F32" s="7"/>
      <c r="G32" s="37">
        <f t="shared" si="4"/>
        <v>0</v>
      </c>
      <c r="H32" s="7"/>
      <c r="I32" s="36">
        <f t="shared" si="5"/>
        <v>0</v>
      </c>
      <c r="J32" s="37">
        <v>5</v>
      </c>
      <c r="K32" s="37">
        <f t="shared" si="6"/>
        <v>0</v>
      </c>
      <c r="L32" s="37">
        <f t="shared" si="7"/>
        <v>4000000</v>
      </c>
      <c r="M32" s="37"/>
      <c r="N32" s="146"/>
      <c r="O32" s="121">
        <f>2000000/4000000</f>
        <v>0.5</v>
      </c>
    </row>
    <row r="33" spans="1:15" ht="12.75">
      <c r="A33" s="55">
        <v>7</v>
      </c>
      <c r="B33" s="73" t="s">
        <v>37</v>
      </c>
      <c r="C33" s="71">
        <v>13076000</v>
      </c>
      <c r="D33" s="37">
        <v>0</v>
      </c>
      <c r="E33" s="37">
        <v>0</v>
      </c>
      <c r="F33" s="7"/>
      <c r="G33" s="37">
        <f t="shared" si="4"/>
        <v>0</v>
      </c>
      <c r="H33" s="7"/>
      <c r="I33" s="36">
        <f t="shared" si="5"/>
        <v>0</v>
      </c>
      <c r="J33" s="37">
        <v>7</v>
      </c>
      <c r="K33" s="37">
        <f t="shared" si="6"/>
        <v>0</v>
      </c>
      <c r="L33" s="37">
        <f t="shared" si="7"/>
        <v>13076000</v>
      </c>
      <c r="M33" s="37"/>
      <c r="N33" s="146"/>
      <c r="O33" s="121">
        <f>9000000/13076000</f>
        <v>0.6882838788620373</v>
      </c>
    </row>
    <row r="34" spans="1:15" ht="12.75">
      <c r="A34" s="55">
        <v>8</v>
      </c>
      <c r="B34" s="73" t="s">
        <v>38</v>
      </c>
      <c r="C34" s="71">
        <v>7500000</v>
      </c>
      <c r="D34" s="37">
        <v>0</v>
      </c>
      <c r="E34" s="37">
        <v>0</v>
      </c>
      <c r="F34" s="7"/>
      <c r="G34" s="37">
        <f t="shared" si="4"/>
        <v>0</v>
      </c>
      <c r="H34" s="7"/>
      <c r="I34" s="36">
        <f t="shared" si="5"/>
        <v>0</v>
      </c>
      <c r="J34" s="37">
        <v>4</v>
      </c>
      <c r="K34" s="37">
        <f t="shared" si="6"/>
        <v>0</v>
      </c>
      <c r="L34" s="37">
        <f t="shared" si="7"/>
        <v>7500000</v>
      </c>
      <c r="M34" s="37"/>
      <c r="N34" s="146"/>
      <c r="O34" s="121">
        <f>2625000/7500000</f>
        <v>0.35</v>
      </c>
    </row>
    <row r="35" spans="1:15" ht="12.75">
      <c r="A35" s="55">
        <v>9</v>
      </c>
      <c r="B35" s="73" t="s">
        <v>39</v>
      </c>
      <c r="C35" s="71">
        <v>30000000</v>
      </c>
      <c r="D35" s="37">
        <v>0</v>
      </c>
      <c r="E35" s="37">
        <v>0</v>
      </c>
      <c r="F35" s="7"/>
      <c r="G35" s="37">
        <f t="shared" si="4"/>
        <v>0</v>
      </c>
      <c r="H35" s="7"/>
      <c r="I35" s="36">
        <f t="shared" si="5"/>
        <v>0</v>
      </c>
      <c r="J35" s="37">
        <v>4</v>
      </c>
      <c r="K35" s="37">
        <f t="shared" si="6"/>
        <v>0</v>
      </c>
      <c r="L35" s="37">
        <f t="shared" si="7"/>
        <v>30000000</v>
      </c>
      <c r="M35" s="37"/>
      <c r="N35" s="146"/>
      <c r="O35" s="121">
        <f>10520000/30000000</f>
        <v>0.3506666666666667</v>
      </c>
    </row>
    <row r="36" spans="1:15" ht="12.75">
      <c r="A36" s="55">
        <v>10</v>
      </c>
      <c r="B36" s="73" t="s">
        <v>40</v>
      </c>
      <c r="C36" s="71">
        <v>200000000</v>
      </c>
      <c r="D36" s="37">
        <v>0</v>
      </c>
      <c r="E36" s="37">
        <v>0</v>
      </c>
      <c r="F36" s="7"/>
      <c r="G36" s="37">
        <f t="shared" si="4"/>
        <v>0</v>
      </c>
      <c r="H36" s="7"/>
      <c r="I36" s="36">
        <f t="shared" si="5"/>
        <v>0</v>
      </c>
      <c r="J36" s="37">
        <v>4</v>
      </c>
      <c r="K36" s="37">
        <f t="shared" si="6"/>
        <v>0</v>
      </c>
      <c r="L36" s="37">
        <f t="shared" si="7"/>
        <v>200000000</v>
      </c>
      <c r="M36" s="37"/>
      <c r="N36" s="146"/>
      <c r="O36" s="121">
        <f>70000000/200000000</f>
        <v>0.35</v>
      </c>
    </row>
    <row r="37" spans="1:15" ht="12.75">
      <c r="A37" s="55">
        <v>11</v>
      </c>
      <c r="B37" s="73" t="s">
        <v>41</v>
      </c>
      <c r="C37" s="71">
        <v>928528000</v>
      </c>
      <c r="D37" s="37">
        <v>0</v>
      </c>
      <c r="E37" s="37">
        <v>0</v>
      </c>
      <c r="F37" s="7">
        <v>35654656</v>
      </c>
      <c r="G37" s="37">
        <f t="shared" si="4"/>
        <v>3.8399117743352917</v>
      </c>
      <c r="H37" s="7">
        <v>35654656</v>
      </c>
      <c r="I37" s="36">
        <f t="shared" si="5"/>
        <v>3.8399117743352917</v>
      </c>
      <c r="J37" s="37">
        <v>3</v>
      </c>
      <c r="K37" s="37">
        <f t="shared" si="6"/>
        <v>3.8399117743352917</v>
      </c>
      <c r="L37" s="37">
        <f t="shared" si="7"/>
        <v>892873344</v>
      </c>
      <c r="M37" s="37"/>
      <c r="N37" s="146"/>
      <c r="O37" s="121">
        <f>233426000/928528000</f>
        <v>0.2513936036393087</v>
      </c>
    </row>
    <row r="38" spans="1:14" ht="12.75">
      <c r="A38" s="74"/>
      <c r="B38" s="75"/>
      <c r="C38" s="71"/>
      <c r="D38" s="37"/>
      <c r="E38" s="37"/>
      <c r="F38" s="7"/>
      <c r="G38" s="37"/>
      <c r="H38" s="7"/>
      <c r="I38" s="36"/>
      <c r="J38" s="37"/>
      <c r="K38" s="37">
        <f t="shared" si="6"/>
        <v>0</v>
      </c>
      <c r="L38" s="37">
        <f t="shared" si="7"/>
        <v>0</v>
      </c>
      <c r="M38" s="37"/>
      <c r="N38" s="146"/>
    </row>
    <row r="39" spans="1:15" ht="12.75">
      <c r="A39" s="62">
        <v>2</v>
      </c>
      <c r="B39" s="69" t="s">
        <v>42</v>
      </c>
      <c r="C39" s="39">
        <f>C40+C41+C42+C43+C44+C45</f>
        <v>761012000</v>
      </c>
      <c r="D39" s="39">
        <f>SUM(D40:D45)</f>
        <v>0</v>
      </c>
      <c r="E39" s="6"/>
      <c r="F39" s="39">
        <f>F40+F41+F42+F43+F44+F45</f>
        <v>0</v>
      </c>
      <c r="G39" s="6">
        <f aca="true" t="shared" si="8" ref="G39:G45">SUM(F39/C39*100)</f>
        <v>0</v>
      </c>
      <c r="H39" s="39">
        <f>H40+H41+H42+H43+H44+H45</f>
        <v>0</v>
      </c>
      <c r="I39" s="30">
        <f aca="true" t="shared" si="9" ref="I39:I45">SUM(H39/C39*100)</f>
        <v>0</v>
      </c>
      <c r="J39" s="147">
        <f>SUM(J40:J45)/6</f>
        <v>7.333333333333333</v>
      </c>
      <c r="K39" s="39">
        <f>(K40+K41+K42+K43+K44+K45)/6</f>
        <v>0</v>
      </c>
      <c r="L39" s="37">
        <f t="shared" si="7"/>
        <v>761012000</v>
      </c>
      <c r="M39" s="6"/>
      <c r="N39" s="128"/>
      <c r="O39" s="121"/>
    </row>
    <row r="40" spans="1:15" ht="12.75">
      <c r="A40" s="66">
        <v>1</v>
      </c>
      <c r="B40" s="73" t="s">
        <v>43</v>
      </c>
      <c r="C40" s="71">
        <v>85000000</v>
      </c>
      <c r="D40" s="37"/>
      <c r="E40" s="37"/>
      <c r="F40" s="71"/>
      <c r="G40" s="37">
        <f t="shared" si="8"/>
        <v>0</v>
      </c>
      <c r="H40" s="71"/>
      <c r="I40" s="36">
        <f t="shared" si="9"/>
        <v>0</v>
      </c>
      <c r="J40" s="37">
        <v>9</v>
      </c>
      <c r="K40" s="37">
        <f t="shared" si="6"/>
        <v>0</v>
      </c>
      <c r="L40" s="37">
        <f t="shared" si="7"/>
        <v>85000000</v>
      </c>
      <c r="M40" s="37"/>
      <c r="N40" s="146"/>
      <c r="O40" s="121">
        <f>83250000/85000000</f>
        <v>0.9794117647058823</v>
      </c>
    </row>
    <row r="41" spans="1:15" ht="12.75">
      <c r="A41" s="66">
        <v>2</v>
      </c>
      <c r="B41" s="73" t="s">
        <v>44</v>
      </c>
      <c r="C41" s="71">
        <v>45000000</v>
      </c>
      <c r="D41" s="37"/>
      <c r="E41" s="37"/>
      <c r="F41" s="71"/>
      <c r="G41" s="37">
        <f t="shared" si="8"/>
        <v>0</v>
      </c>
      <c r="H41" s="71"/>
      <c r="I41" s="36">
        <f t="shared" si="9"/>
        <v>0</v>
      </c>
      <c r="J41" s="37">
        <v>10</v>
      </c>
      <c r="K41" s="37">
        <f t="shared" si="6"/>
        <v>0</v>
      </c>
      <c r="L41" s="37">
        <f t="shared" si="7"/>
        <v>45000000</v>
      </c>
      <c r="M41" s="37"/>
      <c r="N41" s="146"/>
      <c r="O41" s="121">
        <f>45000000/45000000</f>
        <v>1</v>
      </c>
    </row>
    <row r="42" spans="1:15" ht="12.75">
      <c r="A42" s="66">
        <v>3</v>
      </c>
      <c r="B42" s="73" t="s">
        <v>45</v>
      </c>
      <c r="C42" s="71">
        <v>239382000</v>
      </c>
      <c r="D42" s="37"/>
      <c r="E42" s="37"/>
      <c r="F42" s="71"/>
      <c r="G42" s="37">
        <f t="shared" si="8"/>
        <v>0</v>
      </c>
      <c r="H42" s="71"/>
      <c r="I42" s="36">
        <f t="shared" si="9"/>
        <v>0</v>
      </c>
      <c r="J42" s="37">
        <v>7</v>
      </c>
      <c r="K42" s="37">
        <f t="shared" si="6"/>
        <v>0</v>
      </c>
      <c r="L42" s="37">
        <f t="shared" si="7"/>
        <v>239382000</v>
      </c>
      <c r="M42" s="37"/>
      <c r="N42" s="146"/>
      <c r="O42" s="121">
        <f>170000000/239382000</f>
        <v>0.7101620004845811</v>
      </c>
    </row>
    <row r="43" spans="1:15" ht="12.75">
      <c r="A43" s="66">
        <v>4</v>
      </c>
      <c r="B43" s="73" t="s">
        <v>46</v>
      </c>
      <c r="C43" s="71">
        <v>370980000</v>
      </c>
      <c r="D43" s="37"/>
      <c r="E43" s="37"/>
      <c r="F43" s="7"/>
      <c r="G43" s="37">
        <f t="shared" si="8"/>
        <v>0</v>
      </c>
      <c r="H43" s="7"/>
      <c r="I43" s="36">
        <f t="shared" si="9"/>
        <v>0</v>
      </c>
      <c r="J43" s="37">
        <v>3</v>
      </c>
      <c r="K43" s="37">
        <f>I43</f>
        <v>0</v>
      </c>
      <c r="L43" s="37">
        <f t="shared" si="7"/>
        <v>370980000</v>
      </c>
      <c r="M43" s="37"/>
      <c r="N43" s="146"/>
      <c r="O43" s="121">
        <f>113757000/370980000</f>
        <v>0.3066391719230147</v>
      </c>
    </row>
    <row r="44" spans="1:15" ht="12.75">
      <c r="A44" s="66">
        <v>5</v>
      </c>
      <c r="B44" s="73" t="s">
        <v>47</v>
      </c>
      <c r="C44" s="71">
        <v>13050000</v>
      </c>
      <c r="D44" s="37">
        <v>0</v>
      </c>
      <c r="E44" s="37">
        <v>0</v>
      </c>
      <c r="F44" s="7"/>
      <c r="G44" s="37">
        <f t="shared" si="8"/>
        <v>0</v>
      </c>
      <c r="H44" s="7"/>
      <c r="I44" s="36">
        <f t="shared" si="9"/>
        <v>0</v>
      </c>
      <c r="J44" s="37">
        <v>5</v>
      </c>
      <c r="K44" s="37">
        <f>I44</f>
        <v>0</v>
      </c>
      <c r="L44" s="37">
        <f t="shared" si="7"/>
        <v>13050000</v>
      </c>
      <c r="M44" s="37"/>
      <c r="N44" s="146"/>
      <c r="O44" s="121">
        <f>6000000/13050000</f>
        <v>0.45977011494252873</v>
      </c>
    </row>
    <row r="45" spans="1:15" ht="12.75">
      <c r="A45" s="66">
        <v>6</v>
      </c>
      <c r="B45" s="73" t="s">
        <v>48</v>
      </c>
      <c r="C45" s="71">
        <v>7600000</v>
      </c>
      <c r="D45" s="37"/>
      <c r="E45" s="37"/>
      <c r="F45" s="71"/>
      <c r="G45" s="37">
        <f t="shared" si="8"/>
        <v>0</v>
      </c>
      <c r="H45" s="71"/>
      <c r="I45" s="36">
        <f t="shared" si="9"/>
        <v>0</v>
      </c>
      <c r="J45" s="37">
        <v>10</v>
      </c>
      <c r="K45" s="37">
        <f>I45</f>
        <v>0</v>
      </c>
      <c r="L45" s="37">
        <f t="shared" si="7"/>
        <v>7600000</v>
      </c>
      <c r="M45" s="37"/>
      <c r="N45" s="146"/>
      <c r="O45" s="121">
        <f>7600000/7600000</f>
        <v>1</v>
      </c>
    </row>
    <row r="46" spans="1:14" ht="12.75">
      <c r="A46" s="66"/>
      <c r="B46" s="73"/>
      <c r="C46" s="71"/>
      <c r="D46" s="37"/>
      <c r="E46" s="37"/>
      <c r="F46" s="7"/>
      <c r="G46" s="37"/>
      <c r="H46" s="7"/>
      <c r="I46" s="36"/>
      <c r="J46" s="37"/>
      <c r="K46" s="37"/>
      <c r="L46" s="37">
        <f t="shared" si="7"/>
        <v>0</v>
      </c>
      <c r="M46" s="37"/>
      <c r="N46" s="146"/>
    </row>
    <row r="47" spans="1:14" ht="12.75">
      <c r="A47" s="62">
        <v>3</v>
      </c>
      <c r="B47" s="69" t="s">
        <v>49</v>
      </c>
      <c r="C47" s="39">
        <f>C48</f>
        <v>74570000</v>
      </c>
      <c r="D47" s="39">
        <f>D48</f>
        <v>0</v>
      </c>
      <c r="E47" s="39">
        <f>E48</f>
        <v>0</v>
      </c>
      <c r="F47" s="8">
        <f>F48</f>
        <v>0</v>
      </c>
      <c r="G47" s="6">
        <f>SUM(F47/C47*100)</f>
        <v>0</v>
      </c>
      <c r="H47" s="8">
        <f>H48</f>
        <v>0</v>
      </c>
      <c r="I47" s="65">
        <f>SUM(H47/C47*100)</f>
        <v>0</v>
      </c>
      <c r="J47" s="64">
        <v>100</v>
      </c>
      <c r="K47" s="8">
        <f>K48/1</f>
        <v>0</v>
      </c>
      <c r="L47" s="37">
        <f t="shared" si="7"/>
        <v>74570000</v>
      </c>
      <c r="M47" s="6"/>
      <c r="N47" s="128"/>
    </row>
    <row r="48" spans="1:15" ht="12.75">
      <c r="A48" s="55"/>
      <c r="B48" s="76" t="s">
        <v>50</v>
      </c>
      <c r="C48" s="9">
        <v>74570000</v>
      </c>
      <c r="D48" s="37">
        <v>0</v>
      </c>
      <c r="E48" s="37">
        <v>0</v>
      </c>
      <c r="F48" s="10"/>
      <c r="G48" s="37">
        <f>SUM(F48/C48*100)</f>
        <v>0</v>
      </c>
      <c r="H48" s="10"/>
      <c r="I48" s="36">
        <f>SUM(H48/C48*100)</f>
        <v>0</v>
      </c>
      <c r="J48" s="37">
        <v>100</v>
      </c>
      <c r="K48" s="37">
        <f>I48</f>
        <v>0</v>
      </c>
      <c r="L48" s="37">
        <f t="shared" si="7"/>
        <v>74570000</v>
      </c>
      <c r="M48" s="56"/>
      <c r="N48" s="86"/>
      <c r="O48" s="142">
        <f>C48/74570000</f>
        <v>1</v>
      </c>
    </row>
    <row r="49" spans="2:14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57"/>
    </row>
    <row r="50" spans="1:14" ht="12.75">
      <c r="A50" s="77"/>
      <c r="B50" s="12"/>
      <c r="C50" s="78"/>
      <c r="D50" s="79"/>
      <c r="E50" s="79"/>
      <c r="F50" s="13"/>
      <c r="G50" s="14"/>
      <c r="H50" s="13"/>
      <c r="I50" s="14"/>
      <c r="J50" s="80"/>
      <c r="K50" s="80"/>
      <c r="L50" s="80"/>
      <c r="M50" s="81"/>
      <c r="N50" s="86"/>
    </row>
    <row r="51" spans="1:14" ht="12.75">
      <c r="A51" s="82"/>
      <c r="B51" s="15"/>
      <c r="C51" s="83"/>
      <c r="D51" s="84"/>
      <c r="E51" s="84"/>
      <c r="F51" s="16"/>
      <c r="G51" s="17"/>
      <c r="H51" s="16"/>
      <c r="I51" s="17"/>
      <c r="J51" s="85"/>
      <c r="K51" s="85"/>
      <c r="L51" s="85"/>
      <c r="M51" s="86"/>
      <c r="N51" s="86"/>
    </row>
    <row r="52" spans="1:14" ht="12.75">
      <c r="A52" s="82"/>
      <c r="B52" s="15"/>
      <c r="C52" s="83"/>
      <c r="D52" s="84"/>
      <c r="E52" s="84"/>
      <c r="F52" s="16"/>
      <c r="G52" s="17"/>
      <c r="H52" s="16"/>
      <c r="I52" s="17"/>
      <c r="J52" s="85"/>
      <c r="K52" s="85"/>
      <c r="L52" s="85"/>
      <c r="M52" s="86"/>
      <c r="N52" s="86"/>
    </row>
    <row r="53" spans="1:14" ht="12.75">
      <c r="A53" s="82"/>
      <c r="B53" s="15"/>
      <c r="C53" s="83"/>
      <c r="D53" s="84"/>
      <c r="E53" s="84"/>
      <c r="F53" s="16"/>
      <c r="G53" s="17"/>
      <c r="H53" s="16"/>
      <c r="I53" s="17"/>
      <c r="J53" s="85"/>
      <c r="K53" s="85"/>
      <c r="L53" s="85"/>
      <c r="M53" s="86"/>
      <c r="N53" s="86"/>
    </row>
    <row r="54" spans="1:14" ht="12.75">
      <c r="A54" s="87"/>
      <c r="B54" s="18"/>
      <c r="C54" s="88"/>
      <c r="D54" s="89"/>
      <c r="E54" s="89"/>
      <c r="F54" s="19"/>
      <c r="G54" s="20"/>
      <c r="H54" s="19"/>
      <c r="I54" s="20"/>
      <c r="J54" s="90"/>
      <c r="K54" s="90"/>
      <c r="L54" s="90"/>
      <c r="M54" s="91"/>
      <c r="N54" s="86"/>
    </row>
    <row r="55" spans="1:14" ht="12.75">
      <c r="A55" s="808" t="s">
        <v>2</v>
      </c>
      <c r="B55" s="808" t="s">
        <v>3</v>
      </c>
      <c r="C55" s="808" t="s">
        <v>4</v>
      </c>
      <c r="D55" s="808" t="s">
        <v>5</v>
      </c>
      <c r="E55" s="808" t="s">
        <v>6</v>
      </c>
      <c r="F55" s="816" t="s">
        <v>7</v>
      </c>
      <c r="G55" s="817"/>
      <c r="H55" s="817"/>
      <c r="I55" s="818"/>
      <c r="J55" s="816" t="s">
        <v>8</v>
      </c>
      <c r="K55" s="818"/>
      <c r="L55" s="805" t="s">
        <v>87</v>
      </c>
      <c r="M55" s="808" t="s">
        <v>9</v>
      </c>
      <c r="N55" s="155"/>
    </row>
    <row r="56" spans="1:14" ht="12.75">
      <c r="A56" s="806"/>
      <c r="B56" s="806"/>
      <c r="C56" s="806"/>
      <c r="D56" s="814"/>
      <c r="E56" s="806"/>
      <c r="F56" s="809" t="s">
        <v>10</v>
      </c>
      <c r="G56" s="808" t="s">
        <v>11</v>
      </c>
      <c r="H56" s="808" t="s">
        <v>12</v>
      </c>
      <c r="I56" s="808" t="s">
        <v>11</v>
      </c>
      <c r="J56" s="808" t="s">
        <v>13</v>
      </c>
      <c r="K56" s="808" t="s">
        <v>14</v>
      </c>
      <c r="L56" s="806"/>
      <c r="M56" s="806"/>
      <c r="N56" s="155"/>
    </row>
    <row r="57" spans="1:14" ht="12.75">
      <c r="A57" s="807"/>
      <c r="B57" s="807"/>
      <c r="C57" s="807"/>
      <c r="D57" s="815"/>
      <c r="E57" s="807"/>
      <c r="F57" s="810"/>
      <c r="G57" s="807"/>
      <c r="H57" s="807"/>
      <c r="I57" s="807"/>
      <c r="J57" s="807"/>
      <c r="K57" s="807"/>
      <c r="L57" s="807"/>
      <c r="M57" s="807"/>
      <c r="N57" s="155"/>
    </row>
    <row r="58" spans="1:14" ht="12.75">
      <c r="A58" s="2">
        <v>1</v>
      </c>
      <c r="B58" s="2">
        <v>2</v>
      </c>
      <c r="C58" s="2">
        <v>3</v>
      </c>
      <c r="D58" s="2">
        <v>4</v>
      </c>
      <c r="E58" s="2">
        <v>5</v>
      </c>
      <c r="F58" s="2">
        <v>6</v>
      </c>
      <c r="G58" s="2">
        <v>7</v>
      </c>
      <c r="H58" s="2">
        <v>8</v>
      </c>
      <c r="I58" s="2">
        <v>9</v>
      </c>
      <c r="J58" s="2">
        <v>10</v>
      </c>
      <c r="K58" s="2">
        <v>11</v>
      </c>
      <c r="L58" s="2"/>
      <c r="M58" s="2">
        <v>12</v>
      </c>
      <c r="N58" s="156"/>
    </row>
    <row r="59" spans="1:14" ht="12.75">
      <c r="A59" s="55"/>
      <c r="B59" s="21"/>
      <c r="C59" s="22"/>
      <c r="D59" s="32"/>
      <c r="E59" s="32"/>
      <c r="F59" s="23"/>
      <c r="G59" s="32"/>
      <c r="H59" s="23"/>
      <c r="I59" s="57"/>
      <c r="J59" s="56"/>
      <c r="K59" s="56"/>
      <c r="L59" s="95"/>
      <c r="M59" s="92"/>
      <c r="N59" s="86"/>
    </row>
    <row r="60" spans="1:14" ht="12.75">
      <c r="A60" s="93">
        <v>4</v>
      </c>
      <c r="B60" s="24" t="s">
        <v>51</v>
      </c>
      <c r="C60" s="25">
        <f>C61+C62+C63</f>
        <v>4830000000</v>
      </c>
      <c r="D60" s="25">
        <f>D61+D62+D63</f>
        <v>0</v>
      </c>
      <c r="E60" s="25"/>
      <c r="F60" s="25">
        <f>F61+F62+F63</f>
        <v>0</v>
      </c>
      <c r="G60" s="6">
        <f>SUM(F60/C60*100)</f>
        <v>0</v>
      </c>
      <c r="H60" s="25">
        <f>H61+H62+H63</f>
        <v>0</v>
      </c>
      <c r="I60" s="8">
        <f>SUM(H60/C60*100)</f>
        <v>0</v>
      </c>
      <c r="J60" s="25">
        <f>(J61+J62+J63)/3</f>
        <v>1.3333333333333333</v>
      </c>
      <c r="K60" s="25">
        <f>(K61+K62+K63)/4</f>
        <v>0</v>
      </c>
      <c r="L60" s="154">
        <f>C60-H60</f>
        <v>4830000000</v>
      </c>
      <c r="M60" s="56"/>
      <c r="N60" s="86"/>
    </row>
    <row r="61" spans="1:15" ht="12.75">
      <c r="A61" s="55">
        <v>1</v>
      </c>
      <c r="B61" s="21" t="s">
        <v>52</v>
      </c>
      <c r="C61" s="22">
        <v>3930000000</v>
      </c>
      <c r="D61" s="22"/>
      <c r="E61" s="22"/>
      <c r="F61" s="22"/>
      <c r="G61" s="32">
        <f>SUM(F61/C61*100)</f>
        <v>0</v>
      </c>
      <c r="H61" s="22"/>
      <c r="I61" s="57">
        <f>SUM(H61/C61*100)</f>
        <v>0</v>
      </c>
      <c r="J61" s="37">
        <v>1</v>
      </c>
      <c r="K61" s="32">
        <f>I61</f>
        <v>0</v>
      </c>
      <c r="L61" s="154">
        <f aca="true" t="shared" si="10" ref="L61:L89">C61-H61</f>
        <v>3930000000</v>
      </c>
      <c r="M61" s="56"/>
      <c r="N61" s="86"/>
      <c r="O61" s="121">
        <f>70000000/3930000000</f>
        <v>0.017811704834605598</v>
      </c>
    </row>
    <row r="62" spans="1:15" ht="12.75">
      <c r="A62" s="55">
        <v>2</v>
      </c>
      <c r="B62" s="21" t="s">
        <v>53</v>
      </c>
      <c r="C62" s="22">
        <v>750000000</v>
      </c>
      <c r="D62" s="32"/>
      <c r="E62" s="32"/>
      <c r="F62" s="26"/>
      <c r="G62" s="32">
        <f>SUM(F62/C62*100)</f>
        <v>0</v>
      </c>
      <c r="H62" s="26"/>
      <c r="I62" s="57">
        <f>SUM(H62/C62*100)</f>
        <v>0</v>
      </c>
      <c r="J62" s="32">
        <v>3</v>
      </c>
      <c r="K62" s="32">
        <f>I62</f>
        <v>0</v>
      </c>
      <c r="L62" s="154">
        <f t="shared" si="10"/>
        <v>750000000</v>
      </c>
      <c r="M62" s="37"/>
      <c r="N62" s="146"/>
      <c r="O62" s="121">
        <f>188976000/750000000</f>
        <v>0.251968</v>
      </c>
    </row>
    <row r="63" spans="1:15" ht="12.75">
      <c r="A63" s="55">
        <v>3</v>
      </c>
      <c r="B63" s="21" t="s">
        <v>54</v>
      </c>
      <c r="C63" s="22">
        <v>150000000</v>
      </c>
      <c r="D63" s="32"/>
      <c r="E63" s="32"/>
      <c r="F63" s="26"/>
      <c r="G63" s="32">
        <f>SUM(F63/C63*100)</f>
        <v>0</v>
      </c>
      <c r="H63" s="26"/>
      <c r="I63" s="57">
        <f>SUM(H63/C63*100)</f>
        <v>0</v>
      </c>
      <c r="J63" s="32">
        <v>0</v>
      </c>
      <c r="K63" s="32">
        <f>I63</f>
        <v>0</v>
      </c>
      <c r="L63" s="154">
        <f t="shared" si="10"/>
        <v>150000000</v>
      </c>
      <c r="M63" s="56"/>
      <c r="N63" s="86"/>
      <c r="O63" s="1">
        <f>0/150000000</f>
        <v>0</v>
      </c>
    </row>
    <row r="64" spans="1:14" ht="12.75">
      <c r="A64" s="94"/>
      <c r="B64" s="27"/>
      <c r="C64" s="28"/>
      <c r="D64" s="33"/>
      <c r="E64" s="33"/>
      <c r="F64" s="29"/>
      <c r="G64" s="33"/>
      <c r="H64" s="29"/>
      <c r="I64" s="57"/>
      <c r="J64" s="95"/>
      <c r="K64" s="95"/>
      <c r="L64" s="154">
        <f t="shared" si="10"/>
        <v>0</v>
      </c>
      <c r="M64" s="95"/>
      <c r="N64" s="86"/>
    </row>
    <row r="65" spans="1:15" ht="12.75">
      <c r="A65" s="96">
        <v>5</v>
      </c>
      <c r="B65" s="97" t="s">
        <v>56</v>
      </c>
      <c r="C65" s="48">
        <f>SUM(C66:C77)</f>
        <v>1208500000</v>
      </c>
      <c r="D65" s="48">
        <f>D66+D67+D68+D71+D72+D74+D75+D77</f>
        <v>0</v>
      </c>
      <c r="E65" s="48"/>
      <c r="F65" s="48">
        <f>F66+F67+F68+F69+F70+F71+F72+F74+F75+F76+F77</f>
        <v>0</v>
      </c>
      <c r="G65" s="31">
        <f aca="true" t="shared" si="11" ref="G65:G72">SUM(F65/C65*100)</f>
        <v>0</v>
      </c>
      <c r="H65" s="48">
        <f>H66+H67+H68+H69+H70+H71+H72+H74+H75+H76+H77</f>
        <v>0</v>
      </c>
      <c r="I65" s="30">
        <f aca="true" t="shared" si="12" ref="I65:I72">SUM(H65/C65*100)</f>
        <v>0</v>
      </c>
      <c r="J65" s="48">
        <f>SUM(J66+J67+J68+J69+J70+J71+J72+J74+J75+J76+J77)/12</f>
        <v>2.5833333333333335</v>
      </c>
      <c r="K65" s="48">
        <f>(K66+K67+K68+K69+K70+K71+K72+K74+K75+K76+K77)/11</f>
        <v>0</v>
      </c>
      <c r="L65" s="154">
        <f t="shared" si="10"/>
        <v>1208500000</v>
      </c>
      <c r="M65" s="95"/>
      <c r="N65" s="86"/>
      <c r="O65" s="121"/>
    </row>
    <row r="66" spans="1:15" ht="12.75">
      <c r="A66" s="55">
        <v>1</v>
      </c>
      <c r="B66" s="73" t="s">
        <v>57</v>
      </c>
      <c r="C66" s="71">
        <v>350000000</v>
      </c>
      <c r="D66" s="71"/>
      <c r="E66" s="32"/>
      <c r="F66" s="71"/>
      <c r="G66" s="32">
        <f t="shared" si="11"/>
        <v>0</v>
      </c>
      <c r="H66" s="71"/>
      <c r="I66" s="36">
        <f t="shared" si="12"/>
        <v>0</v>
      </c>
      <c r="J66" s="37">
        <v>3</v>
      </c>
      <c r="K66" s="33">
        <f aca="true" t="shared" si="13" ref="K66:K72">I66</f>
        <v>0</v>
      </c>
      <c r="L66" s="154">
        <f t="shared" si="10"/>
        <v>350000000</v>
      </c>
      <c r="M66" s="56"/>
      <c r="N66" s="86"/>
      <c r="O66" s="121">
        <f>110650000/350000000</f>
        <v>0.31614285714285717</v>
      </c>
    </row>
    <row r="67" spans="1:15" ht="12.75">
      <c r="A67" s="55">
        <v>2</v>
      </c>
      <c r="B67" s="98" t="s">
        <v>58</v>
      </c>
      <c r="C67" s="71">
        <v>165000000</v>
      </c>
      <c r="D67" s="37"/>
      <c r="E67" s="32"/>
      <c r="F67" s="71"/>
      <c r="G67" s="32">
        <f t="shared" si="11"/>
        <v>0</v>
      </c>
      <c r="H67" s="71"/>
      <c r="I67" s="36">
        <f t="shared" si="12"/>
        <v>0</v>
      </c>
      <c r="J67" s="32">
        <v>2</v>
      </c>
      <c r="K67" s="33">
        <f t="shared" si="13"/>
        <v>0</v>
      </c>
      <c r="L67" s="154">
        <f t="shared" si="10"/>
        <v>165000000</v>
      </c>
      <c r="M67" s="56"/>
      <c r="N67" s="86"/>
      <c r="O67" s="121">
        <f>34800000/165000000</f>
        <v>0.2109090909090909</v>
      </c>
    </row>
    <row r="68" spans="1:15" ht="12.75">
      <c r="A68" s="55">
        <v>3</v>
      </c>
      <c r="B68" s="98" t="s">
        <v>59</v>
      </c>
      <c r="C68" s="71">
        <v>50000000</v>
      </c>
      <c r="D68" s="37"/>
      <c r="E68" s="32"/>
      <c r="F68" s="7"/>
      <c r="G68" s="32">
        <f t="shared" si="11"/>
        <v>0</v>
      </c>
      <c r="H68" s="7"/>
      <c r="I68" s="36">
        <f t="shared" si="12"/>
        <v>0</v>
      </c>
      <c r="J68" s="32">
        <v>3</v>
      </c>
      <c r="K68" s="33">
        <f t="shared" si="13"/>
        <v>0</v>
      </c>
      <c r="L68" s="154">
        <f t="shared" si="10"/>
        <v>50000000</v>
      </c>
      <c r="M68" s="56"/>
      <c r="N68" s="86"/>
      <c r="O68" s="121">
        <f>12725000/50000000</f>
        <v>0.2545</v>
      </c>
    </row>
    <row r="69" spans="1:15" ht="12.75">
      <c r="A69" s="55">
        <v>4</v>
      </c>
      <c r="B69" s="73" t="s">
        <v>78</v>
      </c>
      <c r="C69" s="71">
        <v>80000000</v>
      </c>
      <c r="D69" s="37"/>
      <c r="E69" s="32"/>
      <c r="F69" s="7"/>
      <c r="G69" s="32">
        <f t="shared" si="11"/>
        <v>0</v>
      </c>
      <c r="H69" s="7"/>
      <c r="I69" s="36">
        <f t="shared" si="12"/>
        <v>0</v>
      </c>
      <c r="J69" s="32">
        <v>3</v>
      </c>
      <c r="K69" s="33">
        <f t="shared" si="13"/>
        <v>0</v>
      </c>
      <c r="L69" s="154">
        <f t="shared" si="10"/>
        <v>80000000</v>
      </c>
      <c r="M69" s="56"/>
      <c r="N69" s="86"/>
      <c r="O69" s="121">
        <f>21000000/80000000</f>
        <v>0.2625</v>
      </c>
    </row>
    <row r="70" spans="1:15" ht="12.75">
      <c r="A70" s="55">
        <v>5</v>
      </c>
      <c r="B70" s="73" t="s">
        <v>79</v>
      </c>
      <c r="C70" s="71">
        <v>50000000</v>
      </c>
      <c r="D70" s="37"/>
      <c r="E70" s="32"/>
      <c r="F70" s="7">
        <v>0</v>
      </c>
      <c r="G70" s="32">
        <f t="shared" si="11"/>
        <v>0</v>
      </c>
      <c r="H70" s="7">
        <v>0</v>
      </c>
      <c r="I70" s="36">
        <f t="shared" si="12"/>
        <v>0</v>
      </c>
      <c r="J70" s="32">
        <v>2</v>
      </c>
      <c r="K70" s="33">
        <f t="shared" si="13"/>
        <v>0</v>
      </c>
      <c r="L70" s="154">
        <f t="shared" si="10"/>
        <v>50000000</v>
      </c>
      <c r="M70" s="56"/>
      <c r="N70" s="86"/>
      <c r="O70" s="121">
        <f>11000000/50000000</f>
        <v>0.22</v>
      </c>
    </row>
    <row r="71" spans="1:15" ht="12.75">
      <c r="A71" s="55">
        <v>6</v>
      </c>
      <c r="B71" s="73" t="s">
        <v>60</v>
      </c>
      <c r="C71" s="71">
        <v>50000000</v>
      </c>
      <c r="D71" s="37"/>
      <c r="E71" s="32"/>
      <c r="F71" s="7"/>
      <c r="G71" s="32">
        <f t="shared" si="11"/>
        <v>0</v>
      </c>
      <c r="H71" s="7"/>
      <c r="I71" s="36">
        <f t="shared" si="12"/>
        <v>0</v>
      </c>
      <c r="J71" s="32">
        <v>0</v>
      </c>
      <c r="K71" s="33">
        <f t="shared" si="13"/>
        <v>0</v>
      </c>
      <c r="L71" s="154">
        <f t="shared" si="10"/>
        <v>50000000</v>
      </c>
      <c r="M71" s="56"/>
      <c r="N71" s="86"/>
      <c r="O71" s="121">
        <f>0/50000000</f>
        <v>0</v>
      </c>
    </row>
    <row r="72" spans="1:15" ht="12.75">
      <c r="A72" s="76">
        <v>7</v>
      </c>
      <c r="B72" s="122" t="s">
        <v>61</v>
      </c>
      <c r="C72" s="123">
        <v>50000000</v>
      </c>
      <c r="D72" s="115"/>
      <c r="E72" s="109"/>
      <c r="F72" s="124"/>
      <c r="G72" s="109">
        <f t="shared" si="11"/>
        <v>0</v>
      </c>
      <c r="H72" s="124"/>
      <c r="I72" s="124">
        <f t="shared" si="12"/>
        <v>0</v>
      </c>
      <c r="J72" s="109">
        <v>10</v>
      </c>
      <c r="K72" s="109">
        <f t="shared" si="13"/>
        <v>0</v>
      </c>
      <c r="L72" s="154">
        <f t="shared" si="10"/>
        <v>50000000</v>
      </c>
      <c r="M72" s="110"/>
      <c r="N72" s="86"/>
      <c r="O72" s="121">
        <f>50000000/50000000</f>
        <v>1</v>
      </c>
    </row>
    <row r="73" spans="1:15" ht="12.75">
      <c r="A73" s="55">
        <v>8</v>
      </c>
      <c r="B73" s="122" t="s">
        <v>85</v>
      </c>
      <c r="C73" s="123">
        <v>156700000</v>
      </c>
      <c r="D73" s="115"/>
      <c r="E73" s="109"/>
      <c r="F73" s="124"/>
      <c r="G73" s="109"/>
      <c r="H73" s="124"/>
      <c r="I73" s="124"/>
      <c r="J73" s="109">
        <v>0</v>
      </c>
      <c r="K73" s="109"/>
      <c r="L73" s="154">
        <f t="shared" si="10"/>
        <v>156700000</v>
      </c>
      <c r="M73" s="110"/>
      <c r="N73" s="86"/>
      <c r="O73" s="121">
        <f>0/156700000</f>
        <v>0</v>
      </c>
    </row>
    <row r="74" spans="1:15" ht="25.5">
      <c r="A74" s="76">
        <v>9</v>
      </c>
      <c r="B74" s="73" t="s">
        <v>80</v>
      </c>
      <c r="C74" s="71">
        <v>140000000</v>
      </c>
      <c r="D74" s="37"/>
      <c r="E74" s="32"/>
      <c r="F74" s="71"/>
      <c r="G74" s="32">
        <f>SUM(F74/C74*100)</f>
        <v>0</v>
      </c>
      <c r="H74" s="71"/>
      <c r="I74" s="7">
        <f>SUM(H74/C74*100)</f>
        <v>0</v>
      </c>
      <c r="J74" s="32">
        <v>0</v>
      </c>
      <c r="K74" s="32">
        <f>I74</f>
        <v>0</v>
      </c>
      <c r="L74" s="154">
        <f t="shared" si="10"/>
        <v>140000000</v>
      </c>
      <c r="M74" s="56"/>
      <c r="N74" s="86"/>
      <c r="O74" s="121">
        <f>0/140000000</f>
        <v>0</v>
      </c>
    </row>
    <row r="75" spans="1:15" ht="12.75">
      <c r="A75" s="55">
        <v>10</v>
      </c>
      <c r="B75" s="73" t="s">
        <v>62</v>
      </c>
      <c r="C75" s="71">
        <v>68300000</v>
      </c>
      <c r="D75" s="71"/>
      <c r="E75" s="32"/>
      <c r="F75" s="7"/>
      <c r="G75" s="32">
        <f>SUM(F75/C75*100)</f>
        <v>0</v>
      </c>
      <c r="H75" s="7"/>
      <c r="I75" s="7">
        <f>SUM(H75/C75*100)</f>
        <v>0</v>
      </c>
      <c r="J75" s="32">
        <v>0</v>
      </c>
      <c r="K75" s="49">
        <f>I75</f>
        <v>0</v>
      </c>
      <c r="L75" s="154">
        <f t="shared" si="10"/>
        <v>68300000</v>
      </c>
      <c r="M75" s="56"/>
      <c r="N75" s="86"/>
      <c r="O75" s="121">
        <f>0/68300000</f>
        <v>0</v>
      </c>
    </row>
    <row r="76" spans="1:15" ht="12.75">
      <c r="A76" s="76">
        <v>11</v>
      </c>
      <c r="B76" s="73" t="s">
        <v>81</v>
      </c>
      <c r="C76" s="38">
        <v>27500000</v>
      </c>
      <c r="D76" s="71"/>
      <c r="E76" s="32"/>
      <c r="F76" s="7">
        <v>0</v>
      </c>
      <c r="G76" s="32">
        <v>0</v>
      </c>
      <c r="H76" s="7">
        <v>0</v>
      </c>
      <c r="I76" s="7">
        <v>0</v>
      </c>
      <c r="J76" s="32">
        <v>3</v>
      </c>
      <c r="K76" s="32">
        <f>I76</f>
        <v>0</v>
      </c>
      <c r="L76" s="154">
        <f t="shared" si="10"/>
        <v>27500000</v>
      </c>
      <c r="M76" s="56"/>
      <c r="N76" s="86"/>
      <c r="O76" s="121">
        <f>8402000/27500000</f>
        <v>0.3055272727272727</v>
      </c>
    </row>
    <row r="77" spans="1:15" ht="12.75">
      <c r="A77" s="55">
        <v>12</v>
      </c>
      <c r="B77" s="73" t="s">
        <v>55</v>
      </c>
      <c r="C77" s="38">
        <v>21000000</v>
      </c>
      <c r="D77" s="71"/>
      <c r="E77" s="32"/>
      <c r="F77" s="7">
        <v>0</v>
      </c>
      <c r="G77" s="32">
        <v>0</v>
      </c>
      <c r="H77" s="7">
        <v>0</v>
      </c>
      <c r="I77" s="7">
        <v>0</v>
      </c>
      <c r="J77" s="32">
        <v>5</v>
      </c>
      <c r="K77" s="32">
        <f>I77</f>
        <v>0</v>
      </c>
      <c r="L77" s="154">
        <f t="shared" si="10"/>
        <v>21000000</v>
      </c>
      <c r="M77" s="56"/>
      <c r="N77" s="86"/>
      <c r="O77" s="121">
        <f>10075000/21000000</f>
        <v>0.4797619047619048</v>
      </c>
    </row>
    <row r="78" spans="1:14" ht="12.75">
      <c r="A78" s="100"/>
      <c r="B78" s="125"/>
      <c r="C78" s="22"/>
      <c r="D78" s="32"/>
      <c r="E78" s="32"/>
      <c r="F78" s="23"/>
      <c r="G78" s="34"/>
      <c r="H78" s="23"/>
      <c r="I78" s="34"/>
      <c r="J78" s="8"/>
      <c r="K78" s="8"/>
      <c r="L78" s="154">
        <f t="shared" si="10"/>
        <v>0</v>
      </c>
      <c r="M78" s="56"/>
      <c r="N78" s="86"/>
    </row>
    <row r="79" spans="1:14" ht="12.75">
      <c r="A79" s="111">
        <v>6</v>
      </c>
      <c r="B79" s="97" t="s">
        <v>63</v>
      </c>
      <c r="C79" s="48">
        <f>C80+C81+C82</f>
        <v>340000000</v>
      </c>
      <c r="D79" s="48">
        <f>D80+D81+D82</f>
        <v>0</v>
      </c>
      <c r="E79" s="48"/>
      <c r="F79" s="48">
        <f>F80+F81+F82</f>
        <v>0</v>
      </c>
      <c r="G79" s="30">
        <f>F79/C79*100</f>
        <v>0</v>
      </c>
      <c r="H79" s="48">
        <f>H80+H81+H82</f>
        <v>0</v>
      </c>
      <c r="I79" s="30">
        <f>SUM(H79/C79*100)</f>
        <v>0</v>
      </c>
      <c r="J79" s="48">
        <f>(J80+J81+J82)/3</f>
        <v>9</v>
      </c>
      <c r="K79" s="48">
        <f>(K80+K81+K82)/4</f>
        <v>0</v>
      </c>
      <c r="L79" s="154">
        <f t="shared" si="10"/>
        <v>340000000</v>
      </c>
      <c r="M79" s="95"/>
      <c r="N79" s="86"/>
    </row>
    <row r="80" spans="1:15" ht="12.75">
      <c r="A80" s="55">
        <v>1</v>
      </c>
      <c r="B80" s="73" t="s">
        <v>64</v>
      </c>
      <c r="C80" s="38">
        <v>50000000</v>
      </c>
      <c r="D80" s="38"/>
      <c r="E80" s="32"/>
      <c r="F80" s="38">
        <v>0</v>
      </c>
      <c r="G80" s="32">
        <f>SUM(F80/C80*100)</f>
        <v>0</v>
      </c>
      <c r="H80" s="38"/>
      <c r="I80" s="36">
        <f>SUM(H80/C80*100)</f>
        <v>0</v>
      </c>
      <c r="J80" s="35">
        <v>8</v>
      </c>
      <c r="K80" s="33">
        <f>I80</f>
        <v>0</v>
      </c>
      <c r="L80" s="154">
        <f t="shared" si="10"/>
        <v>50000000</v>
      </c>
      <c r="M80" s="56"/>
      <c r="N80" s="86"/>
      <c r="O80" s="121">
        <f>38648000/50000000</f>
        <v>0.77296</v>
      </c>
    </row>
    <row r="81" spans="1:15" ht="12.75">
      <c r="A81" s="55">
        <v>2</v>
      </c>
      <c r="B81" s="73" t="s">
        <v>65</v>
      </c>
      <c r="C81" s="38">
        <v>35000000</v>
      </c>
      <c r="D81" s="32"/>
      <c r="E81" s="32"/>
      <c r="F81" s="38"/>
      <c r="G81" s="32">
        <f>SUM(F81/C81*100)</f>
        <v>0</v>
      </c>
      <c r="H81" s="38"/>
      <c r="I81" s="50">
        <f>SUM(H81/C81*100)</f>
        <v>0</v>
      </c>
      <c r="J81" s="35">
        <v>9</v>
      </c>
      <c r="K81" s="33">
        <f>I81</f>
        <v>0</v>
      </c>
      <c r="L81" s="154">
        <f t="shared" si="10"/>
        <v>35000000</v>
      </c>
      <c r="M81" s="56"/>
      <c r="N81" s="86"/>
      <c r="O81" s="121">
        <f>30325000/35000000</f>
        <v>0.8664285714285714</v>
      </c>
    </row>
    <row r="82" spans="1:15" ht="12.75">
      <c r="A82" s="55">
        <v>3</v>
      </c>
      <c r="B82" s="73" t="s">
        <v>66</v>
      </c>
      <c r="C82" s="71">
        <v>255000000</v>
      </c>
      <c r="D82" s="71"/>
      <c r="E82" s="99"/>
      <c r="F82" s="71"/>
      <c r="G82" s="32">
        <f>SUM(F82/C82*100)</f>
        <v>0</v>
      </c>
      <c r="H82" s="71"/>
      <c r="I82" s="36">
        <f>SUM(H82/C82*100)</f>
        <v>0</v>
      </c>
      <c r="J82" s="112">
        <v>10</v>
      </c>
      <c r="K82" s="33">
        <f>I82</f>
        <v>0</v>
      </c>
      <c r="L82" s="154">
        <f t="shared" si="10"/>
        <v>255000000</v>
      </c>
      <c r="M82" s="56"/>
      <c r="N82" s="86"/>
      <c r="O82" s="121">
        <f>240950000/255000000</f>
        <v>0.9449019607843138</v>
      </c>
    </row>
    <row r="83" spans="1:14" ht="12.75">
      <c r="A83" s="94"/>
      <c r="B83" s="132"/>
      <c r="C83" s="133"/>
      <c r="D83" s="133"/>
      <c r="E83" s="134"/>
      <c r="F83" s="133"/>
      <c r="G83" s="33"/>
      <c r="H83" s="133"/>
      <c r="I83" s="36"/>
      <c r="J83" s="58"/>
      <c r="K83" s="33"/>
      <c r="L83" s="154">
        <f t="shared" si="10"/>
        <v>0</v>
      </c>
      <c r="M83" s="95"/>
      <c r="N83" s="86"/>
    </row>
    <row r="84" spans="1:14" ht="12.75">
      <c r="A84" s="111">
        <v>7</v>
      </c>
      <c r="B84" s="97" t="s">
        <v>67</v>
      </c>
      <c r="C84" s="48">
        <f>C85+C86</f>
        <v>520000000</v>
      </c>
      <c r="D84" s="48">
        <f>D85+D86</f>
        <v>0</v>
      </c>
      <c r="E84" s="48"/>
      <c r="F84" s="48">
        <f>F85+F86</f>
        <v>0</v>
      </c>
      <c r="G84" s="30">
        <f>F84/C84*100</f>
        <v>0</v>
      </c>
      <c r="H84" s="48">
        <f>H85+H86</f>
        <v>0</v>
      </c>
      <c r="I84" s="30">
        <f>H84/C84*100</f>
        <v>0</v>
      </c>
      <c r="J84" s="48">
        <f>(J85+J86)/2</f>
        <v>7.5</v>
      </c>
      <c r="K84" s="48">
        <f>(K85+K86)/2</f>
        <v>0</v>
      </c>
      <c r="L84" s="154">
        <f t="shared" si="10"/>
        <v>520000000</v>
      </c>
      <c r="M84" s="95"/>
      <c r="N84" s="86"/>
    </row>
    <row r="85" spans="1:15" ht="12.75">
      <c r="A85" s="100">
        <v>1</v>
      </c>
      <c r="B85" s="73" t="s">
        <v>68</v>
      </c>
      <c r="C85" s="71">
        <v>100000000</v>
      </c>
      <c r="D85" s="71"/>
      <c r="E85" s="32"/>
      <c r="F85" s="71"/>
      <c r="G85" s="34">
        <f>F85/C85*100</f>
        <v>0</v>
      </c>
      <c r="H85" s="71"/>
      <c r="I85" s="34">
        <f>H85/C85*100</f>
        <v>0</v>
      </c>
      <c r="J85" s="34">
        <v>10</v>
      </c>
      <c r="K85" s="34">
        <f>I85</f>
        <v>0</v>
      </c>
      <c r="L85" s="154">
        <f t="shared" si="10"/>
        <v>100000000</v>
      </c>
      <c r="M85" s="37"/>
      <c r="N85" s="146"/>
      <c r="O85" s="143">
        <f>100000000/100000000</f>
        <v>1</v>
      </c>
    </row>
    <row r="86" spans="1:15" ht="12.75">
      <c r="A86" s="100">
        <v>2</v>
      </c>
      <c r="B86" s="73" t="s">
        <v>69</v>
      </c>
      <c r="C86" s="71">
        <v>420000000</v>
      </c>
      <c r="D86" s="71"/>
      <c r="E86" s="32"/>
      <c r="F86" s="71"/>
      <c r="G86" s="34">
        <f>F86/C86*100</f>
        <v>0</v>
      </c>
      <c r="H86" s="71"/>
      <c r="I86" s="34">
        <f>H86/C86*100</f>
        <v>0</v>
      </c>
      <c r="J86" s="34">
        <v>5</v>
      </c>
      <c r="K86" s="34">
        <f>I86</f>
        <v>0</v>
      </c>
      <c r="L86" s="154">
        <f t="shared" si="10"/>
        <v>420000000</v>
      </c>
      <c r="M86" s="56"/>
      <c r="N86" s="86"/>
      <c r="O86" s="121">
        <f>198600000/420000000</f>
        <v>0.47285714285714286</v>
      </c>
    </row>
    <row r="87" spans="1:14" ht="12.75">
      <c r="A87" s="100"/>
      <c r="B87" s="98"/>
      <c r="C87" s="71"/>
      <c r="D87" s="32"/>
      <c r="E87" s="32"/>
      <c r="F87" s="7"/>
      <c r="G87" s="34"/>
      <c r="H87" s="7"/>
      <c r="I87" s="34"/>
      <c r="J87" s="34"/>
      <c r="K87" s="8"/>
      <c r="L87" s="154">
        <f t="shared" si="10"/>
        <v>0</v>
      </c>
      <c r="M87" s="56"/>
      <c r="N87" s="86"/>
    </row>
    <row r="88" spans="1:14" ht="12.75">
      <c r="A88" s="93">
        <v>8</v>
      </c>
      <c r="B88" s="69" t="s">
        <v>70</v>
      </c>
      <c r="C88" s="39">
        <f>SUM(C89:C89)</f>
        <v>100000000</v>
      </c>
      <c r="D88" s="39">
        <f>SUM(D89:D89)</f>
        <v>0</v>
      </c>
      <c r="E88" s="39"/>
      <c r="F88" s="39">
        <f>SUM(F89:F89)</f>
        <v>0</v>
      </c>
      <c r="G88" s="8">
        <f>F88/C88*100</f>
        <v>0</v>
      </c>
      <c r="H88" s="39">
        <f>SUM(H89:H89)</f>
        <v>0</v>
      </c>
      <c r="I88" s="8">
        <f>H88/C88*100</f>
        <v>0</v>
      </c>
      <c r="J88" s="8">
        <f>J89</f>
        <v>0</v>
      </c>
      <c r="K88" s="8">
        <v>0</v>
      </c>
      <c r="L88" s="154">
        <f t="shared" si="10"/>
        <v>100000000</v>
      </c>
      <c r="M88" s="56"/>
      <c r="N88" s="86"/>
    </row>
    <row r="89" spans="1:15" ht="12.75">
      <c r="A89" s="101"/>
      <c r="B89" s="52" t="s">
        <v>71</v>
      </c>
      <c r="C89" s="53">
        <v>100000000</v>
      </c>
      <c r="D89" s="51"/>
      <c r="E89" s="49"/>
      <c r="F89" s="54"/>
      <c r="G89" s="113">
        <f>F89/C89*100</f>
        <v>0</v>
      </c>
      <c r="H89" s="54"/>
      <c r="I89" s="113">
        <f>H89/C89*100</f>
        <v>0</v>
      </c>
      <c r="J89" s="113">
        <v>0</v>
      </c>
      <c r="K89" s="113">
        <f>I89</f>
        <v>0</v>
      </c>
      <c r="L89" s="154">
        <f t="shared" si="10"/>
        <v>100000000</v>
      </c>
      <c r="M89" s="56"/>
      <c r="N89" s="86"/>
      <c r="O89" s="142">
        <f>0/100000000</f>
        <v>0</v>
      </c>
    </row>
    <row r="90" spans="1:14" ht="12.75">
      <c r="A90" s="55"/>
      <c r="B90" s="40"/>
      <c r="C90" s="41"/>
      <c r="D90" s="37"/>
      <c r="E90" s="32"/>
      <c r="F90" s="42"/>
      <c r="G90" s="34"/>
      <c r="H90" s="42"/>
      <c r="I90" s="34"/>
      <c r="J90" s="34"/>
      <c r="K90" s="34"/>
      <c r="L90" s="34"/>
      <c r="M90" s="56"/>
      <c r="N90" s="86"/>
    </row>
    <row r="91" spans="1:14" ht="12.75">
      <c r="A91" s="102"/>
      <c r="B91" s="103"/>
      <c r="C91" s="43">
        <f>C12+C25</f>
        <v>11516999500</v>
      </c>
      <c r="D91" s="43">
        <f>+D12+D25</f>
        <v>0</v>
      </c>
      <c r="E91" s="43">
        <f>E26+E39+E47+E60+E65+E79+E84+E88</f>
        <v>0</v>
      </c>
      <c r="F91" s="43">
        <f>+F12+F25</f>
        <v>147871648</v>
      </c>
      <c r="G91" s="118">
        <f>SUM(F91/C91*100)</f>
        <v>1.2839424713007932</v>
      </c>
      <c r="H91" s="43">
        <f>+H12+H25</f>
        <v>147871648</v>
      </c>
      <c r="I91" s="119">
        <f>SUM(H91/C91*100)</f>
        <v>1.2839424713007932</v>
      </c>
      <c r="J91" s="43">
        <f>+(J12+J25)/2</f>
        <v>9.671875</v>
      </c>
      <c r="K91" s="43">
        <f>+(K12+K25)/2</f>
        <v>2.3545539334474768</v>
      </c>
      <c r="L91" s="43">
        <f>L12+L25</f>
        <v>11369127852</v>
      </c>
      <c r="M91" s="104"/>
      <c r="N91" s="131"/>
    </row>
    <row r="92" spans="1:14" ht="12.75">
      <c r="A92" s="126"/>
      <c r="B92" s="127"/>
      <c r="C92" s="128"/>
      <c r="D92" s="128"/>
      <c r="E92" s="128"/>
      <c r="F92" s="128"/>
      <c r="G92" s="129"/>
      <c r="H92" s="128"/>
      <c r="I92" s="130"/>
      <c r="J92" s="128"/>
      <c r="K92" s="128"/>
      <c r="L92" s="128"/>
      <c r="M92" s="131"/>
      <c r="N92" s="131"/>
    </row>
    <row r="93" spans="1:14" ht="12.75">
      <c r="A93" s="126"/>
      <c r="B93" s="127"/>
      <c r="C93" s="128"/>
      <c r="D93" s="128"/>
      <c r="E93" s="128"/>
      <c r="F93" s="128"/>
      <c r="G93" s="129"/>
      <c r="H93" s="128"/>
      <c r="I93" s="130"/>
      <c r="J93" s="128"/>
      <c r="K93" s="128"/>
      <c r="L93" s="128"/>
      <c r="M93" s="131"/>
      <c r="N93" s="131"/>
    </row>
    <row r="94" spans="1:14" ht="12.75">
      <c r="A94" s="127"/>
      <c r="B94" s="135"/>
      <c r="C94" s="136"/>
      <c r="D94" s="60"/>
      <c r="E94" s="137"/>
      <c r="F94" s="44"/>
      <c r="G94" s="46"/>
      <c r="I94" s="116"/>
      <c r="J94" s="117" t="s">
        <v>86</v>
      </c>
      <c r="K94" s="116"/>
      <c r="L94" s="117"/>
      <c r="M94" s="116"/>
      <c r="N94" s="117"/>
    </row>
    <row r="95" spans="1:14" ht="12.75">
      <c r="A95" s="127"/>
      <c r="B95" s="138"/>
      <c r="C95" s="84"/>
      <c r="D95" s="139"/>
      <c r="E95" s="137"/>
      <c r="F95" s="45"/>
      <c r="G95" s="44"/>
      <c r="I95" s="107"/>
      <c r="J95" s="107" t="s">
        <v>73</v>
      </c>
      <c r="K95" s="107"/>
      <c r="L95" s="107"/>
      <c r="M95" s="107"/>
      <c r="N95" s="107"/>
    </row>
    <row r="96" spans="1:14" ht="12.75">
      <c r="A96" s="127"/>
      <c r="B96" s="105" t="s">
        <v>82</v>
      </c>
      <c r="C96" s="106">
        <f>F91/C91*100</f>
        <v>1.2839424713007932</v>
      </c>
      <c r="D96" s="60"/>
      <c r="E96" s="136"/>
      <c r="F96" s="44"/>
      <c r="G96" s="46"/>
      <c r="I96" s="107"/>
      <c r="J96" s="107" t="s">
        <v>72</v>
      </c>
      <c r="K96" s="107"/>
      <c r="L96" s="107"/>
      <c r="M96" s="107"/>
      <c r="N96" s="107"/>
    </row>
    <row r="97" spans="1:14" ht="12.75">
      <c r="A97" s="127"/>
      <c r="B97" s="140"/>
      <c r="C97" s="141"/>
      <c r="D97" s="60"/>
      <c r="E97" s="136"/>
      <c r="F97" s="44"/>
      <c r="G97" s="46"/>
      <c r="I97" s="107"/>
      <c r="J97" s="107"/>
      <c r="K97" s="107"/>
      <c r="L97" s="107"/>
      <c r="M97" s="107"/>
      <c r="N97" s="107"/>
    </row>
    <row r="98" spans="1:14" ht="12.75">
      <c r="A98" s="127"/>
      <c r="B98" s="140"/>
      <c r="C98" s="141"/>
      <c r="D98" s="60"/>
      <c r="E98" s="136"/>
      <c r="F98" s="44"/>
      <c r="G98" s="46"/>
      <c r="I98" s="107"/>
      <c r="J98" s="107"/>
      <c r="K98" s="107"/>
      <c r="L98" s="107"/>
      <c r="M98" s="107"/>
      <c r="N98" s="107"/>
    </row>
    <row r="99" spans="1:14" ht="12.75">
      <c r="A99" s="127"/>
      <c r="B99" s="128"/>
      <c r="C99" s="84"/>
      <c r="D99" s="60"/>
      <c r="E99" s="137"/>
      <c r="F99" s="46"/>
      <c r="G99" s="46"/>
      <c r="H99" s="108"/>
      <c r="I99" s="108"/>
      <c r="J99" s="108" t="s">
        <v>74</v>
      </c>
      <c r="M99" s="108"/>
      <c r="N99" s="108"/>
    </row>
    <row r="100" spans="1:14" ht="12.75">
      <c r="A100" s="127"/>
      <c r="B100" s="127"/>
      <c r="C100" s="84"/>
      <c r="D100" s="60"/>
      <c r="E100" s="60"/>
      <c r="F100" s="46"/>
      <c r="G100" s="46"/>
      <c r="H100" s="107"/>
      <c r="I100" s="107"/>
      <c r="J100" s="107" t="s">
        <v>75</v>
      </c>
      <c r="M100" s="107"/>
      <c r="N100" s="107"/>
    </row>
    <row r="108" spans="1:13" ht="15.75">
      <c r="A108" s="811" t="s">
        <v>0</v>
      </c>
      <c r="B108" s="811"/>
      <c r="C108" s="811"/>
      <c r="D108" s="811"/>
      <c r="E108" s="811"/>
      <c r="F108" s="811"/>
      <c r="G108" s="811"/>
      <c r="H108" s="811"/>
      <c r="I108" s="811"/>
      <c r="J108" s="811"/>
      <c r="K108" s="811"/>
      <c r="L108" s="811"/>
      <c r="M108" s="811"/>
    </row>
    <row r="109" spans="1:13" ht="12.75">
      <c r="A109" s="812" t="s">
        <v>83</v>
      </c>
      <c r="B109" s="812"/>
      <c r="C109" s="812"/>
      <c r="D109" s="812"/>
      <c r="E109" s="812"/>
      <c r="F109" s="812"/>
      <c r="G109" s="812"/>
      <c r="H109" s="812"/>
      <c r="I109" s="812"/>
      <c r="J109" s="812"/>
      <c r="K109" s="812"/>
      <c r="L109" s="812"/>
      <c r="M109" s="812"/>
    </row>
    <row r="110" spans="1:13" ht="12.75">
      <c r="A110" s="813" t="s">
        <v>77</v>
      </c>
      <c r="B110" s="813"/>
      <c r="C110" s="813"/>
      <c r="D110" s="813"/>
      <c r="E110" s="813"/>
      <c r="F110" s="813"/>
      <c r="G110" s="813"/>
      <c r="H110" s="813"/>
      <c r="I110" s="813"/>
      <c r="J110" s="813"/>
      <c r="K110" s="813"/>
      <c r="L110" s="813"/>
      <c r="M110" s="813"/>
    </row>
    <row r="111" spans="1:13" ht="12.75">
      <c r="A111" s="60" t="s">
        <v>1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2.75">
      <c r="A112" s="144" t="s">
        <v>88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ht="12.75">
      <c r="A113" s="60"/>
    </row>
    <row r="114" spans="1:13" ht="12.75">
      <c r="A114" s="808" t="s">
        <v>2</v>
      </c>
      <c r="B114" s="808" t="s">
        <v>3</v>
      </c>
      <c r="C114" s="808" t="s">
        <v>4</v>
      </c>
      <c r="D114" s="808" t="s">
        <v>5</v>
      </c>
      <c r="E114" s="808" t="s">
        <v>6</v>
      </c>
      <c r="F114" s="816" t="s">
        <v>7</v>
      </c>
      <c r="G114" s="817"/>
      <c r="H114" s="817"/>
      <c r="I114" s="818"/>
      <c r="J114" s="816" t="s">
        <v>8</v>
      </c>
      <c r="K114" s="818"/>
      <c r="L114" s="805" t="s">
        <v>87</v>
      </c>
      <c r="M114" s="808" t="s">
        <v>9</v>
      </c>
    </row>
    <row r="115" spans="1:13" ht="12.75" customHeight="1">
      <c r="A115" s="806"/>
      <c r="B115" s="806"/>
      <c r="C115" s="806"/>
      <c r="D115" s="814"/>
      <c r="E115" s="806"/>
      <c r="F115" s="809" t="s">
        <v>10</v>
      </c>
      <c r="G115" s="808" t="s">
        <v>11</v>
      </c>
      <c r="H115" s="808" t="s">
        <v>12</v>
      </c>
      <c r="I115" s="808" t="s">
        <v>11</v>
      </c>
      <c r="J115" s="808" t="s">
        <v>13</v>
      </c>
      <c r="K115" s="808" t="s">
        <v>14</v>
      </c>
      <c r="L115" s="806"/>
      <c r="M115" s="806"/>
    </row>
    <row r="116" spans="1:13" ht="12.75" customHeight="1">
      <c r="A116" s="807"/>
      <c r="B116" s="807"/>
      <c r="C116" s="807"/>
      <c r="D116" s="815"/>
      <c r="E116" s="807"/>
      <c r="F116" s="810"/>
      <c r="G116" s="807"/>
      <c r="H116" s="807"/>
      <c r="I116" s="807"/>
      <c r="J116" s="807"/>
      <c r="K116" s="807"/>
      <c r="L116" s="807"/>
      <c r="M116" s="807"/>
    </row>
    <row r="117" spans="1:13" ht="12.75">
      <c r="A117" s="2">
        <v>1</v>
      </c>
      <c r="B117" s="2">
        <v>2</v>
      </c>
      <c r="C117" s="2">
        <v>3</v>
      </c>
      <c r="D117" s="2">
        <v>4</v>
      </c>
      <c r="E117" s="2">
        <v>5</v>
      </c>
      <c r="F117" s="2">
        <v>6</v>
      </c>
      <c r="G117" s="2">
        <v>7</v>
      </c>
      <c r="H117" s="2">
        <v>8</v>
      </c>
      <c r="I117" s="2">
        <v>9</v>
      </c>
      <c r="J117" s="2">
        <v>10</v>
      </c>
      <c r="K117" s="2">
        <v>11</v>
      </c>
      <c r="L117" s="2">
        <v>12</v>
      </c>
      <c r="M117" s="2">
        <v>13</v>
      </c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61" t="s">
        <v>15</v>
      </c>
      <c r="B119" s="62" t="s">
        <v>16</v>
      </c>
      <c r="C119" s="4">
        <f>SUM(C120:C130)</f>
        <v>2320392000</v>
      </c>
      <c r="D119" s="63"/>
      <c r="E119" s="114"/>
      <c r="F119" s="4">
        <f>SUM(F120:F130)</f>
        <v>224742690</v>
      </c>
      <c r="G119" s="64">
        <f>SUM(F119/C119*100)</f>
        <v>9.685548390099603</v>
      </c>
      <c r="H119" s="4">
        <f>SUM(H120:H130)</f>
        <v>224742690</v>
      </c>
      <c r="I119" s="145">
        <f>SUM(H119/C119*100)</f>
        <v>9.685548390099603</v>
      </c>
      <c r="J119" s="64">
        <v>3</v>
      </c>
      <c r="K119" s="64">
        <f>(K120+K121+K122+K123+K124+K125+K126+K127+K128+K129+K130)/11</f>
        <v>9.36630932839617</v>
      </c>
      <c r="L119" s="4">
        <f>SUM(L120:L130)</f>
        <v>2095649310</v>
      </c>
      <c r="M119" s="63"/>
    </row>
    <row r="120" spans="1:13" ht="12.75">
      <c r="A120" s="66">
        <v>1</v>
      </c>
      <c r="B120" s="47" t="s">
        <v>17</v>
      </c>
      <c r="C120" s="5">
        <v>1209000000</v>
      </c>
      <c r="D120" s="63"/>
      <c r="E120" s="63"/>
      <c r="F120" s="114">
        <v>164019000</v>
      </c>
      <c r="G120" s="37">
        <f>SUM(F120/C120*100)</f>
        <v>13.56650124069479</v>
      </c>
      <c r="H120" s="114">
        <v>164019000</v>
      </c>
      <c r="I120" s="7">
        <f aca="true" t="shared" si="14" ref="I120:I126">SUM(H120/C120*100)</f>
        <v>13.56650124069479</v>
      </c>
      <c r="J120" s="37">
        <v>3</v>
      </c>
      <c r="K120" s="37">
        <f>I120</f>
        <v>13.56650124069479</v>
      </c>
      <c r="L120" s="37">
        <f>C120-H120</f>
        <v>1044981000</v>
      </c>
      <c r="M120" s="63"/>
    </row>
    <row r="121" spans="1:13" ht="12.75">
      <c r="A121" s="66">
        <v>2</v>
      </c>
      <c r="B121" s="47" t="s">
        <v>18</v>
      </c>
      <c r="C121" s="5">
        <v>132000000</v>
      </c>
      <c r="D121" s="63"/>
      <c r="E121" s="63"/>
      <c r="F121" s="5">
        <v>17773620</v>
      </c>
      <c r="G121" s="37">
        <f>SUM(F121/C121*100)</f>
        <v>13.464863636363637</v>
      </c>
      <c r="H121" s="5">
        <v>17773620</v>
      </c>
      <c r="I121" s="7">
        <f t="shared" si="14"/>
        <v>13.464863636363637</v>
      </c>
      <c r="J121" s="37">
        <v>3</v>
      </c>
      <c r="K121" s="37">
        <f aca="true" t="shared" si="15" ref="K121:K130">I121</f>
        <v>13.464863636363637</v>
      </c>
      <c r="L121" s="37">
        <f aca="true" t="shared" si="16" ref="L121:L130">C121-H121</f>
        <v>114226380</v>
      </c>
      <c r="M121" s="63"/>
    </row>
    <row r="122" spans="1:13" ht="12.75">
      <c r="A122" s="66">
        <v>3</v>
      </c>
      <c r="B122" s="47" t="s">
        <v>19</v>
      </c>
      <c r="C122" s="5">
        <v>165000000</v>
      </c>
      <c r="D122" s="63"/>
      <c r="E122" s="63"/>
      <c r="F122" s="5">
        <v>23250000</v>
      </c>
      <c r="G122" s="37">
        <f aca="true" t="shared" si="17" ref="G122:G130">SUM(F122/C122*100)</f>
        <v>14.09090909090909</v>
      </c>
      <c r="H122" s="5">
        <v>23250000</v>
      </c>
      <c r="I122" s="7">
        <f t="shared" si="14"/>
        <v>14.09090909090909</v>
      </c>
      <c r="J122" s="37">
        <v>3</v>
      </c>
      <c r="K122" s="37">
        <f t="shared" si="15"/>
        <v>14.09090909090909</v>
      </c>
      <c r="L122" s="37">
        <f t="shared" si="16"/>
        <v>141750000</v>
      </c>
      <c r="M122" s="63"/>
    </row>
    <row r="123" spans="1:13" ht="12.75">
      <c r="A123" s="66">
        <v>4</v>
      </c>
      <c r="B123" s="47" t="s">
        <v>20</v>
      </c>
      <c r="C123" s="5">
        <v>23000000</v>
      </c>
      <c r="D123" s="63"/>
      <c r="E123" s="63"/>
      <c r="F123" s="5">
        <v>2540000</v>
      </c>
      <c r="G123" s="37">
        <f t="shared" si="17"/>
        <v>11.043478260869566</v>
      </c>
      <c r="H123" s="5">
        <v>2540000</v>
      </c>
      <c r="I123" s="7">
        <f t="shared" si="14"/>
        <v>11.043478260869566</v>
      </c>
      <c r="J123" s="37">
        <v>3</v>
      </c>
      <c r="K123" s="37">
        <f t="shared" si="15"/>
        <v>11.043478260869566</v>
      </c>
      <c r="L123" s="37">
        <f t="shared" si="16"/>
        <v>20460000</v>
      </c>
      <c r="M123" s="63"/>
    </row>
    <row r="124" spans="1:13" ht="12.75">
      <c r="A124" s="66">
        <v>5</v>
      </c>
      <c r="B124" s="47" t="s">
        <v>21</v>
      </c>
      <c r="C124" s="5">
        <v>64000000</v>
      </c>
      <c r="D124" s="63"/>
      <c r="E124" s="63"/>
      <c r="F124" s="5">
        <v>9776700</v>
      </c>
      <c r="G124" s="37">
        <f t="shared" si="17"/>
        <v>15.27609375</v>
      </c>
      <c r="H124" s="5">
        <v>9776700</v>
      </c>
      <c r="I124" s="7">
        <f t="shared" si="14"/>
        <v>15.27609375</v>
      </c>
      <c r="J124" s="37">
        <v>3</v>
      </c>
      <c r="K124" s="37">
        <f t="shared" si="15"/>
        <v>15.27609375</v>
      </c>
      <c r="L124" s="37">
        <f t="shared" si="16"/>
        <v>54223300</v>
      </c>
      <c r="M124" s="63"/>
    </row>
    <row r="125" spans="1:13" ht="12.75">
      <c r="A125" s="66">
        <v>6</v>
      </c>
      <c r="B125" s="47" t="s">
        <v>22</v>
      </c>
      <c r="C125" s="5">
        <v>10045000</v>
      </c>
      <c r="D125" s="63"/>
      <c r="E125" s="63"/>
      <c r="F125" s="5">
        <v>352276</v>
      </c>
      <c r="G125" s="37">
        <f t="shared" si="17"/>
        <v>3.5069785963165754</v>
      </c>
      <c r="H125" s="5">
        <v>352276</v>
      </c>
      <c r="I125" s="7">
        <f t="shared" si="14"/>
        <v>3.5069785963165754</v>
      </c>
      <c r="J125" s="37">
        <v>3</v>
      </c>
      <c r="K125" s="37">
        <f t="shared" si="15"/>
        <v>3.5069785963165754</v>
      </c>
      <c r="L125" s="37">
        <f t="shared" si="16"/>
        <v>9692724</v>
      </c>
      <c r="M125" s="63"/>
    </row>
    <row r="126" spans="1:13" ht="12.75">
      <c r="A126" s="66">
        <v>7</v>
      </c>
      <c r="B126" s="47" t="s">
        <v>23</v>
      </c>
      <c r="C126" s="5">
        <v>157000</v>
      </c>
      <c r="D126" s="63"/>
      <c r="E126" s="63"/>
      <c r="F126" s="5">
        <v>2740</v>
      </c>
      <c r="G126" s="37">
        <f t="shared" si="17"/>
        <v>1.7452229299363058</v>
      </c>
      <c r="H126" s="5">
        <v>2740</v>
      </c>
      <c r="I126" s="7">
        <f t="shared" si="14"/>
        <v>1.7452229299363058</v>
      </c>
      <c r="J126" s="37">
        <v>3</v>
      </c>
      <c r="K126" s="37">
        <f>I126</f>
        <v>1.7452229299363058</v>
      </c>
      <c r="L126" s="37">
        <f t="shared" si="16"/>
        <v>154260</v>
      </c>
      <c r="M126" s="63"/>
    </row>
    <row r="127" spans="1:13" ht="12.75">
      <c r="A127" s="66">
        <v>8</v>
      </c>
      <c r="B127" s="47" t="s">
        <v>24</v>
      </c>
      <c r="C127" s="5">
        <v>35000000</v>
      </c>
      <c r="D127" s="63"/>
      <c r="E127" s="63"/>
      <c r="F127" s="5">
        <v>5453779</v>
      </c>
      <c r="G127" s="37">
        <f t="shared" si="17"/>
        <v>15.582225714285713</v>
      </c>
      <c r="H127" s="5">
        <v>5453779</v>
      </c>
      <c r="I127" s="36">
        <f>SUM(H128/C127*100)</f>
        <v>1.1246914285714287</v>
      </c>
      <c r="J127" s="37">
        <v>3</v>
      </c>
      <c r="K127" s="37">
        <f t="shared" si="15"/>
        <v>1.1246914285714287</v>
      </c>
      <c r="L127" s="37">
        <f t="shared" si="16"/>
        <v>29546221</v>
      </c>
      <c r="M127" s="63"/>
    </row>
    <row r="128" spans="1:13" ht="12.75">
      <c r="A128" s="66">
        <v>9</v>
      </c>
      <c r="B128" s="47" t="s">
        <v>25</v>
      </c>
      <c r="C128" s="5">
        <v>4305000</v>
      </c>
      <c r="D128" s="63"/>
      <c r="E128" s="63"/>
      <c r="F128" s="5">
        <v>393642</v>
      </c>
      <c r="G128" s="37">
        <f t="shared" si="17"/>
        <v>9.14383275261324</v>
      </c>
      <c r="H128" s="5">
        <v>393642</v>
      </c>
      <c r="I128" s="36">
        <f>SUM(H128/C128*100)</f>
        <v>9.14383275261324</v>
      </c>
      <c r="J128" s="37">
        <v>3</v>
      </c>
      <c r="K128" s="37">
        <f t="shared" si="15"/>
        <v>9.14383275261324</v>
      </c>
      <c r="L128" s="37">
        <f t="shared" si="16"/>
        <v>3911358</v>
      </c>
      <c r="M128" s="63"/>
    </row>
    <row r="129" spans="1:13" ht="12.75">
      <c r="A129" s="66">
        <v>10</v>
      </c>
      <c r="B129" s="47" t="s">
        <v>26</v>
      </c>
      <c r="C129" s="5">
        <v>5885000</v>
      </c>
      <c r="D129" s="63"/>
      <c r="E129" s="63"/>
      <c r="F129" s="5">
        <v>1180933</v>
      </c>
      <c r="G129" s="37">
        <f t="shared" si="17"/>
        <v>20.066830926083263</v>
      </c>
      <c r="H129" s="5">
        <v>1180933</v>
      </c>
      <c r="I129" s="36">
        <f>SUM(H129/C129*100)</f>
        <v>20.066830926083263</v>
      </c>
      <c r="J129" s="37">
        <v>3</v>
      </c>
      <c r="K129" s="37">
        <f t="shared" si="15"/>
        <v>20.066830926083263</v>
      </c>
      <c r="L129" s="37">
        <f t="shared" si="16"/>
        <v>4704067</v>
      </c>
      <c r="M129" s="63"/>
    </row>
    <row r="130" spans="1:13" ht="12.75">
      <c r="A130" s="66">
        <v>11</v>
      </c>
      <c r="B130" s="47" t="s">
        <v>27</v>
      </c>
      <c r="C130" s="5">
        <v>672000000</v>
      </c>
      <c r="D130" s="63"/>
      <c r="E130" s="63"/>
      <c r="F130" s="5"/>
      <c r="G130" s="37">
        <f t="shared" si="17"/>
        <v>0</v>
      </c>
      <c r="H130" s="5">
        <v>0</v>
      </c>
      <c r="I130" s="36">
        <f>SUM(H130/C130*100)</f>
        <v>0</v>
      </c>
      <c r="J130" s="37">
        <v>3</v>
      </c>
      <c r="K130" s="37">
        <f t="shared" si="15"/>
        <v>0</v>
      </c>
      <c r="L130" s="37">
        <f t="shared" si="16"/>
        <v>672000000</v>
      </c>
      <c r="M130" s="63"/>
    </row>
    <row r="131" spans="1:13" ht="12.75">
      <c r="A131" s="66"/>
      <c r="B131" s="47"/>
      <c r="C131" s="5"/>
      <c r="D131" s="63"/>
      <c r="E131" s="63"/>
      <c r="F131" s="5"/>
      <c r="G131" s="37"/>
      <c r="H131" s="5"/>
      <c r="I131" s="36"/>
      <c r="J131" s="37"/>
      <c r="K131" s="37"/>
      <c r="L131" s="37"/>
      <c r="M131" s="63"/>
    </row>
    <row r="132" spans="1:13" ht="12.75">
      <c r="A132" s="61" t="s">
        <v>28</v>
      </c>
      <c r="B132" s="62" t="s">
        <v>29</v>
      </c>
      <c r="C132" s="67">
        <f>C133+C146+C154+C167+C172+C186+C191+C195</f>
        <v>9196607500</v>
      </c>
      <c r="D132" s="67">
        <f>D133+D146+D154+D167+D172+D186+D191+D195</f>
        <v>0</v>
      </c>
      <c r="E132" s="63"/>
      <c r="F132" s="67">
        <f>F133+F146+F154+F167+F172+F186+F191+F195</f>
        <v>35654656</v>
      </c>
      <c r="G132" s="6">
        <f aca="true" t="shared" si="18" ref="G132:G144">SUM(F132/C132*100)</f>
        <v>0.3876935706998477</v>
      </c>
      <c r="H132" s="67">
        <f>H133+H146+H154+H167+H172+H186+H191+H195</f>
        <v>262180815</v>
      </c>
      <c r="I132" s="8">
        <f>SUM(H132/C132*100)</f>
        <v>2.8508427156426976</v>
      </c>
      <c r="J132" s="6">
        <f>(J133+J146+J154+J167+J172+J186+J191+J195)/8</f>
        <v>16.34375</v>
      </c>
      <c r="K132" s="6">
        <f>(K133+K146+K154+K167+K172+K186+K191+K195)/8</f>
        <v>2.774546680699065</v>
      </c>
      <c r="L132" s="67">
        <f>L133+L146+L154+L167+L172+L186+L191+L195</f>
        <v>8934426685</v>
      </c>
      <c r="M132" s="63"/>
    </row>
    <row r="133" spans="1:13" ht="12.75">
      <c r="A133" s="68">
        <v>1</v>
      </c>
      <c r="B133" s="69" t="s">
        <v>30</v>
      </c>
      <c r="C133" s="67">
        <f>SUM(C134:C144)</f>
        <v>1362525500</v>
      </c>
      <c r="D133" s="67">
        <f>SUM(D134:D144)</f>
        <v>0</v>
      </c>
      <c r="E133" s="70"/>
      <c r="F133" s="6">
        <f>SUM(F134:F144)</f>
        <v>35654656</v>
      </c>
      <c r="G133" s="6">
        <f t="shared" si="18"/>
        <v>2.616806511144195</v>
      </c>
      <c r="H133" s="6">
        <f>SUM(H134:H144)</f>
        <v>82648315</v>
      </c>
      <c r="I133" s="8">
        <f aca="true" t="shared" si="19" ref="I133:I144">SUM(H133/C133*100)</f>
        <v>6.0658178507484815</v>
      </c>
      <c r="J133" s="64">
        <v>3</v>
      </c>
      <c r="K133" s="64">
        <f>(K134+K135+K136+K137+K138+K139+K140+K141+K142+K143+K144)/11</f>
        <v>10.699079315712122</v>
      </c>
      <c r="L133" s="6">
        <f>SUM(L134:L144)</f>
        <v>1279877185</v>
      </c>
      <c r="M133" s="56"/>
    </row>
    <row r="134" spans="1:13" ht="12.75">
      <c r="A134" s="55">
        <v>1</v>
      </c>
      <c r="B134" s="55" t="s">
        <v>31</v>
      </c>
      <c r="C134" s="71">
        <v>6310000</v>
      </c>
      <c r="D134" s="72" t="s">
        <v>32</v>
      </c>
      <c r="E134" s="72" t="s">
        <v>32</v>
      </c>
      <c r="F134" s="71"/>
      <c r="G134" s="37">
        <f t="shared" si="18"/>
        <v>0</v>
      </c>
      <c r="H134" s="71"/>
      <c r="I134" s="36">
        <f t="shared" si="19"/>
        <v>0</v>
      </c>
      <c r="J134" s="37">
        <v>3</v>
      </c>
      <c r="K134" s="37">
        <f aca="true" t="shared" si="20" ref="K134:K145">I134</f>
        <v>0</v>
      </c>
      <c r="L134" s="37">
        <f>C134-H134</f>
        <v>6310000</v>
      </c>
      <c r="M134" s="37"/>
    </row>
    <row r="135" spans="1:13" ht="12.75">
      <c r="A135" s="55">
        <v>2</v>
      </c>
      <c r="B135" s="73" t="s">
        <v>76</v>
      </c>
      <c r="C135" s="71">
        <v>60000000</v>
      </c>
      <c r="D135" s="37"/>
      <c r="E135" s="37"/>
      <c r="F135" s="7"/>
      <c r="G135" s="37">
        <f t="shared" si="18"/>
        <v>0</v>
      </c>
      <c r="H135" s="71">
        <v>13089325</v>
      </c>
      <c r="I135" s="36">
        <f t="shared" si="19"/>
        <v>21.815541666666665</v>
      </c>
      <c r="J135" s="37">
        <v>4</v>
      </c>
      <c r="K135" s="37">
        <f t="shared" si="20"/>
        <v>21.815541666666665</v>
      </c>
      <c r="L135" s="37">
        <f aca="true" t="shared" si="21" ref="L135:L155">C135-H135</f>
        <v>46910675</v>
      </c>
      <c r="M135" s="37"/>
    </row>
    <row r="136" spans="1:13" ht="12.75">
      <c r="A136" s="55">
        <v>3</v>
      </c>
      <c r="B136" s="55" t="s">
        <v>33</v>
      </c>
      <c r="C136" s="71">
        <v>31435000</v>
      </c>
      <c r="D136" s="37">
        <v>0</v>
      </c>
      <c r="E136" s="37">
        <v>0</v>
      </c>
      <c r="F136" s="7"/>
      <c r="G136" s="37">
        <f t="shared" si="18"/>
        <v>0</v>
      </c>
      <c r="H136" s="7"/>
      <c r="I136" s="36">
        <f t="shared" si="19"/>
        <v>0</v>
      </c>
      <c r="J136" s="37">
        <v>3</v>
      </c>
      <c r="K136" s="37">
        <f t="shared" si="20"/>
        <v>0</v>
      </c>
      <c r="L136" s="37">
        <f t="shared" si="21"/>
        <v>31435000</v>
      </c>
      <c r="M136" s="37"/>
    </row>
    <row r="137" spans="1:13" ht="12.75">
      <c r="A137" s="55">
        <v>4</v>
      </c>
      <c r="B137" s="73" t="s">
        <v>34</v>
      </c>
      <c r="C137" s="71">
        <v>55000000</v>
      </c>
      <c r="D137" s="37">
        <v>0</v>
      </c>
      <c r="E137" s="37">
        <v>0</v>
      </c>
      <c r="F137" s="7"/>
      <c r="G137" s="37">
        <f t="shared" si="18"/>
        <v>0</v>
      </c>
      <c r="H137" s="7">
        <v>12505000</v>
      </c>
      <c r="I137" s="36">
        <f t="shared" si="19"/>
        <v>22.736363636363635</v>
      </c>
      <c r="J137" s="37">
        <v>4</v>
      </c>
      <c r="K137" s="37">
        <f t="shared" si="20"/>
        <v>22.736363636363635</v>
      </c>
      <c r="L137" s="37">
        <f t="shared" si="21"/>
        <v>42495000</v>
      </c>
      <c r="M137" s="37"/>
    </row>
    <row r="138" spans="1:13" ht="12.75">
      <c r="A138" s="55">
        <v>5</v>
      </c>
      <c r="B138" s="73" t="s">
        <v>35</v>
      </c>
      <c r="C138" s="71">
        <v>26676500</v>
      </c>
      <c r="D138" s="37">
        <v>0</v>
      </c>
      <c r="E138" s="37">
        <v>0</v>
      </c>
      <c r="F138" s="7"/>
      <c r="G138" s="37">
        <f t="shared" si="18"/>
        <v>0</v>
      </c>
      <c r="H138" s="7">
        <v>5799900</v>
      </c>
      <c r="I138" s="36">
        <f t="shared" si="19"/>
        <v>21.74160778213034</v>
      </c>
      <c r="J138" s="37">
        <v>3</v>
      </c>
      <c r="K138" s="37">
        <f t="shared" si="20"/>
        <v>21.74160778213034</v>
      </c>
      <c r="L138" s="37">
        <f t="shared" si="21"/>
        <v>20876600</v>
      </c>
      <c r="M138" s="37"/>
    </row>
    <row r="139" spans="1:13" ht="12.75">
      <c r="A139" s="55">
        <v>6</v>
      </c>
      <c r="B139" s="73" t="s">
        <v>36</v>
      </c>
      <c r="C139" s="71">
        <v>4000000</v>
      </c>
      <c r="D139" s="37">
        <v>0</v>
      </c>
      <c r="E139" s="37">
        <v>0</v>
      </c>
      <c r="F139" s="7"/>
      <c r="G139" s="37">
        <f t="shared" si="18"/>
        <v>0</v>
      </c>
      <c r="H139" s="7"/>
      <c r="I139" s="36">
        <f t="shared" si="19"/>
        <v>0</v>
      </c>
      <c r="J139" s="37">
        <v>5</v>
      </c>
      <c r="K139" s="37">
        <f t="shared" si="20"/>
        <v>0</v>
      </c>
      <c r="L139" s="37">
        <f t="shared" si="21"/>
        <v>4000000</v>
      </c>
      <c r="M139" s="37"/>
    </row>
    <row r="140" spans="1:13" ht="12.75">
      <c r="A140" s="55">
        <v>7</v>
      </c>
      <c r="B140" s="73" t="s">
        <v>37</v>
      </c>
      <c r="C140" s="71">
        <v>13076000</v>
      </c>
      <c r="D140" s="37">
        <v>0</v>
      </c>
      <c r="E140" s="37">
        <v>0</v>
      </c>
      <c r="F140" s="7"/>
      <c r="G140" s="37">
        <f t="shared" si="18"/>
        <v>0</v>
      </c>
      <c r="H140" s="7">
        <v>5562250</v>
      </c>
      <c r="I140" s="36">
        <f t="shared" si="19"/>
        <v>42.53785561333741</v>
      </c>
      <c r="J140" s="37">
        <v>7</v>
      </c>
      <c r="K140" s="37">
        <f t="shared" si="20"/>
        <v>42.53785561333741</v>
      </c>
      <c r="L140" s="37">
        <f t="shared" si="21"/>
        <v>7513750</v>
      </c>
      <c r="M140" s="37"/>
    </row>
    <row r="141" spans="1:13" ht="12.75">
      <c r="A141" s="55">
        <v>8</v>
      </c>
      <c r="B141" s="73" t="s">
        <v>38</v>
      </c>
      <c r="C141" s="71">
        <v>7500000</v>
      </c>
      <c r="D141" s="37">
        <v>0</v>
      </c>
      <c r="E141" s="37">
        <v>0</v>
      </c>
      <c r="F141" s="7"/>
      <c r="G141" s="37">
        <f t="shared" si="18"/>
        <v>0</v>
      </c>
      <c r="H141" s="7"/>
      <c r="I141" s="36">
        <f t="shared" si="19"/>
        <v>0</v>
      </c>
      <c r="J141" s="37">
        <v>4</v>
      </c>
      <c r="K141" s="37">
        <f t="shared" si="20"/>
        <v>0</v>
      </c>
      <c r="L141" s="37">
        <f t="shared" si="21"/>
        <v>7500000</v>
      </c>
      <c r="M141" s="37"/>
    </row>
    <row r="142" spans="1:13" ht="12.75">
      <c r="A142" s="55">
        <v>9</v>
      </c>
      <c r="B142" s="73" t="s">
        <v>39</v>
      </c>
      <c r="C142" s="71">
        <v>30000000</v>
      </c>
      <c r="D142" s="37">
        <v>0</v>
      </c>
      <c r="E142" s="37">
        <v>0</v>
      </c>
      <c r="F142" s="7"/>
      <c r="G142" s="37">
        <f t="shared" si="18"/>
        <v>0</v>
      </c>
      <c r="H142" s="7"/>
      <c r="I142" s="36">
        <f t="shared" si="19"/>
        <v>0</v>
      </c>
      <c r="J142" s="37">
        <v>4</v>
      </c>
      <c r="K142" s="37">
        <f t="shared" si="20"/>
        <v>0</v>
      </c>
      <c r="L142" s="37">
        <f t="shared" si="21"/>
        <v>30000000</v>
      </c>
      <c r="M142" s="37"/>
    </row>
    <row r="143" spans="1:13" ht="12.75">
      <c r="A143" s="55">
        <v>10</v>
      </c>
      <c r="B143" s="73" t="s">
        <v>40</v>
      </c>
      <c r="C143" s="71">
        <v>200000000</v>
      </c>
      <c r="D143" s="37">
        <v>0</v>
      </c>
      <c r="E143" s="37">
        <v>0</v>
      </c>
      <c r="F143" s="7"/>
      <c r="G143" s="37">
        <f t="shared" si="18"/>
        <v>0</v>
      </c>
      <c r="H143" s="7">
        <v>10037184</v>
      </c>
      <c r="I143" s="36">
        <f t="shared" si="19"/>
        <v>5.018592</v>
      </c>
      <c r="J143" s="37">
        <v>4</v>
      </c>
      <c r="K143" s="37">
        <f t="shared" si="20"/>
        <v>5.018592</v>
      </c>
      <c r="L143" s="37">
        <f t="shared" si="21"/>
        <v>189962816</v>
      </c>
      <c r="M143" s="37"/>
    </row>
    <row r="144" spans="1:13" ht="12.75">
      <c r="A144" s="55">
        <v>11</v>
      </c>
      <c r="B144" s="73" t="s">
        <v>41</v>
      </c>
      <c r="C144" s="71">
        <v>928528000</v>
      </c>
      <c r="D144" s="37">
        <v>0</v>
      </c>
      <c r="E144" s="37">
        <v>0</v>
      </c>
      <c r="F144" s="7">
        <v>35654656</v>
      </c>
      <c r="G144" s="37">
        <f t="shared" si="18"/>
        <v>3.8399117743352917</v>
      </c>
      <c r="H144" s="7">
        <v>35654656</v>
      </c>
      <c r="I144" s="36">
        <f t="shared" si="19"/>
        <v>3.8399117743352917</v>
      </c>
      <c r="J144" s="37">
        <v>3</v>
      </c>
      <c r="K144" s="37">
        <f t="shared" si="20"/>
        <v>3.8399117743352917</v>
      </c>
      <c r="L144" s="37">
        <f t="shared" si="21"/>
        <v>892873344</v>
      </c>
      <c r="M144" s="37"/>
    </row>
    <row r="145" spans="1:13" ht="12.75">
      <c r="A145" s="74"/>
      <c r="B145" s="75"/>
      <c r="C145" s="71"/>
      <c r="D145" s="37"/>
      <c r="E145" s="37"/>
      <c r="F145" s="7"/>
      <c r="G145" s="37"/>
      <c r="H145" s="7"/>
      <c r="I145" s="36"/>
      <c r="J145" s="37"/>
      <c r="K145" s="37">
        <f t="shared" si="20"/>
        <v>0</v>
      </c>
      <c r="L145" s="37">
        <f t="shared" si="21"/>
        <v>0</v>
      </c>
      <c r="M145" s="37"/>
    </row>
    <row r="146" spans="1:13" ht="12.75">
      <c r="A146" s="62">
        <v>2</v>
      </c>
      <c r="B146" s="69" t="s">
        <v>42</v>
      </c>
      <c r="C146" s="39">
        <f>C147+C148+C149+C150+C151+C152</f>
        <v>761012000</v>
      </c>
      <c r="D146" s="39">
        <f>SUM(D147:D152)</f>
        <v>0</v>
      </c>
      <c r="E146" s="6"/>
      <c r="F146" s="39">
        <f>F147+F148+F149+F150+F151+F152</f>
        <v>0</v>
      </c>
      <c r="G146" s="6">
        <f aca="true" t="shared" si="22" ref="G146:G152">SUM(F146/C146*100)</f>
        <v>0</v>
      </c>
      <c r="H146" s="39">
        <f>H147+H148+H149+H150+H151+H152</f>
        <v>60400000</v>
      </c>
      <c r="I146" s="30">
        <f aca="true" t="shared" si="23" ref="I146:I152">SUM(H146/C146*100)</f>
        <v>7.936799945335947</v>
      </c>
      <c r="J146" s="147">
        <f>SUM(J147:J152)/6</f>
        <v>7.333333333333333</v>
      </c>
      <c r="K146" s="39">
        <f>(K147+K148+K149+K150+K151+K152)/6</f>
        <v>2.7135335238197924</v>
      </c>
      <c r="L146" s="37">
        <f t="shared" si="21"/>
        <v>700612000</v>
      </c>
      <c r="M146" s="6"/>
    </row>
    <row r="147" spans="1:13" ht="12.75">
      <c r="A147" s="66">
        <v>1</v>
      </c>
      <c r="B147" s="73" t="s">
        <v>43</v>
      </c>
      <c r="C147" s="71">
        <v>85000000</v>
      </c>
      <c r="D147" s="37"/>
      <c r="E147" s="37"/>
      <c r="F147" s="71"/>
      <c r="G147" s="37">
        <f t="shared" si="22"/>
        <v>0</v>
      </c>
      <c r="H147" s="71"/>
      <c r="I147" s="36">
        <f t="shared" si="23"/>
        <v>0</v>
      </c>
      <c r="J147" s="37">
        <v>9</v>
      </c>
      <c r="K147" s="37">
        <f aca="true" t="shared" si="24" ref="K147:K152">I147</f>
        <v>0</v>
      </c>
      <c r="L147" s="37">
        <f t="shared" si="21"/>
        <v>85000000</v>
      </c>
      <c r="M147" s="37"/>
    </row>
    <row r="148" spans="1:13" ht="12.75">
      <c r="A148" s="66">
        <v>2</v>
      </c>
      <c r="B148" s="73" t="s">
        <v>44</v>
      </c>
      <c r="C148" s="71">
        <v>45000000</v>
      </c>
      <c r="D148" s="37"/>
      <c r="E148" s="37"/>
      <c r="F148" s="71"/>
      <c r="G148" s="37">
        <f t="shared" si="22"/>
        <v>0</v>
      </c>
      <c r="H148" s="71"/>
      <c r="I148" s="36">
        <f t="shared" si="23"/>
        <v>0</v>
      </c>
      <c r="J148" s="37">
        <v>10</v>
      </c>
      <c r="K148" s="37">
        <f t="shared" si="24"/>
        <v>0</v>
      </c>
      <c r="L148" s="37">
        <f t="shared" si="21"/>
        <v>45000000</v>
      </c>
      <c r="M148" s="37"/>
    </row>
    <row r="149" spans="1:13" ht="12.75">
      <c r="A149" s="66">
        <v>3</v>
      </c>
      <c r="B149" s="73" t="s">
        <v>45</v>
      </c>
      <c r="C149" s="71">
        <v>239382000</v>
      </c>
      <c r="D149" s="37"/>
      <c r="E149" s="37"/>
      <c r="F149" s="71"/>
      <c r="G149" s="37">
        <f t="shared" si="22"/>
        <v>0</v>
      </c>
      <c r="H149" s="71"/>
      <c r="I149" s="36">
        <f t="shared" si="23"/>
        <v>0</v>
      </c>
      <c r="J149" s="37">
        <v>7</v>
      </c>
      <c r="K149" s="37">
        <f t="shared" si="24"/>
        <v>0</v>
      </c>
      <c r="L149" s="37">
        <f t="shared" si="21"/>
        <v>239382000</v>
      </c>
      <c r="M149" s="37"/>
    </row>
    <row r="150" spans="1:13" ht="12.75">
      <c r="A150" s="66">
        <v>4</v>
      </c>
      <c r="B150" s="73" t="s">
        <v>46</v>
      </c>
      <c r="C150" s="71">
        <v>370980000</v>
      </c>
      <c r="D150" s="37"/>
      <c r="E150" s="37"/>
      <c r="F150" s="7"/>
      <c r="G150" s="37">
        <f t="shared" si="22"/>
        <v>0</v>
      </c>
      <c r="H150" s="7">
        <v>60400000</v>
      </c>
      <c r="I150" s="36">
        <f t="shared" si="23"/>
        <v>16.281201142918754</v>
      </c>
      <c r="J150" s="37">
        <v>3</v>
      </c>
      <c r="K150" s="37">
        <f t="shared" si="24"/>
        <v>16.281201142918754</v>
      </c>
      <c r="L150" s="37">
        <f t="shared" si="21"/>
        <v>310580000</v>
      </c>
      <c r="M150" s="37"/>
    </row>
    <row r="151" spans="1:13" ht="12.75">
      <c r="A151" s="66">
        <v>5</v>
      </c>
      <c r="B151" s="73" t="s">
        <v>47</v>
      </c>
      <c r="C151" s="71">
        <v>13050000</v>
      </c>
      <c r="D151" s="37">
        <v>0</v>
      </c>
      <c r="E151" s="37">
        <v>0</v>
      </c>
      <c r="F151" s="7"/>
      <c r="G151" s="37">
        <f t="shared" si="22"/>
        <v>0</v>
      </c>
      <c r="H151" s="7"/>
      <c r="I151" s="36">
        <f t="shared" si="23"/>
        <v>0</v>
      </c>
      <c r="J151" s="37">
        <v>5</v>
      </c>
      <c r="K151" s="37">
        <f t="shared" si="24"/>
        <v>0</v>
      </c>
      <c r="L151" s="37">
        <f t="shared" si="21"/>
        <v>13050000</v>
      </c>
      <c r="M151" s="37"/>
    </row>
    <row r="152" spans="1:13" ht="12.75">
      <c r="A152" s="66">
        <v>6</v>
      </c>
      <c r="B152" s="73" t="s">
        <v>48</v>
      </c>
      <c r="C152" s="71">
        <v>7600000</v>
      </c>
      <c r="D152" s="37"/>
      <c r="E152" s="37"/>
      <c r="F152" s="71"/>
      <c r="G152" s="37">
        <f t="shared" si="22"/>
        <v>0</v>
      </c>
      <c r="H152" s="71"/>
      <c r="I152" s="36">
        <f t="shared" si="23"/>
        <v>0</v>
      </c>
      <c r="J152" s="37">
        <v>10</v>
      </c>
      <c r="K152" s="37">
        <f t="shared" si="24"/>
        <v>0</v>
      </c>
      <c r="L152" s="37">
        <f t="shared" si="21"/>
        <v>7600000</v>
      </c>
      <c r="M152" s="37"/>
    </row>
    <row r="153" spans="1:13" ht="12.75">
      <c r="A153" s="66"/>
      <c r="B153" s="73"/>
      <c r="C153" s="71"/>
      <c r="D153" s="37"/>
      <c r="E153" s="37"/>
      <c r="F153" s="7"/>
      <c r="G153" s="37"/>
      <c r="H153" s="7"/>
      <c r="I153" s="36"/>
      <c r="J153" s="37"/>
      <c r="K153" s="37"/>
      <c r="L153" s="37">
        <f t="shared" si="21"/>
        <v>0</v>
      </c>
      <c r="M153" s="37"/>
    </row>
    <row r="154" spans="1:13" ht="12.75">
      <c r="A154" s="62">
        <v>3</v>
      </c>
      <c r="B154" s="69" t="s">
        <v>49</v>
      </c>
      <c r="C154" s="39">
        <f>C155</f>
        <v>74570000</v>
      </c>
      <c r="D154" s="39">
        <f>D155</f>
        <v>0</v>
      </c>
      <c r="E154" s="39">
        <f>E155</f>
        <v>0</v>
      </c>
      <c r="F154" s="8">
        <f>F155</f>
        <v>0</v>
      </c>
      <c r="G154" s="6">
        <f>SUM(F154/C154*100)</f>
        <v>0</v>
      </c>
      <c r="H154" s="8">
        <f>H155</f>
        <v>0</v>
      </c>
      <c r="I154" s="65">
        <f>SUM(H154/C154*100)</f>
        <v>0</v>
      </c>
      <c r="J154" s="64">
        <v>100</v>
      </c>
      <c r="K154" s="8">
        <f>K155/1</f>
        <v>0</v>
      </c>
      <c r="L154" s="37">
        <f t="shared" si="21"/>
        <v>74570000</v>
      </c>
      <c r="M154" s="6"/>
    </row>
    <row r="155" spans="1:13" ht="12.75">
      <c r="A155" s="55"/>
      <c r="B155" s="76" t="s">
        <v>50</v>
      </c>
      <c r="C155" s="9">
        <v>74570000</v>
      </c>
      <c r="D155" s="37">
        <v>0</v>
      </c>
      <c r="E155" s="37">
        <v>0</v>
      </c>
      <c r="F155" s="10"/>
      <c r="G155" s="37">
        <f>SUM(F155/C155*100)</f>
        <v>0</v>
      </c>
      <c r="H155" s="10"/>
      <c r="I155" s="36">
        <f>SUM(H155/C155*100)</f>
        <v>0</v>
      </c>
      <c r="J155" s="37">
        <v>100</v>
      </c>
      <c r="K155" s="37">
        <f>I155</f>
        <v>0</v>
      </c>
      <c r="L155" s="37">
        <f t="shared" si="21"/>
        <v>74570000</v>
      </c>
      <c r="M155" s="56"/>
    </row>
    <row r="156" spans="2:13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2.75">
      <c r="A157" s="77"/>
      <c r="B157" s="12"/>
      <c r="C157" s="78"/>
      <c r="D157" s="79"/>
      <c r="E157" s="79"/>
      <c r="F157" s="13"/>
      <c r="G157" s="14"/>
      <c r="H157" s="13"/>
      <c r="I157" s="14"/>
      <c r="J157" s="80"/>
      <c r="K157" s="80"/>
      <c r="L157" s="80"/>
      <c r="M157" s="81"/>
    </row>
    <row r="158" spans="1:13" ht="12.75">
      <c r="A158" s="82"/>
      <c r="B158" s="15"/>
      <c r="C158" s="83"/>
      <c r="D158" s="84"/>
      <c r="E158" s="84"/>
      <c r="F158" s="16"/>
      <c r="G158" s="17"/>
      <c r="H158" s="16"/>
      <c r="I158" s="17"/>
      <c r="J158" s="85"/>
      <c r="K158" s="85"/>
      <c r="L158" s="85"/>
      <c r="M158" s="86"/>
    </row>
    <row r="159" spans="1:13" ht="12.75">
      <c r="A159" s="82"/>
      <c r="B159" s="15"/>
      <c r="C159" s="83"/>
      <c r="D159" s="84"/>
      <c r="E159" s="84"/>
      <c r="F159" s="16"/>
      <c r="G159" s="17"/>
      <c r="H159" s="16"/>
      <c r="I159" s="17"/>
      <c r="J159" s="85"/>
      <c r="K159" s="85"/>
      <c r="L159" s="85"/>
      <c r="M159" s="86"/>
    </row>
    <row r="160" spans="1:13" ht="12.75">
      <c r="A160" s="82"/>
      <c r="B160" s="15"/>
      <c r="C160" s="83"/>
      <c r="D160" s="84"/>
      <c r="E160" s="84"/>
      <c r="F160" s="16"/>
      <c r="G160" s="17"/>
      <c r="H160" s="16"/>
      <c r="I160" s="17"/>
      <c r="J160" s="85"/>
      <c r="K160" s="85"/>
      <c r="L160" s="85"/>
      <c r="M160" s="86"/>
    </row>
    <row r="161" spans="1:13" ht="12.75">
      <c r="A161" s="87"/>
      <c r="B161" s="18"/>
      <c r="C161" s="88"/>
      <c r="D161" s="89"/>
      <c r="E161" s="89"/>
      <c r="F161" s="19"/>
      <c r="G161" s="20"/>
      <c r="H161" s="19"/>
      <c r="I161" s="20"/>
      <c r="J161" s="90"/>
      <c r="K161" s="90"/>
      <c r="L161" s="90"/>
      <c r="M161" s="91"/>
    </row>
    <row r="162" spans="1:13" ht="12.75">
      <c r="A162" s="808" t="s">
        <v>2</v>
      </c>
      <c r="B162" s="808" t="s">
        <v>3</v>
      </c>
      <c r="C162" s="808" t="s">
        <v>4</v>
      </c>
      <c r="D162" s="808" t="s">
        <v>5</v>
      </c>
      <c r="E162" s="808" t="s">
        <v>6</v>
      </c>
      <c r="F162" s="816" t="s">
        <v>7</v>
      </c>
      <c r="G162" s="817"/>
      <c r="H162" s="817"/>
      <c r="I162" s="818"/>
      <c r="J162" s="816" t="s">
        <v>8</v>
      </c>
      <c r="K162" s="818"/>
      <c r="L162" s="805" t="s">
        <v>87</v>
      </c>
      <c r="M162" s="808" t="s">
        <v>9</v>
      </c>
    </row>
    <row r="163" spans="1:13" ht="12.75">
      <c r="A163" s="806"/>
      <c r="B163" s="806"/>
      <c r="C163" s="806"/>
      <c r="D163" s="814"/>
      <c r="E163" s="806"/>
      <c r="F163" s="809" t="s">
        <v>10</v>
      </c>
      <c r="G163" s="808" t="s">
        <v>11</v>
      </c>
      <c r="H163" s="808" t="s">
        <v>12</v>
      </c>
      <c r="I163" s="808" t="s">
        <v>11</v>
      </c>
      <c r="J163" s="808" t="s">
        <v>13</v>
      </c>
      <c r="K163" s="808" t="s">
        <v>14</v>
      </c>
      <c r="L163" s="806"/>
      <c r="M163" s="806"/>
    </row>
    <row r="164" spans="1:13" ht="12.75" customHeight="1">
      <c r="A164" s="807"/>
      <c r="B164" s="807"/>
      <c r="C164" s="807"/>
      <c r="D164" s="815"/>
      <c r="E164" s="807"/>
      <c r="F164" s="810"/>
      <c r="G164" s="807"/>
      <c r="H164" s="807"/>
      <c r="I164" s="807"/>
      <c r="J164" s="807"/>
      <c r="K164" s="807"/>
      <c r="L164" s="807"/>
      <c r="M164" s="807"/>
    </row>
    <row r="165" spans="1:13" ht="12.75" customHeight="1">
      <c r="A165" s="2">
        <v>1</v>
      </c>
      <c r="B165" s="2">
        <v>2</v>
      </c>
      <c r="C165" s="2">
        <v>3</v>
      </c>
      <c r="D165" s="2">
        <v>4</v>
      </c>
      <c r="E165" s="2">
        <v>5</v>
      </c>
      <c r="F165" s="2">
        <v>6</v>
      </c>
      <c r="G165" s="2">
        <v>7</v>
      </c>
      <c r="H165" s="2">
        <v>8</v>
      </c>
      <c r="I165" s="2">
        <v>9</v>
      </c>
      <c r="J165" s="2">
        <v>10</v>
      </c>
      <c r="K165" s="2">
        <v>11</v>
      </c>
      <c r="L165" s="2"/>
      <c r="M165" s="2">
        <v>12</v>
      </c>
    </row>
    <row r="166" spans="1:13" ht="12.75">
      <c r="A166" s="55"/>
      <c r="B166" s="21"/>
      <c r="C166" s="22"/>
      <c r="D166" s="32"/>
      <c r="E166" s="32"/>
      <c r="F166" s="23"/>
      <c r="G166" s="32"/>
      <c r="H166" s="23"/>
      <c r="I166" s="57"/>
      <c r="J166" s="56"/>
      <c r="K166" s="56"/>
      <c r="L166" s="95"/>
      <c r="M166" s="92"/>
    </row>
    <row r="167" spans="1:13" ht="12.75">
      <c r="A167" s="93">
        <v>4</v>
      </c>
      <c r="B167" s="24" t="s">
        <v>51</v>
      </c>
      <c r="C167" s="25">
        <f>C168+C169+C170</f>
        <v>4830000000</v>
      </c>
      <c r="D167" s="25">
        <f>D168+D169+D170</f>
        <v>0</v>
      </c>
      <c r="E167" s="25"/>
      <c r="F167" s="25">
        <f>F168+F169+F170</f>
        <v>0</v>
      </c>
      <c r="G167" s="6">
        <f>SUM(F167/C167*100)</f>
        <v>0</v>
      </c>
      <c r="H167" s="25">
        <f>H168+H169+H170</f>
        <v>104783500</v>
      </c>
      <c r="I167" s="8">
        <f>SUM(H167/C167*100)</f>
        <v>2.1694306418219464</v>
      </c>
      <c r="J167" s="25">
        <f>(J168+J169+J170)/3</f>
        <v>1.3333333333333333</v>
      </c>
      <c r="K167" s="25">
        <f>(K168+K169+K170)/4</f>
        <v>3.492783333333333</v>
      </c>
      <c r="L167" s="154">
        <f>C167-H167</f>
        <v>4725216500</v>
      </c>
      <c r="M167" s="56"/>
    </row>
    <row r="168" spans="1:13" ht="12.75">
      <c r="A168" s="55">
        <v>1</v>
      </c>
      <c r="B168" s="21" t="s">
        <v>52</v>
      </c>
      <c r="C168" s="22">
        <v>3930000000</v>
      </c>
      <c r="D168" s="22"/>
      <c r="E168" s="22"/>
      <c r="F168" s="22"/>
      <c r="G168" s="32">
        <f>SUM(F168/C168*100)</f>
        <v>0</v>
      </c>
      <c r="H168" s="22"/>
      <c r="I168" s="57">
        <f>SUM(H168/C168*100)</f>
        <v>0</v>
      </c>
      <c r="J168" s="37">
        <v>1</v>
      </c>
      <c r="K168" s="32">
        <f>I168</f>
        <v>0</v>
      </c>
      <c r="L168" s="154">
        <f aca="true" t="shared" si="25" ref="L168:L196">C168-H168</f>
        <v>3930000000</v>
      </c>
      <c r="M168" s="56"/>
    </row>
    <row r="169" spans="1:13" ht="12.75">
      <c r="A169" s="55">
        <v>2</v>
      </c>
      <c r="B169" s="21" t="s">
        <v>53</v>
      </c>
      <c r="C169" s="22">
        <v>750000000</v>
      </c>
      <c r="D169" s="32"/>
      <c r="E169" s="32"/>
      <c r="F169" s="26"/>
      <c r="G169" s="32">
        <f>SUM(F169/C169*100)</f>
        <v>0</v>
      </c>
      <c r="H169" s="22">
        <v>104783500</v>
      </c>
      <c r="I169" s="57">
        <f>SUM(H169/C169*100)</f>
        <v>13.971133333333333</v>
      </c>
      <c r="J169" s="32">
        <v>3</v>
      </c>
      <c r="K169" s="32">
        <f>I169</f>
        <v>13.971133333333333</v>
      </c>
      <c r="L169" s="154">
        <f t="shared" si="25"/>
        <v>645216500</v>
      </c>
      <c r="M169" s="37"/>
    </row>
    <row r="170" spans="1:13" ht="12.75">
      <c r="A170" s="55">
        <v>3</v>
      </c>
      <c r="B170" s="21" t="s">
        <v>54</v>
      </c>
      <c r="C170" s="22">
        <v>150000000</v>
      </c>
      <c r="D170" s="32"/>
      <c r="E170" s="32"/>
      <c r="F170" s="26"/>
      <c r="G170" s="32">
        <f>SUM(F170/C170*100)</f>
        <v>0</v>
      </c>
      <c r="H170" s="26"/>
      <c r="I170" s="57">
        <f>SUM(H170/C170*100)</f>
        <v>0</v>
      </c>
      <c r="J170" s="32">
        <v>0</v>
      </c>
      <c r="K170" s="32">
        <f>I170</f>
        <v>0</v>
      </c>
      <c r="L170" s="154">
        <f t="shared" si="25"/>
        <v>150000000</v>
      </c>
      <c r="M170" s="56"/>
    </row>
    <row r="171" spans="1:13" ht="12.75">
      <c r="A171" s="94"/>
      <c r="B171" s="27"/>
      <c r="C171" s="28"/>
      <c r="D171" s="33"/>
      <c r="E171" s="33"/>
      <c r="F171" s="29"/>
      <c r="G171" s="33"/>
      <c r="H171" s="29"/>
      <c r="I171" s="57"/>
      <c r="J171" s="95"/>
      <c r="K171" s="95"/>
      <c r="L171" s="154">
        <f t="shared" si="25"/>
        <v>0</v>
      </c>
      <c r="M171" s="95"/>
    </row>
    <row r="172" spans="1:13" ht="12.75">
      <c r="A172" s="96">
        <v>5</v>
      </c>
      <c r="B172" s="97" t="s">
        <v>56</v>
      </c>
      <c r="C172" s="48">
        <f>SUM(C173:C184)</f>
        <v>1208500000</v>
      </c>
      <c r="D172" s="48">
        <f>D173+D174+D175+D178+D179+D181+D182+D184</f>
        <v>0</v>
      </c>
      <c r="E172" s="48"/>
      <c r="F172" s="48">
        <f>F173+F174+F175+F176+F177+F178+F179+F181+F182+F183+F184</f>
        <v>0</v>
      </c>
      <c r="G172" s="31">
        <f aca="true" t="shared" si="26" ref="G172:G179">SUM(F172/C172*100)</f>
        <v>0</v>
      </c>
      <c r="H172" s="48">
        <f>H173+H174+H175+H176+H177+H178+H179+H181+H182+H183+H184</f>
        <v>4875000</v>
      </c>
      <c r="I172" s="30">
        <f aca="true" t="shared" si="27" ref="I172:I179">SUM(H172/C172*100)</f>
        <v>0.4033926354985519</v>
      </c>
      <c r="J172" s="48">
        <f>SUM(J173+J174+J175+J176+J177+J178+J179+J181+J182+J183+J184)/12</f>
        <v>2.5833333333333335</v>
      </c>
      <c r="K172" s="48">
        <f>(K173+K174+K175+K176+K177+K178+K179+K181+K182+K183+K184)/11</f>
        <v>0.5539772727272727</v>
      </c>
      <c r="L172" s="154">
        <f t="shared" si="25"/>
        <v>1203625000</v>
      </c>
      <c r="M172" s="95"/>
    </row>
    <row r="173" spans="1:13" ht="12.75">
      <c r="A173" s="55">
        <v>1</v>
      </c>
      <c r="B173" s="73" t="s">
        <v>57</v>
      </c>
      <c r="C173" s="71">
        <v>350000000</v>
      </c>
      <c r="D173" s="71"/>
      <c r="E173" s="32"/>
      <c r="F173" s="71"/>
      <c r="G173" s="32">
        <f t="shared" si="26"/>
        <v>0</v>
      </c>
      <c r="H173" s="71"/>
      <c r="I173" s="36">
        <f t="shared" si="27"/>
        <v>0</v>
      </c>
      <c r="J173" s="37">
        <v>3</v>
      </c>
      <c r="K173" s="33">
        <f aca="true" t="shared" si="28" ref="K173:K179">I173</f>
        <v>0</v>
      </c>
      <c r="L173" s="154">
        <f t="shared" si="25"/>
        <v>350000000</v>
      </c>
      <c r="M173" s="56"/>
    </row>
    <row r="174" spans="1:13" ht="12.75">
      <c r="A174" s="55">
        <v>2</v>
      </c>
      <c r="B174" s="98" t="s">
        <v>58</v>
      </c>
      <c r="C174" s="71">
        <v>165000000</v>
      </c>
      <c r="D174" s="37"/>
      <c r="E174" s="32"/>
      <c r="F174" s="71"/>
      <c r="G174" s="32">
        <f t="shared" si="26"/>
        <v>0</v>
      </c>
      <c r="H174" s="71"/>
      <c r="I174" s="36">
        <f t="shared" si="27"/>
        <v>0</v>
      </c>
      <c r="J174" s="32">
        <v>2</v>
      </c>
      <c r="K174" s="33">
        <f t="shared" si="28"/>
        <v>0</v>
      </c>
      <c r="L174" s="154">
        <f t="shared" si="25"/>
        <v>165000000</v>
      </c>
      <c r="M174" s="56"/>
    </row>
    <row r="175" spans="1:13" ht="12.75">
      <c r="A175" s="55">
        <v>3</v>
      </c>
      <c r="B175" s="98" t="s">
        <v>59</v>
      </c>
      <c r="C175" s="71">
        <v>50000000</v>
      </c>
      <c r="D175" s="37"/>
      <c r="E175" s="32"/>
      <c r="F175" s="7"/>
      <c r="G175" s="32">
        <f t="shared" si="26"/>
        <v>0</v>
      </c>
      <c r="H175" s="7"/>
      <c r="I175" s="36">
        <f t="shared" si="27"/>
        <v>0</v>
      </c>
      <c r="J175" s="32">
        <v>3</v>
      </c>
      <c r="K175" s="33">
        <f t="shared" si="28"/>
        <v>0</v>
      </c>
      <c r="L175" s="154">
        <f t="shared" si="25"/>
        <v>50000000</v>
      </c>
      <c r="M175" s="56"/>
    </row>
    <row r="176" spans="1:13" ht="12.75">
      <c r="A176" s="55">
        <v>4</v>
      </c>
      <c r="B176" s="73" t="s">
        <v>78</v>
      </c>
      <c r="C176" s="71">
        <v>80000000</v>
      </c>
      <c r="D176" s="37"/>
      <c r="E176" s="32"/>
      <c r="F176" s="7"/>
      <c r="G176" s="32">
        <f t="shared" si="26"/>
        <v>0</v>
      </c>
      <c r="H176" s="7">
        <v>4875000</v>
      </c>
      <c r="I176" s="36">
        <f t="shared" si="27"/>
        <v>6.09375</v>
      </c>
      <c r="J176" s="32">
        <v>3</v>
      </c>
      <c r="K176" s="33">
        <f t="shared" si="28"/>
        <v>6.09375</v>
      </c>
      <c r="L176" s="154">
        <f t="shared" si="25"/>
        <v>75125000</v>
      </c>
      <c r="M176" s="56"/>
    </row>
    <row r="177" spans="1:13" ht="12.75">
      <c r="A177" s="55">
        <v>5</v>
      </c>
      <c r="B177" s="73" t="s">
        <v>79</v>
      </c>
      <c r="C177" s="71">
        <v>50000000</v>
      </c>
      <c r="D177" s="37"/>
      <c r="E177" s="32"/>
      <c r="F177" s="7">
        <v>0</v>
      </c>
      <c r="G177" s="32">
        <f t="shared" si="26"/>
        <v>0</v>
      </c>
      <c r="H177" s="7">
        <v>0</v>
      </c>
      <c r="I177" s="36">
        <f t="shared" si="27"/>
        <v>0</v>
      </c>
      <c r="J177" s="32">
        <v>2</v>
      </c>
      <c r="K177" s="33">
        <f t="shared" si="28"/>
        <v>0</v>
      </c>
      <c r="L177" s="154">
        <f t="shared" si="25"/>
        <v>50000000</v>
      </c>
      <c r="M177" s="56"/>
    </row>
    <row r="178" spans="1:13" ht="12.75">
      <c r="A178" s="55">
        <v>6</v>
      </c>
      <c r="B178" s="73" t="s">
        <v>60</v>
      </c>
      <c r="C178" s="71">
        <v>50000000</v>
      </c>
      <c r="D178" s="37"/>
      <c r="E178" s="32"/>
      <c r="F178" s="7"/>
      <c r="G178" s="32">
        <f t="shared" si="26"/>
        <v>0</v>
      </c>
      <c r="H178" s="7"/>
      <c r="I178" s="36">
        <f t="shared" si="27"/>
        <v>0</v>
      </c>
      <c r="J178" s="32">
        <v>0</v>
      </c>
      <c r="K178" s="33">
        <f t="shared" si="28"/>
        <v>0</v>
      </c>
      <c r="L178" s="154">
        <f t="shared" si="25"/>
        <v>50000000</v>
      </c>
      <c r="M178" s="56"/>
    </row>
    <row r="179" spans="1:13" ht="12.75">
      <c r="A179" s="76">
        <v>7</v>
      </c>
      <c r="B179" s="122" t="s">
        <v>61</v>
      </c>
      <c r="C179" s="123">
        <v>50000000</v>
      </c>
      <c r="D179" s="115"/>
      <c r="E179" s="109"/>
      <c r="F179" s="124"/>
      <c r="G179" s="109">
        <f t="shared" si="26"/>
        <v>0</v>
      </c>
      <c r="H179" s="124"/>
      <c r="I179" s="124">
        <f t="shared" si="27"/>
        <v>0</v>
      </c>
      <c r="J179" s="109">
        <v>10</v>
      </c>
      <c r="K179" s="109">
        <f t="shared" si="28"/>
        <v>0</v>
      </c>
      <c r="L179" s="154">
        <f t="shared" si="25"/>
        <v>50000000</v>
      </c>
      <c r="M179" s="110"/>
    </row>
    <row r="180" spans="1:13" ht="12.75">
      <c r="A180" s="55">
        <v>8</v>
      </c>
      <c r="B180" s="122" t="s">
        <v>85</v>
      </c>
      <c r="C180" s="123">
        <v>156700000</v>
      </c>
      <c r="D180" s="115"/>
      <c r="E180" s="109"/>
      <c r="F180" s="124"/>
      <c r="G180" s="109"/>
      <c r="H180" s="124"/>
      <c r="I180" s="124"/>
      <c r="J180" s="109">
        <v>0</v>
      </c>
      <c r="K180" s="109"/>
      <c r="L180" s="154">
        <f t="shared" si="25"/>
        <v>156700000</v>
      </c>
      <c r="M180" s="110"/>
    </row>
    <row r="181" spans="1:13" ht="25.5">
      <c r="A181" s="76">
        <v>9</v>
      </c>
      <c r="B181" s="73" t="s">
        <v>80</v>
      </c>
      <c r="C181" s="71">
        <v>140000000</v>
      </c>
      <c r="D181" s="37"/>
      <c r="E181" s="32"/>
      <c r="F181" s="71"/>
      <c r="G181" s="32">
        <f>SUM(F181/C181*100)</f>
        <v>0</v>
      </c>
      <c r="H181" s="71"/>
      <c r="I181" s="7">
        <f>SUM(H181/C181*100)</f>
        <v>0</v>
      </c>
      <c r="J181" s="32">
        <v>0</v>
      </c>
      <c r="K181" s="32">
        <f>I181</f>
        <v>0</v>
      </c>
      <c r="L181" s="154">
        <f t="shared" si="25"/>
        <v>140000000</v>
      </c>
      <c r="M181" s="56"/>
    </row>
    <row r="182" spans="1:13" ht="12.75">
      <c r="A182" s="55">
        <v>10</v>
      </c>
      <c r="B182" s="73" t="s">
        <v>62</v>
      </c>
      <c r="C182" s="71">
        <v>68300000</v>
      </c>
      <c r="D182" s="71"/>
      <c r="E182" s="32"/>
      <c r="F182" s="7"/>
      <c r="G182" s="32">
        <f>SUM(F182/C182*100)</f>
        <v>0</v>
      </c>
      <c r="H182" s="7"/>
      <c r="I182" s="7">
        <f>SUM(H182/C182*100)</f>
        <v>0</v>
      </c>
      <c r="J182" s="32">
        <v>0</v>
      </c>
      <c r="K182" s="49">
        <f>I182</f>
        <v>0</v>
      </c>
      <c r="L182" s="154">
        <f t="shared" si="25"/>
        <v>68300000</v>
      </c>
      <c r="M182" s="56"/>
    </row>
    <row r="183" spans="1:13" ht="12.75">
      <c r="A183" s="76">
        <v>11</v>
      </c>
      <c r="B183" s="73" t="s">
        <v>81</v>
      </c>
      <c r="C183" s="38">
        <v>27500000</v>
      </c>
      <c r="D183" s="71"/>
      <c r="E183" s="32"/>
      <c r="F183" s="7">
        <v>0</v>
      </c>
      <c r="G183" s="32">
        <v>0</v>
      </c>
      <c r="H183" s="7">
        <v>0</v>
      </c>
      <c r="I183" s="7">
        <v>0</v>
      </c>
      <c r="J183" s="32">
        <v>3</v>
      </c>
      <c r="K183" s="32">
        <f>I183</f>
        <v>0</v>
      </c>
      <c r="L183" s="154">
        <f t="shared" si="25"/>
        <v>27500000</v>
      </c>
      <c r="M183" s="56"/>
    </row>
    <row r="184" spans="1:13" ht="12.75">
      <c r="A184" s="55">
        <v>12</v>
      </c>
      <c r="B184" s="73" t="s">
        <v>55</v>
      </c>
      <c r="C184" s="38">
        <v>21000000</v>
      </c>
      <c r="D184" s="71"/>
      <c r="E184" s="32"/>
      <c r="F184" s="7">
        <v>0</v>
      </c>
      <c r="G184" s="32">
        <v>0</v>
      </c>
      <c r="H184" s="7">
        <v>0</v>
      </c>
      <c r="I184" s="7">
        <v>0</v>
      </c>
      <c r="J184" s="32">
        <v>5</v>
      </c>
      <c r="K184" s="32">
        <f>I184</f>
        <v>0</v>
      </c>
      <c r="L184" s="154">
        <f t="shared" si="25"/>
        <v>21000000</v>
      </c>
      <c r="M184" s="56"/>
    </row>
    <row r="185" spans="1:13" ht="12.75">
      <c r="A185" s="100"/>
      <c r="B185" s="125"/>
      <c r="C185" s="22"/>
      <c r="D185" s="32"/>
      <c r="E185" s="32"/>
      <c r="F185" s="23"/>
      <c r="G185" s="34"/>
      <c r="H185" s="23"/>
      <c r="I185" s="34"/>
      <c r="J185" s="8"/>
      <c r="K185" s="8"/>
      <c r="L185" s="154">
        <f t="shared" si="25"/>
        <v>0</v>
      </c>
      <c r="M185" s="56"/>
    </row>
    <row r="186" spans="1:13" ht="12.75">
      <c r="A186" s="111">
        <v>6</v>
      </c>
      <c r="B186" s="97" t="s">
        <v>63</v>
      </c>
      <c r="C186" s="48">
        <f>C187+C188+C189</f>
        <v>340000000</v>
      </c>
      <c r="D186" s="48">
        <f>D187+D188+D189</f>
        <v>0</v>
      </c>
      <c r="E186" s="48"/>
      <c r="F186" s="48">
        <f>F187+F188+F189</f>
        <v>0</v>
      </c>
      <c r="G186" s="30">
        <f>F186/C186*100</f>
        <v>0</v>
      </c>
      <c r="H186" s="48">
        <f>H187+H188+H189</f>
        <v>9474000</v>
      </c>
      <c r="I186" s="30">
        <f>SUM(H186/C186*100)</f>
        <v>2.7864705882352943</v>
      </c>
      <c r="J186" s="48">
        <f>(J187+J188+J189)/3</f>
        <v>9</v>
      </c>
      <c r="K186" s="48">
        <f>(K187+K188+K189)/4</f>
        <v>4.737</v>
      </c>
      <c r="L186" s="154">
        <f t="shared" si="25"/>
        <v>330526000</v>
      </c>
      <c r="M186" s="95"/>
    </row>
    <row r="187" spans="1:13" ht="12.75">
      <c r="A187" s="55">
        <v>1</v>
      </c>
      <c r="B187" s="73" t="s">
        <v>64</v>
      </c>
      <c r="C187" s="38">
        <v>50000000</v>
      </c>
      <c r="D187" s="38"/>
      <c r="E187" s="32"/>
      <c r="F187" s="38">
        <v>0</v>
      </c>
      <c r="G187" s="32">
        <f>SUM(F187/C187*100)</f>
        <v>0</v>
      </c>
      <c r="H187" s="38">
        <v>9474000</v>
      </c>
      <c r="I187" s="36">
        <f>SUM(H187/C187*100)</f>
        <v>18.948</v>
      </c>
      <c r="J187" s="35">
        <v>8</v>
      </c>
      <c r="K187" s="33">
        <f>I187</f>
        <v>18.948</v>
      </c>
      <c r="L187" s="154">
        <f t="shared" si="25"/>
        <v>40526000</v>
      </c>
      <c r="M187" s="56"/>
    </row>
    <row r="188" spans="1:13" ht="12.75">
      <c r="A188" s="55">
        <v>2</v>
      </c>
      <c r="B188" s="73" t="s">
        <v>65</v>
      </c>
      <c r="C188" s="38">
        <v>35000000</v>
      </c>
      <c r="D188" s="32"/>
      <c r="E188" s="32"/>
      <c r="F188" s="38"/>
      <c r="G188" s="32">
        <f>SUM(F188/C188*100)</f>
        <v>0</v>
      </c>
      <c r="H188" s="38"/>
      <c r="I188" s="50">
        <f>SUM(H188/C188*100)</f>
        <v>0</v>
      </c>
      <c r="J188" s="35">
        <v>9</v>
      </c>
      <c r="K188" s="33">
        <f>I188</f>
        <v>0</v>
      </c>
      <c r="L188" s="154">
        <f t="shared" si="25"/>
        <v>35000000</v>
      </c>
      <c r="M188" s="56"/>
    </row>
    <row r="189" spans="1:13" ht="12.75">
      <c r="A189" s="55">
        <v>3</v>
      </c>
      <c r="B189" s="73" t="s">
        <v>66</v>
      </c>
      <c r="C189" s="71">
        <v>255000000</v>
      </c>
      <c r="D189" s="71"/>
      <c r="E189" s="99"/>
      <c r="F189" s="71"/>
      <c r="G189" s="32">
        <f>SUM(F189/C189*100)</f>
        <v>0</v>
      </c>
      <c r="H189" s="71"/>
      <c r="I189" s="36">
        <f>SUM(H189/C189*100)</f>
        <v>0</v>
      </c>
      <c r="J189" s="112">
        <v>10</v>
      </c>
      <c r="K189" s="33">
        <f>I189</f>
        <v>0</v>
      </c>
      <c r="L189" s="154">
        <f t="shared" si="25"/>
        <v>255000000</v>
      </c>
      <c r="M189" s="56"/>
    </row>
    <row r="190" spans="1:13" ht="12.75">
      <c r="A190" s="94"/>
      <c r="B190" s="132"/>
      <c r="C190" s="133"/>
      <c r="D190" s="133"/>
      <c r="E190" s="134"/>
      <c r="F190" s="133"/>
      <c r="G190" s="33"/>
      <c r="H190" s="133"/>
      <c r="I190" s="36"/>
      <c r="J190" s="58"/>
      <c r="K190" s="33"/>
      <c r="L190" s="154">
        <f t="shared" si="25"/>
        <v>0</v>
      </c>
      <c r="M190" s="95"/>
    </row>
    <row r="191" spans="1:13" ht="12.75">
      <c r="A191" s="111">
        <v>7</v>
      </c>
      <c r="B191" s="97" t="s">
        <v>67</v>
      </c>
      <c r="C191" s="48">
        <f>C192+C193</f>
        <v>520000000</v>
      </c>
      <c r="D191" s="48">
        <f>D192+D193</f>
        <v>0</v>
      </c>
      <c r="E191" s="48"/>
      <c r="F191" s="48">
        <f>F192+F193</f>
        <v>0</v>
      </c>
      <c r="G191" s="30">
        <f>F191/C191*100</f>
        <v>0</v>
      </c>
      <c r="H191" s="48">
        <f>H192+H193</f>
        <v>0</v>
      </c>
      <c r="I191" s="30">
        <f>H191/C191*100</f>
        <v>0</v>
      </c>
      <c r="J191" s="48">
        <f>(J192+J193)/2</f>
        <v>7.5</v>
      </c>
      <c r="K191" s="48">
        <f>(K192+K193)/2</f>
        <v>0</v>
      </c>
      <c r="L191" s="154">
        <f t="shared" si="25"/>
        <v>520000000</v>
      </c>
      <c r="M191" s="95"/>
    </row>
    <row r="192" spans="1:13" ht="12.75">
      <c r="A192" s="100">
        <v>1</v>
      </c>
      <c r="B192" s="73" t="s">
        <v>68</v>
      </c>
      <c r="C192" s="71">
        <v>100000000</v>
      </c>
      <c r="D192" s="71"/>
      <c r="E192" s="32"/>
      <c r="F192" s="71"/>
      <c r="G192" s="34">
        <f>F192/C192*100</f>
        <v>0</v>
      </c>
      <c r="H192" s="71"/>
      <c r="I192" s="34">
        <f>H192/C192*100</f>
        <v>0</v>
      </c>
      <c r="J192" s="34">
        <v>10</v>
      </c>
      <c r="K192" s="34">
        <f>I192</f>
        <v>0</v>
      </c>
      <c r="L192" s="154">
        <f t="shared" si="25"/>
        <v>100000000</v>
      </c>
      <c r="M192" s="37"/>
    </row>
    <row r="193" spans="1:13" ht="12.75">
      <c r="A193" s="100">
        <v>2</v>
      </c>
      <c r="B193" s="73" t="s">
        <v>69</v>
      </c>
      <c r="C193" s="71">
        <v>420000000</v>
      </c>
      <c r="D193" s="71"/>
      <c r="E193" s="32"/>
      <c r="F193" s="71"/>
      <c r="G193" s="34">
        <f>F193/C193*100</f>
        <v>0</v>
      </c>
      <c r="H193" s="71"/>
      <c r="I193" s="34">
        <f>H193/C193*100</f>
        <v>0</v>
      </c>
      <c r="J193" s="34">
        <v>5</v>
      </c>
      <c r="K193" s="34">
        <f>I193</f>
        <v>0</v>
      </c>
      <c r="L193" s="154">
        <f t="shared" si="25"/>
        <v>420000000</v>
      </c>
      <c r="M193" s="56"/>
    </row>
    <row r="194" spans="1:13" ht="12.75">
      <c r="A194" s="100"/>
      <c r="B194" s="98"/>
      <c r="C194" s="71"/>
      <c r="D194" s="32"/>
      <c r="E194" s="32"/>
      <c r="F194" s="7"/>
      <c r="G194" s="34"/>
      <c r="H194" s="7"/>
      <c r="I194" s="34"/>
      <c r="J194" s="34"/>
      <c r="K194" s="8"/>
      <c r="L194" s="154">
        <f t="shared" si="25"/>
        <v>0</v>
      </c>
      <c r="M194" s="56"/>
    </row>
    <row r="195" spans="1:13" ht="12.75">
      <c r="A195" s="93">
        <v>8</v>
      </c>
      <c r="B195" s="69" t="s">
        <v>70</v>
      </c>
      <c r="C195" s="39">
        <f>SUM(C196:C196)</f>
        <v>100000000</v>
      </c>
      <c r="D195" s="39">
        <f>SUM(D196:D196)</f>
        <v>0</v>
      </c>
      <c r="E195" s="39"/>
      <c r="F195" s="39">
        <f>SUM(F196:F196)</f>
        <v>0</v>
      </c>
      <c r="G195" s="8">
        <f>F195/C195*100</f>
        <v>0</v>
      </c>
      <c r="H195" s="39">
        <f>SUM(H196:H196)</f>
        <v>0</v>
      </c>
      <c r="I195" s="8">
        <f>H195/C195*100</f>
        <v>0</v>
      </c>
      <c r="J195" s="8">
        <f>J196</f>
        <v>0</v>
      </c>
      <c r="K195" s="8">
        <v>0</v>
      </c>
      <c r="L195" s="154">
        <f t="shared" si="25"/>
        <v>100000000</v>
      </c>
      <c r="M195" s="56"/>
    </row>
    <row r="196" spans="1:13" ht="12.75">
      <c r="A196" s="101"/>
      <c r="B196" s="52" t="s">
        <v>71</v>
      </c>
      <c r="C196" s="53">
        <v>100000000</v>
      </c>
      <c r="D196" s="51"/>
      <c r="E196" s="49"/>
      <c r="F196" s="54"/>
      <c r="G196" s="113">
        <f>F196/C196*100</f>
        <v>0</v>
      </c>
      <c r="H196" s="54"/>
      <c r="I196" s="113">
        <f>H196/C196*100</f>
        <v>0</v>
      </c>
      <c r="J196" s="113">
        <v>0</v>
      </c>
      <c r="K196" s="113">
        <f>I196</f>
        <v>0</v>
      </c>
      <c r="L196" s="154">
        <f t="shared" si="25"/>
        <v>100000000</v>
      </c>
      <c r="M196" s="56"/>
    </row>
    <row r="197" spans="1:13" ht="12.75">
      <c r="A197" s="55"/>
      <c r="B197" s="40"/>
      <c r="C197" s="41"/>
      <c r="D197" s="37"/>
      <c r="E197" s="32"/>
      <c r="F197" s="42"/>
      <c r="G197" s="34"/>
      <c r="H197" s="42"/>
      <c r="I197" s="34"/>
      <c r="J197" s="34"/>
      <c r="K197" s="34"/>
      <c r="L197" s="34"/>
      <c r="M197" s="56"/>
    </row>
    <row r="198" spans="1:13" ht="12.75">
      <c r="A198" s="102"/>
      <c r="B198" s="103"/>
      <c r="C198" s="43">
        <f>C119+C132</f>
        <v>11516999500</v>
      </c>
      <c r="D198" s="43">
        <f>+D119+D132</f>
        <v>0</v>
      </c>
      <c r="E198" s="43">
        <f>E133+E146+E154+E167+E172+E186+E191+E195</f>
        <v>0</v>
      </c>
      <c r="F198" s="43">
        <f>+F119+F132</f>
        <v>260397346</v>
      </c>
      <c r="G198" s="118">
        <f>SUM(F198/C198*100)</f>
        <v>2.260982524137472</v>
      </c>
      <c r="H198" s="43">
        <f>+H119+H132</f>
        <v>486923505</v>
      </c>
      <c r="I198" s="119">
        <f>SUM(H198/C198*100)</f>
        <v>4.227867727180157</v>
      </c>
      <c r="J198" s="43">
        <f>+(J119+J132)/2</f>
        <v>9.671875</v>
      </c>
      <c r="K198" s="43">
        <f>+(K119+K132)/2</f>
        <v>6.070428004547617</v>
      </c>
      <c r="L198" s="43">
        <f>L119+L132</f>
        <v>11030075995</v>
      </c>
      <c r="M198" s="104"/>
    </row>
    <row r="199" spans="1:13" ht="12.75">
      <c r="A199" s="126"/>
      <c r="B199" s="127"/>
      <c r="C199" s="128"/>
      <c r="D199" s="128"/>
      <c r="E199" s="128"/>
      <c r="F199" s="128"/>
      <c r="G199" s="129"/>
      <c r="H199" s="128"/>
      <c r="I199" s="130"/>
      <c r="J199" s="128"/>
      <c r="K199" s="128"/>
      <c r="L199" s="128"/>
      <c r="M199" s="131"/>
    </row>
    <row r="200" spans="1:13" ht="12.75">
      <c r="A200" s="126"/>
      <c r="B200" s="158" t="s">
        <v>93</v>
      </c>
      <c r="C200" s="128"/>
      <c r="D200" s="128"/>
      <c r="E200" s="128"/>
      <c r="F200" s="128"/>
      <c r="G200" s="129"/>
      <c r="H200" s="128"/>
      <c r="I200" s="130"/>
      <c r="J200" s="128"/>
      <c r="K200" s="128"/>
      <c r="L200" s="128"/>
      <c r="M200" s="131"/>
    </row>
    <row r="201" spans="1:13" ht="12.75">
      <c r="A201" s="127"/>
      <c r="B201" s="160" t="s">
        <v>94</v>
      </c>
      <c r="C201" s="162">
        <v>0</v>
      </c>
      <c r="D201" s="60"/>
      <c r="E201" s="137"/>
      <c r="F201" s="44"/>
      <c r="G201" s="46"/>
      <c r="I201" s="117"/>
      <c r="J201" s="117" t="s">
        <v>89</v>
      </c>
      <c r="K201" s="117"/>
      <c r="L201" s="117"/>
      <c r="M201" s="117"/>
    </row>
    <row r="202" spans="1:13" ht="12.75">
      <c r="A202" s="127"/>
      <c r="B202" s="161" t="s">
        <v>95</v>
      </c>
      <c r="C202" s="163">
        <f>'[1]SPJ 2018 (SKRG)'!$H$56+'[1]SPJ 2018 (SKRG)'!$H$153</f>
        <v>109658500</v>
      </c>
      <c r="D202" s="139"/>
      <c r="E202" s="137"/>
      <c r="F202" s="45"/>
      <c r="G202" s="44"/>
      <c r="I202" s="107"/>
      <c r="J202" s="107" t="s">
        <v>73</v>
      </c>
      <c r="K202" s="107"/>
      <c r="L202" s="107"/>
      <c r="M202" s="107"/>
    </row>
    <row r="203" spans="1:13" ht="12.75">
      <c r="A203" s="127"/>
      <c r="B203" s="161" t="s">
        <v>96</v>
      </c>
      <c r="C203" s="153">
        <f>'[1]SPJ 2018 (SKRG)'!$H$158</f>
        <v>9474000</v>
      </c>
      <c r="D203" s="60"/>
      <c r="E203" s="136"/>
      <c r="F203" s="44"/>
      <c r="G203" s="46"/>
      <c r="I203" s="107"/>
      <c r="J203" s="107" t="s">
        <v>72</v>
      </c>
      <c r="K203" s="107"/>
      <c r="L203" s="107"/>
      <c r="M203" s="107"/>
    </row>
    <row r="204" spans="1:13" ht="12.75">
      <c r="A204" s="127"/>
      <c r="B204" s="161" t="s">
        <v>97</v>
      </c>
      <c r="C204" s="153">
        <f>'[1]SPJ 2018 (SKRG)'!$H$3+'[1]SPJ 2018 (SKRG)'!$H$8+'[1]SPJ 2018 (SKRG)'!$H$16+'[1]SPJ 2018 (SKRG)'!$H$22+'[1]SPJ 2018 (SKRG)'!$H$30+'[1]SPJ 2018 (SKRG)'!$H$34</f>
        <v>107393659</v>
      </c>
      <c r="D204" s="60"/>
      <c r="E204" s="136"/>
      <c r="F204" s="44"/>
      <c r="G204" s="46"/>
      <c r="I204" s="107"/>
      <c r="J204" s="107"/>
      <c r="K204" s="107"/>
      <c r="L204" s="107"/>
      <c r="M204" s="107"/>
    </row>
    <row r="205" spans="1:13" ht="12.75">
      <c r="A205" s="127"/>
      <c r="B205" s="140"/>
      <c r="C205" s="141">
        <f>SUM(C201:C204)</f>
        <v>226526159</v>
      </c>
      <c r="D205" s="60"/>
      <c r="E205" s="136"/>
      <c r="F205" s="44"/>
      <c r="G205" s="46"/>
      <c r="I205" s="107"/>
      <c r="J205" s="107"/>
      <c r="K205" s="107"/>
      <c r="L205" s="107"/>
      <c r="M205" s="107"/>
    </row>
    <row r="206" spans="1:13" ht="12.75">
      <c r="A206" s="127"/>
      <c r="B206" s="128"/>
      <c r="C206" s="84"/>
      <c r="D206" s="60"/>
      <c r="E206" s="137"/>
      <c r="F206" s="46"/>
      <c r="G206" s="46"/>
      <c r="H206" s="108"/>
      <c r="I206" s="108"/>
      <c r="J206" s="108" t="s">
        <v>74</v>
      </c>
      <c r="M206" s="108"/>
    </row>
    <row r="207" spans="1:13" ht="12.75">
      <c r="A207" s="127"/>
      <c r="B207" s="158" t="s">
        <v>90</v>
      </c>
      <c r="C207" s="84">
        <v>300000000</v>
      </c>
      <c r="D207" s="60"/>
      <c r="E207" s="60"/>
      <c r="F207" s="46"/>
      <c r="G207" s="46"/>
      <c r="H207" s="107"/>
      <c r="I207" s="107"/>
      <c r="J207" s="107" t="s">
        <v>75</v>
      </c>
      <c r="M207" s="107"/>
    </row>
    <row r="208" spans="2:3" ht="15">
      <c r="B208" s="144" t="s">
        <v>91</v>
      </c>
      <c r="C208" s="159">
        <v>226526159</v>
      </c>
    </row>
    <row r="209" spans="2:3" ht="12.75">
      <c r="B209" s="144" t="s">
        <v>92</v>
      </c>
      <c r="C209" s="142">
        <f>C207-C208</f>
        <v>73473841</v>
      </c>
    </row>
    <row r="215" spans="1:13" ht="15.75">
      <c r="A215" s="811" t="s">
        <v>0</v>
      </c>
      <c r="B215" s="811"/>
      <c r="C215" s="811"/>
      <c r="D215" s="811"/>
      <c r="E215" s="811"/>
      <c r="F215" s="811"/>
      <c r="G215" s="811"/>
      <c r="H215" s="811"/>
      <c r="I215" s="811"/>
      <c r="J215" s="811"/>
      <c r="K215" s="811"/>
      <c r="L215" s="811"/>
      <c r="M215" s="811"/>
    </row>
    <row r="216" spans="1:13" ht="12.75">
      <c r="A216" s="812" t="s">
        <v>83</v>
      </c>
      <c r="B216" s="812"/>
      <c r="C216" s="812"/>
      <c r="D216" s="812"/>
      <c r="E216" s="812"/>
      <c r="F216" s="812"/>
      <c r="G216" s="812"/>
      <c r="H216" s="812"/>
      <c r="I216" s="812"/>
      <c r="J216" s="812"/>
      <c r="K216" s="812"/>
      <c r="L216" s="812"/>
      <c r="M216" s="812"/>
    </row>
    <row r="217" spans="1:13" ht="12.75">
      <c r="A217" s="813" t="s">
        <v>77</v>
      </c>
      <c r="B217" s="813"/>
      <c r="C217" s="813"/>
      <c r="D217" s="813"/>
      <c r="E217" s="813"/>
      <c r="F217" s="813"/>
      <c r="G217" s="813"/>
      <c r="H217" s="813"/>
      <c r="I217" s="813"/>
      <c r="J217" s="813"/>
      <c r="K217" s="813"/>
      <c r="L217" s="813"/>
      <c r="M217" s="813"/>
    </row>
    <row r="218" spans="1:13" ht="12.75" customHeight="1">
      <c r="A218" s="60" t="s">
        <v>1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</row>
    <row r="219" spans="1:13" ht="12.75" customHeight="1">
      <c r="A219" s="144" t="s">
        <v>88</v>
      </c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</row>
    <row r="220" ht="12.75">
      <c r="A220" s="60"/>
    </row>
    <row r="221" spans="1:13" ht="12.75">
      <c r="A221" s="808" t="s">
        <v>2</v>
      </c>
      <c r="B221" s="808" t="s">
        <v>3</v>
      </c>
      <c r="C221" s="808" t="s">
        <v>4</v>
      </c>
      <c r="D221" s="808" t="s">
        <v>5</v>
      </c>
      <c r="E221" s="808" t="s">
        <v>6</v>
      </c>
      <c r="F221" s="816" t="s">
        <v>7</v>
      </c>
      <c r="G221" s="817"/>
      <c r="H221" s="817"/>
      <c r="I221" s="818"/>
      <c r="J221" s="816" t="s">
        <v>8</v>
      </c>
      <c r="K221" s="818"/>
      <c r="L221" s="805" t="s">
        <v>87</v>
      </c>
      <c r="M221" s="808" t="s">
        <v>9</v>
      </c>
    </row>
    <row r="222" spans="1:13" ht="12.75">
      <c r="A222" s="806"/>
      <c r="B222" s="806"/>
      <c r="C222" s="806"/>
      <c r="D222" s="814"/>
      <c r="E222" s="806"/>
      <c r="F222" s="809" t="s">
        <v>10</v>
      </c>
      <c r="G222" s="808" t="s">
        <v>11</v>
      </c>
      <c r="H222" s="808" t="s">
        <v>12</v>
      </c>
      <c r="I222" s="808" t="s">
        <v>11</v>
      </c>
      <c r="J222" s="808" t="s">
        <v>13</v>
      </c>
      <c r="K222" s="808" t="s">
        <v>14</v>
      </c>
      <c r="L222" s="806"/>
      <c r="M222" s="806"/>
    </row>
    <row r="223" spans="1:13" ht="12.75">
      <c r="A223" s="807"/>
      <c r="B223" s="807"/>
      <c r="C223" s="807"/>
      <c r="D223" s="815"/>
      <c r="E223" s="807"/>
      <c r="F223" s="810"/>
      <c r="G223" s="807"/>
      <c r="H223" s="807"/>
      <c r="I223" s="807"/>
      <c r="J223" s="807"/>
      <c r="K223" s="807"/>
      <c r="L223" s="807"/>
      <c r="M223" s="807"/>
    </row>
    <row r="224" spans="1:13" ht="12.75">
      <c r="A224" s="2">
        <v>1</v>
      </c>
      <c r="B224" s="2">
        <v>2</v>
      </c>
      <c r="C224" s="2">
        <v>3</v>
      </c>
      <c r="D224" s="2">
        <v>4</v>
      </c>
      <c r="E224" s="2">
        <v>5</v>
      </c>
      <c r="F224" s="2">
        <v>6</v>
      </c>
      <c r="G224" s="2">
        <v>7</v>
      </c>
      <c r="H224" s="2">
        <v>8</v>
      </c>
      <c r="I224" s="2">
        <v>9</v>
      </c>
      <c r="J224" s="2">
        <v>10</v>
      </c>
      <c r="K224" s="2">
        <v>11</v>
      </c>
      <c r="L224" s="2">
        <v>12</v>
      </c>
      <c r="M224" s="2">
        <v>13</v>
      </c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61" t="s">
        <v>15</v>
      </c>
      <c r="B226" s="62" t="s">
        <v>16</v>
      </c>
      <c r="C226" s="4">
        <f>SUM(C227:C237)</f>
        <v>2320392000</v>
      </c>
      <c r="D226" s="63"/>
      <c r="E226" s="114"/>
      <c r="F226" s="4">
        <f>SUM(F227:F237)</f>
        <v>224742690</v>
      </c>
      <c r="G226" s="64">
        <f>SUM(F226/C226*100)</f>
        <v>9.685548390099603</v>
      </c>
      <c r="H226" s="4">
        <f>SUM(H227:H237)</f>
        <v>224742690</v>
      </c>
      <c r="I226" s="145">
        <f>SUM(H226/C226*100)</f>
        <v>9.685548390099603</v>
      </c>
      <c r="J226" s="64">
        <v>3</v>
      </c>
      <c r="K226" s="64">
        <f>(K227+K228+K229+K230+K231+K232+K233+K234+K235+K236+K237)/11</f>
        <v>9.36630932839617</v>
      </c>
      <c r="L226" s="4">
        <f>SUM(L227:L237)</f>
        <v>2095649310</v>
      </c>
      <c r="M226" s="63"/>
    </row>
    <row r="227" spans="1:13" ht="12.75">
      <c r="A227" s="66">
        <v>1</v>
      </c>
      <c r="B227" s="47" t="s">
        <v>17</v>
      </c>
      <c r="C227" s="5">
        <v>1209000000</v>
      </c>
      <c r="D227" s="63"/>
      <c r="E227" s="63"/>
      <c r="F227" s="114">
        <v>164019000</v>
      </c>
      <c r="G227" s="37">
        <f>SUM(F227/C227*100)</f>
        <v>13.56650124069479</v>
      </c>
      <c r="H227" s="114">
        <v>164019000</v>
      </c>
      <c r="I227" s="7">
        <f aca="true" t="shared" si="29" ref="I227:I233">SUM(H227/C227*100)</f>
        <v>13.56650124069479</v>
      </c>
      <c r="J227" s="37">
        <v>13.56650124069479</v>
      </c>
      <c r="K227" s="37">
        <f aca="true" t="shared" si="30" ref="K227:K237">I227</f>
        <v>13.56650124069479</v>
      </c>
      <c r="L227" s="37">
        <f>C227-H227</f>
        <v>1044981000</v>
      </c>
      <c r="M227" s="63"/>
    </row>
    <row r="228" spans="1:13" ht="12.75">
      <c r="A228" s="66">
        <v>2</v>
      </c>
      <c r="B228" s="47" t="s">
        <v>18</v>
      </c>
      <c r="C228" s="5">
        <v>132000000</v>
      </c>
      <c r="D228" s="63"/>
      <c r="E228" s="63"/>
      <c r="F228" s="5">
        <v>17773620</v>
      </c>
      <c r="G228" s="37">
        <f>SUM(F228/C228*100)</f>
        <v>13.464863636363637</v>
      </c>
      <c r="H228" s="5">
        <v>17773620</v>
      </c>
      <c r="I228" s="7">
        <f t="shared" si="29"/>
        <v>13.464863636363637</v>
      </c>
      <c r="J228" s="37">
        <v>13.464863636363637</v>
      </c>
      <c r="K228" s="37">
        <f t="shared" si="30"/>
        <v>13.464863636363637</v>
      </c>
      <c r="L228" s="37">
        <f aca="true" t="shared" si="31" ref="L228:L237">C228-H228</f>
        <v>114226380</v>
      </c>
      <c r="M228" s="63"/>
    </row>
    <row r="229" spans="1:13" ht="12.75">
      <c r="A229" s="66">
        <v>3</v>
      </c>
      <c r="B229" s="47" t="s">
        <v>19</v>
      </c>
      <c r="C229" s="5">
        <v>165000000</v>
      </c>
      <c r="D229" s="63"/>
      <c r="E229" s="63"/>
      <c r="F229" s="5">
        <v>23250000</v>
      </c>
      <c r="G229" s="37">
        <f aca="true" t="shared" si="32" ref="G229:G237">SUM(F229/C229*100)</f>
        <v>14.09090909090909</v>
      </c>
      <c r="H229" s="5">
        <v>23250000</v>
      </c>
      <c r="I229" s="7">
        <f t="shared" si="29"/>
        <v>14.09090909090909</v>
      </c>
      <c r="J229" s="37">
        <v>14.09090909090909</v>
      </c>
      <c r="K229" s="37">
        <f t="shared" si="30"/>
        <v>14.09090909090909</v>
      </c>
      <c r="L229" s="37">
        <f t="shared" si="31"/>
        <v>141750000</v>
      </c>
      <c r="M229" s="63"/>
    </row>
    <row r="230" spans="1:13" ht="12.75">
      <c r="A230" s="66">
        <v>4</v>
      </c>
      <c r="B230" s="47" t="s">
        <v>20</v>
      </c>
      <c r="C230" s="5">
        <v>23000000</v>
      </c>
      <c r="D230" s="63"/>
      <c r="E230" s="63"/>
      <c r="F230" s="5">
        <v>2540000</v>
      </c>
      <c r="G230" s="37">
        <f t="shared" si="32"/>
        <v>11.043478260869566</v>
      </c>
      <c r="H230" s="5">
        <v>2540000</v>
      </c>
      <c r="I230" s="7">
        <f t="shared" si="29"/>
        <v>11.043478260869566</v>
      </c>
      <c r="J230" s="37">
        <v>11.043478260869566</v>
      </c>
      <c r="K230" s="37">
        <f t="shared" si="30"/>
        <v>11.043478260869566</v>
      </c>
      <c r="L230" s="37">
        <f t="shared" si="31"/>
        <v>20460000</v>
      </c>
      <c r="M230" s="63"/>
    </row>
    <row r="231" spans="1:13" ht="12.75">
      <c r="A231" s="66">
        <v>5</v>
      </c>
      <c r="B231" s="47" t="s">
        <v>21</v>
      </c>
      <c r="C231" s="5">
        <v>64000000</v>
      </c>
      <c r="D231" s="63"/>
      <c r="E231" s="63"/>
      <c r="F231" s="5">
        <v>9776700</v>
      </c>
      <c r="G231" s="37">
        <f t="shared" si="32"/>
        <v>15.27609375</v>
      </c>
      <c r="H231" s="5">
        <v>9776700</v>
      </c>
      <c r="I231" s="7">
        <f t="shared" si="29"/>
        <v>15.27609375</v>
      </c>
      <c r="J231" s="37">
        <v>15.27609375</v>
      </c>
      <c r="K231" s="37">
        <f t="shared" si="30"/>
        <v>15.27609375</v>
      </c>
      <c r="L231" s="37">
        <f t="shared" si="31"/>
        <v>54223300</v>
      </c>
      <c r="M231" s="63"/>
    </row>
    <row r="232" spans="1:13" ht="12.75">
      <c r="A232" s="66">
        <v>6</v>
      </c>
      <c r="B232" s="47" t="s">
        <v>22</v>
      </c>
      <c r="C232" s="5">
        <v>10045000</v>
      </c>
      <c r="D232" s="63"/>
      <c r="E232" s="63"/>
      <c r="F232" s="5">
        <v>352276</v>
      </c>
      <c r="G232" s="37">
        <f t="shared" si="32"/>
        <v>3.5069785963165754</v>
      </c>
      <c r="H232" s="5">
        <v>352276</v>
      </c>
      <c r="I232" s="7">
        <f t="shared" si="29"/>
        <v>3.5069785963165754</v>
      </c>
      <c r="J232" s="37">
        <v>3.5069785963165754</v>
      </c>
      <c r="K232" s="37">
        <f t="shared" si="30"/>
        <v>3.5069785963165754</v>
      </c>
      <c r="L232" s="37">
        <f t="shared" si="31"/>
        <v>9692724</v>
      </c>
      <c r="M232" s="63"/>
    </row>
    <row r="233" spans="1:13" ht="12.75">
      <c r="A233" s="66">
        <v>7</v>
      </c>
      <c r="B233" s="47" t="s">
        <v>23</v>
      </c>
      <c r="C233" s="5">
        <v>157000</v>
      </c>
      <c r="D233" s="63"/>
      <c r="E233" s="63"/>
      <c r="F233" s="5">
        <v>2740</v>
      </c>
      <c r="G233" s="37">
        <f t="shared" si="32"/>
        <v>1.7452229299363058</v>
      </c>
      <c r="H233" s="5">
        <v>2740</v>
      </c>
      <c r="I233" s="7">
        <f t="shared" si="29"/>
        <v>1.7452229299363058</v>
      </c>
      <c r="J233" s="37">
        <v>1.7452229299363058</v>
      </c>
      <c r="K233" s="37">
        <f t="shared" si="30"/>
        <v>1.7452229299363058</v>
      </c>
      <c r="L233" s="37">
        <f t="shared" si="31"/>
        <v>154260</v>
      </c>
      <c r="M233" s="63"/>
    </row>
    <row r="234" spans="1:13" ht="12.75">
      <c r="A234" s="66">
        <v>8</v>
      </c>
      <c r="B234" s="47" t="s">
        <v>24</v>
      </c>
      <c r="C234" s="5">
        <v>35000000</v>
      </c>
      <c r="D234" s="63"/>
      <c r="E234" s="63"/>
      <c r="F234" s="5">
        <v>5453779</v>
      </c>
      <c r="G234" s="37">
        <f t="shared" si="32"/>
        <v>15.582225714285713</v>
      </c>
      <c r="H234" s="5">
        <v>5453779</v>
      </c>
      <c r="I234" s="36">
        <f>SUM(H235/C234*100)</f>
        <v>1.1246914285714287</v>
      </c>
      <c r="J234" s="37">
        <v>1.1246914285714287</v>
      </c>
      <c r="K234" s="37">
        <f t="shared" si="30"/>
        <v>1.1246914285714287</v>
      </c>
      <c r="L234" s="37">
        <f t="shared" si="31"/>
        <v>29546221</v>
      </c>
      <c r="M234" s="63"/>
    </row>
    <row r="235" spans="1:13" ht="12.75">
      <c r="A235" s="66">
        <v>9</v>
      </c>
      <c r="B235" s="47" t="s">
        <v>25</v>
      </c>
      <c r="C235" s="5">
        <v>4305000</v>
      </c>
      <c r="D235" s="63"/>
      <c r="E235" s="63"/>
      <c r="F235" s="5">
        <v>393642</v>
      </c>
      <c r="G235" s="37">
        <f t="shared" si="32"/>
        <v>9.14383275261324</v>
      </c>
      <c r="H235" s="5">
        <v>393642</v>
      </c>
      <c r="I235" s="36">
        <f>SUM(H235/C235*100)</f>
        <v>9.14383275261324</v>
      </c>
      <c r="J235" s="37">
        <v>9.14383275261324</v>
      </c>
      <c r="K235" s="37">
        <f t="shared" si="30"/>
        <v>9.14383275261324</v>
      </c>
      <c r="L235" s="37">
        <f t="shared" si="31"/>
        <v>3911358</v>
      </c>
      <c r="M235" s="63"/>
    </row>
    <row r="236" spans="1:13" ht="12.75">
      <c r="A236" s="66">
        <v>10</v>
      </c>
      <c r="B236" s="47" t="s">
        <v>26</v>
      </c>
      <c r="C236" s="5">
        <v>5885000</v>
      </c>
      <c r="D236" s="63"/>
      <c r="E236" s="63"/>
      <c r="F236" s="5">
        <v>1180933</v>
      </c>
      <c r="G236" s="37">
        <f t="shared" si="32"/>
        <v>20.066830926083263</v>
      </c>
      <c r="H236" s="5">
        <v>1180933</v>
      </c>
      <c r="I236" s="36">
        <f>SUM(H236/C236*100)</f>
        <v>20.066830926083263</v>
      </c>
      <c r="J236" s="37">
        <v>20.066830926083263</v>
      </c>
      <c r="K236" s="37">
        <f t="shared" si="30"/>
        <v>20.066830926083263</v>
      </c>
      <c r="L236" s="37">
        <f t="shared" si="31"/>
        <v>4704067</v>
      </c>
      <c r="M236" s="63"/>
    </row>
    <row r="237" spans="1:13" ht="12.75">
      <c r="A237" s="66">
        <v>11</v>
      </c>
      <c r="B237" s="47" t="s">
        <v>27</v>
      </c>
      <c r="C237" s="5">
        <v>672000000</v>
      </c>
      <c r="D237" s="63"/>
      <c r="E237" s="63"/>
      <c r="F237" s="5"/>
      <c r="G237" s="37">
        <f t="shared" si="32"/>
        <v>0</v>
      </c>
      <c r="H237" s="5">
        <v>0</v>
      </c>
      <c r="I237" s="36">
        <f>SUM(H237/C237*100)</f>
        <v>0</v>
      </c>
      <c r="J237" s="37">
        <v>3</v>
      </c>
      <c r="K237" s="37">
        <f t="shared" si="30"/>
        <v>0</v>
      </c>
      <c r="L237" s="37">
        <f t="shared" si="31"/>
        <v>672000000</v>
      </c>
      <c r="M237" s="63"/>
    </row>
    <row r="238" spans="1:13" ht="12.75">
      <c r="A238" s="66"/>
      <c r="B238" s="47"/>
      <c r="C238" s="5"/>
      <c r="D238" s="63"/>
      <c r="E238" s="63"/>
      <c r="F238" s="5"/>
      <c r="G238" s="37"/>
      <c r="H238" s="5"/>
      <c r="I238" s="36"/>
      <c r="J238" s="37"/>
      <c r="K238" s="37"/>
      <c r="L238" s="37"/>
      <c r="M238" s="63"/>
    </row>
    <row r="239" spans="1:13" ht="12.75">
      <c r="A239" s="61" t="s">
        <v>28</v>
      </c>
      <c r="B239" s="62" t="s">
        <v>29</v>
      </c>
      <c r="C239" s="67">
        <f>C240+C253+C261+C274+C279+C293+C298+C302</f>
        <v>9196607500</v>
      </c>
      <c r="D239" s="67">
        <f>D240+D253+D261+D274+D279+D293+D298+D302</f>
        <v>0</v>
      </c>
      <c r="E239" s="63"/>
      <c r="F239" s="67">
        <f>F240+F253+F261+F274+F279+F293+F298+F302</f>
        <v>596109942</v>
      </c>
      <c r="G239" s="6">
        <f aca="true" t="shared" si="33" ref="G239:G251">SUM(F239/C239*100)</f>
        <v>6.481846072043414</v>
      </c>
      <c r="H239" s="67">
        <f>H240+H253+H261+H274+H279+H293+H298+H302</f>
        <v>596109942</v>
      </c>
      <c r="I239" s="8">
        <f>SUM(H239/C239*100)</f>
        <v>6.481846072043414</v>
      </c>
      <c r="J239" s="6">
        <f>(J240+J253+J261+J274+J279+J293+J298+J302)/8</f>
        <v>18.00399906465306</v>
      </c>
      <c r="K239" s="6">
        <f>(K240+K253+K261+K274+K279+K293+K298+K302)/8</f>
        <v>7.194234170270584</v>
      </c>
      <c r="L239" s="67">
        <f>L240+L253+L261+L274+L279+L293+L298+L302</f>
        <v>8600497558</v>
      </c>
      <c r="M239" s="63"/>
    </row>
    <row r="240" spans="1:13" ht="12.75">
      <c r="A240" s="68">
        <v>1</v>
      </c>
      <c r="B240" s="69" t="s">
        <v>30</v>
      </c>
      <c r="C240" s="67">
        <f>SUM(C241:C251)</f>
        <v>1362525500</v>
      </c>
      <c r="D240" s="67">
        <f>SUM(D241:D251)</f>
        <v>0</v>
      </c>
      <c r="E240" s="70"/>
      <c r="F240" s="6">
        <f>SUM(F241:F251)</f>
        <v>166647792</v>
      </c>
      <c r="G240" s="6">
        <f t="shared" si="33"/>
        <v>12.230801698757197</v>
      </c>
      <c r="H240" s="6">
        <f>SUM(H241:H251)</f>
        <v>166647792</v>
      </c>
      <c r="I240" s="8">
        <f aca="true" t="shared" si="34" ref="I240:I251">SUM(H240/C240*100)</f>
        <v>12.230801698757197</v>
      </c>
      <c r="J240" s="64">
        <v>3</v>
      </c>
      <c r="K240" s="64">
        <f>(K241+K242+K243+K244+K245+K246+K247+K248+K249+K250+K251)/11</f>
        <v>16.200728142754045</v>
      </c>
      <c r="L240" s="6">
        <f>SUM(L241:L251)</f>
        <v>1195877708</v>
      </c>
      <c r="M240" s="56"/>
    </row>
    <row r="241" spans="1:13" ht="12.75">
      <c r="A241" s="55">
        <v>1</v>
      </c>
      <c r="B241" s="55" t="s">
        <v>31</v>
      </c>
      <c r="C241" s="71">
        <v>6310000</v>
      </c>
      <c r="D241" s="72" t="s">
        <v>32</v>
      </c>
      <c r="E241" s="72" t="s">
        <v>32</v>
      </c>
      <c r="F241" s="71">
        <v>900000</v>
      </c>
      <c r="G241" s="37">
        <f t="shared" si="33"/>
        <v>14.263074484944532</v>
      </c>
      <c r="H241" s="71">
        <v>900000</v>
      </c>
      <c r="I241" s="36">
        <f t="shared" si="34"/>
        <v>14.263074484944532</v>
      </c>
      <c r="J241" s="37">
        <v>14.263074484944532</v>
      </c>
      <c r="K241" s="37">
        <f aca="true" t="shared" si="35" ref="K241:K252">I241</f>
        <v>14.263074484944532</v>
      </c>
      <c r="L241" s="37">
        <f>C241-H241</f>
        <v>5410000</v>
      </c>
      <c r="M241" s="37"/>
    </row>
    <row r="242" spans="1:13" ht="12.75">
      <c r="A242" s="55">
        <v>2</v>
      </c>
      <c r="B242" s="73" t="s">
        <v>76</v>
      </c>
      <c r="C242" s="71">
        <v>60000000</v>
      </c>
      <c r="D242" s="37"/>
      <c r="E242" s="37"/>
      <c r="F242" s="71">
        <v>13089325</v>
      </c>
      <c r="G242" s="37">
        <f t="shared" si="33"/>
        <v>21.815541666666665</v>
      </c>
      <c r="H242" s="71">
        <v>13089325</v>
      </c>
      <c r="I242" s="36">
        <f t="shared" si="34"/>
        <v>21.815541666666665</v>
      </c>
      <c r="J242" s="37">
        <v>21.815541666666665</v>
      </c>
      <c r="K242" s="37">
        <f t="shared" si="35"/>
        <v>21.815541666666665</v>
      </c>
      <c r="L242" s="37">
        <f aca="true" t="shared" si="36" ref="L242:L262">C242-H242</f>
        <v>46910675</v>
      </c>
      <c r="M242" s="37"/>
    </row>
    <row r="243" spans="1:13" ht="12.75">
      <c r="A243" s="55">
        <v>3</v>
      </c>
      <c r="B243" s="55" t="s">
        <v>33</v>
      </c>
      <c r="C243" s="71">
        <v>31435000</v>
      </c>
      <c r="D243" s="37">
        <v>0</v>
      </c>
      <c r="E243" s="37">
        <v>0</v>
      </c>
      <c r="F243" s="7"/>
      <c r="G243" s="37">
        <f t="shared" si="33"/>
        <v>0</v>
      </c>
      <c r="H243" s="7"/>
      <c r="I243" s="36">
        <f t="shared" si="34"/>
        <v>0</v>
      </c>
      <c r="J243" s="37">
        <v>0</v>
      </c>
      <c r="K243" s="37">
        <f t="shared" si="35"/>
        <v>0</v>
      </c>
      <c r="L243" s="37">
        <f t="shared" si="36"/>
        <v>31435000</v>
      </c>
      <c r="M243" s="37"/>
    </row>
    <row r="244" spans="1:13" ht="12.75">
      <c r="A244" s="55">
        <v>4</v>
      </c>
      <c r="B244" s="73" t="s">
        <v>34</v>
      </c>
      <c r="C244" s="71">
        <v>55000000</v>
      </c>
      <c r="D244" s="37">
        <v>0</v>
      </c>
      <c r="E244" s="37">
        <v>0</v>
      </c>
      <c r="F244" s="7">
        <v>18305000</v>
      </c>
      <c r="G244" s="37">
        <f t="shared" si="33"/>
        <v>33.28181818181818</v>
      </c>
      <c r="H244" s="7">
        <v>18305000</v>
      </c>
      <c r="I244" s="36">
        <f t="shared" si="34"/>
        <v>33.28181818181818</v>
      </c>
      <c r="J244" s="37">
        <v>33.28181818181818</v>
      </c>
      <c r="K244" s="37">
        <f t="shared" si="35"/>
        <v>33.28181818181818</v>
      </c>
      <c r="L244" s="37">
        <f t="shared" si="36"/>
        <v>36695000</v>
      </c>
      <c r="M244" s="37"/>
    </row>
    <row r="245" spans="1:13" ht="12.75">
      <c r="A245" s="55">
        <v>5</v>
      </c>
      <c r="B245" s="73" t="s">
        <v>35</v>
      </c>
      <c r="C245" s="71">
        <v>26676500</v>
      </c>
      <c r="D245" s="37">
        <v>0</v>
      </c>
      <c r="E245" s="37">
        <v>0</v>
      </c>
      <c r="F245" s="7">
        <v>6764900</v>
      </c>
      <c r="G245" s="37">
        <f t="shared" si="33"/>
        <v>25.35902385995164</v>
      </c>
      <c r="H245" s="7">
        <v>6764900</v>
      </c>
      <c r="I245" s="36">
        <f t="shared" si="34"/>
        <v>25.35902385995164</v>
      </c>
      <c r="J245" s="37">
        <v>25.35902385995164</v>
      </c>
      <c r="K245" s="37">
        <f t="shared" si="35"/>
        <v>25.35902385995164</v>
      </c>
      <c r="L245" s="37">
        <f t="shared" si="36"/>
        <v>19911600</v>
      </c>
      <c r="M245" s="37"/>
    </row>
    <row r="246" spans="1:13" ht="12.75">
      <c r="A246" s="55">
        <v>6</v>
      </c>
      <c r="B246" s="73" t="s">
        <v>36</v>
      </c>
      <c r="C246" s="71">
        <v>4000000</v>
      </c>
      <c r="D246" s="37">
        <v>0</v>
      </c>
      <c r="E246" s="37">
        <v>0</v>
      </c>
      <c r="F246" s="7"/>
      <c r="G246" s="37">
        <f t="shared" si="33"/>
        <v>0</v>
      </c>
      <c r="H246" s="7"/>
      <c r="I246" s="36">
        <f t="shared" si="34"/>
        <v>0</v>
      </c>
      <c r="J246" s="37">
        <v>0</v>
      </c>
      <c r="K246" s="37">
        <f t="shared" si="35"/>
        <v>0</v>
      </c>
      <c r="L246" s="37">
        <f t="shared" si="36"/>
        <v>4000000</v>
      </c>
      <c r="M246" s="37"/>
    </row>
    <row r="247" spans="1:13" ht="12.75">
      <c r="A247" s="55">
        <v>7</v>
      </c>
      <c r="B247" s="73" t="s">
        <v>37</v>
      </c>
      <c r="C247" s="71">
        <v>13076000</v>
      </c>
      <c r="D247" s="37">
        <v>0</v>
      </c>
      <c r="E247" s="37">
        <v>0</v>
      </c>
      <c r="F247" s="7">
        <v>5162250</v>
      </c>
      <c r="G247" s="37">
        <f t="shared" si="33"/>
        <v>39.47881615172836</v>
      </c>
      <c r="H247" s="7">
        <v>5162250</v>
      </c>
      <c r="I247" s="36">
        <f t="shared" si="34"/>
        <v>39.47881615172836</v>
      </c>
      <c r="J247" s="37">
        <v>39.47881615172836</v>
      </c>
      <c r="K247" s="37">
        <f t="shared" si="35"/>
        <v>39.47881615172836</v>
      </c>
      <c r="L247" s="37">
        <f t="shared" si="36"/>
        <v>7913750</v>
      </c>
      <c r="M247" s="37"/>
    </row>
    <row r="248" spans="1:13" ht="12.75">
      <c r="A248" s="55">
        <v>8</v>
      </c>
      <c r="B248" s="73" t="s">
        <v>38</v>
      </c>
      <c r="C248" s="71">
        <v>7500000</v>
      </c>
      <c r="D248" s="37">
        <v>0</v>
      </c>
      <c r="E248" s="37">
        <v>0</v>
      </c>
      <c r="F248" s="7">
        <v>760000</v>
      </c>
      <c r="G248" s="37">
        <f t="shared" si="33"/>
        <v>10.133333333333333</v>
      </c>
      <c r="H248" s="7">
        <v>760000</v>
      </c>
      <c r="I248" s="36">
        <f t="shared" si="34"/>
        <v>10.133333333333333</v>
      </c>
      <c r="J248" s="37">
        <v>10.133333333333333</v>
      </c>
      <c r="K248" s="37">
        <f t="shared" si="35"/>
        <v>10.133333333333333</v>
      </c>
      <c r="L248" s="37">
        <f t="shared" si="36"/>
        <v>6740000</v>
      </c>
      <c r="M248" s="37"/>
    </row>
    <row r="249" spans="1:13" ht="12.75">
      <c r="A249" s="55">
        <v>9</v>
      </c>
      <c r="B249" s="73" t="s">
        <v>39</v>
      </c>
      <c r="C249" s="71">
        <v>30000000</v>
      </c>
      <c r="D249" s="37">
        <v>0</v>
      </c>
      <c r="E249" s="37">
        <v>0</v>
      </c>
      <c r="F249" s="7">
        <v>2340700</v>
      </c>
      <c r="G249" s="37">
        <f t="shared" si="33"/>
        <v>7.802333333333333</v>
      </c>
      <c r="H249" s="7">
        <v>2340700</v>
      </c>
      <c r="I249" s="36">
        <f t="shared" si="34"/>
        <v>7.802333333333333</v>
      </c>
      <c r="J249" s="37">
        <v>7.802333333333333</v>
      </c>
      <c r="K249" s="37">
        <f t="shared" si="35"/>
        <v>7.802333333333333</v>
      </c>
      <c r="L249" s="37">
        <f t="shared" si="36"/>
        <v>27659300</v>
      </c>
      <c r="M249" s="37"/>
    </row>
    <row r="250" spans="1:13" ht="12.75">
      <c r="A250" s="55">
        <v>10</v>
      </c>
      <c r="B250" s="73" t="s">
        <v>40</v>
      </c>
      <c r="C250" s="71">
        <v>200000000</v>
      </c>
      <c r="D250" s="37">
        <v>0</v>
      </c>
      <c r="E250" s="37">
        <v>0</v>
      </c>
      <c r="F250" s="7">
        <v>33706161</v>
      </c>
      <c r="G250" s="37">
        <f t="shared" si="33"/>
        <v>16.8530805</v>
      </c>
      <c r="H250" s="7">
        <v>33706161</v>
      </c>
      <c r="I250" s="36">
        <f t="shared" si="34"/>
        <v>16.8530805</v>
      </c>
      <c r="J250" s="37">
        <v>16.8530805</v>
      </c>
      <c r="K250" s="37">
        <f t="shared" si="35"/>
        <v>16.8530805</v>
      </c>
      <c r="L250" s="37">
        <f t="shared" si="36"/>
        <v>166293839</v>
      </c>
      <c r="M250" s="37"/>
    </row>
    <row r="251" spans="1:13" ht="12.75">
      <c r="A251" s="55">
        <v>11</v>
      </c>
      <c r="B251" s="73" t="s">
        <v>41</v>
      </c>
      <c r="C251" s="71">
        <v>928528000</v>
      </c>
      <c r="D251" s="37">
        <v>0</v>
      </c>
      <c r="E251" s="37">
        <v>0</v>
      </c>
      <c r="F251" s="7">
        <v>85619456</v>
      </c>
      <c r="G251" s="37">
        <f t="shared" si="33"/>
        <v>9.22098805851843</v>
      </c>
      <c r="H251" s="7">
        <v>85619456</v>
      </c>
      <c r="I251" s="36">
        <f t="shared" si="34"/>
        <v>9.22098805851843</v>
      </c>
      <c r="J251" s="37">
        <v>9.22098805851843</v>
      </c>
      <c r="K251" s="37">
        <f t="shared" si="35"/>
        <v>9.22098805851843</v>
      </c>
      <c r="L251" s="37">
        <f t="shared" si="36"/>
        <v>842908544</v>
      </c>
      <c r="M251" s="37"/>
    </row>
    <row r="252" spans="1:13" ht="12.75">
      <c r="A252" s="74"/>
      <c r="B252" s="75"/>
      <c r="C252" s="71"/>
      <c r="D252" s="37"/>
      <c r="E252" s="37"/>
      <c r="F252" s="7"/>
      <c r="G252" s="37"/>
      <c r="H252" s="7"/>
      <c r="I252" s="36"/>
      <c r="J252" s="37"/>
      <c r="K252" s="37">
        <f t="shared" si="35"/>
        <v>0</v>
      </c>
      <c r="L252" s="37">
        <f t="shared" si="36"/>
        <v>0</v>
      </c>
      <c r="M252" s="37"/>
    </row>
    <row r="253" spans="1:13" ht="12.75">
      <c r="A253" s="62">
        <v>2</v>
      </c>
      <c r="B253" s="69" t="s">
        <v>42</v>
      </c>
      <c r="C253" s="39">
        <f>C254+C255+C256+C257+C258+C259</f>
        <v>761012000</v>
      </c>
      <c r="D253" s="39">
        <f>SUM(D254:D259)</f>
        <v>0</v>
      </c>
      <c r="E253" s="6"/>
      <c r="F253" s="39">
        <f>F254+F255+F256+F257+F258+F259</f>
        <v>218528650</v>
      </c>
      <c r="G253" s="6">
        <f aca="true" t="shared" si="37" ref="G253:G259">SUM(F253/C253*100)</f>
        <v>28.715532737985733</v>
      </c>
      <c r="H253" s="39">
        <f>H254+H255+H256+H257+H258+H259</f>
        <v>218528650</v>
      </c>
      <c r="I253" s="30">
        <f aca="true" t="shared" si="38" ref="I253:I259">SUM(H253/C253*100)</f>
        <v>28.715532737985733</v>
      </c>
      <c r="J253" s="147">
        <f>SUM(J254:J259)/6</f>
        <v>20.6153258505578</v>
      </c>
      <c r="K253" s="39">
        <f>(K254+K255+K256+K257+K258+K259)/6</f>
        <v>18.1153258505578</v>
      </c>
      <c r="L253" s="37">
        <f t="shared" si="36"/>
        <v>542483350</v>
      </c>
      <c r="M253" s="6"/>
    </row>
    <row r="254" spans="1:13" ht="12.75">
      <c r="A254" s="66">
        <v>1</v>
      </c>
      <c r="B254" s="73" t="s">
        <v>43</v>
      </c>
      <c r="C254" s="71">
        <v>85000000</v>
      </c>
      <c r="D254" s="37"/>
      <c r="E254" s="37"/>
      <c r="F254" s="71">
        <v>43120000</v>
      </c>
      <c r="G254" s="37">
        <f t="shared" si="37"/>
        <v>50.72941176470588</v>
      </c>
      <c r="H254" s="71">
        <v>43120000</v>
      </c>
      <c r="I254" s="36">
        <f t="shared" si="38"/>
        <v>50.72941176470588</v>
      </c>
      <c r="J254" s="37">
        <v>50.72941176470588</v>
      </c>
      <c r="K254" s="37">
        <f aca="true" t="shared" si="39" ref="K254:K259">I254</f>
        <v>50.72941176470588</v>
      </c>
      <c r="L254" s="37">
        <f t="shared" si="36"/>
        <v>41880000</v>
      </c>
      <c r="M254" s="37"/>
    </row>
    <row r="255" spans="1:13" ht="12.75">
      <c r="A255" s="66">
        <v>2</v>
      </c>
      <c r="B255" s="73" t="s">
        <v>44</v>
      </c>
      <c r="C255" s="71">
        <v>45000000</v>
      </c>
      <c r="D255" s="37"/>
      <c r="E255" s="37"/>
      <c r="F255" s="71"/>
      <c r="G255" s="37">
        <f t="shared" si="37"/>
        <v>0</v>
      </c>
      <c r="H255" s="71"/>
      <c r="I255" s="36">
        <f t="shared" si="38"/>
        <v>0</v>
      </c>
      <c r="J255" s="37">
        <v>0</v>
      </c>
      <c r="K255" s="37">
        <f t="shared" si="39"/>
        <v>0</v>
      </c>
      <c r="L255" s="37">
        <f t="shared" si="36"/>
        <v>45000000</v>
      </c>
      <c r="M255" s="37"/>
    </row>
    <row r="256" spans="1:13" ht="12.75">
      <c r="A256" s="66">
        <v>3</v>
      </c>
      <c r="B256" s="73" t="s">
        <v>45</v>
      </c>
      <c r="C256" s="71">
        <v>239382000</v>
      </c>
      <c r="D256" s="37"/>
      <c r="E256" s="37"/>
      <c r="F256" s="71">
        <v>72071800</v>
      </c>
      <c r="G256" s="37">
        <f t="shared" si="37"/>
        <v>30.107443333249783</v>
      </c>
      <c r="H256" s="71">
        <v>72071800</v>
      </c>
      <c r="I256" s="36">
        <f t="shared" si="38"/>
        <v>30.107443333249783</v>
      </c>
      <c r="J256" s="37">
        <v>30.107443333249783</v>
      </c>
      <c r="K256" s="37">
        <f t="shared" si="39"/>
        <v>30.107443333249783</v>
      </c>
      <c r="L256" s="37">
        <f t="shared" si="36"/>
        <v>167310200</v>
      </c>
      <c r="M256" s="37"/>
    </row>
    <row r="257" spans="1:13" ht="12.75">
      <c r="A257" s="66">
        <v>4</v>
      </c>
      <c r="B257" s="73" t="s">
        <v>46</v>
      </c>
      <c r="C257" s="71">
        <v>370980000</v>
      </c>
      <c r="D257" s="37"/>
      <c r="E257" s="37"/>
      <c r="F257" s="7">
        <v>103336850</v>
      </c>
      <c r="G257" s="37">
        <f t="shared" si="37"/>
        <v>27.855100005391126</v>
      </c>
      <c r="H257" s="7">
        <v>103336850</v>
      </c>
      <c r="I257" s="36">
        <f t="shared" si="38"/>
        <v>27.855100005391126</v>
      </c>
      <c r="J257" s="37">
        <v>27.855100005391126</v>
      </c>
      <c r="K257" s="37">
        <f t="shared" si="39"/>
        <v>27.855100005391126</v>
      </c>
      <c r="L257" s="37">
        <f t="shared" si="36"/>
        <v>267643150</v>
      </c>
      <c r="M257" s="37"/>
    </row>
    <row r="258" spans="1:13" ht="12.75">
      <c r="A258" s="66">
        <v>5</v>
      </c>
      <c r="B258" s="73" t="s">
        <v>47</v>
      </c>
      <c r="C258" s="71">
        <v>13050000</v>
      </c>
      <c r="D258" s="37">
        <v>0</v>
      </c>
      <c r="E258" s="37">
        <v>0</v>
      </c>
      <c r="F258" s="7"/>
      <c r="G258" s="37">
        <f t="shared" si="37"/>
        <v>0</v>
      </c>
      <c r="H258" s="7"/>
      <c r="I258" s="36">
        <f t="shared" si="38"/>
        <v>0</v>
      </c>
      <c r="J258" s="37">
        <v>5</v>
      </c>
      <c r="K258" s="37">
        <f t="shared" si="39"/>
        <v>0</v>
      </c>
      <c r="L258" s="37">
        <f t="shared" si="36"/>
        <v>13050000</v>
      </c>
      <c r="M258" s="37"/>
    </row>
    <row r="259" spans="1:13" ht="12.75">
      <c r="A259" s="66">
        <v>6</v>
      </c>
      <c r="B259" s="73" t="s">
        <v>48</v>
      </c>
      <c r="C259" s="71">
        <v>7600000</v>
      </c>
      <c r="D259" s="37"/>
      <c r="E259" s="37"/>
      <c r="F259" s="71"/>
      <c r="G259" s="37">
        <f t="shared" si="37"/>
        <v>0</v>
      </c>
      <c r="H259" s="71"/>
      <c r="I259" s="36">
        <f t="shared" si="38"/>
        <v>0</v>
      </c>
      <c r="J259" s="37">
        <v>10</v>
      </c>
      <c r="K259" s="37">
        <f t="shared" si="39"/>
        <v>0</v>
      </c>
      <c r="L259" s="37">
        <f t="shared" si="36"/>
        <v>7600000</v>
      </c>
      <c r="M259" s="37"/>
    </row>
    <row r="260" spans="1:13" ht="12.75">
      <c r="A260" s="66"/>
      <c r="B260" s="73"/>
      <c r="C260" s="71"/>
      <c r="D260" s="37"/>
      <c r="E260" s="37"/>
      <c r="F260" s="7"/>
      <c r="G260" s="37"/>
      <c r="H260" s="7"/>
      <c r="I260" s="36"/>
      <c r="J260" s="37"/>
      <c r="K260" s="37"/>
      <c r="L260" s="37">
        <f t="shared" si="36"/>
        <v>0</v>
      </c>
      <c r="M260" s="37"/>
    </row>
    <row r="261" spans="1:13" ht="12.75">
      <c r="A261" s="62">
        <v>3</v>
      </c>
      <c r="B261" s="69" t="s">
        <v>49</v>
      </c>
      <c r="C261" s="39">
        <f>C262</f>
        <v>74570000</v>
      </c>
      <c r="D261" s="39">
        <f>D262</f>
        <v>0</v>
      </c>
      <c r="E261" s="39">
        <f>E262</f>
        <v>0</v>
      </c>
      <c r="F261" s="8">
        <f>F262</f>
        <v>0</v>
      </c>
      <c r="G261" s="6">
        <f>SUM(F261/C261*100)</f>
        <v>0</v>
      </c>
      <c r="H261" s="8">
        <f>H262</f>
        <v>0</v>
      </c>
      <c r="I261" s="65">
        <f>SUM(H261/C261*100)</f>
        <v>0</v>
      </c>
      <c r="J261" s="64">
        <v>100</v>
      </c>
      <c r="K261" s="8">
        <f>K262/1</f>
        <v>0</v>
      </c>
      <c r="L261" s="37">
        <f t="shared" si="36"/>
        <v>74570000</v>
      </c>
      <c r="M261" s="6"/>
    </row>
    <row r="262" spans="1:13" ht="12.75">
      <c r="A262" s="55"/>
      <c r="B262" s="76" t="s">
        <v>50</v>
      </c>
      <c r="C262" s="9">
        <v>74570000</v>
      </c>
      <c r="D262" s="37">
        <v>0</v>
      </c>
      <c r="E262" s="37">
        <v>0</v>
      </c>
      <c r="F262" s="10"/>
      <c r="G262" s="37">
        <f>SUM(F262/C262*100)</f>
        <v>0</v>
      </c>
      <c r="H262" s="10"/>
      <c r="I262" s="36">
        <f>SUM(H262/C262*100)</f>
        <v>0</v>
      </c>
      <c r="J262" s="37">
        <v>100</v>
      </c>
      <c r="K262" s="37">
        <f>I262</f>
        <v>0</v>
      </c>
      <c r="L262" s="37">
        <f t="shared" si="36"/>
        <v>74570000</v>
      </c>
      <c r="M262" s="56"/>
    </row>
    <row r="263" spans="2:13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ht="12.75">
      <c r="A264" s="77"/>
      <c r="B264" s="12"/>
      <c r="C264" s="78"/>
      <c r="D264" s="79"/>
      <c r="E264" s="79"/>
      <c r="F264" s="13"/>
      <c r="G264" s="14"/>
      <c r="H264" s="13"/>
      <c r="I264" s="14"/>
      <c r="J264" s="80"/>
      <c r="K264" s="80"/>
      <c r="L264" s="80"/>
      <c r="M264" s="81"/>
    </row>
    <row r="265" spans="1:13" ht="12.75">
      <c r="A265" s="82"/>
      <c r="B265" s="15"/>
      <c r="C265" s="83"/>
      <c r="D265" s="84"/>
      <c r="E265" s="84"/>
      <c r="F265" s="16"/>
      <c r="G265" s="17"/>
      <c r="H265" s="16"/>
      <c r="I265" s="17"/>
      <c r="J265" s="85"/>
      <c r="K265" s="85"/>
      <c r="L265" s="85"/>
      <c r="M265" s="86"/>
    </row>
    <row r="266" spans="1:13" ht="12.75">
      <c r="A266" s="82"/>
      <c r="B266" s="15"/>
      <c r="C266" s="83"/>
      <c r="D266" s="84"/>
      <c r="E266" s="84"/>
      <c r="F266" s="16"/>
      <c r="G266" s="17"/>
      <c r="H266" s="16"/>
      <c r="I266" s="17"/>
      <c r="J266" s="85"/>
      <c r="K266" s="85"/>
      <c r="L266" s="85"/>
      <c r="M266" s="86"/>
    </row>
    <row r="267" spans="1:13" ht="12.75">
      <c r="A267" s="82"/>
      <c r="B267" s="15"/>
      <c r="C267" s="83"/>
      <c r="D267" s="84"/>
      <c r="E267" s="84"/>
      <c r="F267" s="16"/>
      <c r="G267" s="17"/>
      <c r="H267" s="16"/>
      <c r="I267" s="17"/>
      <c r="J267" s="85"/>
      <c r="K267" s="85"/>
      <c r="L267" s="85"/>
      <c r="M267" s="86"/>
    </row>
    <row r="268" spans="1:13" ht="12.75">
      <c r="A268" s="87"/>
      <c r="B268" s="18"/>
      <c r="C268" s="88"/>
      <c r="D268" s="89"/>
      <c r="E268" s="89"/>
      <c r="F268" s="19"/>
      <c r="G268" s="20"/>
      <c r="H268" s="19"/>
      <c r="I268" s="20"/>
      <c r="J268" s="90"/>
      <c r="K268" s="90"/>
      <c r="L268" s="90"/>
      <c r="M268" s="91"/>
    </row>
    <row r="269" spans="1:13" ht="12.75">
      <c r="A269" s="808" t="s">
        <v>2</v>
      </c>
      <c r="B269" s="808" t="s">
        <v>3</v>
      </c>
      <c r="C269" s="808" t="s">
        <v>4</v>
      </c>
      <c r="D269" s="808" t="s">
        <v>5</v>
      </c>
      <c r="E269" s="808" t="s">
        <v>6</v>
      </c>
      <c r="F269" s="816" t="s">
        <v>7</v>
      </c>
      <c r="G269" s="817"/>
      <c r="H269" s="817"/>
      <c r="I269" s="818"/>
      <c r="J269" s="816" t="s">
        <v>8</v>
      </c>
      <c r="K269" s="818"/>
      <c r="L269" s="805" t="s">
        <v>87</v>
      </c>
      <c r="M269" s="808" t="s">
        <v>9</v>
      </c>
    </row>
    <row r="270" spans="1:13" ht="12.75">
      <c r="A270" s="806"/>
      <c r="B270" s="806"/>
      <c r="C270" s="806"/>
      <c r="D270" s="814"/>
      <c r="E270" s="806"/>
      <c r="F270" s="809" t="s">
        <v>10</v>
      </c>
      <c r="G270" s="808" t="s">
        <v>11</v>
      </c>
      <c r="H270" s="808" t="s">
        <v>12</v>
      </c>
      <c r="I270" s="808" t="s">
        <v>11</v>
      </c>
      <c r="J270" s="808" t="s">
        <v>13</v>
      </c>
      <c r="K270" s="808" t="s">
        <v>14</v>
      </c>
      <c r="L270" s="806"/>
      <c r="M270" s="806"/>
    </row>
    <row r="271" spans="1:13" ht="12.75">
      <c r="A271" s="807"/>
      <c r="B271" s="807"/>
      <c r="C271" s="807"/>
      <c r="D271" s="815"/>
      <c r="E271" s="807"/>
      <c r="F271" s="810"/>
      <c r="G271" s="807"/>
      <c r="H271" s="807"/>
      <c r="I271" s="807"/>
      <c r="J271" s="807"/>
      <c r="K271" s="807"/>
      <c r="L271" s="807"/>
      <c r="M271" s="807"/>
    </row>
    <row r="272" spans="1:13" ht="12.75">
      <c r="A272" s="2">
        <v>1</v>
      </c>
      <c r="B272" s="2">
        <v>2</v>
      </c>
      <c r="C272" s="2">
        <v>3</v>
      </c>
      <c r="D272" s="2">
        <v>4</v>
      </c>
      <c r="E272" s="2">
        <v>5</v>
      </c>
      <c r="F272" s="2">
        <v>6</v>
      </c>
      <c r="G272" s="2">
        <v>7</v>
      </c>
      <c r="H272" s="2">
        <v>8</v>
      </c>
      <c r="I272" s="2">
        <v>9</v>
      </c>
      <c r="J272" s="2">
        <v>10</v>
      </c>
      <c r="K272" s="2">
        <v>11</v>
      </c>
      <c r="L272" s="2">
        <v>12</v>
      </c>
      <c r="M272" s="2">
        <v>13</v>
      </c>
    </row>
    <row r="273" spans="1:13" ht="12.75">
      <c r="A273" s="55"/>
      <c r="B273" s="21"/>
      <c r="C273" s="22"/>
      <c r="D273" s="32"/>
      <c r="E273" s="32"/>
      <c r="F273" s="23"/>
      <c r="G273" s="32"/>
      <c r="H273" s="23"/>
      <c r="I273" s="57"/>
      <c r="J273" s="56"/>
      <c r="K273" s="56"/>
      <c r="L273" s="95"/>
      <c r="M273" s="92"/>
    </row>
    <row r="274" spans="1:13" ht="12.75">
      <c r="A274" s="93">
        <v>4</v>
      </c>
      <c r="B274" s="24" t="s">
        <v>51</v>
      </c>
      <c r="C274" s="25">
        <f>C275+C276+C277</f>
        <v>4830000000</v>
      </c>
      <c r="D274" s="25">
        <f>D275+D276+D277</f>
        <v>0</v>
      </c>
      <c r="E274" s="25"/>
      <c r="F274" s="25">
        <f>F275+F276+F277</f>
        <v>127360500</v>
      </c>
      <c r="G274" s="6">
        <f>SUM(F274/C274*100)</f>
        <v>2.636863354037267</v>
      </c>
      <c r="H274" s="25">
        <f>H275+H276+H277</f>
        <v>127360500</v>
      </c>
      <c r="I274" s="8">
        <f>SUM(H274/C274*100)</f>
        <v>2.636863354037267</v>
      </c>
      <c r="J274" s="25">
        <f>(J275+J276+J277)/3</f>
        <v>1.3333333333333333</v>
      </c>
      <c r="K274" s="25">
        <f>(K275+K276+K277)/4</f>
        <v>4.218377989821883</v>
      </c>
      <c r="L274" s="154">
        <f>C274-H274</f>
        <v>4702639500</v>
      </c>
      <c r="M274" s="56"/>
    </row>
    <row r="275" spans="1:13" ht="12.75">
      <c r="A275" s="55">
        <v>1</v>
      </c>
      <c r="B275" s="21" t="s">
        <v>52</v>
      </c>
      <c r="C275" s="22">
        <v>3930000000</v>
      </c>
      <c r="D275" s="22"/>
      <c r="E275" s="22"/>
      <c r="F275" s="22">
        <v>1000000</v>
      </c>
      <c r="G275" s="32">
        <f>SUM(F275/C275*100)</f>
        <v>0.02544529262086514</v>
      </c>
      <c r="H275" s="22">
        <v>1000000</v>
      </c>
      <c r="I275" s="57">
        <f>SUM(H275/C275*100)</f>
        <v>0.02544529262086514</v>
      </c>
      <c r="J275" s="37">
        <v>1</v>
      </c>
      <c r="K275" s="32">
        <f>I275</f>
        <v>0.02544529262086514</v>
      </c>
      <c r="L275" s="154">
        <f aca="true" t="shared" si="40" ref="L275:L303">C275-H275</f>
        <v>3929000000</v>
      </c>
      <c r="M275" s="56"/>
    </row>
    <row r="276" spans="1:13" ht="12.75">
      <c r="A276" s="55">
        <v>2</v>
      </c>
      <c r="B276" s="21" t="s">
        <v>53</v>
      </c>
      <c r="C276" s="22">
        <v>750000000</v>
      </c>
      <c r="D276" s="32"/>
      <c r="E276" s="32"/>
      <c r="F276" s="22">
        <v>126360500</v>
      </c>
      <c r="G276" s="32">
        <f>SUM(F276/C276*100)</f>
        <v>16.848066666666668</v>
      </c>
      <c r="H276" s="22">
        <v>126360500</v>
      </c>
      <c r="I276" s="57">
        <f>SUM(H276/C276*100)</f>
        <v>16.848066666666668</v>
      </c>
      <c r="J276" s="32">
        <v>3</v>
      </c>
      <c r="K276" s="32">
        <f>I276</f>
        <v>16.848066666666668</v>
      </c>
      <c r="L276" s="154">
        <f t="shared" si="40"/>
        <v>623639500</v>
      </c>
      <c r="M276" s="37"/>
    </row>
    <row r="277" spans="1:13" ht="12.75">
      <c r="A277" s="55">
        <v>3</v>
      </c>
      <c r="B277" s="21" t="s">
        <v>54</v>
      </c>
      <c r="C277" s="22">
        <v>150000000</v>
      </c>
      <c r="D277" s="32"/>
      <c r="E277" s="32"/>
      <c r="F277" s="26"/>
      <c r="G277" s="32">
        <f>SUM(F277/C277*100)</f>
        <v>0</v>
      </c>
      <c r="H277" s="26"/>
      <c r="I277" s="57">
        <f>SUM(H277/C277*100)</f>
        <v>0</v>
      </c>
      <c r="J277" s="32">
        <v>0</v>
      </c>
      <c r="K277" s="32">
        <f>I277</f>
        <v>0</v>
      </c>
      <c r="L277" s="154">
        <f t="shared" si="40"/>
        <v>150000000</v>
      </c>
      <c r="M277" s="56"/>
    </row>
    <row r="278" spans="1:13" ht="12.75">
      <c r="A278" s="94"/>
      <c r="B278" s="27"/>
      <c r="C278" s="28"/>
      <c r="D278" s="33"/>
      <c r="E278" s="33"/>
      <c r="F278" s="29"/>
      <c r="G278" s="33"/>
      <c r="H278" s="29"/>
      <c r="I278" s="57"/>
      <c r="J278" s="95"/>
      <c r="K278" s="95"/>
      <c r="L278" s="154">
        <f t="shared" si="40"/>
        <v>0</v>
      </c>
      <c r="M278" s="95"/>
    </row>
    <row r="279" spans="1:13" ht="12.75">
      <c r="A279" s="96">
        <v>5</v>
      </c>
      <c r="B279" s="97" t="s">
        <v>56</v>
      </c>
      <c r="C279" s="48">
        <f>SUM(C280:C291)</f>
        <v>1208500000</v>
      </c>
      <c r="D279" s="48">
        <f>D280+D281+D282+D285+D286+D288+D289+D291</f>
        <v>0</v>
      </c>
      <c r="E279" s="48"/>
      <c r="F279" s="48">
        <f>F280+F281+F282+F283+F284+F285+F286+F288+F289+F290+F291</f>
        <v>51025000</v>
      </c>
      <c r="G279" s="31">
        <f aca="true" t="shared" si="41" ref="G279:G286">SUM(F279/C279*100)</f>
        <v>4.2221762515515096</v>
      </c>
      <c r="H279" s="48">
        <f>H280+H281+H282+H283+H284+H285+H286+H288+H289+H290+H291</f>
        <v>51025000</v>
      </c>
      <c r="I279" s="30">
        <f aca="true" t="shared" si="42" ref="I279:I286">SUM(H279/C279*100)</f>
        <v>4.2221762515515096</v>
      </c>
      <c r="J279" s="48">
        <f>SUM(J280+J281+J282+J283+J284+J285+J286+J288+J289+J290+J291)/12</f>
        <v>2.5833333333333335</v>
      </c>
      <c r="K279" s="48">
        <f>(K280+K281+K282+K283+K284+K285+K286+K288+K289+K290+K291)/11</f>
        <v>3.207696280991735</v>
      </c>
      <c r="L279" s="154">
        <f t="shared" si="40"/>
        <v>1157475000</v>
      </c>
      <c r="M279" s="95"/>
    </row>
    <row r="280" spans="1:13" ht="12.75">
      <c r="A280" s="55">
        <v>1</v>
      </c>
      <c r="B280" s="73" t="s">
        <v>99</v>
      </c>
      <c r="C280" s="71">
        <v>350000000</v>
      </c>
      <c r="D280" s="71"/>
      <c r="E280" s="32"/>
      <c r="F280" s="71">
        <v>35350000</v>
      </c>
      <c r="G280" s="32">
        <f t="shared" si="41"/>
        <v>10.100000000000001</v>
      </c>
      <c r="H280" s="71">
        <v>35350000</v>
      </c>
      <c r="I280" s="36">
        <f>SUM(Sheet1!H276/C280*100)</f>
        <v>10.100000000000001</v>
      </c>
      <c r="J280" s="37">
        <v>3</v>
      </c>
      <c r="K280" s="33">
        <f aca="true" t="shared" si="43" ref="K280:K286">I280</f>
        <v>10.100000000000001</v>
      </c>
      <c r="L280" s="154">
        <f t="shared" si="40"/>
        <v>314650000</v>
      </c>
      <c r="M280" s="56"/>
    </row>
    <row r="281" spans="1:13" ht="12.75">
      <c r="A281" s="55">
        <v>2</v>
      </c>
      <c r="B281" s="98" t="s">
        <v>58</v>
      </c>
      <c r="C281" s="71">
        <v>165000000</v>
      </c>
      <c r="D281" s="37"/>
      <c r="E281" s="32"/>
      <c r="F281" s="71">
        <v>1800000</v>
      </c>
      <c r="G281" s="32">
        <f t="shared" si="41"/>
        <v>1.090909090909091</v>
      </c>
      <c r="H281" s="71">
        <v>1800000</v>
      </c>
      <c r="I281" s="36">
        <f t="shared" si="42"/>
        <v>1.090909090909091</v>
      </c>
      <c r="J281" s="32">
        <v>2</v>
      </c>
      <c r="K281" s="33">
        <f t="shared" si="43"/>
        <v>1.090909090909091</v>
      </c>
      <c r="L281" s="154">
        <f t="shared" si="40"/>
        <v>163200000</v>
      </c>
      <c r="M281" s="56"/>
    </row>
    <row r="282" spans="1:13" ht="12.75">
      <c r="A282" s="55">
        <v>3</v>
      </c>
      <c r="B282" s="98" t="s">
        <v>59</v>
      </c>
      <c r="C282" s="71">
        <v>50000000</v>
      </c>
      <c r="D282" s="37"/>
      <c r="E282" s="32"/>
      <c r="F282" s="7">
        <v>7350000</v>
      </c>
      <c r="G282" s="32">
        <f t="shared" si="41"/>
        <v>14.7</v>
      </c>
      <c r="H282" s="7">
        <v>7350000</v>
      </c>
      <c r="I282" s="36">
        <f t="shared" si="42"/>
        <v>14.7</v>
      </c>
      <c r="J282" s="32">
        <v>3</v>
      </c>
      <c r="K282" s="33">
        <f t="shared" si="43"/>
        <v>14.7</v>
      </c>
      <c r="L282" s="154">
        <f t="shared" si="40"/>
        <v>42650000</v>
      </c>
      <c r="M282" s="56"/>
    </row>
    <row r="283" spans="1:13" ht="12.75">
      <c r="A283" s="55">
        <v>4</v>
      </c>
      <c r="B283" s="73" t="s">
        <v>78</v>
      </c>
      <c r="C283" s="71">
        <v>80000000</v>
      </c>
      <c r="D283" s="37"/>
      <c r="E283" s="32"/>
      <c r="F283" s="7">
        <v>4875000</v>
      </c>
      <c r="G283" s="32">
        <f t="shared" si="41"/>
        <v>6.09375</v>
      </c>
      <c r="H283" s="7">
        <v>4875000</v>
      </c>
      <c r="I283" s="36">
        <f t="shared" si="42"/>
        <v>6.09375</v>
      </c>
      <c r="J283" s="32">
        <v>3</v>
      </c>
      <c r="K283" s="33">
        <f t="shared" si="43"/>
        <v>6.09375</v>
      </c>
      <c r="L283" s="154">
        <f t="shared" si="40"/>
        <v>75125000</v>
      </c>
      <c r="M283" s="56"/>
    </row>
    <row r="284" spans="1:13" ht="12.75">
      <c r="A284" s="55">
        <v>5</v>
      </c>
      <c r="B284" s="73" t="s">
        <v>79</v>
      </c>
      <c r="C284" s="71">
        <v>50000000</v>
      </c>
      <c r="D284" s="37"/>
      <c r="E284" s="32"/>
      <c r="F284" s="7">
        <v>1650000</v>
      </c>
      <c r="G284" s="32">
        <f t="shared" si="41"/>
        <v>3.3000000000000003</v>
      </c>
      <c r="H284" s="7">
        <v>1650000</v>
      </c>
      <c r="I284" s="36">
        <f t="shared" si="42"/>
        <v>3.3000000000000003</v>
      </c>
      <c r="J284" s="32">
        <v>2</v>
      </c>
      <c r="K284" s="33">
        <f t="shared" si="43"/>
        <v>3.3000000000000003</v>
      </c>
      <c r="L284" s="154">
        <f t="shared" si="40"/>
        <v>48350000</v>
      </c>
      <c r="M284" s="56"/>
    </row>
    <row r="285" spans="1:13" ht="12.75">
      <c r="A285" s="55">
        <v>6</v>
      </c>
      <c r="B285" s="73" t="s">
        <v>60</v>
      </c>
      <c r="C285" s="71">
        <v>50000000</v>
      </c>
      <c r="D285" s="37"/>
      <c r="E285" s="32"/>
      <c r="F285" s="7"/>
      <c r="G285" s="32">
        <f t="shared" si="41"/>
        <v>0</v>
      </c>
      <c r="H285" s="7"/>
      <c r="I285" s="36">
        <f t="shared" si="42"/>
        <v>0</v>
      </c>
      <c r="J285" s="32">
        <v>0</v>
      </c>
      <c r="K285" s="33">
        <f t="shared" si="43"/>
        <v>0</v>
      </c>
      <c r="L285" s="154">
        <f t="shared" si="40"/>
        <v>50000000</v>
      </c>
      <c r="M285" s="56"/>
    </row>
    <row r="286" spans="1:13" ht="12.75">
      <c r="A286" s="76">
        <v>7</v>
      </c>
      <c r="B286" s="122" t="s">
        <v>61</v>
      </c>
      <c r="C286" s="123">
        <v>50000000</v>
      </c>
      <c r="D286" s="115"/>
      <c r="E286" s="109"/>
      <c r="F286" s="124"/>
      <c r="G286" s="109">
        <f t="shared" si="41"/>
        <v>0</v>
      </c>
      <c r="H286" s="124"/>
      <c r="I286" s="124">
        <f t="shared" si="42"/>
        <v>0</v>
      </c>
      <c r="J286" s="109">
        <v>10</v>
      </c>
      <c r="K286" s="109">
        <f t="shared" si="43"/>
        <v>0</v>
      </c>
      <c r="L286" s="154">
        <f t="shared" si="40"/>
        <v>50000000</v>
      </c>
      <c r="M286" s="110"/>
    </row>
    <row r="287" spans="1:13" ht="12.75">
      <c r="A287" s="55">
        <v>8</v>
      </c>
      <c r="B287" s="122" t="s">
        <v>85</v>
      </c>
      <c r="C287" s="123">
        <v>156700000</v>
      </c>
      <c r="D287" s="115"/>
      <c r="E287" s="109"/>
      <c r="F287" s="124"/>
      <c r="G287" s="109"/>
      <c r="H287" s="124"/>
      <c r="I287" s="124"/>
      <c r="J287" s="109">
        <v>0</v>
      </c>
      <c r="K287" s="109"/>
      <c r="L287" s="154">
        <f t="shared" si="40"/>
        <v>156700000</v>
      </c>
      <c r="M287" s="110"/>
    </row>
    <row r="288" spans="1:13" ht="25.5">
      <c r="A288" s="76">
        <v>9</v>
      </c>
      <c r="B288" s="73" t="s">
        <v>80</v>
      </c>
      <c r="C288" s="71">
        <v>140000000</v>
      </c>
      <c r="D288" s="37"/>
      <c r="E288" s="32"/>
      <c r="F288" s="71"/>
      <c r="G288" s="32">
        <f>SUM(F288/C288*100)</f>
        <v>0</v>
      </c>
      <c r="H288" s="71"/>
      <c r="I288" s="7">
        <f>SUM(H288/C288*100)</f>
        <v>0</v>
      </c>
      <c r="J288" s="32">
        <v>0</v>
      </c>
      <c r="K288" s="32">
        <f>I288</f>
        <v>0</v>
      </c>
      <c r="L288" s="154">
        <f t="shared" si="40"/>
        <v>140000000</v>
      </c>
      <c r="M288" s="56"/>
    </row>
    <row r="289" spans="1:13" ht="12.75">
      <c r="A289" s="55">
        <v>10</v>
      </c>
      <c r="B289" s="73" t="s">
        <v>62</v>
      </c>
      <c r="C289" s="71">
        <v>68300000</v>
      </c>
      <c r="D289" s="71"/>
      <c r="E289" s="32"/>
      <c r="F289" s="7"/>
      <c r="G289" s="32">
        <f>SUM(F289/C289*100)</f>
        <v>0</v>
      </c>
      <c r="H289" s="7"/>
      <c r="I289" s="7">
        <f>SUM(H289/C289*100)</f>
        <v>0</v>
      </c>
      <c r="J289" s="32">
        <v>0</v>
      </c>
      <c r="K289" s="49">
        <f>I289</f>
        <v>0</v>
      </c>
      <c r="L289" s="154">
        <f t="shared" si="40"/>
        <v>68300000</v>
      </c>
      <c r="M289" s="56"/>
    </row>
    <row r="290" spans="1:13" ht="12.75">
      <c r="A290" s="76">
        <v>11</v>
      </c>
      <c r="B290" s="73" t="s">
        <v>81</v>
      </c>
      <c r="C290" s="38">
        <v>27500000</v>
      </c>
      <c r="D290" s="71"/>
      <c r="E290" s="32"/>
      <c r="F290" s="7">
        <v>0</v>
      </c>
      <c r="G290" s="32">
        <v>0</v>
      </c>
      <c r="H290" s="7">
        <v>0</v>
      </c>
      <c r="I290" s="7">
        <v>0</v>
      </c>
      <c r="J290" s="32">
        <v>3</v>
      </c>
      <c r="K290" s="32">
        <f>I290</f>
        <v>0</v>
      </c>
      <c r="L290" s="154">
        <f t="shared" si="40"/>
        <v>27500000</v>
      </c>
      <c r="M290" s="56"/>
    </row>
    <row r="291" spans="1:13" ht="12.75">
      <c r="A291" s="55">
        <v>12</v>
      </c>
      <c r="B291" s="73" t="s">
        <v>55</v>
      </c>
      <c r="C291" s="38">
        <v>21000000</v>
      </c>
      <c r="D291" s="71"/>
      <c r="E291" s="32"/>
      <c r="F291" s="7">
        <v>0</v>
      </c>
      <c r="G291" s="32">
        <v>0</v>
      </c>
      <c r="H291" s="7">
        <v>0</v>
      </c>
      <c r="I291" s="7">
        <v>0</v>
      </c>
      <c r="J291" s="32">
        <v>5</v>
      </c>
      <c r="K291" s="32">
        <f>I291</f>
        <v>0</v>
      </c>
      <c r="L291" s="154">
        <f t="shared" si="40"/>
        <v>21000000</v>
      </c>
      <c r="M291" s="56"/>
    </row>
    <row r="292" spans="1:13" ht="12.75">
      <c r="A292" s="100"/>
      <c r="B292" s="125"/>
      <c r="C292" s="22"/>
      <c r="D292" s="32"/>
      <c r="E292" s="32"/>
      <c r="F292" s="23"/>
      <c r="G292" s="34"/>
      <c r="H292" s="23"/>
      <c r="I292" s="34"/>
      <c r="J292" s="8"/>
      <c r="K292" s="8"/>
      <c r="L292" s="154">
        <f t="shared" si="40"/>
        <v>0</v>
      </c>
      <c r="M292" s="56"/>
    </row>
    <row r="293" spans="1:13" ht="12.75">
      <c r="A293" s="111">
        <v>6</v>
      </c>
      <c r="B293" s="97" t="s">
        <v>63</v>
      </c>
      <c r="C293" s="48">
        <f>C294+C295+C296</f>
        <v>340000000</v>
      </c>
      <c r="D293" s="48">
        <f>D294+D295+D296</f>
        <v>0</v>
      </c>
      <c r="E293" s="48"/>
      <c r="F293" s="48">
        <f>F294+F295+F296</f>
        <v>32548000</v>
      </c>
      <c r="G293" s="30">
        <f>F293/C293*100</f>
        <v>9.572941176470588</v>
      </c>
      <c r="H293" s="48">
        <f>H294+H295+H296</f>
        <v>32548000</v>
      </c>
      <c r="I293" s="30">
        <f>SUM(H293/C293*100)</f>
        <v>9.572941176470588</v>
      </c>
      <c r="J293" s="48">
        <f>(J294+J295+J296)/3</f>
        <v>9</v>
      </c>
      <c r="K293" s="48">
        <f>(K294+K295+K296)/4</f>
        <v>15.811745098039216</v>
      </c>
      <c r="L293" s="154">
        <f t="shared" si="40"/>
        <v>307452000</v>
      </c>
      <c r="M293" s="95"/>
    </row>
    <row r="294" spans="1:13" ht="12.75">
      <c r="A294" s="55">
        <v>1</v>
      </c>
      <c r="B294" s="73" t="s">
        <v>64</v>
      </c>
      <c r="C294" s="38">
        <v>50000000</v>
      </c>
      <c r="D294" s="38"/>
      <c r="E294" s="32"/>
      <c r="F294" s="38">
        <v>31398000</v>
      </c>
      <c r="G294" s="32">
        <f>SUM(F294/C294*100)</f>
        <v>62.796</v>
      </c>
      <c r="H294" s="38">
        <v>31398000</v>
      </c>
      <c r="I294" s="36">
        <f>SUM(H294/C294*100)</f>
        <v>62.796</v>
      </c>
      <c r="J294" s="35">
        <v>8</v>
      </c>
      <c r="K294" s="33">
        <f>I294</f>
        <v>62.796</v>
      </c>
      <c r="L294" s="154">
        <f t="shared" si="40"/>
        <v>18602000</v>
      </c>
      <c r="M294" s="56"/>
    </row>
    <row r="295" spans="1:13" ht="12.75">
      <c r="A295" s="55">
        <v>2</v>
      </c>
      <c r="B295" s="73" t="s">
        <v>65</v>
      </c>
      <c r="C295" s="38">
        <v>35000000</v>
      </c>
      <c r="D295" s="32"/>
      <c r="E295" s="32"/>
      <c r="F295" s="38"/>
      <c r="G295" s="32">
        <f>SUM(F295/C295*100)</f>
        <v>0</v>
      </c>
      <c r="H295" s="38"/>
      <c r="I295" s="50">
        <f>SUM(H295/C295*100)</f>
        <v>0</v>
      </c>
      <c r="J295" s="35">
        <v>9</v>
      </c>
      <c r="K295" s="33">
        <f>I295</f>
        <v>0</v>
      </c>
      <c r="L295" s="154">
        <f t="shared" si="40"/>
        <v>35000000</v>
      </c>
      <c r="M295" s="56"/>
    </row>
    <row r="296" spans="1:13" ht="12.75">
      <c r="A296" s="55">
        <v>3</v>
      </c>
      <c r="B296" s="73" t="s">
        <v>66</v>
      </c>
      <c r="C296" s="71">
        <v>255000000</v>
      </c>
      <c r="D296" s="71"/>
      <c r="E296" s="99"/>
      <c r="F296" s="71">
        <v>1150000</v>
      </c>
      <c r="G296" s="32">
        <f>SUM(F296/C296*100)</f>
        <v>0.45098039215686275</v>
      </c>
      <c r="H296" s="71">
        <v>1150000</v>
      </c>
      <c r="I296" s="36">
        <f>SUM(H296/C296*100)</f>
        <v>0.45098039215686275</v>
      </c>
      <c r="J296" s="112">
        <v>10</v>
      </c>
      <c r="K296" s="33">
        <f>I296</f>
        <v>0.45098039215686275</v>
      </c>
      <c r="L296" s="154">
        <f t="shared" si="40"/>
        <v>253850000</v>
      </c>
      <c r="M296" s="56"/>
    </row>
    <row r="297" spans="1:13" ht="12.75">
      <c r="A297" s="94"/>
      <c r="B297" s="132"/>
      <c r="C297" s="133"/>
      <c r="D297" s="133"/>
      <c r="E297" s="134"/>
      <c r="F297" s="133"/>
      <c r="G297" s="33"/>
      <c r="H297" s="133"/>
      <c r="I297" s="36"/>
      <c r="J297" s="58"/>
      <c r="K297" s="33"/>
      <c r="L297" s="154">
        <f t="shared" si="40"/>
        <v>0</v>
      </c>
      <c r="M297" s="95"/>
    </row>
    <row r="298" spans="1:13" ht="12.75">
      <c r="A298" s="111">
        <v>7</v>
      </c>
      <c r="B298" s="97" t="s">
        <v>67</v>
      </c>
      <c r="C298" s="48">
        <f>C299+C300</f>
        <v>520000000</v>
      </c>
      <c r="D298" s="48">
        <f>D299+D300</f>
        <v>0</v>
      </c>
      <c r="E298" s="48"/>
      <c r="F298" s="48">
        <f>F299+F300</f>
        <v>0</v>
      </c>
      <c r="G298" s="30">
        <f>F298/C298*100</f>
        <v>0</v>
      </c>
      <c r="H298" s="48">
        <f>H299+H300</f>
        <v>0</v>
      </c>
      <c r="I298" s="30">
        <f>H298/C298*100</f>
        <v>0</v>
      </c>
      <c r="J298" s="48">
        <f>(J299+J300)/2</f>
        <v>7.5</v>
      </c>
      <c r="K298" s="48">
        <f>(K299+K300)/2</f>
        <v>0</v>
      </c>
      <c r="L298" s="154">
        <f t="shared" si="40"/>
        <v>520000000</v>
      </c>
      <c r="M298" s="95"/>
    </row>
    <row r="299" spans="1:13" ht="12.75">
      <c r="A299" s="100">
        <v>1</v>
      </c>
      <c r="B299" s="73" t="s">
        <v>68</v>
      </c>
      <c r="C299" s="71">
        <v>100000000</v>
      </c>
      <c r="D299" s="71"/>
      <c r="E299" s="32"/>
      <c r="F299" s="71"/>
      <c r="G299" s="34">
        <f>F299/C299*100</f>
        <v>0</v>
      </c>
      <c r="H299" s="71"/>
      <c r="I299" s="34">
        <f>H299/C299*100</f>
        <v>0</v>
      </c>
      <c r="J299" s="34">
        <v>10</v>
      </c>
      <c r="K299" s="34">
        <f>I299</f>
        <v>0</v>
      </c>
      <c r="L299" s="154">
        <f t="shared" si="40"/>
        <v>100000000</v>
      </c>
      <c r="M299" s="37"/>
    </row>
    <row r="300" spans="1:13" ht="12.75">
      <c r="A300" s="100">
        <v>2</v>
      </c>
      <c r="B300" s="73" t="s">
        <v>69</v>
      </c>
      <c r="C300" s="71">
        <v>420000000</v>
      </c>
      <c r="D300" s="71"/>
      <c r="E300" s="32"/>
      <c r="F300" s="71"/>
      <c r="G300" s="34">
        <f>F300/C300*100</f>
        <v>0</v>
      </c>
      <c r="H300" s="71"/>
      <c r="I300" s="34">
        <f>H300/C300*100</f>
        <v>0</v>
      </c>
      <c r="J300" s="34">
        <v>5</v>
      </c>
      <c r="K300" s="34">
        <f>I300</f>
        <v>0</v>
      </c>
      <c r="L300" s="154">
        <f t="shared" si="40"/>
        <v>420000000</v>
      </c>
      <c r="M300" s="56"/>
    </row>
    <row r="301" spans="1:13" ht="12.75">
      <c r="A301" s="100"/>
      <c r="B301" s="98"/>
      <c r="C301" s="71"/>
      <c r="D301" s="32"/>
      <c r="E301" s="32"/>
      <c r="F301" s="7"/>
      <c r="G301" s="34"/>
      <c r="H301" s="7"/>
      <c r="I301" s="34"/>
      <c r="J301" s="34"/>
      <c r="K301" s="8"/>
      <c r="L301" s="154">
        <f t="shared" si="40"/>
        <v>0</v>
      </c>
      <c r="M301" s="56"/>
    </row>
    <row r="302" spans="1:13" ht="12.75">
      <c r="A302" s="93">
        <v>8</v>
      </c>
      <c r="B302" s="69" t="s">
        <v>70</v>
      </c>
      <c r="C302" s="39">
        <f>SUM(C303:C303)</f>
        <v>100000000</v>
      </c>
      <c r="D302" s="39">
        <f>SUM(D303:D303)</f>
        <v>0</v>
      </c>
      <c r="E302" s="39"/>
      <c r="F302" s="39">
        <f>SUM(F303:F303)</f>
        <v>0</v>
      </c>
      <c r="G302" s="8">
        <f>F302/C302*100</f>
        <v>0</v>
      </c>
      <c r="H302" s="39">
        <f>SUM(H303:H303)</f>
        <v>0</v>
      </c>
      <c r="I302" s="8">
        <f>H302/C302*100</f>
        <v>0</v>
      </c>
      <c r="J302" s="8">
        <f>J303</f>
        <v>0</v>
      </c>
      <c r="K302" s="8">
        <v>0</v>
      </c>
      <c r="L302" s="154">
        <f t="shared" si="40"/>
        <v>100000000</v>
      </c>
      <c r="M302" s="56"/>
    </row>
    <row r="303" spans="1:13" ht="12.75">
      <c r="A303" s="101"/>
      <c r="B303" s="52" t="s">
        <v>71</v>
      </c>
      <c r="C303" s="53">
        <v>100000000</v>
      </c>
      <c r="D303" s="51"/>
      <c r="E303" s="49"/>
      <c r="F303" s="54"/>
      <c r="G303" s="113">
        <f>F303/C303*100</f>
        <v>0</v>
      </c>
      <c r="H303" s="54"/>
      <c r="I303" s="113">
        <f>H303/C303*100</f>
        <v>0</v>
      </c>
      <c r="J303" s="113">
        <v>0</v>
      </c>
      <c r="K303" s="113">
        <f>I303</f>
        <v>0</v>
      </c>
      <c r="L303" s="154">
        <f t="shared" si="40"/>
        <v>100000000</v>
      </c>
      <c r="M303" s="56"/>
    </row>
    <row r="304" spans="1:13" ht="12.75">
      <c r="A304" s="55"/>
      <c r="B304" s="40"/>
      <c r="C304" s="41"/>
      <c r="D304" s="37"/>
      <c r="E304" s="32"/>
      <c r="F304" s="42"/>
      <c r="G304" s="34"/>
      <c r="H304" s="42"/>
      <c r="I304" s="34"/>
      <c r="J304" s="34"/>
      <c r="K304" s="34"/>
      <c r="L304" s="34"/>
      <c r="M304" s="56"/>
    </row>
    <row r="305" spans="1:13" ht="12.75">
      <c r="A305" s="102"/>
      <c r="B305" s="103"/>
      <c r="C305" s="43">
        <f>C226+C239</f>
        <v>11516999500</v>
      </c>
      <c r="D305" s="43">
        <f>+D226+D239</f>
        <v>0</v>
      </c>
      <c r="E305" s="43">
        <f>E240+E253+E261+E274+E279+E293+E298+E302</f>
        <v>0</v>
      </c>
      <c r="F305" s="43">
        <f>+F226+F239</f>
        <v>820852632</v>
      </c>
      <c r="G305" s="118">
        <f>SUM(F305/C305*100)</f>
        <v>7.127313255505481</v>
      </c>
      <c r="H305" s="43">
        <f>+H226+H239</f>
        <v>820852632</v>
      </c>
      <c r="I305" s="119">
        <f>SUM(H305/C305*100)</f>
        <v>7.127313255505481</v>
      </c>
      <c r="J305" s="43">
        <f>+(J226+J239)/2</f>
        <v>10.50199953232653</v>
      </c>
      <c r="K305" s="43">
        <f>+(K226+K239)/2</f>
        <v>8.280271749333377</v>
      </c>
      <c r="L305" s="43">
        <f>L226+L239</f>
        <v>10696146868</v>
      </c>
      <c r="M305" s="104"/>
    </row>
    <row r="306" spans="1:13" ht="12.75">
      <c r="A306" s="126"/>
      <c r="B306" s="127"/>
      <c r="C306" s="128"/>
      <c r="D306" s="128"/>
      <c r="E306" s="128"/>
      <c r="F306" s="128"/>
      <c r="G306" s="129"/>
      <c r="H306" s="128"/>
      <c r="I306" s="130"/>
      <c r="J306" s="128"/>
      <c r="K306" s="128"/>
      <c r="L306" s="128"/>
      <c r="M306" s="131"/>
    </row>
    <row r="307" spans="1:13" ht="12.75">
      <c r="A307" s="126"/>
      <c r="B307" s="158"/>
      <c r="C307" s="128"/>
      <c r="D307" s="128"/>
      <c r="E307" s="128"/>
      <c r="F307" s="128"/>
      <c r="G307" s="129"/>
      <c r="H307" s="128"/>
      <c r="I307" s="130"/>
      <c r="J307" s="128"/>
      <c r="K307" s="128"/>
      <c r="L307" s="128"/>
      <c r="M307" s="131"/>
    </row>
    <row r="308" spans="1:13" ht="12.75">
      <c r="A308" s="127"/>
      <c r="B308" s="160"/>
      <c r="C308" s="162"/>
      <c r="D308" s="60"/>
      <c r="E308" s="137"/>
      <c r="F308" s="44"/>
      <c r="G308" s="46"/>
      <c r="I308" s="117"/>
      <c r="J308" s="117" t="s">
        <v>98</v>
      </c>
      <c r="K308" s="117"/>
      <c r="L308" s="117"/>
      <c r="M308" s="117"/>
    </row>
    <row r="309" spans="1:13" ht="12.75">
      <c r="A309" s="127"/>
      <c r="B309" s="161"/>
      <c r="C309" s="163"/>
      <c r="D309" s="139"/>
      <c r="E309" s="137"/>
      <c r="F309" s="45"/>
      <c r="G309" s="44"/>
      <c r="I309" s="107"/>
      <c r="J309" s="107" t="s">
        <v>73</v>
      </c>
      <c r="K309" s="107"/>
      <c r="L309" s="107"/>
      <c r="M309" s="107"/>
    </row>
    <row r="310" spans="1:13" ht="12.75">
      <c r="A310" s="127"/>
      <c r="B310" s="161"/>
      <c r="C310" s="153"/>
      <c r="D310" s="60"/>
      <c r="E310" s="136"/>
      <c r="F310" s="44"/>
      <c r="G310" s="46"/>
      <c r="I310" s="107"/>
      <c r="J310" s="107" t="s">
        <v>72</v>
      </c>
      <c r="K310" s="107"/>
      <c r="L310" s="107"/>
      <c r="M310" s="107"/>
    </row>
    <row r="311" spans="1:13" ht="12.75">
      <c r="A311" s="127"/>
      <c r="B311" s="161"/>
      <c r="C311" s="153"/>
      <c r="D311" s="60"/>
      <c r="E311" s="136"/>
      <c r="F311" s="44"/>
      <c r="G311" s="46"/>
      <c r="I311" s="107"/>
      <c r="J311" s="107"/>
      <c r="K311" s="107"/>
      <c r="L311" s="107"/>
      <c r="M311" s="107"/>
    </row>
    <row r="312" spans="1:13" ht="12.75">
      <c r="A312" s="127"/>
      <c r="B312" s="140"/>
      <c r="C312" s="141"/>
      <c r="D312" s="60"/>
      <c r="E312" s="136"/>
      <c r="F312" s="44"/>
      <c r="G312" s="46"/>
      <c r="I312" s="107"/>
      <c r="J312" s="107"/>
      <c r="K312" s="107"/>
      <c r="L312" s="107"/>
      <c r="M312" s="107"/>
    </row>
    <row r="313" spans="1:13" ht="12.75">
      <c r="A313" s="127"/>
      <c r="B313" s="128"/>
      <c r="C313" s="84"/>
      <c r="D313" s="60"/>
      <c r="E313" s="137"/>
      <c r="F313" s="46"/>
      <c r="G313" s="46"/>
      <c r="H313" s="108"/>
      <c r="I313" s="108"/>
      <c r="J313" s="108" t="s">
        <v>74</v>
      </c>
      <c r="M313" s="108"/>
    </row>
    <row r="314" spans="1:13" ht="12.75">
      <c r="A314" s="127"/>
      <c r="B314" s="158"/>
      <c r="C314" s="84"/>
      <c r="D314" s="60"/>
      <c r="E314" s="60"/>
      <c r="F314" s="46"/>
      <c r="G314" s="46"/>
      <c r="H314" s="107"/>
      <c r="I314" s="107"/>
      <c r="J314" s="107" t="s">
        <v>75</v>
      </c>
      <c r="M314" s="107"/>
    </row>
    <row r="315" spans="1:13" ht="12.75">
      <c r="A315" s="127"/>
      <c r="B315" s="158"/>
      <c r="C315" s="84"/>
      <c r="D315" s="60"/>
      <c r="E315" s="60"/>
      <c r="F315" s="46"/>
      <c r="G315" s="46"/>
      <c r="H315" s="107"/>
      <c r="I315" s="107"/>
      <c r="J315" s="107"/>
      <c r="M315" s="107"/>
    </row>
    <row r="316" spans="1:13" ht="12.75">
      <c r="A316" s="127"/>
      <c r="B316" s="158"/>
      <c r="C316" s="84"/>
      <c r="D316" s="60"/>
      <c r="E316" s="60"/>
      <c r="F316" s="46"/>
      <c r="G316" s="46"/>
      <c r="H316" s="107"/>
      <c r="I316" s="107"/>
      <c r="J316" s="107"/>
      <c r="M316" s="107"/>
    </row>
    <row r="317" spans="1:13" ht="12.75">
      <c r="A317" s="127"/>
      <c r="B317" s="158"/>
      <c r="C317" s="84"/>
      <c r="D317" s="60"/>
      <c r="E317" s="60"/>
      <c r="F317" s="46"/>
      <c r="G317" s="46"/>
      <c r="H317" s="107"/>
      <c r="I317" s="107"/>
      <c r="J317" s="107"/>
      <c r="M317" s="107"/>
    </row>
    <row r="318" spans="1:13" ht="12.75">
      <c r="A318" s="127"/>
      <c r="B318" s="158"/>
      <c r="C318" s="84"/>
      <c r="D318" s="60"/>
      <c r="E318" s="60"/>
      <c r="F318" s="46"/>
      <c r="G318" s="46"/>
      <c r="H318" s="107"/>
      <c r="I318" s="107"/>
      <c r="J318" s="107"/>
      <c r="M318" s="107"/>
    </row>
    <row r="319" spans="1:13" ht="12.75">
      <c r="A319" s="127"/>
      <c r="B319" s="158"/>
      <c r="C319" s="84"/>
      <c r="D319" s="60"/>
      <c r="E319" s="60"/>
      <c r="F319" s="46"/>
      <c r="G319" s="46"/>
      <c r="H319" s="107"/>
      <c r="I319" s="107"/>
      <c r="J319" s="107"/>
      <c r="M319" s="107"/>
    </row>
    <row r="320" spans="1:13" ht="12.75">
      <c r="A320" s="127"/>
      <c r="B320" s="158"/>
      <c r="C320" s="84"/>
      <c r="D320" s="60"/>
      <c r="E320" s="60"/>
      <c r="F320" s="46"/>
      <c r="G320" s="46"/>
      <c r="H320" s="107"/>
      <c r="I320" s="107"/>
      <c r="J320" s="107"/>
      <c r="M320" s="107"/>
    </row>
    <row r="321" spans="1:13" ht="12.75">
      <c r="A321" s="127"/>
      <c r="B321" s="158"/>
      <c r="C321" s="84"/>
      <c r="D321" s="60"/>
      <c r="E321" s="60"/>
      <c r="F321" s="46"/>
      <c r="G321" s="46"/>
      <c r="H321" s="107"/>
      <c r="I321" s="107"/>
      <c r="J321" s="107"/>
      <c r="M321" s="107"/>
    </row>
    <row r="322" spans="1:13" ht="12.75">
      <c r="A322" s="127"/>
      <c r="B322" s="158"/>
      <c r="C322" s="84"/>
      <c r="D322" s="60"/>
      <c r="E322" s="60"/>
      <c r="F322" s="46"/>
      <c r="G322" s="46"/>
      <c r="H322" s="107"/>
      <c r="I322" s="107"/>
      <c r="J322" s="107"/>
      <c r="M322" s="107"/>
    </row>
    <row r="323" spans="1:13" ht="15.75">
      <c r="A323" s="811" t="s">
        <v>0</v>
      </c>
      <c r="B323" s="811"/>
      <c r="C323" s="811"/>
      <c r="D323" s="811"/>
      <c r="E323" s="811"/>
      <c r="F323" s="811"/>
      <c r="G323" s="811"/>
      <c r="H323" s="811"/>
      <c r="I323" s="811"/>
      <c r="J323" s="811"/>
      <c r="K323" s="811"/>
      <c r="L323" s="811"/>
      <c r="M323" s="811"/>
    </row>
    <row r="324" spans="1:13" ht="12.75">
      <c r="A324" s="812" t="s">
        <v>83</v>
      </c>
      <c r="B324" s="812"/>
      <c r="C324" s="812"/>
      <c r="D324" s="812"/>
      <c r="E324" s="812"/>
      <c r="F324" s="812"/>
      <c r="G324" s="812"/>
      <c r="H324" s="812"/>
      <c r="I324" s="812"/>
      <c r="J324" s="812"/>
      <c r="K324" s="812"/>
      <c r="L324" s="812"/>
      <c r="M324" s="812"/>
    </row>
    <row r="325" spans="1:13" ht="12.75">
      <c r="A325" s="813" t="s">
        <v>77</v>
      </c>
      <c r="B325" s="813"/>
      <c r="C325" s="813"/>
      <c r="D325" s="813"/>
      <c r="E325" s="813"/>
      <c r="F325" s="813"/>
      <c r="G325" s="813"/>
      <c r="H325" s="813"/>
      <c r="I325" s="813"/>
      <c r="J325" s="813"/>
      <c r="K325" s="813"/>
      <c r="L325" s="813"/>
      <c r="M325" s="813"/>
    </row>
    <row r="326" spans="1:13" ht="12.75">
      <c r="A326" s="60" t="s">
        <v>1</v>
      </c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</row>
    <row r="327" spans="1:13" ht="12.75">
      <c r="A327" s="144" t="s">
        <v>100</v>
      </c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</row>
    <row r="328" ht="12.75">
      <c r="A328" s="60"/>
    </row>
    <row r="329" spans="1:13" ht="12.75">
      <c r="A329" s="808" t="s">
        <v>2</v>
      </c>
      <c r="B329" s="808" t="s">
        <v>3</v>
      </c>
      <c r="C329" s="808" t="s">
        <v>4</v>
      </c>
      <c r="D329" s="808" t="s">
        <v>5</v>
      </c>
      <c r="E329" s="808" t="s">
        <v>6</v>
      </c>
      <c r="F329" s="816" t="s">
        <v>7</v>
      </c>
      <c r="G329" s="817"/>
      <c r="H329" s="817"/>
      <c r="I329" s="818"/>
      <c r="J329" s="816" t="s">
        <v>8</v>
      </c>
      <c r="K329" s="818"/>
      <c r="L329" s="805" t="s">
        <v>87</v>
      </c>
      <c r="M329" s="808" t="s">
        <v>9</v>
      </c>
    </row>
    <row r="330" spans="1:13" ht="12.75">
      <c r="A330" s="806"/>
      <c r="B330" s="806"/>
      <c r="C330" s="806"/>
      <c r="D330" s="814"/>
      <c r="E330" s="806"/>
      <c r="F330" s="809" t="s">
        <v>10</v>
      </c>
      <c r="G330" s="808" t="s">
        <v>11</v>
      </c>
      <c r="H330" s="808" t="s">
        <v>12</v>
      </c>
      <c r="I330" s="808" t="s">
        <v>11</v>
      </c>
      <c r="J330" s="808" t="s">
        <v>13</v>
      </c>
      <c r="K330" s="808" t="s">
        <v>14</v>
      </c>
      <c r="L330" s="806"/>
      <c r="M330" s="806"/>
    </row>
    <row r="331" spans="1:13" ht="12.75">
      <c r="A331" s="807"/>
      <c r="B331" s="807"/>
      <c r="C331" s="807"/>
      <c r="D331" s="815"/>
      <c r="E331" s="807"/>
      <c r="F331" s="810"/>
      <c r="G331" s="807"/>
      <c r="H331" s="807"/>
      <c r="I331" s="807"/>
      <c r="J331" s="807"/>
      <c r="K331" s="807"/>
      <c r="L331" s="807"/>
      <c r="M331" s="807"/>
    </row>
    <row r="332" spans="1:13" ht="12.75">
      <c r="A332" s="2">
        <v>1</v>
      </c>
      <c r="B332" s="2">
        <v>2</v>
      </c>
      <c r="C332" s="2">
        <v>3</v>
      </c>
      <c r="D332" s="2">
        <v>4</v>
      </c>
      <c r="E332" s="2">
        <v>5</v>
      </c>
      <c r="F332" s="2">
        <v>6</v>
      </c>
      <c r="G332" s="2">
        <v>7</v>
      </c>
      <c r="H332" s="2">
        <v>8</v>
      </c>
      <c r="I332" s="2">
        <v>9</v>
      </c>
      <c r="J332" s="2">
        <v>10</v>
      </c>
      <c r="K332" s="2">
        <v>11</v>
      </c>
      <c r="L332" s="2">
        <v>12</v>
      </c>
      <c r="M332" s="2">
        <v>13</v>
      </c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61" t="s">
        <v>15</v>
      </c>
      <c r="B334" s="62" t="s">
        <v>16</v>
      </c>
      <c r="C334" s="4">
        <f>SUM(C335:C345)</f>
        <v>2320392000</v>
      </c>
      <c r="D334" s="63"/>
      <c r="E334" s="114"/>
      <c r="F334" s="4">
        <f>SUM(F335:F345)</f>
        <v>399221204</v>
      </c>
      <c r="G334" s="64">
        <f>SUM(F334/C334*100)</f>
        <v>17.204903481825482</v>
      </c>
      <c r="H334" s="4">
        <f>SUM(H335:H345)</f>
        <v>399221204</v>
      </c>
      <c r="I334" s="145">
        <f>SUM(H334/C334*100)</f>
        <v>17.204903481825482</v>
      </c>
      <c r="J334" s="64">
        <v>3</v>
      </c>
      <c r="K334" s="64">
        <f>(K335+K336+K337+K338+K339+K340+K341+K342+K343+K344+K345)/11</f>
        <v>17.752495284937705</v>
      </c>
      <c r="L334" s="4">
        <f>SUM(L335:L345)</f>
        <v>1921170796</v>
      </c>
      <c r="M334" s="63"/>
    </row>
    <row r="335" spans="1:13" ht="12.75">
      <c r="A335" s="66">
        <v>1</v>
      </c>
      <c r="B335" s="47" t="s">
        <v>17</v>
      </c>
      <c r="C335" s="5">
        <v>1209000000</v>
      </c>
      <c r="D335" s="63"/>
      <c r="E335" s="63"/>
      <c r="F335" s="114">
        <v>291964100</v>
      </c>
      <c r="G335" s="37">
        <f>SUM(F335/C335*100)</f>
        <v>24.149222497932175</v>
      </c>
      <c r="H335" s="114">
        <v>291964100</v>
      </c>
      <c r="I335" s="145">
        <f aca="true" t="shared" si="44" ref="I335:I341">SUM(H335/C335*100)</f>
        <v>24.149222497932175</v>
      </c>
      <c r="J335" s="37">
        <v>3</v>
      </c>
      <c r="K335" s="37">
        <f>I335</f>
        <v>24.149222497932175</v>
      </c>
      <c r="L335" s="37">
        <f>C335-H335</f>
        <v>917035900</v>
      </c>
      <c r="M335" s="63"/>
    </row>
    <row r="336" spans="1:13" ht="12.75">
      <c r="A336" s="66">
        <v>2</v>
      </c>
      <c r="B336" s="47" t="s">
        <v>18</v>
      </c>
      <c r="C336" s="5">
        <v>132000000</v>
      </c>
      <c r="D336" s="63"/>
      <c r="E336" s="63"/>
      <c r="F336" s="5">
        <v>32363252</v>
      </c>
      <c r="G336" s="37">
        <f>SUM(F336/C336*100)</f>
        <v>24.51761515151515</v>
      </c>
      <c r="H336" s="5">
        <v>32363252</v>
      </c>
      <c r="I336" s="145">
        <f t="shared" si="44"/>
        <v>24.51761515151515</v>
      </c>
      <c r="J336" s="37">
        <v>3</v>
      </c>
      <c r="K336" s="37">
        <f aca="true" t="shared" si="45" ref="K336:K345">I336</f>
        <v>24.51761515151515</v>
      </c>
      <c r="L336" s="37">
        <f aca="true" t="shared" si="46" ref="L336:L345">C336-H336</f>
        <v>99636748</v>
      </c>
      <c r="M336" s="63"/>
    </row>
    <row r="337" spans="1:13" ht="12.75">
      <c r="A337" s="66">
        <v>3</v>
      </c>
      <c r="B337" s="47" t="s">
        <v>19</v>
      </c>
      <c r="C337" s="5">
        <v>165000000</v>
      </c>
      <c r="D337" s="63"/>
      <c r="E337" s="63"/>
      <c r="F337" s="5">
        <v>34875000</v>
      </c>
      <c r="G337" s="37">
        <f aca="true" t="shared" si="47" ref="G337:G345">SUM(F337/C337*100)</f>
        <v>21.136363636363637</v>
      </c>
      <c r="H337" s="5">
        <v>34875000</v>
      </c>
      <c r="I337" s="145">
        <f t="shared" si="44"/>
        <v>21.136363636363637</v>
      </c>
      <c r="J337" s="37">
        <v>3</v>
      </c>
      <c r="K337" s="37">
        <f t="shared" si="45"/>
        <v>21.136363636363637</v>
      </c>
      <c r="L337" s="37">
        <f t="shared" si="46"/>
        <v>130125000</v>
      </c>
      <c r="M337" s="63"/>
    </row>
    <row r="338" spans="1:13" ht="12.75">
      <c r="A338" s="66">
        <v>4</v>
      </c>
      <c r="B338" s="47" t="s">
        <v>20</v>
      </c>
      <c r="C338" s="5">
        <v>23000000</v>
      </c>
      <c r="D338" s="63"/>
      <c r="E338" s="63"/>
      <c r="F338" s="5">
        <v>7365000</v>
      </c>
      <c r="G338" s="37">
        <f t="shared" si="47"/>
        <v>32.02173913043478</v>
      </c>
      <c r="H338" s="5">
        <v>7365000</v>
      </c>
      <c r="I338" s="145">
        <f t="shared" si="44"/>
        <v>32.02173913043478</v>
      </c>
      <c r="J338" s="37">
        <v>3</v>
      </c>
      <c r="K338" s="37">
        <f t="shared" si="45"/>
        <v>32.02173913043478</v>
      </c>
      <c r="L338" s="37">
        <f t="shared" si="46"/>
        <v>15635000</v>
      </c>
      <c r="M338" s="63"/>
    </row>
    <row r="339" spans="1:13" ht="12.75">
      <c r="A339" s="66">
        <v>5</v>
      </c>
      <c r="B339" s="47" t="s">
        <v>21</v>
      </c>
      <c r="C339" s="5">
        <v>64000000</v>
      </c>
      <c r="D339" s="63"/>
      <c r="E339" s="63"/>
      <c r="F339" s="5">
        <v>19553400</v>
      </c>
      <c r="G339" s="37">
        <f t="shared" si="47"/>
        <v>30.5521875</v>
      </c>
      <c r="H339" s="5">
        <v>19553400</v>
      </c>
      <c r="I339" s="145">
        <f t="shared" si="44"/>
        <v>30.5521875</v>
      </c>
      <c r="J339" s="37">
        <v>3</v>
      </c>
      <c r="K339" s="37">
        <f t="shared" si="45"/>
        <v>30.5521875</v>
      </c>
      <c r="L339" s="37">
        <f t="shared" si="46"/>
        <v>44446600</v>
      </c>
      <c r="M339" s="63"/>
    </row>
    <row r="340" spans="1:13" ht="12.75">
      <c r="A340" s="66">
        <v>6</v>
      </c>
      <c r="B340" s="47" t="s">
        <v>22</v>
      </c>
      <c r="C340" s="5">
        <v>10045000</v>
      </c>
      <c r="D340" s="63"/>
      <c r="E340" s="63"/>
      <c r="F340" s="5">
        <v>562607</v>
      </c>
      <c r="G340" s="37">
        <f t="shared" si="47"/>
        <v>5.600866102538577</v>
      </c>
      <c r="H340" s="5">
        <v>562607</v>
      </c>
      <c r="I340" s="145">
        <f t="shared" si="44"/>
        <v>5.600866102538577</v>
      </c>
      <c r="J340" s="37">
        <v>3</v>
      </c>
      <c r="K340" s="37">
        <f t="shared" si="45"/>
        <v>5.600866102538577</v>
      </c>
      <c r="L340" s="37">
        <f t="shared" si="46"/>
        <v>9482393</v>
      </c>
      <c r="M340" s="63"/>
    </row>
    <row r="341" spans="1:13" ht="12.75">
      <c r="A341" s="66">
        <v>7</v>
      </c>
      <c r="B341" s="47" t="s">
        <v>23</v>
      </c>
      <c r="C341" s="5">
        <v>157000</v>
      </c>
      <c r="D341" s="63"/>
      <c r="E341" s="63"/>
      <c r="F341" s="5">
        <v>5182</v>
      </c>
      <c r="G341" s="37">
        <f t="shared" si="47"/>
        <v>3.300636942675159</v>
      </c>
      <c r="H341" s="5">
        <v>5182</v>
      </c>
      <c r="I341" s="145">
        <f t="shared" si="44"/>
        <v>3.300636942675159</v>
      </c>
      <c r="J341" s="37">
        <v>3</v>
      </c>
      <c r="K341" s="149">
        <f t="shared" si="45"/>
        <v>3.300636942675159</v>
      </c>
      <c r="L341" s="37">
        <f t="shared" si="46"/>
        <v>151818</v>
      </c>
      <c r="M341" s="63"/>
    </row>
    <row r="342" spans="1:13" ht="12.75">
      <c r="A342" s="66">
        <v>8</v>
      </c>
      <c r="B342" s="47" t="s">
        <v>24</v>
      </c>
      <c r="C342" s="5">
        <v>35000000</v>
      </c>
      <c r="D342" s="63"/>
      <c r="E342" s="63"/>
      <c r="F342" s="5">
        <v>9729821</v>
      </c>
      <c r="G342" s="37">
        <f t="shared" si="47"/>
        <v>27.799488571428572</v>
      </c>
      <c r="H342" s="5">
        <v>9729821</v>
      </c>
      <c r="I342" s="36">
        <f>SUM(H343/C342*100)</f>
        <v>2.002017142857143</v>
      </c>
      <c r="J342" s="37">
        <v>3</v>
      </c>
      <c r="K342" s="37">
        <f t="shared" si="45"/>
        <v>2.002017142857143</v>
      </c>
      <c r="L342" s="37">
        <f t="shared" si="46"/>
        <v>25270179</v>
      </c>
      <c r="M342" s="63"/>
    </row>
    <row r="343" spans="1:13" ht="12.75">
      <c r="A343" s="66">
        <v>9</v>
      </c>
      <c r="B343" s="47" t="s">
        <v>25</v>
      </c>
      <c r="C343" s="5">
        <v>4305000</v>
      </c>
      <c r="D343" s="63"/>
      <c r="E343" s="63"/>
      <c r="F343" s="5">
        <v>700706</v>
      </c>
      <c r="G343" s="37">
        <f t="shared" si="47"/>
        <v>16.27656213704994</v>
      </c>
      <c r="H343" s="5">
        <v>700706</v>
      </c>
      <c r="I343" s="36">
        <f>SUM(H343/C343*100)</f>
        <v>16.27656213704994</v>
      </c>
      <c r="J343" s="37">
        <v>3</v>
      </c>
      <c r="K343" s="37">
        <f t="shared" si="45"/>
        <v>16.27656213704994</v>
      </c>
      <c r="L343" s="37">
        <f t="shared" si="46"/>
        <v>3604294</v>
      </c>
      <c r="M343" s="63"/>
    </row>
    <row r="344" spans="1:13" ht="12.75">
      <c r="A344" s="66">
        <v>10</v>
      </c>
      <c r="B344" s="47" t="s">
        <v>26</v>
      </c>
      <c r="C344" s="5">
        <v>5885000</v>
      </c>
      <c r="D344" s="63"/>
      <c r="E344" s="63"/>
      <c r="F344" s="5">
        <v>2102136</v>
      </c>
      <c r="G344" s="37">
        <f t="shared" si="47"/>
        <v>35.72023789294818</v>
      </c>
      <c r="H344" s="5">
        <v>2102136</v>
      </c>
      <c r="I344" s="36">
        <f>SUM(H344/C344*100)</f>
        <v>35.72023789294818</v>
      </c>
      <c r="J344" s="37">
        <v>3</v>
      </c>
      <c r="K344" s="37">
        <f t="shared" si="45"/>
        <v>35.72023789294818</v>
      </c>
      <c r="L344" s="37">
        <f t="shared" si="46"/>
        <v>3782864</v>
      </c>
      <c r="M344" s="63"/>
    </row>
    <row r="345" spans="1:13" ht="12.75">
      <c r="A345" s="66">
        <v>11</v>
      </c>
      <c r="B345" s="47" t="s">
        <v>27</v>
      </c>
      <c r="C345" s="5">
        <v>672000000</v>
      </c>
      <c r="D345" s="63"/>
      <c r="E345" s="63"/>
      <c r="F345" s="5"/>
      <c r="G345" s="37">
        <f t="shared" si="47"/>
        <v>0</v>
      </c>
      <c r="H345" s="5">
        <v>0</v>
      </c>
      <c r="I345" s="36">
        <f>SUM(H345/C345*100)</f>
        <v>0</v>
      </c>
      <c r="J345" s="37">
        <v>3</v>
      </c>
      <c r="K345" s="37">
        <f t="shared" si="45"/>
        <v>0</v>
      </c>
      <c r="L345" s="37">
        <f t="shared" si="46"/>
        <v>672000000</v>
      </c>
      <c r="M345" s="63"/>
    </row>
    <row r="346" spans="1:13" ht="12.75">
      <c r="A346" s="66"/>
      <c r="B346" s="47"/>
      <c r="C346" s="5"/>
      <c r="D346" s="63"/>
      <c r="E346" s="63"/>
      <c r="F346" s="5"/>
      <c r="G346" s="37"/>
      <c r="H346" s="5"/>
      <c r="I346" s="36"/>
      <c r="J346" s="37"/>
      <c r="K346" s="37"/>
      <c r="L346" s="37"/>
      <c r="M346" s="63"/>
    </row>
    <row r="347" spans="1:13" ht="12.75">
      <c r="A347" s="61" t="s">
        <v>28</v>
      </c>
      <c r="B347" s="62" t="s">
        <v>29</v>
      </c>
      <c r="C347" s="67">
        <f>C348+C361+C369+C377+C382+C396+C401+C405</f>
        <v>9196607500</v>
      </c>
      <c r="D347" s="67">
        <f>D348+D361+D369+D377+D382+D396+D401+D405</f>
        <v>0</v>
      </c>
      <c r="E347" s="63"/>
      <c r="F347" s="67">
        <f>F348+F361+F369+F377+F382+F396+F401+F405</f>
        <v>907277525</v>
      </c>
      <c r="G347" s="6">
        <f aca="true" t="shared" si="48" ref="G347:G359">SUM(F347/C347*100)</f>
        <v>9.865350076101432</v>
      </c>
      <c r="H347" s="67">
        <f>H348+H361+H369+H377+H382+H396+H401+H405</f>
        <v>907277525</v>
      </c>
      <c r="I347" s="8">
        <f>SUM(H347/C347*100)</f>
        <v>9.865350076101432</v>
      </c>
      <c r="J347" s="6">
        <f>(J348+J361+J369+J377+J382+J396+J401+J405)/8</f>
        <v>16.34375</v>
      </c>
      <c r="K347" s="6">
        <f>(K348+K361+K369+K377+K382+K396+K401+K405)/8</f>
        <v>19.3436001856625</v>
      </c>
      <c r="L347" s="67">
        <f>L348+L361+L369+L377+L382+L396+L401+L405</f>
        <v>8289329975</v>
      </c>
      <c r="M347" s="63"/>
    </row>
    <row r="348" spans="1:13" ht="12.75">
      <c r="A348" s="68">
        <v>1</v>
      </c>
      <c r="B348" s="69" t="s">
        <v>30</v>
      </c>
      <c r="C348" s="67">
        <f>SUM(C349:C359)</f>
        <v>1362525500</v>
      </c>
      <c r="D348" s="67">
        <f>SUM(D349:D359)</f>
        <v>0</v>
      </c>
      <c r="E348" s="70"/>
      <c r="F348" s="6">
        <f>SUM(F349:F359)</f>
        <v>262224146</v>
      </c>
      <c r="G348" s="6">
        <f t="shared" si="48"/>
        <v>19.245448690685055</v>
      </c>
      <c r="H348" s="6">
        <f>SUM(H349:H359)</f>
        <v>262224146</v>
      </c>
      <c r="I348" s="8">
        <f aca="true" t="shared" si="49" ref="I348:I359">SUM(H348/C348*100)</f>
        <v>19.245448690685055</v>
      </c>
      <c r="J348" s="64">
        <v>3</v>
      </c>
      <c r="K348" s="64">
        <f>(K349+K350+K351+K352+K353+K354+K355+K356+K357+K358+K359)/11</f>
        <v>32.5996712544132</v>
      </c>
      <c r="L348" s="6">
        <f>SUM(L349:L359)</f>
        <v>1100301354</v>
      </c>
      <c r="M348" s="56"/>
    </row>
    <row r="349" spans="1:13" ht="12.75">
      <c r="A349" s="55">
        <v>1</v>
      </c>
      <c r="B349" s="55" t="s">
        <v>31</v>
      </c>
      <c r="C349" s="71">
        <v>6310000</v>
      </c>
      <c r="D349" s="72" t="s">
        <v>32</v>
      </c>
      <c r="E349" s="72" t="s">
        <v>32</v>
      </c>
      <c r="F349" s="71">
        <v>1800000</v>
      </c>
      <c r="G349" s="37">
        <f t="shared" si="48"/>
        <v>28.526148969889064</v>
      </c>
      <c r="H349" s="71">
        <v>1800000</v>
      </c>
      <c r="I349" s="36">
        <f t="shared" si="49"/>
        <v>28.526148969889064</v>
      </c>
      <c r="J349" s="37">
        <v>3</v>
      </c>
      <c r="K349" s="37">
        <f aca="true" t="shared" si="50" ref="K349:K364">I349</f>
        <v>28.526148969889064</v>
      </c>
      <c r="L349" s="37">
        <f>C349-H349</f>
        <v>4510000</v>
      </c>
      <c r="M349" s="37"/>
    </row>
    <row r="350" spans="1:13" ht="12.75">
      <c r="A350" s="55">
        <v>2</v>
      </c>
      <c r="B350" s="73" t="s">
        <v>76</v>
      </c>
      <c r="C350" s="71">
        <v>60000000</v>
      </c>
      <c r="D350" s="37"/>
      <c r="E350" s="37"/>
      <c r="F350" s="7">
        <v>14934979</v>
      </c>
      <c r="G350" s="37">
        <f t="shared" si="48"/>
        <v>24.891631666666665</v>
      </c>
      <c r="H350" s="7">
        <v>14934979</v>
      </c>
      <c r="I350" s="36">
        <f t="shared" si="49"/>
        <v>24.891631666666665</v>
      </c>
      <c r="J350" s="37">
        <v>4</v>
      </c>
      <c r="K350" s="37">
        <f t="shared" si="50"/>
        <v>24.891631666666665</v>
      </c>
      <c r="L350" s="37">
        <f aca="true" t="shared" si="51" ref="L350:L370">C350-H350</f>
        <v>45065021</v>
      </c>
      <c r="M350" s="37"/>
    </row>
    <row r="351" spans="1:13" ht="12.75">
      <c r="A351" s="55">
        <v>3</v>
      </c>
      <c r="B351" s="55" t="s">
        <v>33</v>
      </c>
      <c r="C351" s="71">
        <v>31435000</v>
      </c>
      <c r="D351" s="37">
        <v>0</v>
      </c>
      <c r="E351" s="37">
        <v>0</v>
      </c>
      <c r="F351" s="7">
        <v>7409400</v>
      </c>
      <c r="G351" s="37">
        <f t="shared" si="48"/>
        <v>23.570542389056783</v>
      </c>
      <c r="H351" s="7">
        <v>7409400</v>
      </c>
      <c r="I351" s="36">
        <f t="shared" si="49"/>
        <v>23.570542389056783</v>
      </c>
      <c r="J351" s="37">
        <v>3</v>
      </c>
      <c r="K351" s="37">
        <f t="shared" si="50"/>
        <v>23.570542389056783</v>
      </c>
      <c r="L351" s="37">
        <f t="shared" si="51"/>
        <v>24025600</v>
      </c>
      <c r="M351" s="37"/>
    </row>
    <row r="352" spans="1:13" ht="12.75">
      <c r="A352" s="55">
        <v>4</v>
      </c>
      <c r="B352" s="73" t="s">
        <v>34</v>
      </c>
      <c r="C352" s="71">
        <v>55000000</v>
      </c>
      <c r="D352" s="37">
        <v>0</v>
      </c>
      <c r="E352" s="37">
        <v>0</v>
      </c>
      <c r="F352" s="7">
        <v>18305000</v>
      </c>
      <c r="G352" s="37">
        <f t="shared" si="48"/>
        <v>33.28181818181818</v>
      </c>
      <c r="H352" s="7">
        <v>18305000</v>
      </c>
      <c r="I352" s="36">
        <f t="shared" si="49"/>
        <v>33.28181818181818</v>
      </c>
      <c r="J352" s="37">
        <v>4</v>
      </c>
      <c r="K352" s="37">
        <f t="shared" si="50"/>
        <v>33.28181818181818</v>
      </c>
      <c r="L352" s="37">
        <f t="shared" si="51"/>
        <v>36695000</v>
      </c>
      <c r="M352" s="37"/>
    </row>
    <row r="353" spans="1:13" ht="12.75">
      <c r="A353" s="55">
        <v>5</v>
      </c>
      <c r="B353" s="73" t="s">
        <v>35</v>
      </c>
      <c r="C353" s="71">
        <v>26676500</v>
      </c>
      <c r="D353" s="37">
        <v>0</v>
      </c>
      <c r="E353" s="37">
        <v>0</v>
      </c>
      <c r="F353" s="7">
        <v>7118000</v>
      </c>
      <c r="G353" s="37">
        <f t="shared" si="48"/>
        <v>26.682660768841487</v>
      </c>
      <c r="H353" s="7">
        <v>7118000</v>
      </c>
      <c r="I353" s="36">
        <f t="shared" si="49"/>
        <v>26.682660768841487</v>
      </c>
      <c r="J353" s="37">
        <v>3</v>
      </c>
      <c r="K353" s="37">
        <f t="shared" si="50"/>
        <v>26.682660768841487</v>
      </c>
      <c r="L353" s="37">
        <f t="shared" si="51"/>
        <v>19558500</v>
      </c>
      <c r="M353" s="37"/>
    </row>
    <row r="354" spans="1:13" ht="12.75">
      <c r="A354" s="55">
        <v>6</v>
      </c>
      <c r="B354" s="73" t="s">
        <v>36</v>
      </c>
      <c r="C354" s="71">
        <v>4000000</v>
      </c>
      <c r="D354" s="37">
        <v>0</v>
      </c>
      <c r="E354" s="37">
        <v>0</v>
      </c>
      <c r="F354" s="7">
        <v>1995200</v>
      </c>
      <c r="G354" s="37">
        <f t="shared" si="48"/>
        <v>49.88</v>
      </c>
      <c r="H354" s="7">
        <v>1995200</v>
      </c>
      <c r="I354" s="36">
        <f t="shared" si="49"/>
        <v>49.88</v>
      </c>
      <c r="J354" s="37">
        <v>5</v>
      </c>
      <c r="K354" s="37">
        <f t="shared" si="50"/>
        <v>49.88</v>
      </c>
      <c r="L354" s="37">
        <f t="shared" si="51"/>
        <v>2004800</v>
      </c>
      <c r="M354" s="37"/>
    </row>
    <row r="355" spans="1:13" ht="12.75">
      <c r="A355" s="55">
        <v>7</v>
      </c>
      <c r="B355" s="73" t="s">
        <v>37</v>
      </c>
      <c r="C355" s="71">
        <v>13076000</v>
      </c>
      <c r="D355" s="37">
        <v>0</v>
      </c>
      <c r="E355" s="37">
        <v>0</v>
      </c>
      <c r="F355" s="7">
        <v>8761950</v>
      </c>
      <c r="G355" s="37">
        <f t="shared" si="48"/>
        <v>67.00787702661364</v>
      </c>
      <c r="H355" s="7">
        <v>8761950</v>
      </c>
      <c r="I355" s="36">
        <f t="shared" si="49"/>
        <v>67.00787702661364</v>
      </c>
      <c r="J355" s="37">
        <v>7</v>
      </c>
      <c r="K355" s="37">
        <f t="shared" si="50"/>
        <v>67.00787702661364</v>
      </c>
      <c r="L355" s="37">
        <f t="shared" si="51"/>
        <v>4314050</v>
      </c>
      <c r="M355" s="37"/>
    </row>
    <row r="356" spans="1:13" ht="12.75">
      <c r="A356" s="55">
        <v>8</v>
      </c>
      <c r="B356" s="73" t="s">
        <v>38</v>
      </c>
      <c r="C356" s="71">
        <v>7500000</v>
      </c>
      <c r="D356" s="37">
        <v>0</v>
      </c>
      <c r="E356" s="37">
        <v>0</v>
      </c>
      <c r="F356" s="7">
        <v>2180000</v>
      </c>
      <c r="G356" s="37">
        <f t="shared" si="48"/>
        <v>29.06666666666667</v>
      </c>
      <c r="H356" s="7">
        <v>2180000</v>
      </c>
      <c r="I356" s="36">
        <f t="shared" si="49"/>
        <v>29.06666666666667</v>
      </c>
      <c r="J356" s="37">
        <v>4</v>
      </c>
      <c r="K356" s="37">
        <f t="shared" si="50"/>
        <v>29.06666666666667</v>
      </c>
      <c r="L356" s="37">
        <f t="shared" si="51"/>
        <v>5320000</v>
      </c>
      <c r="M356" s="37"/>
    </row>
    <row r="357" spans="1:13" ht="12.75">
      <c r="A357" s="55">
        <v>9</v>
      </c>
      <c r="B357" s="73" t="s">
        <v>39</v>
      </c>
      <c r="C357" s="71">
        <v>30000000</v>
      </c>
      <c r="D357" s="37">
        <v>0</v>
      </c>
      <c r="E357" s="37">
        <v>0</v>
      </c>
      <c r="F357" s="7">
        <v>10515700</v>
      </c>
      <c r="G357" s="37">
        <f t="shared" si="48"/>
        <v>35.05233333333334</v>
      </c>
      <c r="H357" s="7">
        <v>10515700</v>
      </c>
      <c r="I357" s="36">
        <f t="shared" si="49"/>
        <v>35.05233333333334</v>
      </c>
      <c r="J357" s="37">
        <v>4</v>
      </c>
      <c r="K357" s="37">
        <f t="shared" si="50"/>
        <v>35.05233333333334</v>
      </c>
      <c r="L357" s="37">
        <f t="shared" si="51"/>
        <v>19484300</v>
      </c>
      <c r="M357" s="37"/>
    </row>
    <row r="358" spans="1:13" ht="12.75">
      <c r="A358" s="55">
        <v>10</v>
      </c>
      <c r="B358" s="73" t="s">
        <v>40</v>
      </c>
      <c r="C358" s="71">
        <v>200000000</v>
      </c>
      <c r="D358" s="37">
        <v>0</v>
      </c>
      <c r="E358" s="37">
        <v>0</v>
      </c>
      <c r="F358" s="7">
        <v>51643661</v>
      </c>
      <c r="G358" s="37">
        <f t="shared" si="48"/>
        <v>25.821830499999997</v>
      </c>
      <c r="H358" s="7">
        <v>51643661</v>
      </c>
      <c r="I358" s="36">
        <f t="shared" si="49"/>
        <v>25.821830499999997</v>
      </c>
      <c r="J358" s="37">
        <v>4</v>
      </c>
      <c r="K358" s="37">
        <f t="shared" si="50"/>
        <v>25.821830499999997</v>
      </c>
      <c r="L358" s="37">
        <f t="shared" si="51"/>
        <v>148356339</v>
      </c>
      <c r="M358" s="37"/>
    </row>
    <row r="359" spans="1:13" ht="12.75">
      <c r="A359" s="55">
        <v>11</v>
      </c>
      <c r="B359" s="73" t="s">
        <v>41</v>
      </c>
      <c r="C359" s="71">
        <v>928528000</v>
      </c>
      <c r="D359" s="37">
        <v>0</v>
      </c>
      <c r="E359" s="37">
        <v>0</v>
      </c>
      <c r="F359" s="7">
        <v>137560256</v>
      </c>
      <c r="G359" s="37">
        <f t="shared" si="48"/>
        <v>14.814874295659367</v>
      </c>
      <c r="H359" s="7">
        <v>137560256</v>
      </c>
      <c r="I359" s="36">
        <f t="shared" si="49"/>
        <v>14.814874295659367</v>
      </c>
      <c r="J359" s="37">
        <v>3</v>
      </c>
      <c r="K359" s="37">
        <f t="shared" si="50"/>
        <v>14.814874295659367</v>
      </c>
      <c r="L359" s="37">
        <f t="shared" si="51"/>
        <v>790967744</v>
      </c>
      <c r="M359" s="37"/>
    </row>
    <row r="360" spans="1:13" ht="12.75">
      <c r="A360" s="74"/>
      <c r="B360" s="75"/>
      <c r="C360" s="71"/>
      <c r="D360" s="37"/>
      <c r="E360" s="37"/>
      <c r="F360" s="7"/>
      <c r="G360" s="37"/>
      <c r="H360" s="7"/>
      <c r="I360" s="36"/>
      <c r="J360" s="37"/>
      <c r="K360" s="37">
        <f t="shared" si="50"/>
        <v>0</v>
      </c>
      <c r="L360" s="37">
        <f t="shared" si="51"/>
        <v>0</v>
      </c>
      <c r="M360" s="37"/>
    </row>
    <row r="361" spans="1:13" ht="12.75">
      <c r="A361" s="62">
        <v>2</v>
      </c>
      <c r="B361" s="69" t="s">
        <v>42</v>
      </c>
      <c r="C361" s="39">
        <f>C362+C363+C364+C365+C366+C367</f>
        <v>761012000</v>
      </c>
      <c r="D361" s="39">
        <f>SUM(D362:D367)</f>
        <v>0</v>
      </c>
      <c r="E361" s="6"/>
      <c r="F361" s="39">
        <f>F362+F363+F364+F365+F366+F367</f>
        <v>287163579</v>
      </c>
      <c r="G361" s="6">
        <f aca="true" t="shared" si="52" ref="G361:G367">SUM(F361/C361*100)</f>
        <v>37.73443506804098</v>
      </c>
      <c r="H361" s="39">
        <f>H362+H363+H364+H365+H366+H367</f>
        <v>287163579</v>
      </c>
      <c r="I361" s="30">
        <f aca="true" t="shared" si="53" ref="I361:I367">SUM(H361/C361*100)</f>
        <v>37.73443506804098</v>
      </c>
      <c r="J361" s="147">
        <f>SUM(J362:J367)/6</f>
        <v>7.333333333333333</v>
      </c>
      <c r="K361" s="39">
        <f>(K362+K363+K364+K365+K366+K367)/6</f>
        <v>56.84795981904449</v>
      </c>
      <c r="L361" s="37">
        <f t="shared" si="51"/>
        <v>473848421</v>
      </c>
      <c r="M361" s="6"/>
    </row>
    <row r="362" spans="1:13" ht="12.75">
      <c r="A362" s="66">
        <v>1</v>
      </c>
      <c r="B362" s="73" t="s">
        <v>43</v>
      </c>
      <c r="C362" s="71">
        <v>85000000</v>
      </c>
      <c r="D362" s="37"/>
      <c r="E362" s="37"/>
      <c r="F362" s="71">
        <v>47359600</v>
      </c>
      <c r="G362" s="37">
        <f t="shared" si="52"/>
        <v>55.717176470588235</v>
      </c>
      <c r="H362" s="71">
        <v>47359600</v>
      </c>
      <c r="I362" s="36">
        <f t="shared" si="53"/>
        <v>55.717176470588235</v>
      </c>
      <c r="J362" s="37">
        <v>9</v>
      </c>
      <c r="K362" s="37">
        <f t="shared" si="50"/>
        <v>55.717176470588235</v>
      </c>
      <c r="L362" s="37">
        <f t="shared" si="51"/>
        <v>37640400</v>
      </c>
      <c r="M362" s="37"/>
    </row>
    <row r="363" spans="1:13" ht="12.75">
      <c r="A363" s="66">
        <v>2</v>
      </c>
      <c r="B363" s="73" t="s">
        <v>44</v>
      </c>
      <c r="C363" s="71">
        <v>45000000</v>
      </c>
      <c r="D363" s="37"/>
      <c r="E363" s="37"/>
      <c r="F363" s="71">
        <v>44536000</v>
      </c>
      <c r="G363" s="37">
        <f t="shared" si="52"/>
        <v>98.96888888888888</v>
      </c>
      <c r="H363" s="71">
        <v>44536000</v>
      </c>
      <c r="I363" s="36">
        <f t="shared" si="53"/>
        <v>98.96888888888888</v>
      </c>
      <c r="J363" s="37">
        <v>10</v>
      </c>
      <c r="K363" s="37">
        <f t="shared" si="50"/>
        <v>98.96888888888888</v>
      </c>
      <c r="L363" s="37">
        <f t="shared" si="51"/>
        <v>464000</v>
      </c>
      <c r="M363" s="37"/>
    </row>
    <row r="364" spans="1:13" ht="12.75">
      <c r="A364" s="66">
        <v>3</v>
      </c>
      <c r="B364" s="73" t="s">
        <v>45</v>
      </c>
      <c r="C364" s="71">
        <v>239382000</v>
      </c>
      <c r="D364" s="37"/>
      <c r="E364" s="37"/>
      <c r="F364" s="71">
        <v>72071800</v>
      </c>
      <c r="G364" s="37">
        <f t="shared" si="52"/>
        <v>30.107443333249783</v>
      </c>
      <c r="H364" s="71">
        <v>72071800</v>
      </c>
      <c r="I364" s="36">
        <f t="shared" si="53"/>
        <v>30.107443333249783</v>
      </c>
      <c r="J364" s="37">
        <v>7</v>
      </c>
      <c r="K364" s="37">
        <f t="shared" si="50"/>
        <v>30.107443333249783</v>
      </c>
      <c r="L364" s="37">
        <f t="shared" si="51"/>
        <v>167310200</v>
      </c>
      <c r="M364" s="37"/>
    </row>
    <row r="365" spans="1:13" ht="12.75">
      <c r="A365" s="66">
        <v>4</v>
      </c>
      <c r="B365" s="73" t="s">
        <v>46</v>
      </c>
      <c r="C365" s="71">
        <v>370980000</v>
      </c>
      <c r="D365" s="37"/>
      <c r="E365" s="37"/>
      <c r="F365" s="7">
        <v>112196379</v>
      </c>
      <c r="G365" s="37">
        <f t="shared" si="52"/>
        <v>30.24324195374414</v>
      </c>
      <c r="H365" s="7">
        <v>112196379</v>
      </c>
      <c r="I365" s="36">
        <f t="shared" si="53"/>
        <v>30.24324195374414</v>
      </c>
      <c r="J365" s="37">
        <v>3</v>
      </c>
      <c r="K365" s="37">
        <f>I365</f>
        <v>30.24324195374414</v>
      </c>
      <c r="L365" s="37">
        <f t="shared" si="51"/>
        <v>258783621</v>
      </c>
      <c r="M365" s="37"/>
    </row>
    <row r="366" spans="1:13" ht="12.75">
      <c r="A366" s="66">
        <v>5</v>
      </c>
      <c r="B366" s="73" t="s">
        <v>47</v>
      </c>
      <c r="C366" s="71">
        <v>13050000</v>
      </c>
      <c r="D366" s="37">
        <v>0</v>
      </c>
      <c r="E366" s="37">
        <v>0</v>
      </c>
      <c r="F366" s="7">
        <v>3400000</v>
      </c>
      <c r="G366" s="37">
        <f t="shared" si="52"/>
        <v>26.053639846743295</v>
      </c>
      <c r="H366" s="7">
        <v>3400000</v>
      </c>
      <c r="I366" s="36">
        <f t="shared" si="53"/>
        <v>26.053639846743295</v>
      </c>
      <c r="J366" s="37">
        <v>5</v>
      </c>
      <c r="K366" s="37">
        <f>I366</f>
        <v>26.053639846743295</v>
      </c>
      <c r="L366" s="37">
        <f t="shared" si="51"/>
        <v>9650000</v>
      </c>
      <c r="M366" s="37"/>
    </row>
    <row r="367" spans="1:13" ht="12.75">
      <c r="A367" s="66">
        <v>6</v>
      </c>
      <c r="B367" s="73" t="s">
        <v>48</v>
      </c>
      <c r="C367" s="71">
        <v>7600000</v>
      </c>
      <c r="D367" s="37"/>
      <c r="E367" s="37"/>
      <c r="F367" s="71">
        <v>7599800</v>
      </c>
      <c r="G367" s="37">
        <f t="shared" si="52"/>
        <v>99.99736842105264</v>
      </c>
      <c r="H367" s="71">
        <v>7599800</v>
      </c>
      <c r="I367" s="36">
        <f t="shared" si="53"/>
        <v>99.99736842105264</v>
      </c>
      <c r="J367" s="37">
        <v>10</v>
      </c>
      <c r="K367" s="37">
        <f>I367</f>
        <v>99.99736842105264</v>
      </c>
      <c r="L367" s="37">
        <f t="shared" si="51"/>
        <v>200</v>
      </c>
      <c r="M367" s="37"/>
    </row>
    <row r="368" spans="1:13" ht="12.75">
      <c r="A368" s="66"/>
      <c r="B368" s="73"/>
      <c r="C368" s="71"/>
      <c r="D368" s="37"/>
      <c r="E368" s="37"/>
      <c r="F368" s="7"/>
      <c r="G368" s="37"/>
      <c r="H368" s="7"/>
      <c r="I368" s="36"/>
      <c r="J368" s="37"/>
      <c r="K368" s="37"/>
      <c r="L368" s="37">
        <f t="shared" si="51"/>
        <v>0</v>
      </c>
      <c r="M368" s="37"/>
    </row>
    <row r="369" spans="1:13" ht="12.75">
      <c r="A369" s="62">
        <v>3</v>
      </c>
      <c r="B369" s="69" t="s">
        <v>49</v>
      </c>
      <c r="C369" s="39">
        <f>C370</f>
        <v>74570000</v>
      </c>
      <c r="D369" s="39">
        <f>D370</f>
        <v>0</v>
      </c>
      <c r="E369" s="39">
        <f>E370</f>
        <v>0</v>
      </c>
      <c r="F369" s="8">
        <f>F370</f>
        <v>16000000</v>
      </c>
      <c r="G369" s="6">
        <f>SUM(F369/C369*100)</f>
        <v>21.456349738500737</v>
      </c>
      <c r="H369" s="8">
        <f>H370</f>
        <v>16000000</v>
      </c>
      <c r="I369" s="65">
        <f>SUM(H369/C369*100)</f>
        <v>21.456349738500737</v>
      </c>
      <c r="J369" s="64">
        <v>100</v>
      </c>
      <c r="K369" s="8">
        <f>K370/1</f>
        <v>21.456349738500737</v>
      </c>
      <c r="L369" s="37">
        <f t="shared" si="51"/>
        <v>58570000</v>
      </c>
      <c r="M369" s="6"/>
    </row>
    <row r="370" spans="1:13" ht="12.75">
      <c r="A370" s="55"/>
      <c r="B370" s="76" t="s">
        <v>50</v>
      </c>
      <c r="C370" s="9">
        <v>74570000</v>
      </c>
      <c r="D370" s="37">
        <v>0</v>
      </c>
      <c r="E370" s="37">
        <v>0</v>
      </c>
      <c r="F370" s="10">
        <v>16000000</v>
      </c>
      <c r="G370" s="37">
        <f>SUM(F370/C370*100)</f>
        <v>21.456349738500737</v>
      </c>
      <c r="H370" s="10">
        <v>16000000</v>
      </c>
      <c r="I370" s="36">
        <f>SUM(H370/C370*100)</f>
        <v>21.456349738500737</v>
      </c>
      <c r="J370" s="37">
        <v>100</v>
      </c>
      <c r="K370" s="37">
        <f>I370</f>
        <v>21.456349738500737</v>
      </c>
      <c r="L370" s="37">
        <f t="shared" si="51"/>
        <v>58570000</v>
      </c>
      <c r="M370" s="56"/>
    </row>
    <row r="371" spans="2:13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</row>
    <row r="372" spans="1:13" ht="12.75">
      <c r="A372" s="77"/>
      <c r="B372" s="12"/>
      <c r="C372" s="78"/>
      <c r="D372" s="79"/>
      <c r="E372" s="79"/>
      <c r="F372" s="13"/>
      <c r="G372" s="14"/>
      <c r="H372" s="13"/>
      <c r="I372" s="14"/>
      <c r="J372" s="80"/>
      <c r="K372" s="80"/>
      <c r="L372" s="80"/>
      <c r="M372" s="81"/>
    </row>
    <row r="373" spans="1:13" ht="12.75">
      <c r="A373" s="82"/>
      <c r="B373" s="15"/>
      <c r="C373" s="83"/>
      <c r="D373" s="84"/>
      <c r="E373" s="84"/>
      <c r="F373" s="16"/>
      <c r="G373" s="17"/>
      <c r="H373" s="16"/>
      <c r="I373" s="17"/>
      <c r="J373" s="85"/>
      <c r="K373" s="85"/>
      <c r="L373" s="85"/>
      <c r="M373" s="86"/>
    </row>
    <row r="374" spans="1:13" ht="12.75">
      <c r="A374" s="82"/>
      <c r="B374" s="15"/>
      <c r="C374" s="83"/>
      <c r="D374" s="84"/>
      <c r="E374" s="84"/>
      <c r="F374" s="16"/>
      <c r="G374" s="17"/>
      <c r="H374" s="16"/>
      <c r="I374" s="17"/>
      <c r="J374" s="85"/>
      <c r="K374" s="85"/>
      <c r="L374" s="85"/>
      <c r="M374" s="86"/>
    </row>
    <row r="375" spans="1:13" ht="12.75">
      <c r="A375" s="82"/>
      <c r="B375" s="15"/>
      <c r="C375" s="83"/>
      <c r="D375" s="84"/>
      <c r="E375" s="84"/>
      <c r="F375" s="16"/>
      <c r="G375" s="17"/>
      <c r="H375" s="16"/>
      <c r="I375" s="17"/>
      <c r="J375" s="85"/>
      <c r="K375" s="85"/>
      <c r="L375" s="85"/>
      <c r="M375" s="86"/>
    </row>
    <row r="376" spans="1:13" ht="12.75">
      <c r="A376" s="55"/>
      <c r="B376" s="21"/>
      <c r="C376" s="22"/>
      <c r="D376" s="32"/>
      <c r="E376" s="32"/>
      <c r="F376" s="23"/>
      <c r="G376" s="32"/>
      <c r="H376" s="23"/>
      <c r="I376" s="57"/>
      <c r="J376" s="56"/>
      <c r="K376" s="56"/>
      <c r="L376" s="95"/>
      <c r="M376" s="92"/>
    </row>
    <row r="377" spans="1:13" ht="12.75">
      <c r="A377" s="93">
        <v>4</v>
      </c>
      <c r="B377" s="24" t="s">
        <v>51</v>
      </c>
      <c r="C377" s="25">
        <f>C378+C379+C380</f>
        <v>4830000000</v>
      </c>
      <c r="D377" s="25">
        <f>D378+D379+D380</f>
        <v>0</v>
      </c>
      <c r="E377" s="25"/>
      <c r="F377" s="25">
        <f>F378+F379+F380</f>
        <v>130860500</v>
      </c>
      <c r="G377" s="6">
        <f>SUM(F377/C377*100)</f>
        <v>2.709327122153209</v>
      </c>
      <c r="H377" s="25">
        <f>H378+H379+H380</f>
        <v>130860500</v>
      </c>
      <c r="I377" s="8">
        <f>SUM(H377/C377*100)</f>
        <v>2.709327122153209</v>
      </c>
      <c r="J377" s="25">
        <f>(J378+J379+J380)/3</f>
        <v>1.3333333333333333</v>
      </c>
      <c r="K377" s="25">
        <f>(K378+K379+K380)/4</f>
        <v>4.33504465648855</v>
      </c>
      <c r="L377" s="154">
        <f>C377-H377</f>
        <v>4699139500</v>
      </c>
      <c r="M377" s="56"/>
    </row>
    <row r="378" spans="1:13" ht="12.75">
      <c r="A378" s="55">
        <v>1</v>
      </c>
      <c r="B378" s="21" t="s">
        <v>52</v>
      </c>
      <c r="C378" s="22">
        <v>3930000000</v>
      </c>
      <c r="D378" s="22"/>
      <c r="E378" s="22"/>
      <c r="F378" s="22">
        <v>1000000</v>
      </c>
      <c r="G378" s="32">
        <f>SUM(F378/C378*100)</f>
        <v>0.02544529262086514</v>
      </c>
      <c r="H378" s="22">
        <v>1000000</v>
      </c>
      <c r="I378" s="57">
        <f>SUM(H378/C378*100)</f>
        <v>0.02544529262086514</v>
      </c>
      <c r="J378" s="37">
        <v>1</v>
      </c>
      <c r="K378" s="32">
        <f>I378</f>
        <v>0.02544529262086514</v>
      </c>
      <c r="L378" s="154">
        <f aca="true" t="shared" si="54" ref="L378:L406">C378-H378</f>
        <v>3929000000</v>
      </c>
      <c r="M378" s="56"/>
    </row>
    <row r="379" spans="1:13" ht="12.75">
      <c r="A379" s="55">
        <v>2</v>
      </c>
      <c r="B379" s="21" t="s">
        <v>53</v>
      </c>
      <c r="C379" s="22">
        <v>750000000</v>
      </c>
      <c r="D379" s="32"/>
      <c r="E379" s="32"/>
      <c r="F379" s="26">
        <v>129860500</v>
      </c>
      <c r="G379" s="32">
        <f>SUM(F379/C379*100)</f>
        <v>17.314733333333333</v>
      </c>
      <c r="H379" s="26">
        <v>129860500</v>
      </c>
      <c r="I379" s="57">
        <f>SUM(H379/C379*100)</f>
        <v>17.314733333333333</v>
      </c>
      <c r="J379" s="32">
        <v>3</v>
      </c>
      <c r="K379" s="32">
        <f>I379</f>
        <v>17.314733333333333</v>
      </c>
      <c r="L379" s="154">
        <f t="shared" si="54"/>
        <v>620139500</v>
      </c>
      <c r="M379" s="37"/>
    </row>
    <row r="380" spans="1:13" ht="12.75">
      <c r="A380" s="55">
        <v>3</v>
      </c>
      <c r="B380" s="21" t="s">
        <v>54</v>
      </c>
      <c r="C380" s="22">
        <v>150000000</v>
      </c>
      <c r="D380" s="32"/>
      <c r="E380" s="32"/>
      <c r="F380" s="26"/>
      <c r="G380" s="32">
        <f>SUM(F380/C380*100)</f>
        <v>0</v>
      </c>
      <c r="H380" s="26"/>
      <c r="I380" s="57">
        <f>SUM(H380/C380*100)</f>
        <v>0</v>
      </c>
      <c r="J380" s="32">
        <v>0</v>
      </c>
      <c r="K380" s="32">
        <f>I380</f>
        <v>0</v>
      </c>
      <c r="L380" s="154">
        <f t="shared" si="54"/>
        <v>150000000</v>
      </c>
      <c r="M380" s="56"/>
    </row>
    <row r="381" spans="1:13" ht="12.75">
      <c r="A381" s="94"/>
      <c r="B381" s="27"/>
      <c r="C381" s="28"/>
      <c r="D381" s="33"/>
      <c r="E381" s="33"/>
      <c r="F381" s="29"/>
      <c r="G381" s="33"/>
      <c r="H381" s="29"/>
      <c r="I381" s="57"/>
      <c r="J381" s="95"/>
      <c r="K381" s="95"/>
      <c r="L381" s="154">
        <f t="shared" si="54"/>
        <v>0</v>
      </c>
      <c r="M381" s="95"/>
    </row>
    <row r="382" spans="1:13" ht="12.75">
      <c r="A382" s="96">
        <v>5</v>
      </c>
      <c r="B382" s="97" t="s">
        <v>56</v>
      </c>
      <c r="C382" s="48">
        <f>SUM(C383:C394)</f>
        <v>1208500000</v>
      </c>
      <c r="D382" s="48">
        <f>D383+D384+D385+D388+D389+D391+D392+D394</f>
        <v>0</v>
      </c>
      <c r="E382" s="48"/>
      <c r="F382" s="48">
        <f>H383+H384+H385+H386+H387+F388+F389+F391+F392+F393+F394</f>
        <v>100035300</v>
      </c>
      <c r="G382" s="31">
        <f>SUM(F382/C382*100)</f>
        <v>8.27764170459247</v>
      </c>
      <c r="H382" s="48">
        <f>SUM(H383:H394)</f>
        <v>100035300</v>
      </c>
      <c r="I382" s="30">
        <f>SUM(H382/C382*100)</f>
        <v>8.27764170459247</v>
      </c>
      <c r="J382" s="48">
        <f>SUM(J383+J384+J385+J386+J387+J388+J389+J391+J392+J393+J394)/12</f>
        <v>2.5833333333333335</v>
      </c>
      <c r="K382" s="48">
        <f>(K383+K384+K385+K386+K387+K388+K389+K391+K392+K393+K394)/11</f>
        <v>10.102393663911846</v>
      </c>
      <c r="L382" s="154">
        <f t="shared" si="54"/>
        <v>1108464700</v>
      </c>
      <c r="M382" s="95"/>
    </row>
    <row r="383" spans="1:13" ht="12.75">
      <c r="A383" s="55">
        <v>1</v>
      </c>
      <c r="B383" s="73" t="s">
        <v>57</v>
      </c>
      <c r="C383" s="71">
        <v>350000000</v>
      </c>
      <c r="D383" s="71"/>
      <c r="E383" s="32"/>
      <c r="F383" s="71">
        <v>47900300</v>
      </c>
      <c r="G383" s="32">
        <f>SUM(H383/C383*100)</f>
        <v>13.6858</v>
      </c>
      <c r="H383" s="71">
        <v>47900300</v>
      </c>
      <c r="I383" s="36">
        <f>SUM(H383/C383*100)</f>
        <v>13.6858</v>
      </c>
      <c r="J383" s="37">
        <v>3</v>
      </c>
      <c r="K383" s="33">
        <f aca="true" t="shared" si="55" ref="K383:K389">I383</f>
        <v>13.6858</v>
      </c>
      <c r="L383" s="154">
        <f>C383-H383</f>
        <v>302099700</v>
      </c>
      <c r="M383" s="56"/>
    </row>
    <row r="384" spans="1:13" ht="12.75">
      <c r="A384" s="55">
        <v>2</v>
      </c>
      <c r="B384" s="98" t="s">
        <v>58</v>
      </c>
      <c r="C384" s="71">
        <v>165000000</v>
      </c>
      <c r="D384" s="37"/>
      <c r="E384" s="32"/>
      <c r="F384" s="71">
        <v>19310000</v>
      </c>
      <c r="G384" s="32">
        <f>SUM(H384/C384*100)</f>
        <v>11.703030303030303</v>
      </c>
      <c r="H384" s="71">
        <v>19310000</v>
      </c>
      <c r="I384" s="36">
        <f aca="true" t="shared" si="56" ref="I384:I394">SUM(H384/C384*100)</f>
        <v>11.703030303030303</v>
      </c>
      <c r="J384" s="32">
        <v>2</v>
      </c>
      <c r="K384" s="33">
        <f t="shared" si="55"/>
        <v>11.703030303030303</v>
      </c>
      <c r="L384" s="154">
        <f aca="true" t="shared" si="57" ref="L384:L394">C384-H384</f>
        <v>145690000</v>
      </c>
      <c r="M384" s="56"/>
    </row>
    <row r="385" spans="1:13" ht="12.75">
      <c r="A385" s="55">
        <v>3</v>
      </c>
      <c r="B385" s="98" t="s">
        <v>59</v>
      </c>
      <c r="C385" s="71">
        <v>50000000</v>
      </c>
      <c r="D385" s="37"/>
      <c r="E385" s="32"/>
      <c r="F385" s="7">
        <v>11250000</v>
      </c>
      <c r="G385" s="32">
        <f>SUM(H385/C385*100)</f>
        <v>22.5</v>
      </c>
      <c r="H385" s="7">
        <v>11250000</v>
      </c>
      <c r="I385" s="36">
        <f t="shared" si="56"/>
        <v>22.5</v>
      </c>
      <c r="J385" s="32">
        <v>3</v>
      </c>
      <c r="K385" s="33">
        <f t="shared" si="55"/>
        <v>22.5</v>
      </c>
      <c r="L385" s="154">
        <f t="shared" si="57"/>
        <v>38750000</v>
      </c>
      <c r="M385" s="56"/>
    </row>
    <row r="386" spans="1:13" ht="12.75">
      <c r="A386" s="55">
        <v>4</v>
      </c>
      <c r="B386" s="73" t="s">
        <v>78</v>
      </c>
      <c r="C386" s="71">
        <v>80000000</v>
      </c>
      <c r="D386" s="37"/>
      <c r="E386" s="32"/>
      <c r="F386" s="7">
        <v>9950000</v>
      </c>
      <c r="G386" s="32">
        <f>SUM(H386/C386*100)</f>
        <v>12.4375</v>
      </c>
      <c r="H386" s="7">
        <v>9950000</v>
      </c>
      <c r="I386" s="36">
        <f t="shared" si="56"/>
        <v>12.4375</v>
      </c>
      <c r="J386" s="32">
        <v>3</v>
      </c>
      <c r="K386" s="33">
        <f t="shared" si="55"/>
        <v>12.4375</v>
      </c>
      <c r="L386" s="154">
        <f t="shared" si="57"/>
        <v>70050000</v>
      </c>
      <c r="M386" s="56"/>
    </row>
    <row r="387" spans="1:13" ht="12.75">
      <c r="A387" s="55">
        <v>5</v>
      </c>
      <c r="B387" s="73" t="s">
        <v>79</v>
      </c>
      <c r="C387" s="71">
        <v>50000000</v>
      </c>
      <c r="D387" s="37"/>
      <c r="E387" s="32"/>
      <c r="F387" s="7">
        <v>1650000</v>
      </c>
      <c r="G387" s="32">
        <f>SUM(H387/C387*100)</f>
        <v>3.3000000000000003</v>
      </c>
      <c r="H387" s="7">
        <v>1650000</v>
      </c>
      <c r="I387" s="36">
        <f t="shared" si="56"/>
        <v>3.3000000000000003</v>
      </c>
      <c r="J387" s="32">
        <v>2</v>
      </c>
      <c r="K387" s="33">
        <f t="shared" si="55"/>
        <v>3.3000000000000003</v>
      </c>
      <c r="L387" s="154">
        <f t="shared" si="57"/>
        <v>48350000</v>
      </c>
      <c r="M387" s="56"/>
    </row>
    <row r="388" spans="1:13" ht="12.75">
      <c r="A388" s="55">
        <v>6</v>
      </c>
      <c r="B388" s="73" t="s">
        <v>60</v>
      </c>
      <c r="C388" s="71">
        <v>50000000</v>
      </c>
      <c r="D388" s="37"/>
      <c r="E388" s="32"/>
      <c r="F388" s="7"/>
      <c r="G388" s="32">
        <f>SUM(F388/C388*100)</f>
        <v>0</v>
      </c>
      <c r="H388" s="7"/>
      <c r="I388" s="36">
        <f t="shared" si="56"/>
        <v>0</v>
      </c>
      <c r="J388" s="32">
        <v>0</v>
      </c>
      <c r="K388" s="33">
        <f t="shared" si="55"/>
        <v>0</v>
      </c>
      <c r="L388" s="154">
        <f t="shared" si="57"/>
        <v>50000000</v>
      </c>
      <c r="M388" s="56"/>
    </row>
    <row r="389" spans="1:13" ht="12.75">
      <c r="A389" s="76">
        <v>7</v>
      </c>
      <c r="B389" s="122" t="s">
        <v>61</v>
      </c>
      <c r="C389" s="123">
        <v>50000000</v>
      </c>
      <c r="D389" s="115"/>
      <c r="E389" s="109"/>
      <c r="F389" s="124"/>
      <c r="G389" s="109">
        <f>SUM(F389/C389*100)</f>
        <v>0</v>
      </c>
      <c r="H389" s="124"/>
      <c r="I389" s="36">
        <f t="shared" si="56"/>
        <v>0</v>
      </c>
      <c r="J389" s="109">
        <v>10</v>
      </c>
      <c r="K389" s="109">
        <f t="shared" si="55"/>
        <v>0</v>
      </c>
      <c r="L389" s="154">
        <f t="shared" si="57"/>
        <v>50000000</v>
      </c>
      <c r="M389" s="110"/>
    </row>
    <row r="390" spans="1:13" ht="12.75">
      <c r="A390" s="55">
        <v>8</v>
      </c>
      <c r="B390" s="122" t="s">
        <v>85</v>
      </c>
      <c r="C390" s="123">
        <v>156700000</v>
      </c>
      <c r="D390" s="115"/>
      <c r="E390" s="109"/>
      <c r="F390" s="124"/>
      <c r="G390" s="109"/>
      <c r="H390" s="124"/>
      <c r="I390" s="36">
        <f t="shared" si="56"/>
        <v>0</v>
      </c>
      <c r="J390" s="109">
        <v>0</v>
      </c>
      <c r="K390" s="109"/>
      <c r="L390" s="154">
        <f t="shared" si="57"/>
        <v>156700000</v>
      </c>
      <c r="M390" s="110"/>
    </row>
    <row r="391" spans="1:13" ht="25.5">
      <c r="A391" s="76">
        <v>9</v>
      </c>
      <c r="B391" s="73" t="s">
        <v>80</v>
      </c>
      <c r="C391" s="71">
        <v>140000000</v>
      </c>
      <c r="D391" s="37"/>
      <c r="E391" s="32"/>
      <c r="F391" s="71"/>
      <c r="G391" s="32">
        <f>SUM(F391/C391*100)</f>
        <v>0</v>
      </c>
      <c r="H391" s="71"/>
      <c r="I391" s="36">
        <f t="shared" si="56"/>
        <v>0</v>
      </c>
      <c r="J391" s="32">
        <v>0</v>
      </c>
      <c r="K391" s="32">
        <f>I391</f>
        <v>0</v>
      </c>
      <c r="L391" s="154">
        <f t="shared" si="57"/>
        <v>140000000</v>
      </c>
      <c r="M391" s="56"/>
    </row>
    <row r="392" spans="1:13" ht="12.75">
      <c r="A392" s="55">
        <v>10</v>
      </c>
      <c r="B392" s="73" t="s">
        <v>62</v>
      </c>
      <c r="C392" s="71">
        <v>68300000</v>
      </c>
      <c r="D392" s="71"/>
      <c r="E392" s="32"/>
      <c r="F392" s="7"/>
      <c r="G392" s="32">
        <f>SUM(F392/C392*100)</f>
        <v>0</v>
      </c>
      <c r="H392" s="7"/>
      <c r="I392" s="36">
        <f t="shared" si="56"/>
        <v>0</v>
      </c>
      <c r="J392" s="32">
        <v>0</v>
      </c>
      <c r="K392" s="49">
        <f>I392</f>
        <v>0</v>
      </c>
      <c r="L392" s="154">
        <f t="shared" si="57"/>
        <v>68300000</v>
      </c>
      <c r="M392" s="56"/>
    </row>
    <row r="393" spans="1:13" ht="12.75">
      <c r="A393" s="76">
        <v>11</v>
      </c>
      <c r="B393" s="73" t="s">
        <v>81</v>
      </c>
      <c r="C393" s="38">
        <v>27500000</v>
      </c>
      <c r="D393" s="71"/>
      <c r="E393" s="32"/>
      <c r="F393" s="7">
        <v>0</v>
      </c>
      <c r="G393" s="32">
        <v>0</v>
      </c>
      <c r="H393" s="7">
        <v>0</v>
      </c>
      <c r="I393" s="36">
        <f t="shared" si="56"/>
        <v>0</v>
      </c>
      <c r="J393" s="32">
        <v>3</v>
      </c>
      <c r="K393" s="32">
        <f>I393</f>
        <v>0</v>
      </c>
      <c r="L393" s="154">
        <f t="shared" si="57"/>
        <v>27500000</v>
      </c>
      <c r="M393" s="56"/>
    </row>
    <row r="394" spans="1:13" ht="12.75">
      <c r="A394" s="55">
        <v>12</v>
      </c>
      <c r="B394" s="73" t="s">
        <v>55</v>
      </c>
      <c r="C394" s="38">
        <v>21000000</v>
      </c>
      <c r="D394" s="71"/>
      <c r="E394" s="32"/>
      <c r="F394" s="7">
        <v>9975000</v>
      </c>
      <c r="G394" s="32">
        <v>0</v>
      </c>
      <c r="H394" s="7">
        <v>9975000</v>
      </c>
      <c r="I394" s="36">
        <f t="shared" si="56"/>
        <v>47.5</v>
      </c>
      <c r="J394" s="32">
        <v>5</v>
      </c>
      <c r="K394" s="32">
        <f>I394</f>
        <v>47.5</v>
      </c>
      <c r="L394" s="154">
        <f t="shared" si="57"/>
        <v>11025000</v>
      </c>
      <c r="M394" s="56"/>
    </row>
    <row r="395" spans="1:13" ht="12.75">
      <c r="A395" s="100"/>
      <c r="B395" s="125"/>
      <c r="C395" s="22"/>
      <c r="D395" s="32"/>
      <c r="E395" s="32"/>
      <c r="F395" s="23"/>
      <c r="G395" s="34"/>
      <c r="H395" s="23"/>
      <c r="I395" s="34"/>
      <c r="J395" s="8"/>
      <c r="K395" s="8"/>
      <c r="L395" s="154">
        <f t="shared" si="54"/>
        <v>0</v>
      </c>
      <c r="M395" s="56"/>
    </row>
    <row r="396" spans="1:13" ht="12.75">
      <c r="A396" s="111">
        <v>6</v>
      </c>
      <c r="B396" s="97" t="s">
        <v>63</v>
      </c>
      <c r="C396" s="48">
        <f>C397+C398+C399</f>
        <v>340000000</v>
      </c>
      <c r="D396" s="48">
        <f>D397+D398+D399</f>
        <v>0</v>
      </c>
      <c r="E396" s="48"/>
      <c r="F396" s="48">
        <f>F397+F398+F399</f>
        <v>110994000</v>
      </c>
      <c r="G396" s="30">
        <f>F396/C396*100</f>
        <v>32.64529411764706</v>
      </c>
      <c r="H396" s="48">
        <f>H397+H398+H399</f>
        <v>110994000</v>
      </c>
      <c r="I396" s="30">
        <f>SUM(H396/C396*100)</f>
        <v>32.64529411764706</v>
      </c>
      <c r="J396" s="48">
        <f>(J397+J398+J399)/3</f>
        <v>9</v>
      </c>
      <c r="K396" s="48">
        <f>(K397+K398+K399)/4</f>
        <v>29.40738235294118</v>
      </c>
      <c r="L396" s="154">
        <f t="shared" si="54"/>
        <v>229006000</v>
      </c>
      <c r="M396" s="95"/>
    </row>
    <row r="397" spans="1:13" ht="12.75">
      <c r="A397" s="55">
        <v>1</v>
      </c>
      <c r="B397" s="73" t="s">
        <v>64</v>
      </c>
      <c r="C397" s="38">
        <v>50000000</v>
      </c>
      <c r="D397" s="38"/>
      <c r="E397" s="32"/>
      <c r="F397" s="38">
        <v>32373000</v>
      </c>
      <c r="G397" s="32">
        <f>SUM(F397/C397*100)</f>
        <v>64.74600000000001</v>
      </c>
      <c r="H397" s="38">
        <v>32373000</v>
      </c>
      <c r="I397" s="36">
        <f>SUM(H397/C397*100)</f>
        <v>64.74600000000001</v>
      </c>
      <c r="J397" s="35">
        <v>8</v>
      </c>
      <c r="K397" s="33">
        <f>I397</f>
        <v>64.74600000000001</v>
      </c>
      <c r="L397" s="154">
        <f t="shared" si="54"/>
        <v>17627000</v>
      </c>
      <c r="M397" s="56"/>
    </row>
    <row r="398" spans="1:13" ht="12.75">
      <c r="A398" s="55">
        <v>2</v>
      </c>
      <c r="B398" s="73" t="s">
        <v>65</v>
      </c>
      <c r="C398" s="38">
        <v>35000000</v>
      </c>
      <c r="D398" s="32"/>
      <c r="E398" s="32"/>
      <c r="F398" s="38">
        <v>8946000</v>
      </c>
      <c r="G398" s="32">
        <f>SUM(F398/C398*100)</f>
        <v>25.56</v>
      </c>
      <c r="H398" s="38">
        <v>8946000</v>
      </c>
      <c r="I398" s="50">
        <f>SUM(H398/C398*100)</f>
        <v>25.56</v>
      </c>
      <c r="J398" s="35">
        <v>9</v>
      </c>
      <c r="K398" s="33">
        <f>I398</f>
        <v>25.56</v>
      </c>
      <c r="L398" s="154">
        <f t="shared" si="54"/>
        <v>26054000</v>
      </c>
      <c r="M398" s="56"/>
    </row>
    <row r="399" spans="1:13" ht="12.75">
      <c r="A399" s="55">
        <v>3</v>
      </c>
      <c r="B399" s="73" t="s">
        <v>66</v>
      </c>
      <c r="C399" s="71">
        <v>255000000</v>
      </c>
      <c r="D399" s="71"/>
      <c r="E399" s="99"/>
      <c r="F399" s="71">
        <v>69675000</v>
      </c>
      <c r="G399" s="32">
        <f>SUM(F399/C399*100)</f>
        <v>27.323529411764707</v>
      </c>
      <c r="H399" s="71">
        <v>69675000</v>
      </c>
      <c r="I399" s="36">
        <f>SUM(H399/C399*100)</f>
        <v>27.323529411764707</v>
      </c>
      <c r="J399" s="112">
        <v>10</v>
      </c>
      <c r="K399" s="33">
        <f>I399</f>
        <v>27.323529411764707</v>
      </c>
      <c r="L399" s="154">
        <f t="shared" si="54"/>
        <v>185325000</v>
      </c>
      <c r="M399" s="56"/>
    </row>
    <row r="400" spans="1:13" ht="12.75">
      <c r="A400" s="94"/>
      <c r="B400" s="132"/>
      <c r="C400" s="133"/>
      <c r="D400" s="133"/>
      <c r="E400" s="134"/>
      <c r="F400" s="133"/>
      <c r="G400" s="33"/>
      <c r="H400" s="133"/>
      <c r="I400" s="36"/>
      <c r="J400" s="58"/>
      <c r="K400" s="33"/>
      <c r="L400" s="154">
        <f t="shared" si="54"/>
        <v>0</v>
      </c>
      <c r="M400" s="95"/>
    </row>
    <row r="401" spans="1:13" ht="12.75">
      <c r="A401" s="111">
        <v>7</v>
      </c>
      <c r="B401" s="97" t="s">
        <v>67</v>
      </c>
      <c r="C401" s="48">
        <f>C402+C403</f>
        <v>520000000</v>
      </c>
      <c r="D401" s="48">
        <f>D402+D403</f>
        <v>0</v>
      </c>
      <c r="E401" s="48"/>
      <c r="F401" s="48">
        <f>F402+F403</f>
        <v>0</v>
      </c>
      <c r="G401" s="30">
        <f>F401/C401*100</f>
        <v>0</v>
      </c>
      <c r="H401" s="48">
        <f>H402+H403</f>
        <v>0</v>
      </c>
      <c r="I401" s="30">
        <f>H401/C401*100</f>
        <v>0</v>
      </c>
      <c r="J401" s="48">
        <f>(J402+J403)/2</f>
        <v>7.5</v>
      </c>
      <c r="K401" s="48">
        <f>(K402+K403)/2</f>
        <v>0</v>
      </c>
      <c r="L401" s="154">
        <f t="shared" si="54"/>
        <v>520000000</v>
      </c>
      <c r="M401" s="95"/>
    </row>
    <row r="402" spans="1:13" ht="12.75">
      <c r="A402" s="100">
        <v>1</v>
      </c>
      <c r="B402" s="73" t="s">
        <v>68</v>
      </c>
      <c r="C402" s="71">
        <v>100000000</v>
      </c>
      <c r="D402" s="71"/>
      <c r="E402" s="32"/>
      <c r="F402" s="71"/>
      <c r="G402" s="34">
        <f>F402/C402*100</f>
        <v>0</v>
      </c>
      <c r="H402" s="71"/>
      <c r="I402" s="34">
        <f>H402/C402*100</f>
        <v>0</v>
      </c>
      <c r="J402" s="34">
        <v>10</v>
      </c>
      <c r="K402" s="34">
        <f>I402</f>
        <v>0</v>
      </c>
      <c r="L402" s="154">
        <f t="shared" si="54"/>
        <v>100000000</v>
      </c>
      <c r="M402" s="37"/>
    </row>
    <row r="403" spans="1:13" ht="12.75">
      <c r="A403" s="100">
        <v>2</v>
      </c>
      <c r="B403" s="73" t="s">
        <v>69</v>
      </c>
      <c r="C403" s="71">
        <v>420000000</v>
      </c>
      <c r="D403" s="71"/>
      <c r="E403" s="32"/>
      <c r="F403" s="71"/>
      <c r="G403" s="34">
        <f>F403/C403*100</f>
        <v>0</v>
      </c>
      <c r="H403" s="71"/>
      <c r="I403" s="34">
        <f>H403/C403*100</f>
        <v>0</v>
      </c>
      <c r="J403" s="34">
        <v>5</v>
      </c>
      <c r="K403" s="34">
        <f>I403</f>
        <v>0</v>
      </c>
      <c r="L403" s="154">
        <f t="shared" si="54"/>
        <v>420000000</v>
      </c>
      <c r="M403" s="56"/>
    </row>
    <row r="404" spans="1:13" ht="12.75">
      <c r="A404" s="100"/>
      <c r="B404" s="98"/>
      <c r="C404" s="71"/>
      <c r="D404" s="32"/>
      <c r="E404" s="32"/>
      <c r="F404" s="7"/>
      <c r="G404" s="34"/>
      <c r="H404" s="7"/>
      <c r="I404" s="34"/>
      <c r="J404" s="34"/>
      <c r="K404" s="8"/>
      <c r="L404" s="154">
        <f t="shared" si="54"/>
        <v>0</v>
      </c>
      <c r="M404" s="56"/>
    </row>
    <row r="405" spans="1:13" ht="12.75">
      <c r="A405" s="93">
        <v>8</v>
      </c>
      <c r="B405" s="69" t="s">
        <v>70</v>
      </c>
      <c r="C405" s="39">
        <f>SUM(C406:C406)</f>
        <v>100000000</v>
      </c>
      <c r="D405" s="39">
        <f>SUM(D406:D406)</f>
        <v>0</v>
      </c>
      <c r="E405" s="39"/>
      <c r="F405" s="39">
        <f>SUM(F406:F406)</f>
        <v>0</v>
      </c>
      <c r="G405" s="8">
        <f>F405/C405*100</f>
        <v>0</v>
      </c>
      <c r="H405" s="39">
        <f>SUM(H406:H406)</f>
        <v>0</v>
      </c>
      <c r="I405" s="8">
        <f>H405/C405*100</f>
        <v>0</v>
      </c>
      <c r="J405" s="8">
        <f>J406</f>
        <v>0</v>
      </c>
      <c r="K405" s="8">
        <v>0</v>
      </c>
      <c r="L405" s="154">
        <f t="shared" si="54"/>
        <v>100000000</v>
      </c>
      <c r="M405" s="56"/>
    </row>
    <row r="406" spans="1:13" ht="12.75">
      <c r="A406" s="101"/>
      <c r="B406" s="52" t="s">
        <v>71</v>
      </c>
      <c r="C406" s="53">
        <v>100000000</v>
      </c>
      <c r="D406" s="51"/>
      <c r="E406" s="49"/>
      <c r="F406" s="54"/>
      <c r="G406" s="113">
        <f>F406/C406*100</f>
        <v>0</v>
      </c>
      <c r="H406" s="54">
        <v>0</v>
      </c>
      <c r="I406" s="113">
        <f>H406/C406*100</f>
        <v>0</v>
      </c>
      <c r="J406" s="113">
        <v>0</v>
      </c>
      <c r="K406" s="113">
        <f>I406</f>
        <v>0</v>
      </c>
      <c r="L406" s="154">
        <f t="shared" si="54"/>
        <v>100000000</v>
      </c>
      <c r="M406" s="56"/>
    </row>
    <row r="407" spans="1:13" ht="12.75">
      <c r="A407" s="55"/>
      <c r="B407" s="40"/>
      <c r="C407" s="41"/>
      <c r="D407" s="37"/>
      <c r="E407" s="32"/>
      <c r="F407" s="42"/>
      <c r="G407" s="34"/>
      <c r="H407" s="42"/>
      <c r="I407" s="34"/>
      <c r="J407" s="34"/>
      <c r="K407" s="34"/>
      <c r="L407" s="34"/>
      <c r="M407" s="56"/>
    </row>
    <row r="408" spans="1:13" ht="12.75">
      <c r="A408" s="102"/>
      <c r="B408" s="103"/>
      <c r="C408" s="43">
        <f>C334+C347</f>
        <v>11516999500</v>
      </c>
      <c r="D408" s="43">
        <f>+D334+D347</f>
        <v>0</v>
      </c>
      <c r="E408" s="43">
        <f>E348+E361+E369+E377+E382+E396+E401+E405</f>
        <v>0</v>
      </c>
      <c r="F408" s="43">
        <f>+F334+F347</f>
        <v>1306498729</v>
      </c>
      <c r="G408" s="118">
        <f>SUM(F408/C408*100)</f>
        <v>11.344089482681666</v>
      </c>
      <c r="H408" s="43">
        <f>+H334+H347</f>
        <v>1306498729</v>
      </c>
      <c r="I408" s="119">
        <f>SUM(H408/C408*100)</f>
        <v>11.344089482681666</v>
      </c>
      <c r="J408" s="43">
        <f>+(J334+J347)/2</f>
        <v>9.671875</v>
      </c>
      <c r="K408" s="43">
        <f>+(K334+K347)/2</f>
        <v>18.548047735300102</v>
      </c>
      <c r="L408" s="43">
        <f>L334+L347</f>
        <v>10210500771</v>
      </c>
      <c r="M408" s="104"/>
    </row>
    <row r="409" spans="1:13" ht="12.75">
      <c r="A409" s="126"/>
      <c r="B409" s="127"/>
      <c r="C409" s="128"/>
      <c r="D409" s="128"/>
      <c r="E409" s="128"/>
      <c r="F409" s="128"/>
      <c r="G409" s="129"/>
      <c r="H409" s="128"/>
      <c r="I409" s="130"/>
      <c r="J409" s="128"/>
      <c r="K409" s="128"/>
      <c r="L409" s="128"/>
      <c r="M409" s="131"/>
    </row>
    <row r="410" spans="1:13" ht="12.75">
      <c r="A410" s="126"/>
      <c r="B410" s="127"/>
      <c r="C410" s="128"/>
      <c r="D410" s="128"/>
      <c r="E410" s="128"/>
      <c r="F410" s="128"/>
      <c r="G410" s="129"/>
      <c r="H410" s="128"/>
      <c r="I410" s="130"/>
      <c r="J410" s="128"/>
      <c r="K410" s="128"/>
      <c r="L410" s="128"/>
      <c r="M410" s="131"/>
    </row>
    <row r="411" spans="1:13" ht="12.75">
      <c r="A411" s="127"/>
      <c r="B411" s="135"/>
      <c r="C411" s="136"/>
      <c r="D411" s="60"/>
      <c r="E411" s="137"/>
      <c r="F411" s="44"/>
      <c r="G411" s="46"/>
      <c r="I411" s="117"/>
      <c r="J411" s="117" t="s">
        <v>101</v>
      </c>
      <c r="K411" s="117"/>
      <c r="L411" s="117"/>
      <c r="M411" s="117"/>
    </row>
    <row r="412" spans="1:13" ht="12.75">
      <c r="A412" s="127"/>
      <c r="B412" s="138"/>
      <c r="C412" s="84"/>
      <c r="D412" s="139"/>
      <c r="E412" s="137"/>
      <c r="F412" s="45"/>
      <c r="G412" s="44"/>
      <c r="I412" s="107"/>
      <c r="J412" s="107" t="s">
        <v>73</v>
      </c>
      <c r="K412" s="107"/>
      <c r="L412" s="107"/>
      <c r="M412" s="107"/>
    </row>
    <row r="413" spans="1:13" ht="12.75">
      <c r="A413" s="127"/>
      <c r="B413" s="105" t="s">
        <v>82</v>
      </c>
      <c r="C413" s="106">
        <f>F408/C408*100</f>
        <v>11.344089482681666</v>
      </c>
      <c r="D413" s="60"/>
      <c r="E413" s="136"/>
      <c r="F413" s="44"/>
      <c r="G413" s="46"/>
      <c r="I413" s="107"/>
      <c r="J413" s="107" t="s">
        <v>72</v>
      </c>
      <c r="K413" s="107"/>
      <c r="L413" s="107"/>
      <c r="M413" s="107"/>
    </row>
    <row r="414" spans="1:13" ht="12.75">
      <c r="A414" s="127"/>
      <c r="B414" s="140"/>
      <c r="C414" s="141"/>
      <c r="D414" s="60"/>
      <c r="E414" s="136"/>
      <c r="F414" s="44"/>
      <c r="G414" s="46"/>
      <c r="I414" s="107"/>
      <c r="J414" s="107"/>
      <c r="K414" s="107"/>
      <c r="L414" s="107"/>
      <c r="M414" s="107"/>
    </row>
    <row r="415" spans="1:13" ht="12.75">
      <c r="A415" s="127"/>
      <c r="B415" s="140"/>
      <c r="C415" s="141"/>
      <c r="D415" s="60"/>
      <c r="E415" s="136"/>
      <c r="F415" s="44"/>
      <c r="G415" s="46"/>
      <c r="I415" s="107"/>
      <c r="J415" s="107"/>
      <c r="K415" s="107"/>
      <c r="L415" s="107"/>
      <c r="M415" s="107"/>
    </row>
    <row r="416" spans="1:13" ht="12.75">
      <c r="A416" s="127"/>
      <c r="B416" s="128"/>
      <c r="C416" s="84"/>
      <c r="D416" s="60"/>
      <c r="E416" s="137"/>
      <c r="F416" s="46"/>
      <c r="G416" s="46"/>
      <c r="H416" s="108"/>
      <c r="I416" s="108"/>
      <c r="J416" s="108" t="s">
        <v>74</v>
      </c>
      <c r="M416" s="108"/>
    </row>
    <row r="417" spans="1:13" ht="12.75">
      <c r="A417" s="127"/>
      <c r="B417" s="127"/>
      <c r="C417" s="84"/>
      <c r="D417" s="60"/>
      <c r="E417" s="60"/>
      <c r="F417" s="46"/>
      <c r="G417" s="46"/>
      <c r="H417" s="107"/>
      <c r="I417" s="107"/>
      <c r="J417" s="107" t="s">
        <v>75</v>
      </c>
      <c r="M417" s="107"/>
    </row>
    <row r="430" spans="1:13" ht="15.75">
      <c r="A430" s="811" t="s">
        <v>0</v>
      </c>
      <c r="B430" s="811"/>
      <c r="C430" s="811"/>
      <c r="D430" s="811"/>
      <c r="E430" s="811"/>
      <c r="F430" s="811"/>
      <c r="G430" s="811"/>
      <c r="H430" s="811"/>
      <c r="I430" s="811"/>
      <c r="J430" s="811"/>
      <c r="K430" s="811"/>
      <c r="L430" s="811"/>
      <c r="M430" s="811"/>
    </row>
    <row r="431" spans="1:13" ht="12.75">
      <c r="A431" s="812" t="s">
        <v>83</v>
      </c>
      <c r="B431" s="812"/>
      <c r="C431" s="812"/>
      <c r="D431" s="812"/>
      <c r="E431" s="812"/>
      <c r="F431" s="812"/>
      <c r="G431" s="812"/>
      <c r="H431" s="812"/>
      <c r="I431" s="812"/>
      <c r="J431" s="812"/>
      <c r="K431" s="812"/>
      <c r="L431" s="812"/>
      <c r="M431" s="812"/>
    </row>
    <row r="432" spans="1:13" ht="12.75">
      <c r="A432" s="813" t="s">
        <v>77</v>
      </c>
      <c r="B432" s="813"/>
      <c r="C432" s="813"/>
      <c r="D432" s="813"/>
      <c r="E432" s="813"/>
      <c r="F432" s="813"/>
      <c r="G432" s="813"/>
      <c r="H432" s="813"/>
      <c r="I432" s="813"/>
      <c r="J432" s="813"/>
      <c r="K432" s="813"/>
      <c r="L432" s="813"/>
      <c r="M432" s="813"/>
    </row>
    <row r="433" spans="1:13" ht="12.75">
      <c r="A433" s="60" t="s">
        <v>1</v>
      </c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</row>
    <row r="434" spans="1:13" ht="12.75">
      <c r="A434" s="144" t="s">
        <v>102</v>
      </c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</row>
    <row r="435" ht="12.75">
      <c r="A435" s="60"/>
    </row>
    <row r="436" spans="1:13" ht="12.75">
      <c r="A436" s="808" t="s">
        <v>2</v>
      </c>
      <c r="B436" s="808" t="s">
        <v>3</v>
      </c>
      <c r="C436" s="808" t="s">
        <v>4</v>
      </c>
      <c r="D436" s="808" t="s">
        <v>5</v>
      </c>
      <c r="E436" s="808" t="s">
        <v>6</v>
      </c>
      <c r="F436" s="816" t="s">
        <v>7</v>
      </c>
      <c r="G436" s="817"/>
      <c r="H436" s="817"/>
      <c r="I436" s="818"/>
      <c r="J436" s="816" t="s">
        <v>8</v>
      </c>
      <c r="K436" s="818"/>
      <c r="L436" s="805" t="s">
        <v>87</v>
      </c>
      <c r="M436" s="808" t="s">
        <v>9</v>
      </c>
    </row>
    <row r="437" spans="1:13" ht="12.75">
      <c r="A437" s="806"/>
      <c r="B437" s="806"/>
      <c r="C437" s="806"/>
      <c r="D437" s="814"/>
      <c r="E437" s="806"/>
      <c r="F437" s="809" t="s">
        <v>10</v>
      </c>
      <c r="G437" s="808" t="s">
        <v>11</v>
      </c>
      <c r="H437" s="808" t="s">
        <v>12</v>
      </c>
      <c r="I437" s="808" t="s">
        <v>11</v>
      </c>
      <c r="J437" s="808" t="s">
        <v>13</v>
      </c>
      <c r="K437" s="808" t="s">
        <v>14</v>
      </c>
      <c r="L437" s="806"/>
      <c r="M437" s="806"/>
    </row>
    <row r="438" spans="1:13" ht="12.75">
      <c r="A438" s="807"/>
      <c r="B438" s="807"/>
      <c r="C438" s="807"/>
      <c r="D438" s="815"/>
      <c r="E438" s="807"/>
      <c r="F438" s="810"/>
      <c r="G438" s="807"/>
      <c r="H438" s="807"/>
      <c r="I438" s="807"/>
      <c r="J438" s="807"/>
      <c r="K438" s="807"/>
      <c r="L438" s="807"/>
      <c r="M438" s="807"/>
    </row>
    <row r="439" spans="1:13" ht="12.75">
      <c r="A439" s="2">
        <v>1</v>
      </c>
      <c r="B439" s="2">
        <v>2</v>
      </c>
      <c r="C439" s="2">
        <v>3</v>
      </c>
      <c r="D439" s="2">
        <v>4</v>
      </c>
      <c r="E439" s="2">
        <v>5</v>
      </c>
      <c r="F439" s="2">
        <v>6</v>
      </c>
      <c r="G439" s="2">
        <v>7</v>
      </c>
      <c r="H439" s="2">
        <v>8</v>
      </c>
      <c r="I439" s="2">
        <v>9</v>
      </c>
      <c r="J439" s="2">
        <v>10</v>
      </c>
      <c r="K439" s="2">
        <v>11</v>
      </c>
      <c r="L439" s="2">
        <v>12</v>
      </c>
      <c r="M439" s="2">
        <v>13</v>
      </c>
    </row>
    <row r="440" spans="1:13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>
      <c r="A441" s="61" t="s">
        <v>15</v>
      </c>
      <c r="B441" s="62" t="s">
        <v>16</v>
      </c>
      <c r="C441" s="4">
        <f>SUM(C442:C452)</f>
        <v>2320392000</v>
      </c>
      <c r="D441" s="63"/>
      <c r="E441" s="114"/>
      <c r="F441" s="4">
        <f>SUM(F442:F452)</f>
        <v>757522702</v>
      </c>
      <c r="G441" s="64">
        <f>SUM(F441/C441*100)</f>
        <v>32.64632450034304</v>
      </c>
      <c r="H441" s="4">
        <f>SUM(H442:H452)</f>
        <v>757522702</v>
      </c>
      <c r="I441" s="145">
        <f>SUM(H441/C441*100)</f>
        <v>32.64632450034304</v>
      </c>
      <c r="J441" s="64">
        <v>3</v>
      </c>
      <c r="K441" s="64">
        <f>(K442+K443+K444+K445+K446+K447+K448+K449+K450+K451+K452)/11</f>
        <v>28.493070686162113</v>
      </c>
      <c r="L441" s="4">
        <f>SUM(L442:L452)</f>
        <v>1562869298</v>
      </c>
      <c r="M441" s="63"/>
    </row>
    <row r="442" spans="1:13" ht="12.75">
      <c r="A442" s="66">
        <v>1</v>
      </c>
      <c r="B442" s="47" t="s">
        <v>17</v>
      </c>
      <c r="C442" s="5">
        <v>1209000000</v>
      </c>
      <c r="D442" s="63"/>
      <c r="E442" s="63"/>
      <c r="F442" s="114">
        <v>416076400</v>
      </c>
      <c r="G442" s="37">
        <f>SUM(F442/C442*100)</f>
        <v>34.414921422663355</v>
      </c>
      <c r="H442" s="114">
        <v>416076400</v>
      </c>
      <c r="I442" s="145">
        <f aca="true" t="shared" si="58" ref="I442:I448">SUM(H442/C442*100)</f>
        <v>34.414921422663355</v>
      </c>
      <c r="J442" s="37">
        <v>3</v>
      </c>
      <c r="K442" s="37">
        <f>I442</f>
        <v>34.414921422663355</v>
      </c>
      <c r="L442" s="37">
        <f>C442-H442</f>
        <v>792923600</v>
      </c>
      <c r="M442" s="63"/>
    </row>
    <row r="443" spans="1:13" ht="12.75">
      <c r="A443" s="66">
        <v>2</v>
      </c>
      <c r="B443" s="47" t="s">
        <v>18</v>
      </c>
      <c r="C443" s="5">
        <v>132000000</v>
      </c>
      <c r="D443" s="63"/>
      <c r="E443" s="63"/>
      <c r="F443" s="5">
        <v>46416292</v>
      </c>
      <c r="G443" s="37">
        <f>SUM(F443/C443*100)</f>
        <v>35.163857575757575</v>
      </c>
      <c r="H443" s="5">
        <v>46416292</v>
      </c>
      <c r="I443" s="145">
        <f t="shared" si="58"/>
        <v>35.163857575757575</v>
      </c>
      <c r="J443" s="37">
        <v>3</v>
      </c>
      <c r="K443" s="37">
        <f aca="true" t="shared" si="59" ref="K443:K452">I443</f>
        <v>35.163857575757575</v>
      </c>
      <c r="L443" s="37">
        <f aca="true" t="shared" si="60" ref="L443:L452">C443-H443</f>
        <v>85583708</v>
      </c>
      <c r="M443" s="63"/>
    </row>
    <row r="444" spans="1:13" ht="12.75">
      <c r="A444" s="66">
        <v>3</v>
      </c>
      <c r="B444" s="47" t="s">
        <v>19</v>
      </c>
      <c r="C444" s="5">
        <v>165000000</v>
      </c>
      <c r="D444" s="63"/>
      <c r="E444" s="63"/>
      <c r="F444" s="5">
        <v>45960000</v>
      </c>
      <c r="G444" s="37">
        <f aca="true" t="shared" si="61" ref="G444:G452">SUM(F444/C444*100)</f>
        <v>27.854545454545455</v>
      </c>
      <c r="H444" s="5">
        <v>45960000</v>
      </c>
      <c r="I444" s="145">
        <f t="shared" si="58"/>
        <v>27.854545454545455</v>
      </c>
      <c r="J444" s="37">
        <v>3</v>
      </c>
      <c r="K444" s="37">
        <f t="shared" si="59"/>
        <v>27.854545454545455</v>
      </c>
      <c r="L444" s="37">
        <f t="shared" si="60"/>
        <v>119040000</v>
      </c>
      <c r="M444" s="63"/>
    </row>
    <row r="445" spans="1:13" ht="12.75">
      <c r="A445" s="66">
        <v>4</v>
      </c>
      <c r="B445" s="47" t="s">
        <v>20</v>
      </c>
      <c r="C445" s="5">
        <v>23000000</v>
      </c>
      <c r="D445" s="63"/>
      <c r="E445" s="63"/>
      <c r="F445" s="5">
        <v>12190000</v>
      </c>
      <c r="G445" s="37">
        <f t="shared" si="61"/>
        <v>53</v>
      </c>
      <c r="H445" s="5">
        <v>12190000</v>
      </c>
      <c r="I445" s="145">
        <f t="shared" si="58"/>
        <v>53</v>
      </c>
      <c r="J445" s="37">
        <v>3</v>
      </c>
      <c r="K445" s="37">
        <f t="shared" si="59"/>
        <v>53</v>
      </c>
      <c r="L445" s="37">
        <f t="shared" si="60"/>
        <v>10810000</v>
      </c>
      <c r="M445" s="63"/>
    </row>
    <row r="446" spans="1:13" ht="12.75">
      <c r="A446" s="66">
        <v>5</v>
      </c>
      <c r="B446" s="47" t="s">
        <v>21</v>
      </c>
      <c r="C446" s="5">
        <v>64000000</v>
      </c>
      <c r="D446" s="63"/>
      <c r="E446" s="63"/>
      <c r="F446" s="5">
        <v>29040420</v>
      </c>
      <c r="G446" s="37">
        <f t="shared" si="61"/>
        <v>45.37565625</v>
      </c>
      <c r="H446" s="5">
        <v>29040420</v>
      </c>
      <c r="I446" s="145">
        <f t="shared" si="58"/>
        <v>45.37565625</v>
      </c>
      <c r="J446" s="37">
        <v>3</v>
      </c>
      <c r="K446" s="37">
        <f t="shared" si="59"/>
        <v>45.37565625</v>
      </c>
      <c r="L446" s="37">
        <f t="shared" si="60"/>
        <v>34959580</v>
      </c>
      <c r="M446" s="63"/>
    </row>
    <row r="447" spans="1:13" ht="12.75">
      <c r="A447" s="66">
        <v>6</v>
      </c>
      <c r="B447" s="47" t="s">
        <v>22</v>
      </c>
      <c r="C447" s="5">
        <v>10045000</v>
      </c>
      <c r="D447" s="63"/>
      <c r="E447" s="63"/>
      <c r="F447" s="5">
        <v>772938</v>
      </c>
      <c r="G447" s="37">
        <f t="shared" si="61"/>
        <v>7.694753608760578</v>
      </c>
      <c r="H447" s="5">
        <v>772938</v>
      </c>
      <c r="I447" s="145">
        <f t="shared" si="58"/>
        <v>7.694753608760578</v>
      </c>
      <c r="J447" s="37">
        <v>3</v>
      </c>
      <c r="K447" s="37">
        <f t="shared" si="59"/>
        <v>7.694753608760578</v>
      </c>
      <c r="L447" s="37">
        <f t="shared" si="60"/>
        <v>9272062</v>
      </c>
      <c r="M447" s="63"/>
    </row>
    <row r="448" spans="1:13" ht="12.75">
      <c r="A448" s="66">
        <v>7</v>
      </c>
      <c r="B448" s="47" t="s">
        <v>23</v>
      </c>
      <c r="C448" s="5">
        <v>157000</v>
      </c>
      <c r="D448" s="63"/>
      <c r="E448" s="63"/>
      <c r="F448" s="5">
        <v>7557</v>
      </c>
      <c r="G448" s="37">
        <f t="shared" si="61"/>
        <v>4.813375796178343</v>
      </c>
      <c r="H448" s="5">
        <v>7557</v>
      </c>
      <c r="I448" s="145">
        <f t="shared" si="58"/>
        <v>4.813375796178343</v>
      </c>
      <c r="J448" s="37">
        <v>3</v>
      </c>
      <c r="K448" s="149">
        <f t="shared" si="59"/>
        <v>4.813375796178343</v>
      </c>
      <c r="L448" s="37">
        <f t="shared" si="60"/>
        <v>149443</v>
      </c>
      <c r="M448" s="63"/>
    </row>
    <row r="449" spans="1:13" ht="12.75">
      <c r="A449" s="66">
        <v>8</v>
      </c>
      <c r="B449" s="47" t="s">
        <v>24</v>
      </c>
      <c r="C449" s="5">
        <v>35000000</v>
      </c>
      <c r="D449" s="63"/>
      <c r="E449" s="63"/>
      <c r="F449" s="5">
        <v>13874781</v>
      </c>
      <c r="G449" s="37">
        <f t="shared" si="61"/>
        <v>39.64223142857143</v>
      </c>
      <c r="H449" s="5">
        <v>13874781</v>
      </c>
      <c r="I449" s="36">
        <f>SUM(H450/C449*100)</f>
        <v>2.85306</v>
      </c>
      <c r="J449" s="37">
        <v>3</v>
      </c>
      <c r="K449" s="37">
        <f t="shared" si="59"/>
        <v>2.85306</v>
      </c>
      <c r="L449" s="37">
        <f t="shared" si="60"/>
        <v>21125219</v>
      </c>
      <c r="M449" s="63"/>
    </row>
    <row r="450" spans="1:13" ht="12.75">
      <c r="A450" s="66">
        <v>9</v>
      </c>
      <c r="B450" s="47" t="s">
        <v>25</v>
      </c>
      <c r="C450" s="5">
        <v>4305000</v>
      </c>
      <c r="D450" s="63"/>
      <c r="E450" s="63"/>
      <c r="F450" s="5">
        <v>998571</v>
      </c>
      <c r="G450" s="37">
        <f t="shared" si="61"/>
        <v>23.19560975609756</v>
      </c>
      <c r="H450" s="5">
        <v>998571</v>
      </c>
      <c r="I450" s="36">
        <f>SUM(H450/C450*100)</f>
        <v>23.19560975609756</v>
      </c>
      <c r="J450" s="37">
        <v>3</v>
      </c>
      <c r="K450" s="37">
        <f t="shared" si="59"/>
        <v>23.19560975609756</v>
      </c>
      <c r="L450" s="37">
        <f t="shared" si="60"/>
        <v>3306429</v>
      </c>
      <c r="M450" s="63"/>
    </row>
    <row r="451" spans="1:13" ht="12.75">
      <c r="A451" s="66">
        <v>10</v>
      </c>
      <c r="B451" s="47" t="s">
        <v>26</v>
      </c>
      <c r="C451" s="5">
        <v>5885000</v>
      </c>
      <c r="D451" s="63"/>
      <c r="E451" s="63"/>
      <c r="F451" s="5">
        <v>2995743</v>
      </c>
      <c r="G451" s="37">
        <f t="shared" si="61"/>
        <v>50.90472387425658</v>
      </c>
      <c r="H451" s="5">
        <v>2995743</v>
      </c>
      <c r="I451" s="36">
        <f>SUM(H451/C451*100)</f>
        <v>50.90472387425658</v>
      </c>
      <c r="J451" s="37">
        <v>3</v>
      </c>
      <c r="K451" s="37">
        <f t="shared" si="59"/>
        <v>50.90472387425658</v>
      </c>
      <c r="L451" s="37">
        <f t="shared" si="60"/>
        <v>2889257</v>
      </c>
      <c r="M451" s="63"/>
    </row>
    <row r="452" spans="1:13" ht="12.75">
      <c r="A452" s="66">
        <v>11</v>
      </c>
      <c r="B452" s="47" t="s">
        <v>27</v>
      </c>
      <c r="C452" s="5">
        <v>672000000</v>
      </c>
      <c r="D452" s="63"/>
      <c r="E452" s="63"/>
      <c r="F452" s="5">
        <v>189190000</v>
      </c>
      <c r="G452" s="37">
        <f t="shared" si="61"/>
        <v>28.15327380952381</v>
      </c>
      <c r="H452" s="5">
        <v>189190000</v>
      </c>
      <c r="I452" s="36">
        <f>SUM(H452/C452*100)</f>
        <v>28.15327380952381</v>
      </c>
      <c r="J452" s="37">
        <v>3</v>
      </c>
      <c r="K452" s="37">
        <f t="shared" si="59"/>
        <v>28.15327380952381</v>
      </c>
      <c r="L452" s="37">
        <f t="shared" si="60"/>
        <v>482810000</v>
      </c>
      <c r="M452" s="63"/>
    </row>
    <row r="453" spans="1:13" ht="12.75">
      <c r="A453" s="66"/>
      <c r="B453" s="47"/>
      <c r="C453" s="5"/>
      <c r="D453" s="63"/>
      <c r="E453" s="63"/>
      <c r="F453" s="5"/>
      <c r="G453" s="37"/>
      <c r="H453" s="5"/>
      <c r="I453" s="36"/>
      <c r="J453" s="37"/>
      <c r="K453" s="37"/>
      <c r="L453" s="37"/>
      <c r="M453" s="63"/>
    </row>
    <row r="454" spans="1:13" ht="12.75">
      <c r="A454" s="61" t="s">
        <v>28</v>
      </c>
      <c r="B454" s="62" t="s">
        <v>29</v>
      </c>
      <c r="C454" s="67">
        <f>C455+C468+C476+C484+C489+C503+C508+C512</f>
        <v>9196607500</v>
      </c>
      <c r="D454" s="67">
        <f>D455+D468+D476+D484+D489+D503+D508+D512</f>
        <v>0</v>
      </c>
      <c r="E454" s="63"/>
      <c r="F454" s="67">
        <f>F455+F468+F476+F484+F489+F503+F508+F512</f>
        <v>1564477108</v>
      </c>
      <c r="G454" s="6">
        <f aca="true" t="shared" si="62" ref="G454:G466">SUM(F454/C454*100)</f>
        <v>17.011458932002917</v>
      </c>
      <c r="H454" s="67">
        <f>H455+H468+H476+H484+H489+H503+H508+H512</f>
        <v>1564477108</v>
      </c>
      <c r="I454" s="8">
        <f>SUM(H454/C454*100)</f>
        <v>17.011458932002917</v>
      </c>
      <c r="J454" s="6">
        <f>(J455+J468+J476+J484+J489+J503+J508+J512)/8</f>
        <v>16.34375</v>
      </c>
      <c r="K454" s="6">
        <f>(K455+K468+K476+K484+K489+K503+K508+K512)/8</f>
        <v>34.95190314769245</v>
      </c>
      <c r="L454" s="67">
        <f>L455+L468+L476+L484+L489+L503+L508+L512</f>
        <v>7632130392</v>
      </c>
      <c r="M454" s="63"/>
    </row>
    <row r="455" spans="1:13" ht="12.75">
      <c r="A455" s="68">
        <v>1</v>
      </c>
      <c r="B455" s="69" t="s">
        <v>30</v>
      </c>
      <c r="C455" s="67">
        <f>SUM(C456:C466)</f>
        <v>1362525500</v>
      </c>
      <c r="D455" s="67">
        <f>SUM(D456:D466)</f>
        <v>0</v>
      </c>
      <c r="E455" s="70"/>
      <c r="F455" s="6">
        <f>SUM(F456:F466)</f>
        <v>284320429</v>
      </c>
      <c r="G455" s="6">
        <f t="shared" si="62"/>
        <v>20.8671638806026</v>
      </c>
      <c r="H455" s="6">
        <f>SUM(H456:H466)</f>
        <v>284320429</v>
      </c>
      <c r="I455" s="8">
        <f aca="true" t="shared" si="63" ref="I455:I466">SUM(H455/C455*100)</f>
        <v>20.8671638806026</v>
      </c>
      <c r="J455" s="64">
        <v>3</v>
      </c>
      <c r="K455" s="64">
        <f>(K456+K457+K458+K459+K460+K461+K462+K463+K464+K465+K466)/11</f>
        <v>35.9847618070986</v>
      </c>
      <c r="L455" s="6">
        <f>SUM(L456:L466)</f>
        <v>1078205071</v>
      </c>
      <c r="M455" s="56"/>
    </row>
    <row r="456" spans="1:13" ht="12.75">
      <c r="A456" s="55">
        <v>1</v>
      </c>
      <c r="B456" s="55" t="s">
        <v>31</v>
      </c>
      <c r="C456" s="71">
        <v>6310000</v>
      </c>
      <c r="D456" s="72" t="s">
        <v>32</v>
      </c>
      <c r="E456" s="72" t="s">
        <v>32</v>
      </c>
      <c r="F456" s="170">
        <v>1800000</v>
      </c>
      <c r="G456" s="37">
        <f t="shared" si="62"/>
        <v>28.526148969889064</v>
      </c>
      <c r="H456" s="170">
        <v>1800000</v>
      </c>
      <c r="I456" s="36">
        <f t="shared" si="63"/>
        <v>28.526148969889064</v>
      </c>
      <c r="J456" s="37">
        <v>3</v>
      </c>
      <c r="K456" s="37">
        <f aca="true" t="shared" si="64" ref="K456:K467">I456</f>
        <v>28.526148969889064</v>
      </c>
      <c r="L456" s="37">
        <f>C456-H456</f>
        <v>4510000</v>
      </c>
      <c r="M456" s="37"/>
    </row>
    <row r="457" spans="1:13" ht="12.75">
      <c r="A457" s="55">
        <v>2</v>
      </c>
      <c r="B457" s="73" t="s">
        <v>76</v>
      </c>
      <c r="C457" s="71">
        <v>60000000</v>
      </c>
      <c r="D457" s="37"/>
      <c r="E457" s="37"/>
      <c r="F457" s="7">
        <v>33402062</v>
      </c>
      <c r="G457" s="37">
        <f t="shared" si="62"/>
        <v>55.67010333333333</v>
      </c>
      <c r="H457" s="7">
        <v>33402062</v>
      </c>
      <c r="I457" s="36">
        <f t="shared" si="63"/>
        <v>55.67010333333333</v>
      </c>
      <c r="J457" s="37">
        <v>4</v>
      </c>
      <c r="K457" s="37">
        <f t="shared" si="64"/>
        <v>55.67010333333333</v>
      </c>
      <c r="L457" s="37">
        <f aca="true" t="shared" si="65" ref="L457:L477">C457-H457</f>
        <v>26597938</v>
      </c>
      <c r="M457" s="37"/>
    </row>
    <row r="458" spans="1:13" ht="12.75">
      <c r="A458" s="55">
        <v>3</v>
      </c>
      <c r="B458" s="165" t="s">
        <v>33</v>
      </c>
      <c r="C458" s="166">
        <v>31435000</v>
      </c>
      <c r="D458" s="167">
        <v>0</v>
      </c>
      <c r="E458" s="167">
        <v>0</v>
      </c>
      <c r="F458" s="168">
        <v>7409400</v>
      </c>
      <c r="G458" s="37">
        <f t="shared" si="62"/>
        <v>23.570542389056783</v>
      </c>
      <c r="H458" s="168">
        <v>7409400</v>
      </c>
      <c r="I458" s="36">
        <f t="shared" si="63"/>
        <v>23.570542389056783</v>
      </c>
      <c r="J458" s="37">
        <v>3</v>
      </c>
      <c r="K458" s="37">
        <f t="shared" si="64"/>
        <v>23.570542389056783</v>
      </c>
      <c r="L458" s="37">
        <f t="shared" si="65"/>
        <v>24025600</v>
      </c>
      <c r="M458" s="37"/>
    </row>
    <row r="459" spans="1:13" ht="12.75">
      <c r="A459" s="55">
        <v>4</v>
      </c>
      <c r="B459" s="169" t="s">
        <v>34</v>
      </c>
      <c r="C459" s="166">
        <v>55000000</v>
      </c>
      <c r="D459" s="167">
        <v>0</v>
      </c>
      <c r="E459" s="167">
        <v>0</v>
      </c>
      <c r="F459" s="168">
        <v>18305000</v>
      </c>
      <c r="G459" s="37">
        <f t="shared" si="62"/>
        <v>33.28181818181818</v>
      </c>
      <c r="H459" s="168">
        <v>18305000</v>
      </c>
      <c r="I459" s="36">
        <f t="shared" si="63"/>
        <v>33.28181818181818</v>
      </c>
      <c r="J459" s="37">
        <v>4</v>
      </c>
      <c r="K459" s="37">
        <f t="shared" si="64"/>
        <v>33.28181818181818</v>
      </c>
      <c r="L459" s="37">
        <f t="shared" si="65"/>
        <v>36695000</v>
      </c>
      <c r="M459" s="37"/>
    </row>
    <row r="460" spans="1:13" ht="12.75">
      <c r="A460" s="55">
        <v>5</v>
      </c>
      <c r="B460" s="73" t="s">
        <v>35</v>
      </c>
      <c r="C460" s="71">
        <v>26676500</v>
      </c>
      <c r="D460" s="37">
        <v>0</v>
      </c>
      <c r="E460" s="37">
        <v>0</v>
      </c>
      <c r="F460" s="7">
        <v>8547200</v>
      </c>
      <c r="G460" s="37">
        <f t="shared" si="62"/>
        <v>32.04018518171424</v>
      </c>
      <c r="H460" s="7">
        <v>8547200</v>
      </c>
      <c r="I460" s="36">
        <f t="shared" si="63"/>
        <v>32.04018518171424</v>
      </c>
      <c r="J460" s="37">
        <v>3</v>
      </c>
      <c r="K460" s="37">
        <f t="shared" si="64"/>
        <v>32.04018518171424</v>
      </c>
      <c r="L460" s="37">
        <f t="shared" si="65"/>
        <v>18129300</v>
      </c>
      <c r="M460" s="37"/>
    </row>
    <row r="461" spans="1:13" ht="12.75">
      <c r="A461" s="55">
        <v>6</v>
      </c>
      <c r="B461" s="73" t="s">
        <v>36</v>
      </c>
      <c r="C461" s="71">
        <v>4000000</v>
      </c>
      <c r="D461" s="37">
        <v>0</v>
      </c>
      <c r="E461" s="37">
        <v>0</v>
      </c>
      <c r="F461" s="7">
        <v>1995200</v>
      </c>
      <c r="G461" s="37">
        <f t="shared" si="62"/>
        <v>49.88</v>
      </c>
      <c r="H461" s="7">
        <v>1995200</v>
      </c>
      <c r="I461" s="36">
        <f t="shared" si="63"/>
        <v>49.88</v>
      </c>
      <c r="J461" s="37">
        <v>5</v>
      </c>
      <c r="K461" s="37">
        <f t="shared" si="64"/>
        <v>49.88</v>
      </c>
      <c r="L461" s="37">
        <f t="shared" si="65"/>
        <v>2004800</v>
      </c>
      <c r="M461" s="37"/>
    </row>
    <row r="462" spans="1:13" ht="12.75">
      <c r="A462" s="55">
        <v>7</v>
      </c>
      <c r="B462" s="73" t="s">
        <v>37</v>
      </c>
      <c r="C462" s="71">
        <v>13076000</v>
      </c>
      <c r="D462" s="37">
        <v>0</v>
      </c>
      <c r="E462" s="37">
        <v>0</v>
      </c>
      <c r="F462" s="7">
        <v>8761950</v>
      </c>
      <c r="G462" s="37">
        <f t="shared" si="62"/>
        <v>67.00787702661364</v>
      </c>
      <c r="H462" s="7">
        <v>8761950</v>
      </c>
      <c r="I462" s="36">
        <f t="shared" si="63"/>
        <v>67.00787702661364</v>
      </c>
      <c r="J462" s="37">
        <v>7</v>
      </c>
      <c r="K462" s="37">
        <f t="shared" si="64"/>
        <v>67.00787702661364</v>
      </c>
      <c r="L462" s="37">
        <f t="shared" si="65"/>
        <v>4314050</v>
      </c>
      <c r="M462" s="37"/>
    </row>
    <row r="463" spans="1:13" ht="12.75">
      <c r="A463" s="55">
        <v>8</v>
      </c>
      <c r="B463" s="73" t="s">
        <v>38</v>
      </c>
      <c r="C463" s="71">
        <v>7500000</v>
      </c>
      <c r="D463" s="37">
        <v>0</v>
      </c>
      <c r="E463" s="37">
        <v>0</v>
      </c>
      <c r="F463" s="7">
        <v>2180000</v>
      </c>
      <c r="G463" s="37">
        <f t="shared" si="62"/>
        <v>29.06666666666667</v>
      </c>
      <c r="H463" s="7">
        <v>2180000</v>
      </c>
      <c r="I463" s="36">
        <f t="shared" si="63"/>
        <v>29.06666666666667</v>
      </c>
      <c r="J463" s="37">
        <v>4</v>
      </c>
      <c r="K463" s="37">
        <f t="shared" si="64"/>
        <v>29.06666666666667</v>
      </c>
      <c r="L463" s="37">
        <f t="shared" si="65"/>
        <v>5320000</v>
      </c>
      <c r="M463" s="37"/>
    </row>
    <row r="464" spans="1:13" ht="12.75">
      <c r="A464" s="55">
        <v>9</v>
      </c>
      <c r="B464" s="73" t="s">
        <v>39</v>
      </c>
      <c r="C464" s="71">
        <v>30000000</v>
      </c>
      <c r="D464" s="37">
        <v>0</v>
      </c>
      <c r="E464" s="37">
        <v>0</v>
      </c>
      <c r="F464" s="7">
        <v>10515700</v>
      </c>
      <c r="G464" s="37">
        <f t="shared" si="62"/>
        <v>35.05233333333334</v>
      </c>
      <c r="H464" s="7">
        <v>10515700</v>
      </c>
      <c r="I464" s="36">
        <f t="shared" si="63"/>
        <v>35.05233333333334</v>
      </c>
      <c r="J464" s="37">
        <v>4</v>
      </c>
      <c r="K464" s="37">
        <f t="shared" si="64"/>
        <v>35.05233333333334</v>
      </c>
      <c r="L464" s="37">
        <f t="shared" si="65"/>
        <v>19484300</v>
      </c>
      <c r="M464" s="37"/>
    </row>
    <row r="465" spans="1:13" ht="12.75">
      <c r="A465" s="55">
        <v>10</v>
      </c>
      <c r="B465" s="73" t="s">
        <v>40</v>
      </c>
      <c r="C465" s="71">
        <v>200000000</v>
      </c>
      <c r="D465" s="37">
        <v>0</v>
      </c>
      <c r="E465" s="37">
        <v>0</v>
      </c>
      <c r="F465" s="7">
        <f>51643661+2200000</f>
        <v>53843661</v>
      </c>
      <c r="G465" s="37">
        <f t="shared" si="62"/>
        <v>26.9218305</v>
      </c>
      <c r="H465" s="7">
        <f>51643661+2200000</f>
        <v>53843661</v>
      </c>
      <c r="I465" s="36">
        <f t="shared" si="63"/>
        <v>26.9218305</v>
      </c>
      <c r="J465" s="37">
        <v>4</v>
      </c>
      <c r="K465" s="37">
        <f t="shared" si="64"/>
        <v>26.9218305</v>
      </c>
      <c r="L465" s="37">
        <f t="shared" si="65"/>
        <v>146156339</v>
      </c>
      <c r="M465" s="37"/>
    </row>
    <row r="466" spans="1:13" ht="12.75">
      <c r="A466" s="55">
        <v>11</v>
      </c>
      <c r="B466" s="73" t="s">
        <v>41</v>
      </c>
      <c r="C466" s="71">
        <v>928528000</v>
      </c>
      <c r="D466" s="37">
        <v>0</v>
      </c>
      <c r="E466" s="37">
        <v>0</v>
      </c>
      <c r="F466" s="7">
        <v>137560256</v>
      </c>
      <c r="G466" s="37">
        <f t="shared" si="62"/>
        <v>14.814874295659367</v>
      </c>
      <c r="H466" s="7">
        <v>137560256</v>
      </c>
      <c r="I466" s="36">
        <f t="shared" si="63"/>
        <v>14.814874295659367</v>
      </c>
      <c r="J466" s="37">
        <v>3</v>
      </c>
      <c r="K466" s="37">
        <f t="shared" si="64"/>
        <v>14.814874295659367</v>
      </c>
      <c r="L466" s="37">
        <f t="shared" si="65"/>
        <v>790967744</v>
      </c>
      <c r="M466" s="37"/>
    </row>
    <row r="467" spans="1:13" ht="12.75">
      <c r="A467" s="74"/>
      <c r="B467" s="75"/>
      <c r="C467" s="71"/>
      <c r="D467" s="37"/>
      <c r="E467" s="37"/>
      <c r="F467" s="7"/>
      <c r="G467" s="37"/>
      <c r="H467" s="7"/>
      <c r="I467" s="36"/>
      <c r="J467" s="37"/>
      <c r="K467" s="37">
        <f t="shared" si="64"/>
        <v>0</v>
      </c>
      <c r="L467" s="37">
        <f t="shared" si="65"/>
        <v>0</v>
      </c>
      <c r="M467" s="37"/>
    </row>
    <row r="468" spans="1:13" ht="12.75">
      <c r="A468" s="62">
        <v>2</v>
      </c>
      <c r="B468" s="69" t="s">
        <v>42</v>
      </c>
      <c r="C468" s="39">
        <f>C469+C470+C471+C472+C473+C474</f>
        <v>761012000</v>
      </c>
      <c r="D468" s="39">
        <f>SUM(D469:D474)</f>
        <v>0</v>
      </c>
      <c r="E468" s="6"/>
      <c r="F468" s="39">
        <f>SUM(F469:F474)</f>
        <v>424862829</v>
      </c>
      <c r="G468" s="6">
        <f aca="true" t="shared" si="66" ref="G468:G474">SUM(F468/C468*100)</f>
        <v>55.82866354275623</v>
      </c>
      <c r="H468" s="39">
        <f>SUM(H469:H474)</f>
        <v>424862829</v>
      </c>
      <c r="I468" s="30">
        <f aca="true" t="shared" si="67" ref="I468:I474">SUM(H468/C468*100)</f>
        <v>55.82866354275623</v>
      </c>
      <c r="J468" s="147">
        <f>SUM(J469:J474)/6</f>
        <v>7.333333333333333</v>
      </c>
      <c r="K468" s="39">
        <f>(K469+K470+K471+K472+K473+K474)/6</f>
        <v>64.57042023447026</v>
      </c>
      <c r="L468" s="37">
        <f t="shared" si="65"/>
        <v>336149171</v>
      </c>
      <c r="M468" s="6"/>
    </row>
    <row r="469" spans="1:13" ht="12.75">
      <c r="A469" s="66">
        <v>1</v>
      </c>
      <c r="B469" s="73" t="s">
        <v>43</v>
      </c>
      <c r="C469" s="71">
        <v>85000000</v>
      </c>
      <c r="D469" s="37"/>
      <c r="E469" s="37"/>
      <c r="F469" s="71">
        <v>47359600</v>
      </c>
      <c r="G469" s="37">
        <f t="shared" si="66"/>
        <v>55.717176470588235</v>
      </c>
      <c r="H469" s="71">
        <v>47359600</v>
      </c>
      <c r="I469" s="36">
        <f t="shared" si="67"/>
        <v>55.717176470588235</v>
      </c>
      <c r="J469" s="37">
        <v>9</v>
      </c>
      <c r="K469" s="37">
        <f aca="true" t="shared" si="68" ref="K469:K474">I469</f>
        <v>55.717176470588235</v>
      </c>
      <c r="L469" s="37">
        <f t="shared" si="65"/>
        <v>37640400</v>
      </c>
      <c r="M469" s="37"/>
    </row>
    <row r="470" spans="1:13" ht="12.75">
      <c r="A470" s="66">
        <v>2</v>
      </c>
      <c r="B470" s="73" t="s">
        <v>44</v>
      </c>
      <c r="C470" s="71">
        <v>45000000</v>
      </c>
      <c r="D470" s="37"/>
      <c r="E470" s="37"/>
      <c r="F470" s="71">
        <v>44536000</v>
      </c>
      <c r="G470" s="37">
        <f t="shared" si="66"/>
        <v>98.96888888888888</v>
      </c>
      <c r="H470" s="71">
        <v>44536000</v>
      </c>
      <c r="I470" s="36">
        <f t="shared" si="67"/>
        <v>98.96888888888888</v>
      </c>
      <c r="J470" s="37">
        <v>10</v>
      </c>
      <c r="K470" s="37">
        <f t="shared" si="68"/>
        <v>98.96888888888888</v>
      </c>
      <c r="L470" s="37">
        <f t="shared" si="65"/>
        <v>464000</v>
      </c>
      <c r="M470" s="37"/>
    </row>
    <row r="471" spans="1:13" ht="12.75">
      <c r="A471" s="66">
        <v>3</v>
      </c>
      <c r="B471" s="73" t="s">
        <v>45</v>
      </c>
      <c r="C471" s="71">
        <v>239382000</v>
      </c>
      <c r="D471" s="37"/>
      <c r="E471" s="37"/>
      <c r="F471" s="71">
        <f>72071800+62199250</f>
        <v>134271050</v>
      </c>
      <c r="G471" s="37">
        <f t="shared" si="66"/>
        <v>56.09070439715601</v>
      </c>
      <c r="H471" s="71">
        <f>72071800+62199250</f>
        <v>134271050</v>
      </c>
      <c r="I471" s="36">
        <f t="shared" si="67"/>
        <v>56.09070439715601</v>
      </c>
      <c r="J471" s="37">
        <v>7</v>
      </c>
      <c r="K471" s="37">
        <f t="shared" si="68"/>
        <v>56.09070439715601</v>
      </c>
      <c r="L471" s="37">
        <f t="shared" si="65"/>
        <v>105110950</v>
      </c>
      <c r="M471" s="37"/>
    </row>
    <row r="472" spans="1:13" ht="12.75">
      <c r="A472" s="66">
        <v>4</v>
      </c>
      <c r="B472" s="73" t="s">
        <v>46</v>
      </c>
      <c r="C472" s="71">
        <v>370980000</v>
      </c>
      <c r="D472" s="37"/>
      <c r="E472" s="37"/>
      <c r="F472" s="7">
        <v>187696379</v>
      </c>
      <c r="G472" s="37">
        <f t="shared" si="66"/>
        <v>50.59474338239258</v>
      </c>
      <c r="H472" s="7">
        <v>187696379</v>
      </c>
      <c r="I472" s="36">
        <f t="shared" si="67"/>
        <v>50.59474338239258</v>
      </c>
      <c r="J472" s="37">
        <v>3</v>
      </c>
      <c r="K472" s="37">
        <f t="shared" si="68"/>
        <v>50.59474338239258</v>
      </c>
      <c r="L472" s="37">
        <f t="shared" si="65"/>
        <v>183283621</v>
      </c>
      <c r="M472" s="37"/>
    </row>
    <row r="473" spans="1:13" ht="12.75">
      <c r="A473" s="66">
        <v>5</v>
      </c>
      <c r="B473" s="73" t="s">
        <v>47</v>
      </c>
      <c r="C473" s="71">
        <v>13050000</v>
      </c>
      <c r="D473" s="37">
        <v>0</v>
      </c>
      <c r="E473" s="37">
        <v>0</v>
      </c>
      <c r="F473" s="7">
        <v>3400000</v>
      </c>
      <c r="G473" s="37">
        <f t="shared" si="66"/>
        <v>26.053639846743295</v>
      </c>
      <c r="H473" s="7">
        <v>3400000</v>
      </c>
      <c r="I473" s="36">
        <f t="shared" si="67"/>
        <v>26.053639846743295</v>
      </c>
      <c r="J473" s="37">
        <v>5</v>
      </c>
      <c r="K473" s="37">
        <f t="shared" si="68"/>
        <v>26.053639846743295</v>
      </c>
      <c r="L473" s="37">
        <f t="shared" si="65"/>
        <v>9650000</v>
      </c>
      <c r="M473" s="37"/>
    </row>
    <row r="474" spans="1:13" ht="12.75">
      <c r="A474" s="66">
        <v>6</v>
      </c>
      <c r="B474" s="73" t="s">
        <v>48</v>
      </c>
      <c r="C474" s="71">
        <v>7600000</v>
      </c>
      <c r="D474" s="37"/>
      <c r="E474" s="37"/>
      <c r="F474" s="71">
        <v>7599800</v>
      </c>
      <c r="G474" s="37">
        <f t="shared" si="66"/>
        <v>99.99736842105264</v>
      </c>
      <c r="H474" s="71">
        <v>7599800</v>
      </c>
      <c r="I474" s="36">
        <f t="shared" si="67"/>
        <v>99.99736842105264</v>
      </c>
      <c r="J474" s="37">
        <v>10</v>
      </c>
      <c r="K474" s="37">
        <f t="shared" si="68"/>
        <v>99.99736842105264</v>
      </c>
      <c r="L474" s="37">
        <f t="shared" si="65"/>
        <v>200</v>
      </c>
      <c r="M474" s="37"/>
    </row>
    <row r="475" spans="1:13" ht="12.75">
      <c r="A475" s="66"/>
      <c r="B475" s="73"/>
      <c r="C475" s="71"/>
      <c r="D475" s="37"/>
      <c r="E475" s="37"/>
      <c r="F475" s="7"/>
      <c r="G475" s="37"/>
      <c r="H475" s="7"/>
      <c r="I475" s="36"/>
      <c r="J475" s="37"/>
      <c r="K475" s="37"/>
      <c r="L475" s="37">
        <f t="shared" si="65"/>
        <v>0</v>
      </c>
      <c r="M475" s="37"/>
    </row>
    <row r="476" spans="1:13" ht="12.75">
      <c r="A476" s="62">
        <v>3</v>
      </c>
      <c r="B476" s="69" t="s">
        <v>49</v>
      </c>
      <c r="C476" s="39">
        <f>C477</f>
        <v>74570000</v>
      </c>
      <c r="D476" s="39">
        <f>D477</f>
        <v>0</v>
      </c>
      <c r="E476" s="39">
        <f>E477</f>
        <v>0</v>
      </c>
      <c r="F476" s="8">
        <f>F477</f>
        <v>73200000</v>
      </c>
      <c r="G476" s="6">
        <f>SUM(F476/C476*100)</f>
        <v>98.16280005364088</v>
      </c>
      <c r="H476" s="8">
        <f>H477</f>
        <v>73200000</v>
      </c>
      <c r="I476" s="65">
        <f>SUM(H476/C476*100)</f>
        <v>98.16280005364088</v>
      </c>
      <c r="J476" s="64">
        <v>100</v>
      </c>
      <c r="K476" s="8">
        <f>K477/1</f>
        <v>98.16280005364088</v>
      </c>
      <c r="L476" s="37">
        <f t="shared" si="65"/>
        <v>1370000</v>
      </c>
      <c r="M476" s="6"/>
    </row>
    <row r="477" spans="1:13" ht="12.75">
      <c r="A477" s="55"/>
      <c r="B477" s="76" t="s">
        <v>50</v>
      </c>
      <c r="C477" s="9">
        <v>74570000</v>
      </c>
      <c r="D477" s="37">
        <v>0</v>
      </c>
      <c r="E477" s="37">
        <v>0</v>
      </c>
      <c r="F477" s="10">
        <f>16000000+57200000</f>
        <v>73200000</v>
      </c>
      <c r="G477" s="37">
        <f>SUM(F477/C477*100)</f>
        <v>98.16280005364088</v>
      </c>
      <c r="H477" s="10">
        <f>16000000+57200000</f>
        <v>73200000</v>
      </c>
      <c r="I477" s="36">
        <f>SUM(H477/C477*100)</f>
        <v>98.16280005364088</v>
      </c>
      <c r="J477" s="37">
        <v>100</v>
      </c>
      <c r="K477" s="37">
        <f>I477</f>
        <v>98.16280005364088</v>
      </c>
      <c r="L477" s="37">
        <f t="shared" si="65"/>
        <v>1370000</v>
      </c>
      <c r="M477" s="56"/>
    </row>
    <row r="478" spans="2:13" ht="12.7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</row>
    <row r="479" spans="1:13" ht="12.75">
      <c r="A479" s="77"/>
      <c r="B479" s="12"/>
      <c r="C479" s="78"/>
      <c r="D479" s="79"/>
      <c r="E479" s="79"/>
      <c r="F479" s="13"/>
      <c r="G479" s="14"/>
      <c r="H479" s="13"/>
      <c r="I479" s="14"/>
      <c r="J479" s="80"/>
      <c r="K479" s="80"/>
      <c r="L479" s="80"/>
      <c r="M479" s="81"/>
    </row>
    <row r="480" spans="1:13" ht="12.75">
      <c r="A480" s="82"/>
      <c r="B480" s="15"/>
      <c r="C480" s="83"/>
      <c r="D480" s="84"/>
      <c r="E480" s="84"/>
      <c r="F480" s="16"/>
      <c r="G480" s="17"/>
      <c r="H480" s="16"/>
      <c r="I480" s="17"/>
      <c r="J480" s="85"/>
      <c r="K480" s="85"/>
      <c r="L480" s="85"/>
      <c r="M480" s="86"/>
    </row>
    <row r="481" spans="1:13" ht="12.75">
      <c r="A481" s="82"/>
      <c r="B481" s="15"/>
      <c r="C481" s="83"/>
      <c r="D481" s="84"/>
      <c r="E481" s="84"/>
      <c r="F481" s="16"/>
      <c r="G481" s="17"/>
      <c r="H481" s="16"/>
      <c r="I481" s="17"/>
      <c r="J481" s="85"/>
      <c r="K481" s="85"/>
      <c r="L481" s="85"/>
      <c r="M481" s="86"/>
    </row>
    <row r="482" spans="1:13" ht="12.75">
      <c r="A482" s="82"/>
      <c r="B482" s="15"/>
      <c r="C482" s="83"/>
      <c r="D482" s="84"/>
      <c r="E482" s="84"/>
      <c r="F482" s="16"/>
      <c r="G482" s="17"/>
      <c r="H482" s="16"/>
      <c r="I482" s="17"/>
      <c r="J482" s="85"/>
      <c r="K482" s="85"/>
      <c r="L482" s="85"/>
      <c r="M482" s="86"/>
    </row>
    <row r="483" spans="1:13" ht="12.75">
      <c r="A483" s="55"/>
      <c r="B483" s="21"/>
      <c r="C483" s="22"/>
      <c r="D483" s="32"/>
      <c r="E483" s="32"/>
      <c r="F483" s="23"/>
      <c r="G483" s="32"/>
      <c r="H483" s="23"/>
      <c r="I483" s="57"/>
      <c r="J483" s="56"/>
      <c r="K483" s="56"/>
      <c r="L483" s="95"/>
      <c r="M483" s="92"/>
    </row>
    <row r="484" spans="1:13" ht="12.75">
      <c r="A484" s="93">
        <v>4</v>
      </c>
      <c r="B484" s="24" t="s">
        <v>51</v>
      </c>
      <c r="C484" s="25">
        <f>C485+C486+C487</f>
        <v>4830000000</v>
      </c>
      <c r="D484" s="25">
        <f>D485+D486+D487</f>
        <v>0</v>
      </c>
      <c r="E484" s="25"/>
      <c r="F484" s="171">
        <f>SUM(F485:F487)</f>
        <v>351083302</v>
      </c>
      <c r="G484" s="64">
        <f>SUM(F484/C484*100)</f>
        <v>7.268805424430642</v>
      </c>
      <c r="H484" s="171">
        <f>SUM(H485:H487)</f>
        <v>351083302</v>
      </c>
      <c r="I484" s="145">
        <f>SUM(H484/C484*100)</f>
        <v>7.268805424430642</v>
      </c>
      <c r="J484" s="171">
        <f>(J485+J486+J487)/3</f>
        <v>1.3333333333333333</v>
      </c>
      <c r="K484" s="171">
        <f>(K485+K486+K487)/4</f>
        <v>9.294812763867684</v>
      </c>
      <c r="L484" s="172">
        <f aca="true" t="shared" si="69" ref="L484:L490">C484-H484</f>
        <v>4478916698</v>
      </c>
      <c r="M484" s="56"/>
    </row>
    <row r="485" spans="1:13" ht="12.75">
      <c r="A485" s="55">
        <v>1</v>
      </c>
      <c r="B485" s="21" t="s">
        <v>52</v>
      </c>
      <c r="C485" s="22">
        <v>3930000000</v>
      </c>
      <c r="D485" s="22"/>
      <c r="E485" s="22"/>
      <c r="F485" s="22">
        <v>89276400</v>
      </c>
      <c r="G485" s="37">
        <f>SUM(F485/C485*100)</f>
        <v>2.2716641221374045</v>
      </c>
      <c r="H485" s="22">
        <v>89276400</v>
      </c>
      <c r="I485" s="36">
        <f>SUM(H485/C485*100)</f>
        <v>2.2716641221374045</v>
      </c>
      <c r="J485" s="37">
        <v>1</v>
      </c>
      <c r="K485" s="37">
        <f>I485</f>
        <v>2.2716641221374045</v>
      </c>
      <c r="L485" s="172">
        <f t="shared" si="69"/>
        <v>3840723600</v>
      </c>
      <c r="M485" s="56"/>
    </row>
    <row r="486" spans="1:13" ht="12.75">
      <c r="A486" s="55">
        <v>2</v>
      </c>
      <c r="B486" s="21" t="s">
        <v>53</v>
      </c>
      <c r="C486" s="22">
        <v>750000000</v>
      </c>
      <c r="D486" s="32"/>
      <c r="E486" s="32"/>
      <c r="F486" s="23">
        <v>261806902</v>
      </c>
      <c r="G486" s="37">
        <f>SUM(F486/C486*100)</f>
        <v>34.907586933333334</v>
      </c>
      <c r="H486" s="23">
        <v>261806902</v>
      </c>
      <c r="I486" s="36">
        <f>SUM(H486/C486*100)</f>
        <v>34.907586933333334</v>
      </c>
      <c r="J486" s="37">
        <v>3</v>
      </c>
      <c r="K486" s="37">
        <f>I486</f>
        <v>34.907586933333334</v>
      </c>
      <c r="L486" s="172">
        <f t="shared" si="69"/>
        <v>488193098</v>
      </c>
      <c r="M486" s="37"/>
    </row>
    <row r="487" spans="1:13" ht="12.75">
      <c r="A487" s="55">
        <v>3</v>
      </c>
      <c r="B487" s="21" t="s">
        <v>54</v>
      </c>
      <c r="C487" s="22">
        <v>150000000</v>
      </c>
      <c r="D487" s="32"/>
      <c r="E487" s="32"/>
      <c r="F487" s="23">
        <v>0</v>
      </c>
      <c r="G487" s="37">
        <f>SUM(F487/C487*100)</f>
        <v>0</v>
      </c>
      <c r="H487" s="23">
        <v>0</v>
      </c>
      <c r="I487" s="36">
        <f>SUM(H487/C487*100)</f>
        <v>0</v>
      </c>
      <c r="J487" s="37">
        <v>0</v>
      </c>
      <c r="K487" s="37">
        <f>I487</f>
        <v>0</v>
      </c>
      <c r="L487" s="172">
        <f t="shared" si="69"/>
        <v>150000000</v>
      </c>
      <c r="M487" s="56"/>
    </row>
    <row r="488" spans="1:13" ht="12.75">
      <c r="A488" s="94"/>
      <c r="B488" s="27"/>
      <c r="C488" s="28"/>
      <c r="D488" s="33"/>
      <c r="E488" s="33"/>
      <c r="F488" s="29"/>
      <c r="G488" s="173"/>
      <c r="H488" s="29"/>
      <c r="I488" s="36"/>
      <c r="J488" s="173"/>
      <c r="K488" s="173"/>
      <c r="L488" s="172">
        <f t="shared" si="69"/>
        <v>0</v>
      </c>
      <c r="M488" s="95"/>
    </row>
    <row r="489" spans="1:13" ht="12.75">
      <c r="A489" s="96">
        <v>5</v>
      </c>
      <c r="B489" s="97" t="s">
        <v>56</v>
      </c>
      <c r="C489" s="48">
        <f>SUM(C490:C501)</f>
        <v>1208500000</v>
      </c>
      <c r="D489" s="48">
        <f>D490+D491+D492+D495+D496+D498+D499+D501</f>
        <v>0</v>
      </c>
      <c r="E489" s="48"/>
      <c r="F489" s="174">
        <f>SUM(F490:F501)</f>
        <v>219966548</v>
      </c>
      <c r="G489" s="175">
        <f>SUM(F489/C489*100)</f>
        <v>18.201617542407945</v>
      </c>
      <c r="H489" s="174">
        <f>SUM(H490:H501)</f>
        <v>219966548</v>
      </c>
      <c r="I489" s="65">
        <f>SUM(H489/C489*100)</f>
        <v>18.201617542407945</v>
      </c>
      <c r="J489" s="174">
        <f>SUM(J490+J491+J492+J493+J494+J495+J496+J498+J499+J500+J501)/12</f>
        <v>2.5833333333333335</v>
      </c>
      <c r="K489" s="174">
        <f>(K490+K491+K492+K493+K494+K495+K496+K498+K499+K500+K501)/11</f>
        <v>19.48517401994119</v>
      </c>
      <c r="L489" s="172">
        <f t="shared" si="69"/>
        <v>988533452</v>
      </c>
      <c r="M489" s="95"/>
    </row>
    <row r="490" spans="1:13" ht="12.75">
      <c r="A490" s="55">
        <v>1</v>
      </c>
      <c r="B490" s="73" t="s">
        <v>57</v>
      </c>
      <c r="C490" s="71">
        <v>350000000</v>
      </c>
      <c r="D490" s="71"/>
      <c r="E490" s="32"/>
      <c r="F490" s="71">
        <v>54450300</v>
      </c>
      <c r="G490" s="37">
        <f>SUM(H490/C490*100)</f>
        <v>15.557228571428572</v>
      </c>
      <c r="H490" s="71">
        <v>54450300</v>
      </c>
      <c r="I490" s="36">
        <f>SUM(H490/C490*100)</f>
        <v>15.557228571428572</v>
      </c>
      <c r="J490" s="37">
        <v>3</v>
      </c>
      <c r="K490" s="173">
        <f aca="true" t="shared" si="70" ref="K490:K497">I490</f>
        <v>15.557228571428572</v>
      </c>
      <c r="L490" s="172">
        <f t="shared" si="69"/>
        <v>295549700</v>
      </c>
      <c r="M490" s="56"/>
    </row>
    <row r="491" spans="1:13" ht="12.75">
      <c r="A491" s="55">
        <v>2</v>
      </c>
      <c r="B491" s="98" t="s">
        <v>58</v>
      </c>
      <c r="C491" s="71">
        <v>165000000</v>
      </c>
      <c r="D491" s="37"/>
      <c r="E491" s="32"/>
      <c r="F491" s="71">
        <f>19310000+88882903</f>
        <v>108192903</v>
      </c>
      <c r="G491" s="37">
        <f>SUM(H491/C491*100)</f>
        <v>65.57145636363636</v>
      </c>
      <c r="H491" s="71">
        <f>19310000+88882903</f>
        <v>108192903</v>
      </c>
      <c r="I491" s="36">
        <f aca="true" t="shared" si="71" ref="I491:I501">SUM(H491/C491*100)</f>
        <v>65.57145636363636</v>
      </c>
      <c r="J491" s="37">
        <v>2</v>
      </c>
      <c r="K491" s="173">
        <f t="shared" si="70"/>
        <v>65.57145636363636</v>
      </c>
      <c r="L491" s="172">
        <f aca="true" t="shared" si="72" ref="L491:L513">C491-H491</f>
        <v>56807097</v>
      </c>
      <c r="M491" s="56"/>
    </row>
    <row r="492" spans="1:13" ht="12.75">
      <c r="A492" s="55">
        <v>3</v>
      </c>
      <c r="B492" s="98" t="s">
        <v>59</v>
      </c>
      <c r="C492" s="71">
        <v>50000000</v>
      </c>
      <c r="D492" s="37"/>
      <c r="E492" s="32"/>
      <c r="F492" s="7">
        <f>11250000+3675000</f>
        <v>14925000</v>
      </c>
      <c r="G492" s="37">
        <f>SUM(H492/C492*100)</f>
        <v>29.849999999999998</v>
      </c>
      <c r="H492" s="7">
        <f>11250000+3675000</f>
        <v>14925000</v>
      </c>
      <c r="I492" s="36">
        <f t="shared" si="71"/>
        <v>29.849999999999998</v>
      </c>
      <c r="J492" s="37">
        <v>3</v>
      </c>
      <c r="K492" s="173">
        <f t="shared" si="70"/>
        <v>29.849999999999998</v>
      </c>
      <c r="L492" s="172">
        <f t="shared" si="72"/>
        <v>35075000</v>
      </c>
      <c r="M492" s="56"/>
    </row>
    <row r="493" spans="1:13" ht="12.75">
      <c r="A493" s="55">
        <v>4</v>
      </c>
      <c r="B493" s="73" t="s">
        <v>78</v>
      </c>
      <c r="C493" s="71">
        <v>80000000</v>
      </c>
      <c r="D493" s="37"/>
      <c r="E493" s="32"/>
      <c r="F493" s="7">
        <v>9950000</v>
      </c>
      <c r="G493" s="37">
        <f>SUM(H493/C493*100)</f>
        <v>12.4375</v>
      </c>
      <c r="H493" s="7">
        <v>9950000</v>
      </c>
      <c r="I493" s="36">
        <f t="shared" si="71"/>
        <v>12.4375</v>
      </c>
      <c r="J493" s="37">
        <v>3</v>
      </c>
      <c r="K493" s="173">
        <f t="shared" si="70"/>
        <v>12.4375</v>
      </c>
      <c r="L493" s="172">
        <f t="shared" si="72"/>
        <v>70050000</v>
      </c>
      <c r="M493" s="56"/>
    </row>
    <row r="494" spans="1:13" ht="12.75">
      <c r="A494" s="55">
        <v>5</v>
      </c>
      <c r="B494" s="73" t="s">
        <v>79</v>
      </c>
      <c r="C494" s="71">
        <v>50000000</v>
      </c>
      <c r="D494" s="37"/>
      <c r="E494" s="32"/>
      <c r="F494" s="7">
        <f>1650000+5825000</f>
        <v>7475000</v>
      </c>
      <c r="G494" s="37">
        <f>SUM(H494/C494*100)</f>
        <v>14.95</v>
      </c>
      <c r="H494" s="7">
        <f>1650000+5825000</f>
        <v>7475000</v>
      </c>
      <c r="I494" s="36">
        <f t="shared" si="71"/>
        <v>14.95</v>
      </c>
      <c r="J494" s="37">
        <v>2</v>
      </c>
      <c r="K494" s="173">
        <f t="shared" si="70"/>
        <v>14.95</v>
      </c>
      <c r="L494" s="172">
        <f t="shared" si="72"/>
        <v>42525000</v>
      </c>
      <c r="M494" s="56"/>
    </row>
    <row r="495" spans="1:13" ht="12.75">
      <c r="A495" s="55">
        <v>6</v>
      </c>
      <c r="B495" s="73" t="s">
        <v>60</v>
      </c>
      <c r="C495" s="71">
        <v>50000000</v>
      </c>
      <c r="D495" s="37"/>
      <c r="E495" s="32"/>
      <c r="F495" s="7">
        <v>11098345</v>
      </c>
      <c r="G495" s="37">
        <f>SUM(F495/C495*100)</f>
        <v>22.19669</v>
      </c>
      <c r="H495" s="7">
        <v>11098345</v>
      </c>
      <c r="I495" s="36">
        <f t="shared" si="71"/>
        <v>22.19669</v>
      </c>
      <c r="J495" s="37">
        <v>0</v>
      </c>
      <c r="K495" s="173">
        <f t="shared" si="70"/>
        <v>22.19669</v>
      </c>
      <c r="L495" s="172">
        <f t="shared" si="72"/>
        <v>38901655</v>
      </c>
      <c r="M495" s="56"/>
    </row>
    <row r="496" spans="1:13" ht="12.75">
      <c r="A496" s="76">
        <v>7</v>
      </c>
      <c r="B496" s="122" t="s">
        <v>61</v>
      </c>
      <c r="C496" s="123">
        <v>50000000</v>
      </c>
      <c r="D496" s="115"/>
      <c r="E496" s="109"/>
      <c r="F496" s="124">
        <v>0</v>
      </c>
      <c r="G496" s="115">
        <f>SUM(F496/C496*100)</f>
        <v>0</v>
      </c>
      <c r="H496" s="124">
        <v>0</v>
      </c>
      <c r="I496" s="36">
        <f t="shared" si="71"/>
        <v>0</v>
      </c>
      <c r="J496" s="115">
        <v>10</v>
      </c>
      <c r="K496" s="115">
        <f t="shared" si="70"/>
        <v>0</v>
      </c>
      <c r="L496" s="172">
        <f t="shared" si="72"/>
        <v>50000000</v>
      </c>
      <c r="M496" s="110"/>
    </row>
    <row r="497" spans="1:13" ht="12.75">
      <c r="A497" s="55">
        <v>8</v>
      </c>
      <c r="B497" s="122" t="s">
        <v>85</v>
      </c>
      <c r="C497" s="123">
        <v>156700000</v>
      </c>
      <c r="D497" s="115"/>
      <c r="E497" s="109"/>
      <c r="F497" s="124">
        <v>0</v>
      </c>
      <c r="G497" s="115"/>
      <c r="H497" s="124">
        <v>0</v>
      </c>
      <c r="I497" s="36">
        <f t="shared" si="71"/>
        <v>0</v>
      </c>
      <c r="J497" s="115">
        <v>0</v>
      </c>
      <c r="K497" s="115">
        <f t="shared" si="70"/>
        <v>0</v>
      </c>
      <c r="L497" s="172">
        <f t="shared" si="72"/>
        <v>156700000</v>
      </c>
      <c r="M497" s="110"/>
    </row>
    <row r="498" spans="1:13" ht="25.5">
      <c r="A498" s="76">
        <v>9</v>
      </c>
      <c r="B498" s="73" t="s">
        <v>80</v>
      </c>
      <c r="C498" s="181">
        <v>140000000</v>
      </c>
      <c r="D498" s="182"/>
      <c r="E498" s="183"/>
      <c r="F498" s="181">
        <v>2000000</v>
      </c>
      <c r="G498" s="182">
        <f>SUM(F498/C498*100)</f>
        <v>1.4285714285714286</v>
      </c>
      <c r="H498" s="181">
        <v>2000000</v>
      </c>
      <c r="I498" s="184">
        <f t="shared" si="71"/>
        <v>1.4285714285714286</v>
      </c>
      <c r="J498" s="182">
        <v>0</v>
      </c>
      <c r="K498" s="182">
        <f>I498</f>
        <v>1.4285714285714286</v>
      </c>
      <c r="L498" s="181">
        <f t="shared" si="72"/>
        <v>138000000</v>
      </c>
      <c r="M498" s="56"/>
    </row>
    <row r="499" spans="1:13" ht="12.75">
      <c r="A499" s="55">
        <v>10</v>
      </c>
      <c r="B499" s="73" t="s">
        <v>62</v>
      </c>
      <c r="C499" s="71">
        <v>68300000</v>
      </c>
      <c r="D499" s="71"/>
      <c r="E499" s="32"/>
      <c r="F499" s="7">
        <v>950000</v>
      </c>
      <c r="G499" s="37">
        <f>SUM(F499/C499*100)</f>
        <v>1.390922401171303</v>
      </c>
      <c r="H499" s="7">
        <v>950000</v>
      </c>
      <c r="I499" s="36">
        <f t="shared" si="71"/>
        <v>1.390922401171303</v>
      </c>
      <c r="J499" s="37">
        <v>0</v>
      </c>
      <c r="K499" s="51">
        <f>I499</f>
        <v>1.390922401171303</v>
      </c>
      <c r="L499" s="172">
        <f t="shared" si="72"/>
        <v>67350000</v>
      </c>
      <c r="M499" s="56"/>
    </row>
    <row r="500" spans="1:13" ht="12.75">
      <c r="A500" s="76">
        <v>11</v>
      </c>
      <c r="B500" s="73" t="s">
        <v>81</v>
      </c>
      <c r="C500" s="38">
        <v>27500000</v>
      </c>
      <c r="D500" s="71"/>
      <c r="E500" s="32"/>
      <c r="F500" s="7">
        <v>950000</v>
      </c>
      <c r="G500" s="37">
        <v>0</v>
      </c>
      <c r="H500" s="7">
        <v>950000</v>
      </c>
      <c r="I500" s="36">
        <f t="shared" si="71"/>
        <v>3.4545454545454546</v>
      </c>
      <c r="J500" s="37">
        <v>3</v>
      </c>
      <c r="K500" s="37">
        <f>I500</f>
        <v>3.4545454545454546</v>
      </c>
      <c r="L500" s="172">
        <f t="shared" si="72"/>
        <v>26550000</v>
      </c>
      <c r="M500" s="56"/>
    </row>
    <row r="501" spans="1:13" ht="12.75">
      <c r="A501" s="55">
        <v>12</v>
      </c>
      <c r="B501" s="73" t="s">
        <v>55</v>
      </c>
      <c r="C501" s="38">
        <v>21000000</v>
      </c>
      <c r="D501" s="71"/>
      <c r="E501" s="32"/>
      <c r="F501" s="7">
        <v>9975000</v>
      </c>
      <c r="G501" s="37">
        <v>0</v>
      </c>
      <c r="H501" s="7">
        <v>9975000</v>
      </c>
      <c r="I501" s="36">
        <f t="shared" si="71"/>
        <v>47.5</v>
      </c>
      <c r="J501" s="37">
        <v>5</v>
      </c>
      <c r="K501" s="37">
        <f>I501</f>
        <v>47.5</v>
      </c>
      <c r="L501" s="172">
        <f t="shared" si="72"/>
        <v>11025000</v>
      </c>
      <c r="M501" s="56"/>
    </row>
    <row r="502" spans="1:13" ht="12.75">
      <c r="A502" s="100"/>
      <c r="B502" s="125"/>
      <c r="C502" s="22"/>
      <c r="D502" s="32"/>
      <c r="E502" s="32"/>
      <c r="F502" s="23"/>
      <c r="G502" s="7"/>
      <c r="H502" s="23"/>
      <c r="I502" s="7"/>
      <c r="J502" s="145"/>
      <c r="K502" s="145"/>
      <c r="L502" s="172">
        <f t="shared" si="72"/>
        <v>0</v>
      </c>
      <c r="M502" s="56"/>
    </row>
    <row r="503" spans="1:13" ht="12.75">
      <c r="A503" s="111">
        <v>6</v>
      </c>
      <c r="B503" s="97" t="s">
        <v>63</v>
      </c>
      <c r="C503" s="48">
        <f>C504+C505+C506</f>
        <v>340000000</v>
      </c>
      <c r="D503" s="48">
        <f>D504+D505+D506</f>
        <v>0</v>
      </c>
      <c r="E503" s="48"/>
      <c r="F503" s="174">
        <f>SUM(F504:F506)</f>
        <v>211044000</v>
      </c>
      <c r="G503" s="65">
        <f>F503/C503*100</f>
        <v>62.07176470588235</v>
      </c>
      <c r="H503" s="174">
        <f>SUM(H504:H506)</f>
        <v>211044000</v>
      </c>
      <c r="I503" s="65">
        <f>SUM(H503/C503*100)</f>
        <v>62.07176470588235</v>
      </c>
      <c r="J503" s="174">
        <f>(J504+J505+J506)/3</f>
        <v>9</v>
      </c>
      <c r="K503" s="174">
        <f>(K504+K505+K506)/4</f>
        <v>52.117256302521014</v>
      </c>
      <c r="L503" s="172">
        <f t="shared" si="72"/>
        <v>128956000</v>
      </c>
      <c r="M503" s="95"/>
    </row>
    <row r="504" spans="1:13" ht="12.75">
      <c r="A504" s="55">
        <v>1</v>
      </c>
      <c r="B504" s="73" t="s">
        <v>64</v>
      </c>
      <c r="C504" s="38">
        <v>50000000</v>
      </c>
      <c r="D504" s="38"/>
      <c r="E504" s="32"/>
      <c r="F504" s="38">
        <f>32373000+1050000</f>
        <v>33423000</v>
      </c>
      <c r="G504" s="37">
        <f>SUM(F504/C504*100)</f>
        <v>66.846</v>
      </c>
      <c r="H504" s="38">
        <f>32373000+1050000</f>
        <v>33423000</v>
      </c>
      <c r="I504" s="36">
        <f>SUM(H504/C504*100)</f>
        <v>66.846</v>
      </c>
      <c r="J504" s="176">
        <v>8</v>
      </c>
      <c r="K504" s="173">
        <f>I504</f>
        <v>66.846</v>
      </c>
      <c r="L504" s="172">
        <f t="shared" si="72"/>
        <v>16577000</v>
      </c>
      <c r="M504" s="56"/>
    </row>
    <row r="505" spans="1:13" ht="12.75">
      <c r="A505" s="55">
        <v>2</v>
      </c>
      <c r="B505" s="73" t="s">
        <v>65</v>
      </c>
      <c r="C505" s="38">
        <v>35000000</v>
      </c>
      <c r="D505" s="32"/>
      <c r="E505" s="32"/>
      <c r="F505" s="38">
        <f>8946000+20250000</f>
        <v>29196000</v>
      </c>
      <c r="G505" s="37">
        <f>SUM(F505/C505*100)</f>
        <v>83.41714285714286</v>
      </c>
      <c r="H505" s="38">
        <f>8946000+20250000</f>
        <v>29196000</v>
      </c>
      <c r="I505" s="50">
        <f>SUM(H505/C505*100)</f>
        <v>83.41714285714286</v>
      </c>
      <c r="J505" s="176">
        <v>9</v>
      </c>
      <c r="K505" s="173">
        <f>I505</f>
        <v>83.41714285714286</v>
      </c>
      <c r="L505" s="172">
        <f t="shared" si="72"/>
        <v>5804000</v>
      </c>
      <c r="M505" s="56"/>
    </row>
    <row r="506" spans="1:13" ht="12.75">
      <c r="A506" s="55">
        <v>3</v>
      </c>
      <c r="B506" s="73" t="s">
        <v>66</v>
      </c>
      <c r="C506" s="71">
        <v>255000000</v>
      </c>
      <c r="D506" s="71"/>
      <c r="E506" s="99"/>
      <c r="F506" s="71">
        <v>148425000</v>
      </c>
      <c r="G506" s="37">
        <f>SUM(F506/C506*100)</f>
        <v>58.205882352941174</v>
      </c>
      <c r="H506" s="71">
        <v>148425000</v>
      </c>
      <c r="I506" s="36">
        <f>SUM(H506/C506*100)</f>
        <v>58.205882352941174</v>
      </c>
      <c r="J506" s="177">
        <v>10</v>
      </c>
      <c r="K506" s="173">
        <f>I506</f>
        <v>58.205882352941174</v>
      </c>
      <c r="L506" s="172">
        <f t="shared" si="72"/>
        <v>106575000</v>
      </c>
      <c r="M506" s="56"/>
    </row>
    <row r="507" spans="1:13" ht="12.75">
      <c r="A507" s="94"/>
      <c r="B507" s="132"/>
      <c r="C507" s="133"/>
      <c r="D507" s="133"/>
      <c r="E507" s="134"/>
      <c r="F507" s="133"/>
      <c r="G507" s="173"/>
      <c r="H507" s="133"/>
      <c r="I507" s="36"/>
      <c r="J507" s="178"/>
      <c r="K507" s="173"/>
      <c r="L507" s="172">
        <f t="shared" si="72"/>
        <v>0</v>
      </c>
      <c r="M507" s="95"/>
    </row>
    <row r="508" spans="1:13" ht="12.75">
      <c r="A508" s="111">
        <v>7</v>
      </c>
      <c r="B508" s="97" t="s">
        <v>67</v>
      </c>
      <c r="C508" s="48">
        <f>C509+C510</f>
        <v>520000000</v>
      </c>
      <c r="D508" s="48">
        <f>D509+D510</f>
        <v>0</v>
      </c>
      <c r="E508" s="48"/>
      <c r="F508" s="174">
        <f>F509+F510</f>
        <v>0</v>
      </c>
      <c r="G508" s="65">
        <f>F508/C508*100</f>
        <v>0</v>
      </c>
      <c r="H508" s="174">
        <f>H509+H510</f>
        <v>0</v>
      </c>
      <c r="I508" s="65">
        <f>H508/C508*100</f>
        <v>0</v>
      </c>
      <c r="J508" s="174">
        <f>(J509+J510)/2</f>
        <v>7.5</v>
      </c>
      <c r="K508" s="174">
        <f>(K509+K510)/2</f>
        <v>0</v>
      </c>
      <c r="L508" s="172">
        <f t="shared" si="72"/>
        <v>520000000</v>
      </c>
      <c r="M508" s="95"/>
    </row>
    <row r="509" spans="1:13" ht="12.75">
      <c r="A509" s="100">
        <v>1</v>
      </c>
      <c r="B509" s="73" t="s">
        <v>68</v>
      </c>
      <c r="C509" s="71">
        <v>100000000</v>
      </c>
      <c r="D509" s="71"/>
      <c r="E509" s="32"/>
      <c r="F509" s="71">
        <v>0</v>
      </c>
      <c r="G509" s="7">
        <f>F509/C509*100</f>
        <v>0</v>
      </c>
      <c r="H509" s="71">
        <v>0</v>
      </c>
      <c r="I509" s="7">
        <f>H509/C509*100</f>
        <v>0</v>
      </c>
      <c r="J509" s="7">
        <v>10</v>
      </c>
      <c r="K509" s="7">
        <f>I509</f>
        <v>0</v>
      </c>
      <c r="L509" s="172">
        <f t="shared" si="72"/>
        <v>100000000</v>
      </c>
      <c r="M509" s="37"/>
    </row>
    <row r="510" spans="1:13" ht="12.75">
      <c r="A510" s="100">
        <v>2</v>
      </c>
      <c r="B510" s="73" t="s">
        <v>69</v>
      </c>
      <c r="C510" s="71">
        <v>420000000</v>
      </c>
      <c r="D510" s="71"/>
      <c r="E510" s="32"/>
      <c r="F510" s="71">
        <v>0</v>
      </c>
      <c r="G510" s="7">
        <f>F510/C510*100</f>
        <v>0</v>
      </c>
      <c r="H510" s="71">
        <v>0</v>
      </c>
      <c r="I510" s="7">
        <f>H510/C510*100</f>
        <v>0</v>
      </c>
      <c r="J510" s="7">
        <v>5</v>
      </c>
      <c r="K510" s="7">
        <f>I510</f>
        <v>0</v>
      </c>
      <c r="L510" s="172">
        <f t="shared" si="72"/>
        <v>420000000</v>
      </c>
      <c r="M510" s="56"/>
    </row>
    <row r="511" spans="1:13" ht="12.75">
      <c r="A511" s="100"/>
      <c r="B511" s="98"/>
      <c r="C511" s="71"/>
      <c r="D511" s="32"/>
      <c r="E511" s="32"/>
      <c r="F511" s="7"/>
      <c r="G511" s="7"/>
      <c r="H511" s="7"/>
      <c r="I511" s="7"/>
      <c r="J511" s="7"/>
      <c r="K511" s="145"/>
      <c r="L511" s="172">
        <f t="shared" si="72"/>
        <v>0</v>
      </c>
      <c r="M511" s="56"/>
    </row>
    <row r="512" spans="1:13" ht="12.75">
      <c r="A512" s="93">
        <v>8</v>
      </c>
      <c r="B512" s="69" t="s">
        <v>70</v>
      </c>
      <c r="C512" s="39">
        <f>SUM(C513:C513)</f>
        <v>100000000</v>
      </c>
      <c r="D512" s="39">
        <f>SUM(D513:D513)</f>
        <v>0</v>
      </c>
      <c r="E512" s="39"/>
      <c r="F512" s="179">
        <f>SUM(F513:F513)</f>
        <v>0</v>
      </c>
      <c r="G512" s="145">
        <f>F512/C512*100</f>
        <v>0</v>
      </c>
      <c r="H512" s="179">
        <f>SUM(H513:H513)</f>
        <v>0</v>
      </c>
      <c r="I512" s="145">
        <f>H512/C512*100</f>
        <v>0</v>
      </c>
      <c r="J512" s="145">
        <f>J513</f>
        <v>0</v>
      </c>
      <c r="K512" s="145">
        <v>0</v>
      </c>
      <c r="L512" s="172">
        <f t="shared" si="72"/>
        <v>100000000</v>
      </c>
      <c r="M512" s="56"/>
    </row>
    <row r="513" spans="1:13" ht="12.75">
      <c r="A513" s="101"/>
      <c r="B513" s="52" t="s">
        <v>71</v>
      </c>
      <c r="C513" s="53">
        <v>100000000</v>
      </c>
      <c r="D513" s="51"/>
      <c r="E513" s="49"/>
      <c r="F513" s="54"/>
      <c r="G513" s="180">
        <f>F513/C513*100</f>
        <v>0</v>
      </c>
      <c r="H513" s="54"/>
      <c r="I513" s="180">
        <f>H513/C513*100</f>
        <v>0</v>
      </c>
      <c r="J513" s="180">
        <v>0</v>
      </c>
      <c r="K513" s="180">
        <f>I513</f>
        <v>0</v>
      </c>
      <c r="L513" s="172">
        <f t="shared" si="72"/>
        <v>100000000</v>
      </c>
      <c r="M513" s="56"/>
    </row>
    <row r="514" spans="1:13" ht="12.75">
      <c r="A514" s="55"/>
      <c r="B514" s="40"/>
      <c r="C514" s="41"/>
      <c r="D514" s="37"/>
      <c r="E514" s="32"/>
      <c r="F514" s="42"/>
      <c r="G514" s="34"/>
      <c r="H514" s="42"/>
      <c r="I514" s="34"/>
      <c r="J514" s="34"/>
      <c r="K514" s="34"/>
      <c r="L514" s="34"/>
      <c r="M514" s="56"/>
    </row>
    <row r="515" spans="1:13" ht="12.75">
      <c r="A515" s="102"/>
      <c r="B515" s="103"/>
      <c r="C515" s="43">
        <f>C441+C454</f>
        <v>11516999500</v>
      </c>
      <c r="D515" s="43">
        <f>+D441+D454</f>
        <v>0</v>
      </c>
      <c r="E515" s="43">
        <f>E455+E468+E476+E484+E489+E503+E508+E512</f>
        <v>0</v>
      </c>
      <c r="F515" s="43">
        <f>+F441+F454</f>
        <v>2321999810</v>
      </c>
      <c r="G515" s="118">
        <f>SUM(F515/C515*100)</f>
        <v>20.161499616284605</v>
      </c>
      <c r="H515" s="43">
        <f>+H441+H454</f>
        <v>2321999810</v>
      </c>
      <c r="I515" s="119">
        <f>SUM(H515/C515*100)</f>
        <v>20.161499616284605</v>
      </c>
      <c r="J515" s="43">
        <f>+(J441+J454)/2</f>
        <v>9.671875</v>
      </c>
      <c r="K515" s="43">
        <f>+(K441+K454)/2</f>
        <v>31.72248691692728</v>
      </c>
      <c r="L515" s="43">
        <f>L441+L454</f>
        <v>9194999690</v>
      </c>
      <c r="M515" s="104"/>
    </row>
    <row r="516" spans="1:13" ht="12.75">
      <c r="A516" s="126"/>
      <c r="B516" s="127"/>
      <c r="C516" s="128"/>
      <c r="D516" s="128"/>
      <c r="E516" s="128"/>
      <c r="F516" s="128"/>
      <c r="G516" s="129"/>
      <c r="H516" s="128"/>
      <c r="I516" s="130"/>
      <c r="J516" s="128"/>
      <c r="K516" s="128"/>
      <c r="L516" s="128"/>
      <c r="M516" s="131"/>
    </row>
    <row r="517" spans="1:13" ht="12.75">
      <c r="A517" s="126"/>
      <c r="B517" s="127"/>
      <c r="C517" s="128"/>
      <c r="D517" s="128"/>
      <c r="E517" s="128"/>
      <c r="F517" s="128"/>
      <c r="G517" s="129"/>
      <c r="H517" s="128"/>
      <c r="I517" s="130"/>
      <c r="J517" s="128"/>
      <c r="K517" s="128"/>
      <c r="L517" s="128"/>
      <c r="M517" s="131"/>
    </row>
    <row r="518" spans="1:13" ht="12.75">
      <c r="A518" s="127"/>
      <c r="B518" s="135"/>
      <c r="C518" s="136"/>
      <c r="D518" s="60"/>
      <c r="E518" s="137"/>
      <c r="F518" s="44"/>
      <c r="G518" s="46"/>
      <c r="I518" s="117"/>
      <c r="J518" s="117" t="s">
        <v>103</v>
      </c>
      <c r="K518" s="117"/>
      <c r="L518" s="117"/>
      <c r="M518" s="117"/>
    </row>
    <row r="519" spans="1:13" ht="12.75">
      <c r="A519" s="127"/>
      <c r="B519" s="138"/>
      <c r="C519" s="84"/>
      <c r="D519" s="139"/>
      <c r="E519" s="137"/>
      <c r="F519" s="45"/>
      <c r="G519" s="44"/>
      <c r="I519" s="107"/>
      <c r="J519" s="107" t="s">
        <v>73</v>
      </c>
      <c r="K519" s="107"/>
      <c r="L519" s="107"/>
      <c r="M519" s="107"/>
    </row>
    <row r="520" spans="1:13" ht="12.75">
      <c r="A520" s="127"/>
      <c r="B520" s="105" t="s">
        <v>82</v>
      </c>
      <c r="C520" s="106">
        <f>F515/C515*100</f>
        <v>20.161499616284605</v>
      </c>
      <c r="D520" s="60"/>
      <c r="E520" s="136"/>
      <c r="F520" s="44"/>
      <c r="G520" s="46"/>
      <c r="I520" s="107"/>
      <c r="J520" s="107" t="s">
        <v>72</v>
      </c>
      <c r="K520" s="107"/>
      <c r="L520" s="107"/>
      <c r="M520" s="107"/>
    </row>
    <row r="521" spans="1:13" ht="12.75">
      <c r="A521" s="127"/>
      <c r="B521" s="140"/>
      <c r="C521" s="141"/>
      <c r="D521" s="60"/>
      <c r="E521" s="136"/>
      <c r="F521" s="44"/>
      <c r="G521" s="46"/>
      <c r="I521" s="107"/>
      <c r="J521" s="107"/>
      <c r="K521" s="107"/>
      <c r="L521" s="107"/>
      <c r="M521" s="107"/>
    </row>
    <row r="522" spans="1:13" ht="12.75">
      <c r="A522" s="127"/>
      <c r="B522" s="140"/>
      <c r="C522" s="141"/>
      <c r="D522" s="60"/>
      <c r="E522" s="136"/>
      <c r="F522" s="44"/>
      <c r="G522" s="46"/>
      <c r="I522" s="107"/>
      <c r="J522" s="107"/>
      <c r="K522" s="107"/>
      <c r="L522" s="107"/>
      <c r="M522" s="107"/>
    </row>
    <row r="523" spans="1:13" ht="12.75">
      <c r="A523" s="127"/>
      <c r="B523" s="128"/>
      <c r="C523" s="84"/>
      <c r="D523" s="60"/>
      <c r="E523" s="137"/>
      <c r="F523" s="46"/>
      <c r="G523" s="46"/>
      <c r="H523" s="108"/>
      <c r="I523" s="108"/>
      <c r="J523" s="108" t="s">
        <v>74</v>
      </c>
      <c r="M523" s="108"/>
    </row>
    <row r="524" spans="1:13" ht="12.75">
      <c r="A524" s="127"/>
      <c r="B524" s="127"/>
      <c r="C524" s="84"/>
      <c r="D524" s="60"/>
      <c r="E524" s="60"/>
      <c r="F524" s="46"/>
      <c r="G524" s="46"/>
      <c r="H524" s="107"/>
      <c r="I524" s="107"/>
      <c r="J524" s="107" t="s">
        <v>75</v>
      </c>
      <c r="M524" s="107"/>
    </row>
  </sheetData>
  <sheetProtection/>
  <mergeCells count="135">
    <mergeCell ref="L329:L331"/>
    <mergeCell ref="M329:M331"/>
    <mergeCell ref="F330:F331"/>
    <mergeCell ref="G330:G331"/>
    <mergeCell ref="H330:H331"/>
    <mergeCell ref="I330:I331"/>
    <mergeCell ref="J330:J331"/>
    <mergeCell ref="K330:K331"/>
    <mergeCell ref="A323:M323"/>
    <mergeCell ref="A324:M324"/>
    <mergeCell ref="A325:M325"/>
    <mergeCell ref="A329:A331"/>
    <mergeCell ref="B329:B331"/>
    <mergeCell ref="C329:C331"/>
    <mergeCell ref="D329:D331"/>
    <mergeCell ref="E329:E331"/>
    <mergeCell ref="F329:I329"/>
    <mergeCell ref="J329:K329"/>
    <mergeCell ref="J269:K269"/>
    <mergeCell ref="M269:M271"/>
    <mergeCell ref="F270:F271"/>
    <mergeCell ref="G270:G271"/>
    <mergeCell ref="H270:H271"/>
    <mergeCell ref="I270:I271"/>
    <mergeCell ref="J270:J271"/>
    <mergeCell ref="K270:K271"/>
    <mergeCell ref="L269:L271"/>
    <mergeCell ref="A269:A271"/>
    <mergeCell ref="B269:B271"/>
    <mergeCell ref="C269:C271"/>
    <mergeCell ref="D269:D271"/>
    <mergeCell ref="E269:E271"/>
    <mergeCell ref="F269:I269"/>
    <mergeCell ref="L221:L223"/>
    <mergeCell ref="M221:M223"/>
    <mergeCell ref="F222:F223"/>
    <mergeCell ref="G222:G223"/>
    <mergeCell ref="H222:H223"/>
    <mergeCell ref="I222:I223"/>
    <mergeCell ref="J222:J223"/>
    <mergeCell ref="K222:K223"/>
    <mergeCell ref="A215:M215"/>
    <mergeCell ref="A216:M216"/>
    <mergeCell ref="A217:M217"/>
    <mergeCell ref="A221:A223"/>
    <mergeCell ref="B221:B223"/>
    <mergeCell ref="C221:C223"/>
    <mergeCell ref="D221:D223"/>
    <mergeCell ref="E221:E223"/>
    <mergeCell ref="F221:I221"/>
    <mergeCell ref="J221:K221"/>
    <mergeCell ref="J162:K162"/>
    <mergeCell ref="M162:M164"/>
    <mergeCell ref="F163:F164"/>
    <mergeCell ref="G163:G164"/>
    <mergeCell ref="H163:H164"/>
    <mergeCell ref="I163:I164"/>
    <mergeCell ref="J163:J164"/>
    <mergeCell ref="K163:K164"/>
    <mergeCell ref="L162:L164"/>
    <mergeCell ref="A162:A164"/>
    <mergeCell ref="B162:B164"/>
    <mergeCell ref="C162:C164"/>
    <mergeCell ref="D162:D164"/>
    <mergeCell ref="E162:E164"/>
    <mergeCell ref="F162:I162"/>
    <mergeCell ref="L114:L116"/>
    <mergeCell ref="M114:M116"/>
    <mergeCell ref="F115:F116"/>
    <mergeCell ref="G115:G116"/>
    <mergeCell ref="H115:H116"/>
    <mergeCell ref="I115:I116"/>
    <mergeCell ref="J115:J116"/>
    <mergeCell ref="K115:K116"/>
    <mergeCell ref="A108:M108"/>
    <mergeCell ref="A109:M109"/>
    <mergeCell ref="A110:M110"/>
    <mergeCell ref="A114:A116"/>
    <mergeCell ref="B114:B116"/>
    <mergeCell ref="C114:C116"/>
    <mergeCell ref="D114:D116"/>
    <mergeCell ref="E114:E116"/>
    <mergeCell ref="F114:I114"/>
    <mergeCell ref="J114:K114"/>
    <mergeCell ref="M55:M57"/>
    <mergeCell ref="F56:F57"/>
    <mergeCell ref="G56:G57"/>
    <mergeCell ref="H56:H57"/>
    <mergeCell ref="I56:I57"/>
    <mergeCell ref="J56:J57"/>
    <mergeCell ref="K56:K57"/>
    <mergeCell ref="L55:L57"/>
    <mergeCell ref="A55:A57"/>
    <mergeCell ref="B55:B57"/>
    <mergeCell ref="C55:C57"/>
    <mergeCell ref="D55:D57"/>
    <mergeCell ref="E55:E57"/>
    <mergeCell ref="L7:L9"/>
    <mergeCell ref="F55:I55"/>
    <mergeCell ref="J55:K55"/>
    <mergeCell ref="M7:M9"/>
    <mergeCell ref="F8:F9"/>
    <mergeCell ref="G8:G9"/>
    <mergeCell ref="H8:H9"/>
    <mergeCell ref="I8:I9"/>
    <mergeCell ref="J8:J9"/>
    <mergeCell ref="K8:K9"/>
    <mergeCell ref="A1:M1"/>
    <mergeCell ref="A2:M2"/>
    <mergeCell ref="A3:M3"/>
    <mergeCell ref="A7:A9"/>
    <mergeCell ref="B7:B9"/>
    <mergeCell ref="C7:C9"/>
    <mergeCell ref="D7:D9"/>
    <mergeCell ref="E7:E9"/>
    <mergeCell ref="F7:I7"/>
    <mergeCell ref="J7:K7"/>
    <mergeCell ref="A430:M430"/>
    <mergeCell ref="A431:M431"/>
    <mergeCell ref="A432:M432"/>
    <mergeCell ref="A436:A438"/>
    <mergeCell ref="B436:B438"/>
    <mergeCell ref="C436:C438"/>
    <mergeCell ref="D436:D438"/>
    <mergeCell ref="E436:E438"/>
    <mergeCell ref="F436:I436"/>
    <mergeCell ref="J436:K436"/>
    <mergeCell ref="L436:L438"/>
    <mergeCell ref="M436:M438"/>
    <mergeCell ref="F437:F438"/>
    <mergeCell ref="G437:G438"/>
    <mergeCell ref="H437:H438"/>
    <mergeCell ref="I437:I438"/>
    <mergeCell ref="J437:J438"/>
    <mergeCell ref="K437:K438"/>
  </mergeCells>
  <printOptions horizontalCentered="1"/>
  <pageMargins left="0.14" right="0.2" top="0.25" bottom="0.21" header="0.23" footer="0.21"/>
  <pageSetup horizontalDpi="300" verticalDpi="300" orientation="landscape" paperSize="5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13">
      <selection activeCell="G109" sqref="G109"/>
    </sheetView>
  </sheetViews>
  <sheetFormatPr defaultColWidth="9.140625" defaultRowHeight="12.75"/>
  <cols>
    <col min="1" max="1" width="5.140625" style="0" customWidth="1"/>
    <col min="2" max="2" width="41.28125" style="0" customWidth="1"/>
    <col min="3" max="3" width="14.421875" style="0" customWidth="1"/>
    <col min="4" max="4" width="11.7109375" style="0" customWidth="1"/>
    <col min="5" max="5" width="14.8515625" style="0" customWidth="1"/>
    <col min="6" max="6" width="11.00390625" style="0" customWidth="1"/>
    <col min="7" max="7" width="13.00390625" style="0" customWidth="1"/>
    <col min="8" max="8" width="15.00390625" style="0" customWidth="1"/>
    <col min="9" max="9" width="7.7109375" style="0" customWidth="1"/>
    <col min="10" max="10" width="14.28125" style="0" customWidth="1"/>
    <col min="11" max="11" width="7.421875" style="0" customWidth="1"/>
    <col min="12" max="12" width="7.140625" style="298" customWidth="1"/>
    <col min="13" max="13" width="7.421875" style="0" customWidth="1"/>
    <col min="14" max="14" width="15.421875" style="0" customWidth="1"/>
    <col min="15" max="15" width="15.8515625" style="0" customWidth="1"/>
  </cols>
  <sheetData>
    <row r="1" spans="1:14" ht="15.75">
      <c r="A1" s="811" t="s">
        <v>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</row>
    <row r="2" spans="1:14" ht="12.75">
      <c r="A2" s="812" t="s">
        <v>83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</row>
    <row r="3" spans="1:14" ht="12.75">
      <c r="A3" s="832" t="s">
        <v>77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</row>
    <row r="4" spans="1:14" ht="12.75">
      <c r="A4" s="558" t="s">
        <v>1</v>
      </c>
      <c r="B4" s="558"/>
      <c r="C4" s="59"/>
      <c r="D4" s="188"/>
      <c r="E4" s="59"/>
      <c r="F4" s="188"/>
      <c r="G4" s="225"/>
      <c r="H4" s="59"/>
      <c r="I4" s="59"/>
      <c r="J4" s="59"/>
      <c r="K4" s="59"/>
      <c r="L4" s="709"/>
      <c r="M4" s="59"/>
      <c r="N4" s="59"/>
    </row>
    <row r="5" spans="1:14" ht="12.75">
      <c r="A5" s="833" t="s">
        <v>177</v>
      </c>
      <c r="B5" s="833"/>
      <c r="C5" s="59"/>
      <c r="D5" s="188"/>
      <c r="E5" s="59"/>
      <c r="F5" s="188"/>
      <c r="G5" s="225"/>
      <c r="H5" s="59"/>
      <c r="I5" s="59"/>
      <c r="J5" s="59"/>
      <c r="K5" s="59"/>
      <c r="L5" s="709"/>
      <c r="M5" s="59"/>
      <c r="N5" s="59"/>
    </row>
    <row r="6" spans="1:14" ht="12.75">
      <c r="A6" s="59"/>
      <c r="B6" s="1"/>
      <c r="C6" s="1"/>
      <c r="D6" s="187"/>
      <c r="E6" s="1"/>
      <c r="F6" s="187"/>
      <c r="G6" s="224"/>
      <c r="H6" s="1"/>
      <c r="I6" s="252"/>
      <c r="J6" s="1"/>
      <c r="K6" s="1"/>
      <c r="L6" s="142"/>
      <c r="M6" s="1"/>
      <c r="N6" s="1"/>
    </row>
    <row r="7" spans="1:15" ht="12.75">
      <c r="A7" s="808" t="s">
        <v>2</v>
      </c>
      <c r="B7" s="808" t="s">
        <v>3</v>
      </c>
      <c r="C7" s="808" t="s">
        <v>168</v>
      </c>
      <c r="D7" s="820" t="s">
        <v>104</v>
      </c>
      <c r="E7" s="808" t="s">
        <v>5</v>
      </c>
      <c r="F7" s="820" t="s">
        <v>6</v>
      </c>
      <c r="G7" s="824" t="s">
        <v>105</v>
      </c>
      <c r="H7" s="816" t="s">
        <v>7</v>
      </c>
      <c r="I7" s="817"/>
      <c r="J7" s="817"/>
      <c r="K7" s="818"/>
      <c r="L7" s="816" t="s">
        <v>8</v>
      </c>
      <c r="M7" s="818"/>
      <c r="N7" s="805" t="s">
        <v>87</v>
      </c>
      <c r="O7" s="827" t="s">
        <v>9</v>
      </c>
    </row>
    <row r="8" spans="1:15" ht="12.75">
      <c r="A8" s="806"/>
      <c r="B8" s="806"/>
      <c r="C8" s="806"/>
      <c r="D8" s="821"/>
      <c r="E8" s="814"/>
      <c r="F8" s="821"/>
      <c r="G8" s="825"/>
      <c r="H8" s="809" t="s">
        <v>10</v>
      </c>
      <c r="I8" s="808" t="s">
        <v>11</v>
      </c>
      <c r="J8" s="808" t="s">
        <v>12</v>
      </c>
      <c r="K8" s="808" t="s">
        <v>11</v>
      </c>
      <c r="L8" s="834" t="s">
        <v>13</v>
      </c>
      <c r="M8" s="820" t="s">
        <v>14</v>
      </c>
      <c r="N8" s="806"/>
      <c r="O8" s="828"/>
    </row>
    <row r="9" spans="1:15" ht="12.75">
      <c r="A9" s="807"/>
      <c r="B9" s="807"/>
      <c r="C9" s="807"/>
      <c r="D9" s="822"/>
      <c r="E9" s="815"/>
      <c r="F9" s="822"/>
      <c r="G9" s="826"/>
      <c r="H9" s="810"/>
      <c r="I9" s="807"/>
      <c r="J9" s="807"/>
      <c r="K9" s="807"/>
      <c r="L9" s="835"/>
      <c r="M9" s="822"/>
      <c r="N9" s="807"/>
      <c r="O9" s="828"/>
    </row>
    <row r="10" spans="1:15" ht="12.75">
      <c r="A10" s="2">
        <v>1</v>
      </c>
      <c r="B10" s="2">
        <v>2</v>
      </c>
      <c r="C10" s="2">
        <v>3</v>
      </c>
      <c r="D10" s="189"/>
      <c r="E10" s="2">
        <v>4</v>
      </c>
      <c r="F10" s="189">
        <v>5</v>
      </c>
      <c r="G10" s="226"/>
      <c r="H10" s="2">
        <v>6</v>
      </c>
      <c r="I10" s="2">
        <v>7</v>
      </c>
      <c r="J10" s="2">
        <v>8</v>
      </c>
      <c r="K10" s="2">
        <v>9</v>
      </c>
      <c r="L10" s="710">
        <v>10</v>
      </c>
      <c r="M10" s="2">
        <v>11</v>
      </c>
      <c r="N10" s="2">
        <v>12</v>
      </c>
      <c r="O10" s="2">
        <v>13</v>
      </c>
    </row>
    <row r="11" spans="1:15" s="703" customFormat="1" ht="12" customHeight="1">
      <c r="A11" s="693" t="s">
        <v>15</v>
      </c>
      <c r="B11" s="694" t="s">
        <v>16</v>
      </c>
      <c r="C11" s="704">
        <f>SUM(C12:C23)</f>
        <v>3388193000</v>
      </c>
      <c r="D11" s="705"/>
      <c r="E11" s="706"/>
      <c r="F11" s="707"/>
      <c r="G11" s="698"/>
      <c r="H11" s="704">
        <f>SUM(H12:H23)</f>
        <v>2479790779</v>
      </c>
      <c r="I11" s="728">
        <f>+H11/C11*100</f>
        <v>73.1891831132406</v>
      </c>
      <c r="J11" s="704">
        <f>SUM(J12:J23)</f>
        <v>2479790779</v>
      </c>
      <c r="K11" s="729">
        <f>+J11/C11*100</f>
        <v>73.1891831132406</v>
      </c>
      <c r="L11" s="730">
        <v>100</v>
      </c>
      <c r="M11" s="701">
        <f>+J11/C11*100</f>
        <v>73.1891831132406</v>
      </c>
      <c r="N11" s="704">
        <f>SUM(N12:N23)</f>
        <v>908402221</v>
      </c>
      <c r="O11" s="708" t="s">
        <v>157</v>
      </c>
    </row>
    <row r="12" spans="1:15" ht="12" customHeight="1">
      <c r="A12" s="63">
        <v>1</v>
      </c>
      <c r="B12" s="47" t="s">
        <v>17</v>
      </c>
      <c r="C12" s="5">
        <v>1903195515</v>
      </c>
      <c r="D12" s="211"/>
      <c r="E12" s="63"/>
      <c r="F12" s="192"/>
      <c r="G12" s="228"/>
      <c r="H12" s="114">
        <v>1479729115</v>
      </c>
      <c r="I12" s="340">
        <f>+H12/C12*100</f>
        <v>77.74971637635454</v>
      </c>
      <c r="J12" s="114">
        <v>1479729115</v>
      </c>
      <c r="K12" s="71">
        <f>+J12/C12*100</f>
        <v>77.74971637635454</v>
      </c>
      <c r="L12" s="712">
        <v>100</v>
      </c>
      <c r="M12" s="296">
        <f>+J12/C12*100</f>
        <v>77.74971637635454</v>
      </c>
      <c r="N12" s="37">
        <f>C12-J12</f>
        <v>423466400</v>
      </c>
      <c r="O12" s="344" t="s">
        <v>157</v>
      </c>
    </row>
    <row r="13" spans="1:15" ht="12" customHeight="1">
      <c r="A13" s="63">
        <v>2</v>
      </c>
      <c r="B13" s="47" t="s">
        <v>18</v>
      </c>
      <c r="C13" s="5">
        <v>195258530</v>
      </c>
      <c r="D13" s="211"/>
      <c r="E13" s="63"/>
      <c r="F13" s="192"/>
      <c r="G13" s="228"/>
      <c r="H13" s="5">
        <v>165867854</v>
      </c>
      <c r="I13" s="340">
        <f aca="true" t="shared" si="0" ref="I13:I23">+H13/C13*100</f>
        <v>84.9478145717885</v>
      </c>
      <c r="J13" s="5">
        <v>165867854</v>
      </c>
      <c r="K13" s="71">
        <f aca="true" t="shared" si="1" ref="K13:K23">+J13/C13*100</f>
        <v>84.9478145717885</v>
      </c>
      <c r="L13" s="712">
        <v>100</v>
      </c>
      <c r="M13" s="296">
        <f aca="true" t="shared" si="2" ref="M13:M23">+J13/C13*100</f>
        <v>84.9478145717885</v>
      </c>
      <c r="N13" s="37">
        <f>C13-J13</f>
        <v>29390676</v>
      </c>
      <c r="O13" s="344" t="s">
        <v>157</v>
      </c>
    </row>
    <row r="14" spans="1:15" ht="12" customHeight="1">
      <c r="A14" s="63">
        <v>3</v>
      </c>
      <c r="B14" s="47" t="s">
        <v>19</v>
      </c>
      <c r="C14" s="5">
        <v>160050000</v>
      </c>
      <c r="D14" s="211"/>
      <c r="E14" s="63"/>
      <c r="F14" s="192"/>
      <c r="G14" s="228"/>
      <c r="H14" s="5">
        <v>136800000</v>
      </c>
      <c r="I14" s="340">
        <f t="shared" si="0"/>
        <v>85.47328959700093</v>
      </c>
      <c r="J14" s="5">
        <v>136800000</v>
      </c>
      <c r="K14" s="71">
        <f t="shared" si="1"/>
        <v>85.47328959700093</v>
      </c>
      <c r="L14" s="712">
        <v>100</v>
      </c>
      <c r="M14" s="296">
        <f t="shared" si="2"/>
        <v>85.47328959700093</v>
      </c>
      <c r="N14" s="37">
        <f>C14-J14</f>
        <v>23250000</v>
      </c>
      <c r="O14" s="344" t="s">
        <v>157</v>
      </c>
    </row>
    <row r="15" spans="1:15" ht="12" customHeight="1">
      <c r="A15" s="63">
        <v>4</v>
      </c>
      <c r="B15" s="47" t="s">
        <v>139</v>
      </c>
      <c r="C15" s="364">
        <v>5100000</v>
      </c>
      <c r="D15" s="211"/>
      <c r="E15" s="63"/>
      <c r="F15" s="192"/>
      <c r="G15" s="228"/>
      <c r="H15" s="5">
        <v>3400000</v>
      </c>
      <c r="I15" s="340">
        <f t="shared" si="0"/>
        <v>66.66666666666666</v>
      </c>
      <c r="J15" s="5">
        <v>3400000</v>
      </c>
      <c r="K15" s="71">
        <f t="shared" si="1"/>
        <v>66.66666666666666</v>
      </c>
      <c r="L15" s="712">
        <v>100</v>
      </c>
      <c r="M15" s="296">
        <f t="shared" si="2"/>
        <v>66.66666666666666</v>
      </c>
      <c r="N15" s="37">
        <f>C15-J15</f>
        <v>1700000</v>
      </c>
      <c r="O15" s="344" t="s">
        <v>157</v>
      </c>
    </row>
    <row r="16" spans="1:15" ht="12" customHeight="1">
      <c r="A16" s="63">
        <v>5</v>
      </c>
      <c r="B16" s="47" t="s">
        <v>20</v>
      </c>
      <c r="C16" s="5">
        <v>58220000</v>
      </c>
      <c r="D16" s="211"/>
      <c r="E16" s="63"/>
      <c r="F16" s="192"/>
      <c r="G16" s="228"/>
      <c r="H16" s="5">
        <v>49310000</v>
      </c>
      <c r="I16" s="340">
        <f t="shared" si="0"/>
        <v>84.69598076262453</v>
      </c>
      <c r="J16" s="5">
        <v>49310000</v>
      </c>
      <c r="K16" s="71">
        <f t="shared" si="1"/>
        <v>84.69598076262453</v>
      </c>
      <c r="L16" s="712">
        <v>100</v>
      </c>
      <c r="M16" s="296">
        <f t="shared" si="2"/>
        <v>84.69598076262453</v>
      </c>
      <c r="N16" s="37">
        <f aca="true" t="shared" si="3" ref="N16:N23">C16-J16</f>
        <v>8910000</v>
      </c>
      <c r="O16" s="344" t="s">
        <v>157</v>
      </c>
    </row>
    <row r="17" spans="1:15" ht="12" customHeight="1">
      <c r="A17" s="63">
        <v>6</v>
      </c>
      <c r="B17" s="47" t="s">
        <v>21</v>
      </c>
      <c r="C17" s="5">
        <v>104791740</v>
      </c>
      <c r="D17" s="211"/>
      <c r="E17" s="63"/>
      <c r="F17" s="192"/>
      <c r="G17" s="228"/>
      <c r="H17" s="5">
        <v>85745280</v>
      </c>
      <c r="I17" s="340">
        <f t="shared" si="0"/>
        <v>81.82446440912233</v>
      </c>
      <c r="J17" s="5">
        <v>85745280</v>
      </c>
      <c r="K17" s="71">
        <f t="shared" si="1"/>
        <v>81.82446440912233</v>
      </c>
      <c r="L17" s="712">
        <v>100</v>
      </c>
      <c r="M17" s="296">
        <f t="shared" si="2"/>
        <v>81.82446440912233</v>
      </c>
      <c r="N17" s="37">
        <f t="shared" si="3"/>
        <v>19046460</v>
      </c>
      <c r="O17" s="344" t="s">
        <v>157</v>
      </c>
    </row>
    <row r="18" spans="1:15" ht="12" customHeight="1">
      <c r="A18" s="63">
        <v>7</v>
      </c>
      <c r="B18" s="47" t="s">
        <v>22</v>
      </c>
      <c r="C18" s="5">
        <v>9937670</v>
      </c>
      <c r="D18" s="211"/>
      <c r="E18" s="63"/>
      <c r="F18" s="192"/>
      <c r="G18" s="228"/>
      <c r="H18" s="5">
        <v>8425090</v>
      </c>
      <c r="I18" s="340">
        <f t="shared" si="0"/>
        <v>84.77932956115468</v>
      </c>
      <c r="J18" s="5">
        <v>8425090</v>
      </c>
      <c r="K18" s="71">
        <f t="shared" si="1"/>
        <v>84.77932956115468</v>
      </c>
      <c r="L18" s="712">
        <v>100</v>
      </c>
      <c r="M18" s="296">
        <f t="shared" si="2"/>
        <v>84.77932956115468</v>
      </c>
      <c r="N18" s="37">
        <f t="shared" si="3"/>
        <v>1512580</v>
      </c>
      <c r="O18" s="344" t="s">
        <v>157</v>
      </c>
    </row>
    <row r="19" spans="1:15" ht="12" customHeight="1">
      <c r="A19" s="63">
        <v>8</v>
      </c>
      <c r="B19" s="47" t="s">
        <v>23</v>
      </c>
      <c r="C19" s="5">
        <v>31249</v>
      </c>
      <c r="D19" s="211"/>
      <c r="E19" s="63"/>
      <c r="F19" s="192"/>
      <c r="G19" s="228"/>
      <c r="H19" s="5">
        <v>26313</v>
      </c>
      <c r="I19" s="340">
        <f t="shared" si="0"/>
        <v>84.2042945374252</v>
      </c>
      <c r="J19" s="5">
        <v>26313</v>
      </c>
      <c r="K19" s="71">
        <f t="shared" si="1"/>
        <v>84.2042945374252</v>
      </c>
      <c r="L19" s="712">
        <v>100</v>
      </c>
      <c r="M19" s="296">
        <f t="shared" si="2"/>
        <v>84.2042945374252</v>
      </c>
      <c r="N19" s="37">
        <f t="shared" si="3"/>
        <v>4936</v>
      </c>
      <c r="O19" s="344" t="s">
        <v>157</v>
      </c>
    </row>
    <row r="20" spans="1:15" ht="12" customHeight="1">
      <c r="A20" s="63">
        <v>9</v>
      </c>
      <c r="B20" s="47" t="s">
        <v>24</v>
      </c>
      <c r="C20" s="5">
        <v>49247899</v>
      </c>
      <c r="D20" s="211"/>
      <c r="E20" s="63"/>
      <c r="F20" s="192"/>
      <c r="G20" s="228"/>
      <c r="H20" s="5">
        <v>40642187</v>
      </c>
      <c r="I20" s="340">
        <f t="shared" si="0"/>
        <v>82.5257276457621</v>
      </c>
      <c r="J20" s="5">
        <v>40642187</v>
      </c>
      <c r="K20" s="71">
        <f t="shared" si="1"/>
        <v>82.5257276457621</v>
      </c>
      <c r="L20" s="712">
        <v>100</v>
      </c>
      <c r="M20" s="296">
        <f t="shared" si="2"/>
        <v>82.5257276457621</v>
      </c>
      <c r="N20" s="37">
        <f t="shared" si="3"/>
        <v>8605712</v>
      </c>
      <c r="O20" s="344" t="s">
        <v>157</v>
      </c>
    </row>
    <row r="21" spans="1:15" ht="12" customHeight="1">
      <c r="A21" s="63">
        <v>10</v>
      </c>
      <c r="B21" s="47" t="s">
        <v>25</v>
      </c>
      <c r="C21" s="5">
        <v>3541854</v>
      </c>
      <c r="D21" s="211"/>
      <c r="E21" s="63"/>
      <c r="F21" s="192"/>
      <c r="G21" s="228"/>
      <c r="H21" s="5">
        <v>2913115</v>
      </c>
      <c r="I21" s="340">
        <f t="shared" si="0"/>
        <v>82.24830837183012</v>
      </c>
      <c r="J21" s="5">
        <v>2913115</v>
      </c>
      <c r="K21" s="71">
        <f t="shared" si="1"/>
        <v>82.24830837183012</v>
      </c>
      <c r="L21" s="712">
        <v>100</v>
      </c>
      <c r="M21" s="296">
        <f t="shared" si="2"/>
        <v>82.24830837183012</v>
      </c>
      <c r="N21" s="37">
        <f t="shared" si="3"/>
        <v>628739</v>
      </c>
      <c r="O21" s="344" t="s">
        <v>157</v>
      </c>
    </row>
    <row r="22" spans="1:15" ht="12" customHeight="1">
      <c r="A22" s="63">
        <v>11</v>
      </c>
      <c r="B22" s="47" t="s">
        <v>26</v>
      </c>
      <c r="C22" s="5">
        <v>10625543</v>
      </c>
      <c r="D22" s="211"/>
      <c r="E22" s="63"/>
      <c r="F22" s="192"/>
      <c r="G22" s="228"/>
      <c r="H22" s="5">
        <v>8739325</v>
      </c>
      <c r="I22" s="340">
        <f t="shared" si="0"/>
        <v>82.24826721796713</v>
      </c>
      <c r="J22" s="5">
        <v>8739325</v>
      </c>
      <c r="K22" s="71">
        <f t="shared" si="1"/>
        <v>82.24826721796713</v>
      </c>
      <c r="L22" s="712">
        <v>100</v>
      </c>
      <c r="M22" s="296">
        <f t="shared" si="2"/>
        <v>82.24826721796713</v>
      </c>
      <c r="N22" s="37">
        <f t="shared" si="3"/>
        <v>1886218</v>
      </c>
      <c r="O22" s="344" t="s">
        <v>157</v>
      </c>
    </row>
    <row r="23" spans="1:15" ht="12" customHeight="1">
      <c r="A23" s="63">
        <v>12</v>
      </c>
      <c r="B23" s="47" t="s">
        <v>27</v>
      </c>
      <c r="C23" s="5">
        <v>888193000</v>
      </c>
      <c r="D23" s="211"/>
      <c r="E23" s="63"/>
      <c r="F23" s="192"/>
      <c r="G23" s="228"/>
      <c r="H23" s="5">
        <v>498192500</v>
      </c>
      <c r="I23" s="340">
        <f t="shared" si="0"/>
        <v>56.09056815354321</v>
      </c>
      <c r="J23" s="5">
        <v>498192500</v>
      </c>
      <c r="K23" s="71">
        <f t="shared" si="1"/>
        <v>56.09056815354321</v>
      </c>
      <c r="L23" s="712">
        <v>100</v>
      </c>
      <c r="M23" s="296">
        <f t="shared" si="2"/>
        <v>56.09056815354321</v>
      </c>
      <c r="N23" s="37">
        <f t="shared" si="3"/>
        <v>390000500</v>
      </c>
      <c r="O23" s="344" t="s">
        <v>157</v>
      </c>
    </row>
    <row r="24" spans="1:15" ht="12" customHeight="1">
      <c r="A24" s="63"/>
      <c r="B24" s="47"/>
      <c r="C24" s="5"/>
      <c r="D24" s="211"/>
      <c r="E24" s="63"/>
      <c r="F24" s="192"/>
      <c r="G24" s="228"/>
      <c r="H24" s="5"/>
      <c r="I24" s="114"/>
      <c r="J24" s="5"/>
      <c r="K24" s="36"/>
      <c r="L24" s="713"/>
      <c r="M24" s="37"/>
      <c r="N24" s="37"/>
      <c r="O24" s="343"/>
    </row>
    <row r="25" spans="1:15" s="703" customFormat="1" ht="12" customHeight="1">
      <c r="A25" s="693" t="s">
        <v>28</v>
      </c>
      <c r="B25" s="694" t="s">
        <v>29</v>
      </c>
      <c r="C25" s="695">
        <f>C26+C39+C49+C52+C69+C85+C90+C102</f>
        <v>9724165353</v>
      </c>
      <c r="D25" s="696"/>
      <c r="E25" s="695">
        <f>E26+E39+E49+E52+E69+E85+E90+E102</f>
        <v>3773115804</v>
      </c>
      <c r="F25" s="697"/>
      <c r="G25" s="698"/>
      <c r="H25" s="695">
        <f>H26+H39+H49+H52+H69+H85+H90+H102</f>
        <v>7433228344</v>
      </c>
      <c r="I25" s="699">
        <f aca="true" t="shared" si="4" ref="I25:I37">+H25/C25*100</f>
        <v>76.44078513850833</v>
      </c>
      <c r="J25" s="695">
        <f>J26+J39+J49+J52+J69+J85+J90+J102</f>
        <v>7433228344</v>
      </c>
      <c r="K25" s="700">
        <f aca="true" t="shared" si="5" ref="K25:K37">+J25/C25*100</f>
        <v>76.44078513850833</v>
      </c>
      <c r="L25" s="731">
        <v>100</v>
      </c>
      <c r="M25" s="729">
        <f>+J25/C25*100</f>
        <v>76.44078513850833</v>
      </c>
      <c r="N25" s="695">
        <f>N26+N39+N49+N52+N69+N85+N90+N102</f>
        <v>2290937009</v>
      </c>
      <c r="O25" s="702"/>
    </row>
    <row r="26" spans="1:15" ht="12" customHeight="1">
      <c r="A26" s="68">
        <v>1</v>
      </c>
      <c r="B26" s="69" t="s">
        <v>30</v>
      </c>
      <c r="C26" s="147">
        <f>SUM(C27:C37)</f>
        <v>1036961650</v>
      </c>
      <c r="D26" s="559"/>
      <c r="E26" s="147">
        <f>SUM(E27:E37)</f>
        <v>0</v>
      </c>
      <c r="F26" s="194"/>
      <c r="G26" s="230"/>
      <c r="H26" s="64">
        <f>SUM(H27:H37)</f>
        <v>806841743</v>
      </c>
      <c r="I26" s="311">
        <f t="shared" si="4"/>
        <v>77.80825288958371</v>
      </c>
      <c r="J26" s="64">
        <f>SUM(J27:J37)</f>
        <v>806841743</v>
      </c>
      <c r="K26" s="179">
        <f t="shared" si="5"/>
        <v>77.80825288958371</v>
      </c>
      <c r="L26" s="714">
        <v>100</v>
      </c>
      <c r="M26" s="64">
        <f aca="true" t="shared" si="6" ref="M26:M37">+J26/C26*100</f>
        <v>77.80825288958371</v>
      </c>
      <c r="N26" s="64">
        <f>SUM(N27:N37)</f>
        <v>230119907</v>
      </c>
      <c r="O26" s="343"/>
    </row>
    <row r="27" spans="1:15" ht="12" customHeight="1">
      <c r="A27" s="63">
        <v>1</v>
      </c>
      <c r="B27" s="55" t="s">
        <v>31</v>
      </c>
      <c r="C27" s="71">
        <v>6310000</v>
      </c>
      <c r="D27" s="213"/>
      <c r="E27" s="72" t="s">
        <v>32</v>
      </c>
      <c r="F27" s="194" t="s">
        <v>32</v>
      </c>
      <c r="G27" s="230"/>
      <c r="H27" s="185">
        <f>6276000</f>
        <v>6276000</v>
      </c>
      <c r="I27" s="340">
        <f t="shared" si="4"/>
        <v>99.46117274167987</v>
      </c>
      <c r="J27" s="185">
        <f>6276000</f>
        <v>6276000</v>
      </c>
      <c r="K27" s="71">
        <f t="shared" si="5"/>
        <v>99.46117274167987</v>
      </c>
      <c r="L27" s="712">
        <v>100</v>
      </c>
      <c r="M27" s="37">
        <f t="shared" si="6"/>
        <v>99.46117274167987</v>
      </c>
      <c r="N27" s="37">
        <f>C27-J27</f>
        <v>34000</v>
      </c>
      <c r="O27" s="343"/>
    </row>
    <row r="28" spans="1:15" ht="12" customHeight="1">
      <c r="A28" s="570">
        <v>2</v>
      </c>
      <c r="B28" s="571" t="s">
        <v>76</v>
      </c>
      <c r="C28" s="572">
        <v>82000000</v>
      </c>
      <c r="D28" s="573"/>
      <c r="E28" s="574"/>
      <c r="F28" s="575"/>
      <c r="G28" s="576"/>
      <c r="H28" s="577">
        <f>40719206+6925758+3674586+6167499+6877136</f>
        <v>64364185</v>
      </c>
      <c r="I28" s="578">
        <f t="shared" si="4"/>
        <v>78.49290853658538</v>
      </c>
      <c r="J28" s="577">
        <f>40719206+6925758+3674586+6167499+6877136</f>
        <v>64364185</v>
      </c>
      <c r="K28" s="572">
        <f t="shared" si="5"/>
        <v>78.49290853658538</v>
      </c>
      <c r="L28" s="732">
        <v>100</v>
      </c>
      <c r="M28" s="574">
        <f t="shared" si="6"/>
        <v>78.49290853658538</v>
      </c>
      <c r="N28" s="574">
        <f aca="true" t="shared" si="7" ref="N28:N41">C28-J28</f>
        <v>17635815</v>
      </c>
      <c r="O28" s="580"/>
    </row>
    <row r="29" spans="1:15" ht="12" customHeight="1">
      <c r="A29" s="63">
        <v>3</v>
      </c>
      <c r="B29" s="165" t="s">
        <v>33</v>
      </c>
      <c r="C29" s="166">
        <v>26635000</v>
      </c>
      <c r="D29" s="214"/>
      <c r="E29" s="167">
        <v>0</v>
      </c>
      <c r="F29" s="196">
        <v>0</v>
      </c>
      <c r="G29" s="232"/>
      <c r="H29" s="168">
        <v>14485000</v>
      </c>
      <c r="I29" s="340">
        <f t="shared" si="4"/>
        <v>54.383330204617984</v>
      </c>
      <c r="J29" s="168">
        <v>14485000</v>
      </c>
      <c r="K29" s="71">
        <f t="shared" si="5"/>
        <v>54.383330204617984</v>
      </c>
      <c r="L29" s="712">
        <v>100</v>
      </c>
      <c r="M29" s="37">
        <f t="shared" si="6"/>
        <v>54.383330204617984</v>
      </c>
      <c r="N29" s="37">
        <f t="shared" si="7"/>
        <v>12150000</v>
      </c>
      <c r="O29" s="343"/>
    </row>
    <row r="30" spans="1:15" ht="12" customHeight="1">
      <c r="A30" s="570">
        <v>4</v>
      </c>
      <c r="B30" s="571" t="s">
        <v>34</v>
      </c>
      <c r="C30" s="572">
        <v>61844350</v>
      </c>
      <c r="D30" s="573"/>
      <c r="E30" s="574">
        <v>0</v>
      </c>
      <c r="F30" s="575">
        <v>0</v>
      </c>
      <c r="G30" s="576"/>
      <c r="H30" s="577">
        <f>34305000+13745800+6844100</f>
        <v>54894900</v>
      </c>
      <c r="I30" s="578">
        <f t="shared" si="4"/>
        <v>88.76299936857612</v>
      </c>
      <c r="J30" s="577">
        <f>34305000+13745800+6844100</f>
        <v>54894900</v>
      </c>
      <c r="K30" s="572">
        <f t="shared" si="5"/>
        <v>88.76299936857612</v>
      </c>
      <c r="L30" s="732">
        <v>100</v>
      </c>
      <c r="M30" s="574">
        <f t="shared" si="6"/>
        <v>88.76299936857612</v>
      </c>
      <c r="N30" s="574">
        <f t="shared" si="7"/>
        <v>6949450</v>
      </c>
      <c r="O30" s="580"/>
    </row>
    <row r="31" spans="1:15" ht="12" customHeight="1">
      <c r="A31" s="570">
        <v>5</v>
      </c>
      <c r="B31" s="571" t="s">
        <v>35</v>
      </c>
      <c r="C31" s="572">
        <v>30676500</v>
      </c>
      <c r="D31" s="573"/>
      <c r="E31" s="574">
        <v>0</v>
      </c>
      <c r="F31" s="575">
        <v>0</v>
      </c>
      <c r="G31" s="576"/>
      <c r="H31" s="577">
        <f>14485300+8850000+567000+1591800+2408100</f>
        <v>27902200</v>
      </c>
      <c r="I31" s="578">
        <f t="shared" si="4"/>
        <v>90.95626945707626</v>
      </c>
      <c r="J31" s="577">
        <f>14485300+8850000+567000+1591800+2408100</f>
        <v>27902200</v>
      </c>
      <c r="K31" s="572">
        <f t="shared" si="5"/>
        <v>90.95626945707626</v>
      </c>
      <c r="L31" s="732">
        <v>100</v>
      </c>
      <c r="M31" s="574">
        <f t="shared" si="6"/>
        <v>90.95626945707626</v>
      </c>
      <c r="N31" s="574">
        <f t="shared" si="7"/>
        <v>2774300</v>
      </c>
      <c r="O31" s="580"/>
    </row>
    <row r="32" spans="1:15" ht="12" customHeight="1">
      <c r="A32" s="570">
        <v>6</v>
      </c>
      <c r="B32" s="571" t="s">
        <v>36</v>
      </c>
      <c r="C32" s="572">
        <v>8800000</v>
      </c>
      <c r="D32" s="573"/>
      <c r="E32" s="574">
        <v>0</v>
      </c>
      <c r="F32" s="575">
        <v>0</v>
      </c>
      <c r="G32" s="576"/>
      <c r="H32" s="577">
        <f>1995200+2004800+4797800</f>
        <v>8797800</v>
      </c>
      <c r="I32" s="578">
        <f t="shared" si="4"/>
        <v>99.97500000000001</v>
      </c>
      <c r="J32" s="577">
        <f>1995200+2004800+4797800</f>
        <v>8797800</v>
      </c>
      <c r="K32" s="572">
        <f t="shared" si="5"/>
        <v>99.97500000000001</v>
      </c>
      <c r="L32" s="732">
        <v>100</v>
      </c>
      <c r="M32" s="574">
        <f t="shared" si="6"/>
        <v>99.97500000000001</v>
      </c>
      <c r="N32" s="574">
        <f t="shared" si="7"/>
        <v>2200</v>
      </c>
      <c r="O32" s="580"/>
    </row>
    <row r="33" spans="1:15" ht="12" customHeight="1">
      <c r="A33" s="63">
        <v>7</v>
      </c>
      <c r="B33" s="73" t="s">
        <v>37</v>
      </c>
      <c r="C33" s="71">
        <v>13076000</v>
      </c>
      <c r="D33" s="213"/>
      <c r="E33" s="37">
        <v>0</v>
      </c>
      <c r="F33" s="195">
        <v>0</v>
      </c>
      <c r="G33" s="231"/>
      <c r="H33" s="7">
        <f>8761950+4314050</f>
        <v>13076000</v>
      </c>
      <c r="I33" s="340">
        <f t="shared" si="4"/>
        <v>100</v>
      </c>
      <c r="J33" s="7">
        <f>8761950+4314050</f>
        <v>13076000</v>
      </c>
      <c r="K33" s="71">
        <f t="shared" si="5"/>
        <v>100</v>
      </c>
      <c r="L33" s="712">
        <v>100</v>
      </c>
      <c r="M33" s="37">
        <f t="shared" si="6"/>
        <v>100</v>
      </c>
      <c r="N33" s="37">
        <f t="shared" si="7"/>
        <v>0</v>
      </c>
      <c r="O33" s="343"/>
    </row>
    <row r="34" spans="1:15" ht="12" customHeight="1">
      <c r="A34" s="63">
        <v>8</v>
      </c>
      <c r="B34" s="73" t="s">
        <v>38</v>
      </c>
      <c r="C34" s="71">
        <v>7500000</v>
      </c>
      <c r="D34" s="213"/>
      <c r="E34" s="37">
        <v>0</v>
      </c>
      <c r="F34" s="195">
        <v>0</v>
      </c>
      <c r="G34" s="231"/>
      <c r="H34" s="7">
        <f>2180000+3856000</f>
        <v>6036000</v>
      </c>
      <c r="I34" s="340">
        <f t="shared" si="4"/>
        <v>80.47999999999999</v>
      </c>
      <c r="J34" s="7">
        <f>2180000+3856000</f>
        <v>6036000</v>
      </c>
      <c r="K34" s="71">
        <f t="shared" si="5"/>
        <v>80.47999999999999</v>
      </c>
      <c r="L34" s="712">
        <v>100</v>
      </c>
      <c r="M34" s="37">
        <f t="shared" si="6"/>
        <v>80.47999999999999</v>
      </c>
      <c r="N34" s="37">
        <f t="shared" si="7"/>
        <v>1464000</v>
      </c>
      <c r="O34" s="343"/>
    </row>
    <row r="35" spans="1:15" ht="12" customHeight="1">
      <c r="A35" s="63">
        <v>9</v>
      </c>
      <c r="B35" s="73" t="s">
        <v>39</v>
      </c>
      <c r="C35" s="71">
        <v>30000000</v>
      </c>
      <c r="D35" s="213"/>
      <c r="E35" s="37">
        <v>0</v>
      </c>
      <c r="F35" s="195">
        <v>0</v>
      </c>
      <c r="G35" s="231"/>
      <c r="H35" s="7">
        <f>18128200+7990000</f>
        <v>26118200</v>
      </c>
      <c r="I35" s="340">
        <f t="shared" si="4"/>
        <v>87.06066666666666</v>
      </c>
      <c r="J35" s="7">
        <f>18128200+7990000</f>
        <v>26118200</v>
      </c>
      <c r="K35" s="71">
        <f t="shared" si="5"/>
        <v>87.06066666666666</v>
      </c>
      <c r="L35" s="712">
        <v>100</v>
      </c>
      <c r="M35" s="37">
        <f t="shared" si="6"/>
        <v>87.06066666666666</v>
      </c>
      <c r="N35" s="37">
        <f t="shared" si="7"/>
        <v>3881800</v>
      </c>
      <c r="O35" s="343"/>
    </row>
    <row r="36" spans="1:15" ht="12" customHeight="1">
      <c r="A36" s="570">
        <v>10</v>
      </c>
      <c r="B36" s="571" t="s">
        <v>40</v>
      </c>
      <c r="C36" s="572">
        <v>175000000</v>
      </c>
      <c r="D36" s="573"/>
      <c r="E36" s="574">
        <v>0</v>
      </c>
      <c r="F36" s="575">
        <v>0</v>
      </c>
      <c r="G36" s="576"/>
      <c r="H36" s="577">
        <f>91631161+15825000+25233525+5875000+11190000+1050000</f>
        <v>150804686</v>
      </c>
      <c r="I36" s="578">
        <f t="shared" si="4"/>
        <v>86.17410628571427</v>
      </c>
      <c r="J36" s="577">
        <f>91631161+15825000+25233525+5875000+11190000+1050000</f>
        <v>150804686</v>
      </c>
      <c r="K36" s="572">
        <f t="shared" si="5"/>
        <v>86.17410628571427</v>
      </c>
      <c r="L36" s="732">
        <v>100</v>
      </c>
      <c r="M36" s="574">
        <f t="shared" si="6"/>
        <v>86.17410628571427</v>
      </c>
      <c r="N36" s="574">
        <f t="shared" si="7"/>
        <v>24195314</v>
      </c>
      <c r="O36" s="580"/>
    </row>
    <row r="37" spans="1:15" ht="12" customHeight="1">
      <c r="A37" s="570">
        <v>11</v>
      </c>
      <c r="B37" s="571" t="s">
        <v>41</v>
      </c>
      <c r="C37" s="572">
        <v>595119800</v>
      </c>
      <c r="D37" s="573"/>
      <c r="E37" s="574">
        <v>0</v>
      </c>
      <c r="F37" s="575">
        <v>0</v>
      </c>
      <c r="G37" s="576"/>
      <c r="H37" s="577">
        <f>385658472+1823500+46604800</f>
        <v>434086772</v>
      </c>
      <c r="I37" s="578">
        <f t="shared" si="4"/>
        <v>72.94107371322546</v>
      </c>
      <c r="J37" s="577">
        <f>385658472+1823500+46604800</f>
        <v>434086772</v>
      </c>
      <c r="K37" s="572">
        <f t="shared" si="5"/>
        <v>72.94107371322546</v>
      </c>
      <c r="L37" s="732">
        <v>100</v>
      </c>
      <c r="M37" s="574">
        <f t="shared" si="6"/>
        <v>72.94107371322546</v>
      </c>
      <c r="N37" s="574">
        <f t="shared" si="7"/>
        <v>161033028</v>
      </c>
      <c r="O37" s="580"/>
    </row>
    <row r="38" spans="1:15" ht="12" customHeight="1">
      <c r="A38" s="253"/>
      <c r="B38" s="75"/>
      <c r="C38" s="71"/>
      <c r="D38" s="213"/>
      <c r="E38" s="37"/>
      <c r="F38" s="195"/>
      <c r="G38" s="231"/>
      <c r="H38" s="7"/>
      <c r="I38" s="114"/>
      <c r="J38" s="7"/>
      <c r="K38" s="36"/>
      <c r="L38" s="713"/>
      <c r="M38" s="37">
        <f>K38</f>
        <v>0</v>
      </c>
      <c r="N38" s="37">
        <f t="shared" si="7"/>
        <v>0</v>
      </c>
      <c r="O38" s="343"/>
    </row>
    <row r="39" spans="1:15" s="689" customFormat="1" ht="12" customHeight="1">
      <c r="A39" s="68">
        <v>2</v>
      </c>
      <c r="B39" s="69" t="s">
        <v>42</v>
      </c>
      <c r="C39" s="179">
        <f>SUM(C40:C47)</f>
        <v>1049086450</v>
      </c>
      <c r="D39" s="561"/>
      <c r="E39" s="179">
        <f>SUM(E40:E47)</f>
        <v>43582000</v>
      </c>
      <c r="F39" s="562"/>
      <c r="G39" s="563"/>
      <c r="H39" s="179">
        <f>SUM(H40:H47)</f>
        <v>775753620</v>
      </c>
      <c r="I39" s="311">
        <f>+H39/C39*100</f>
        <v>73.94563336510542</v>
      </c>
      <c r="J39" s="179">
        <f>SUM(J40:J47)</f>
        <v>775753620</v>
      </c>
      <c r="K39" s="179">
        <f>+J39/C39*100</f>
        <v>73.94563336510542</v>
      </c>
      <c r="L39" s="714">
        <v>100</v>
      </c>
      <c r="M39" s="64">
        <f>+J39/C39*100</f>
        <v>73.94563336510542</v>
      </c>
      <c r="N39" s="64">
        <f t="shared" si="7"/>
        <v>273332830</v>
      </c>
      <c r="O39" s="687"/>
    </row>
    <row r="40" spans="1:15" ht="12" customHeight="1">
      <c r="A40" s="63">
        <v>1</v>
      </c>
      <c r="B40" s="73" t="s">
        <v>43</v>
      </c>
      <c r="C40" s="71">
        <v>96501600</v>
      </c>
      <c r="D40" s="213"/>
      <c r="E40" s="37"/>
      <c r="F40" s="195"/>
      <c r="G40" s="231"/>
      <c r="H40" s="71">
        <f>54043200+6158400</f>
        <v>60201600</v>
      </c>
      <c r="I40" s="340">
        <f>+H40/C40*100</f>
        <v>62.38404337337412</v>
      </c>
      <c r="J40" s="71">
        <f>54043200+6158400</f>
        <v>60201600</v>
      </c>
      <c r="K40" s="71">
        <f>+J40/C40*100</f>
        <v>62.38404337337412</v>
      </c>
      <c r="L40" s="712">
        <v>100</v>
      </c>
      <c r="M40" s="37">
        <f>+J40/C40*100</f>
        <v>62.38404337337412</v>
      </c>
      <c r="N40" s="37">
        <f t="shared" si="7"/>
        <v>36300000</v>
      </c>
      <c r="O40" s="343"/>
    </row>
    <row r="41" spans="1:15" ht="12" customHeight="1">
      <c r="A41" s="63">
        <v>2</v>
      </c>
      <c r="B41" s="73" t="s">
        <v>44</v>
      </c>
      <c r="C41" s="71">
        <v>62611000</v>
      </c>
      <c r="D41" s="264" t="s">
        <v>121</v>
      </c>
      <c r="E41" s="37">
        <v>5808000</v>
      </c>
      <c r="F41" s="195" t="s">
        <v>124</v>
      </c>
      <c r="G41" s="231" t="s">
        <v>125</v>
      </c>
      <c r="H41" s="71">
        <v>44536000</v>
      </c>
      <c r="I41" s="340">
        <f>+H41/C41*100</f>
        <v>71.1312708629474</v>
      </c>
      <c r="J41" s="71">
        <v>44536000</v>
      </c>
      <c r="K41" s="71">
        <f>+J41/C41*100</f>
        <v>71.1312708629474</v>
      </c>
      <c r="L41" s="712">
        <v>100</v>
      </c>
      <c r="M41" s="37">
        <f>+J41/C41*100</f>
        <v>71.1312708629474</v>
      </c>
      <c r="N41" s="37">
        <f t="shared" si="7"/>
        <v>18075000</v>
      </c>
      <c r="O41" s="343"/>
    </row>
    <row r="42" spans="1:15" ht="12" customHeight="1">
      <c r="A42" s="63"/>
      <c r="B42" s="73"/>
      <c r="C42" s="71"/>
      <c r="D42" s="264" t="s">
        <v>122</v>
      </c>
      <c r="E42" s="37">
        <v>15774000</v>
      </c>
      <c r="F42" s="195" t="s">
        <v>124</v>
      </c>
      <c r="G42" s="231" t="s">
        <v>125</v>
      </c>
      <c r="H42" s="71"/>
      <c r="I42" s="114"/>
      <c r="J42" s="71"/>
      <c r="K42" s="36"/>
      <c r="L42" s="37"/>
      <c r="M42" s="37"/>
      <c r="N42" s="37"/>
      <c r="O42" s="343"/>
    </row>
    <row r="43" spans="1:15" ht="12" customHeight="1">
      <c r="A43" s="63"/>
      <c r="B43" s="73"/>
      <c r="C43" s="71"/>
      <c r="D43" s="264" t="s">
        <v>123</v>
      </c>
      <c r="E43" s="37">
        <v>22000000</v>
      </c>
      <c r="F43" s="195" t="s">
        <v>124</v>
      </c>
      <c r="G43" s="231" t="s">
        <v>125</v>
      </c>
      <c r="H43" s="71"/>
      <c r="I43" s="114"/>
      <c r="J43" s="71"/>
      <c r="K43" s="36"/>
      <c r="L43" s="733"/>
      <c r="M43" s="37"/>
      <c r="N43" s="37"/>
      <c r="O43" s="343"/>
    </row>
    <row r="44" spans="1:15" ht="12" customHeight="1">
      <c r="A44" s="63">
        <v>3</v>
      </c>
      <c r="B44" s="73" t="s">
        <v>45</v>
      </c>
      <c r="C44" s="71">
        <v>217537650</v>
      </c>
      <c r="D44" s="264"/>
      <c r="E44" s="37"/>
      <c r="F44" s="195"/>
      <c r="G44" s="231"/>
      <c r="H44" s="71">
        <v>174523050</v>
      </c>
      <c r="I44" s="340">
        <f>+H44/C44*100</f>
        <v>80.22659525833804</v>
      </c>
      <c r="J44" s="71">
        <v>174523050</v>
      </c>
      <c r="K44" s="71">
        <f>+J44/C44*100</f>
        <v>80.22659525833804</v>
      </c>
      <c r="L44" s="712">
        <v>100</v>
      </c>
      <c r="M44" s="37">
        <f>+J44/C44*100</f>
        <v>80.22659525833804</v>
      </c>
      <c r="N44" s="37">
        <f aca="true" t="shared" si="8" ref="N44:N50">C44-J44</f>
        <v>43014600</v>
      </c>
      <c r="O44" s="343"/>
    </row>
    <row r="45" spans="1:15" ht="12" customHeight="1">
      <c r="A45" s="570">
        <v>4</v>
      </c>
      <c r="B45" s="571" t="s">
        <v>46</v>
      </c>
      <c r="C45" s="572">
        <v>651786200</v>
      </c>
      <c r="D45" s="573"/>
      <c r="E45" s="574"/>
      <c r="F45" s="575"/>
      <c r="G45" s="576"/>
      <c r="H45" s="577">
        <f>290055301+20511297+388649+121088107+45809816</f>
        <v>477853170</v>
      </c>
      <c r="I45" s="578">
        <f>+H45/C45*100</f>
        <v>73.31440432460829</v>
      </c>
      <c r="J45" s="577">
        <f>290055301+20511297+388649+121088107+45809816</f>
        <v>477853170</v>
      </c>
      <c r="K45" s="572">
        <f>+J45/C45*100</f>
        <v>73.31440432460829</v>
      </c>
      <c r="L45" s="732">
        <v>100</v>
      </c>
      <c r="M45" s="574">
        <f>+J45/C45*100</f>
        <v>73.31440432460829</v>
      </c>
      <c r="N45" s="574">
        <f t="shared" si="8"/>
        <v>173933030</v>
      </c>
      <c r="O45" s="580"/>
    </row>
    <row r="46" spans="1:15" ht="12" customHeight="1">
      <c r="A46" s="63">
        <v>5</v>
      </c>
      <c r="B46" s="73" t="s">
        <v>47</v>
      </c>
      <c r="C46" s="71">
        <v>13050000</v>
      </c>
      <c r="D46" s="213"/>
      <c r="E46" s="37">
        <v>0</v>
      </c>
      <c r="F46" s="195">
        <v>0</v>
      </c>
      <c r="G46" s="231"/>
      <c r="H46" s="7">
        <f>3400000+7640000</f>
        <v>11040000</v>
      </c>
      <c r="I46" s="340">
        <f>+H46/C46*100</f>
        <v>84.59770114942529</v>
      </c>
      <c r="J46" s="7">
        <f>3400000+7640000</f>
        <v>11040000</v>
      </c>
      <c r="K46" s="71">
        <f>+J46/C46*100</f>
        <v>84.59770114942529</v>
      </c>
      <c r="L46" s="712">
        <v>100</v>
      </c>
      <c r="M46" s="37">
        <f>+J46/C46*100</f>
        <v>84.59770114942529</v>
      </c>
      <c r="N46" s="37">
        <f t="shared" si="8"/>
        <v>2010000</v>
      </c>
      <c r="O46" s="343"/>
    </row>
    <row r="47" spans="1:15" ht="12" customHeight="1">
      <c r="A47" s="63">
        <v>6</v>
      </c>
      <c r="B47" s="73" t="s">
        <v>48</v>
      </c>
      <c r="C47" s="71">
        <v>7600000</v>
      </c>
      <c r="D47" s="213"/>
      <c r="E47" s="37"/>
      <c r="F47" s="195"/>
      <c r="G47" s="231"/>
      <c r="H47" s="71">
        <v>7599800</v>
      </c>
      <c r="I47" s="340">
        <f>+H47/C47*100</f>
        <v>99.99736842105264</v>
      </c>
      <c r="J47" s="71">
        <v>7599800</v>
      </c>
      <c r="K47" s="71">
        <f>+J47/C47*100</f>
        <v>99.99736842105264</v>
      </c>
      <c r="L47" s="712">
        <v>100</v>
      </c>
      <c r="M47" s="37">
        <f>+J47/C47*100</f>
        <v>99.99736842105264</v>
      </c>
      <c r="N47" s="37">
        <f t="shared" si="8"/>
        <v>200</v>
      </c>
      <c r="O47" s="343"/>
    </row>
    <row r="48" spans="1:15" ht="12" customHeight="1">
      <c r="A48" s="63"/>
      <c r="B48" s="73"/>
      <c r="C48" s="71"/>
      <c r="D48" s="213"/>
      <c r="E48" s="37"/>
      <c r="F48" s="195"/>
      <c r="G48" s="231"/>
      <c r="H48" s="7"/>
      <c r="I48" s="114"/>
      <c r="J48" s="7"/>
      <c r="K48" s="36"/>
      <c r="L48" s="37"/>
      <c r="M48" s="37"/>
      <c r="N48" s="37">
        <f t="shared" si="8"/>
        <v>0</v>
      </c>
      <c r="O48" s="343"/>
    </row>
    <row r="49" spans="1:15" ht="12" customHeight="1">
      <c r="A49" s="68">
        <v>3</v>
      </c>
      <c r="B49" s="69" t="s">
        <v>49</v>
      </c>
      <c r="C49" s="179">
        <f>C50</f>
        <v>73370000</v>
      </c>
      <c r="D49" s="561"/>
      <c r="E49" s="179">
        <f>E50</f>
        <v>57200000</v>
      </c>
      <c r="F49" s="561"/>
      <c r="G49" s="564"/>
      <c r="H49" s="145">
        <f>H50</f>
        <v>73200000</v>
      </c>
      <c r="I49" s="311">
        <f>+H49/C49*100</f>
        <v>99.76829766934715</v>
      </c>
      <c r="J49" s="145">
        <f>J50</f>
        <v>73200000</v>
      </c>
      <c r="K49" s="179">
        <f>+J49/C49*100</f>
        <v>99.76829766934715</v>
      </c>
      <c r="L49" s="714">
        <v>100</v>
      </c>
      <c r="M49" s="64">
        <f>+J49/C49*100</f>
        <v>99.76829766934715</v>
      </c>
      <c r="N49" s="37">
        <f t="shared" si="8"/>
        <v>170000</v>
      </c>
      <c r="O49" s="343"/>
    </row>
    <row r="50" spans="1:15" ht="12" customHeight="1">
      <c r="A50" s="63"/>
      <c r="B50" s="55" t="s">
        <v>50</v>
      </c>
      <c r="C50" s="250">
        <v>73370000</v>
      </c>
      <c r="D50" s="265" t="s">
        <v>118</v>
      </c>
      <c r="E50" s="37">
        <v>57200000</v>
      </c>
      <c r="F50" s="263" t="s">
        <v>119</v>
      </c>
      <c r="G50" s="231" t="s">
        <v>120</v>
      </c>
      <c r="H50" s="10">
        <f>16000000+57200000</f>
        <v>73200000</v>
      </c>
      <c r="I50" s="340">
        <f>+H50/C50*100</f>
        <v>99.76829766934715</v>
      </c>
      <c r="J50" s="10">
        <f>16000000+57200000</f>
        <v>73200000</v>
      </c>
      <c r="K50" s="71">
        <f>+J50/C50*100</f>
        <v>99.76829766934715</v>
      </c>
      <c r="L50" s="712">
        <v>100</v>
      </c>
      <c r="M50" s="37">
        <f>+J50/C50*100</f>
        <v>99.76829766934715</v>
      </c>
      <c r="N50" s="37">
        <f t="shared" si="8"/>
        <v>170000</v>
      </c>
      <c r="O50" s="343"/>
    </row>
    <row r="51" spans="1:15" ht="12" customHeight="1">
      <c r="A51" s="255"/>
      <c r="B51" s="94"/>
      <c r="C51" s="631"/>
      <c r="D51" s="265"/>
      <c r="E51" s="173"/>
      <c r="F51" s="263"/>
      <c r="G51" s="632"/>
      <c r="H51" s="633"/>
      <c r="I51" s="340"/>
      <c r="J51" s="633"/>
      <c r="K51" s="71"/>
      <c r="L51" s="712"/>
      <c r="M51" s="37"/>
      <c r="N51" s="173"/>
      <c r="O51" s="343"/>
    </row>
    <row r="52" spans="1:15" s="689" customFormat="1" ht="12" customHeight="1">
      <c r="A52" s="259">
        <v>4</v>
      </c>
      <c r="B52" s="280" t="s">
        <v>51</v>
      </c>
      <c r="C52" s="281">
        <f>C53+C66+C67</f>
        <v>5367814400</v>
      </c>
      <c r="D52" s="282"/>
      <c r="E52" s="281">
        <f>SUM(E54:E68)</f>
        <v>3007864804</v>
      </c>
      <c r="F52" s="282"/>
      <c r="G52" s="283"/>
      <c r="H52" s="284">
        <f>SUM(H53+H66+H67)</f>
        <v>3990714999</v>
      </c>
      <c r="I52" s="311">
        <f>+H52/C52*100</f>
        <v>74.345249325312</v>
      </c>
      <c r="J52" s="284">
        <f>+J53+J66+J67</f>
        <v>3990714999</v>
      </c>
      <c r="K52" s="179">
        <f>+J52/C52*100</f>
        <v>74.345249325312</v>
      </c>
      <c r="L52" s="711">
        <v>100</v>
      </c>
      <c r="M52" s="64">
        <f>+J52/C52*100</f>
        <v>74.345249325312</v>
      </c>
      <c r="N52" s="284">
        <f>C52-J52</f>
        <v>1377099401</v>
      </c>
      <c r="O52" s="687"/>
    </row>
    <row r="53" spans="1:15" ht="12" customHeight="1">
      <c r="A53" s="489">
        <v>1</v>
      </c>
      <c r="B53" s="627" t="s">
        <v>52</v>
      </c>
      <c r="C53" s="521">
        <v>3876642400</v>
      </c>
      <c r="D53" s="551"/>
      <c r="E53" s="551"/>
      <c r="F53" s="551"/>
      <c r="G53" s="551"/>
      <c r="H53" s="630">
        <f>107651400+2500000+H54+H55+H56+H61+H62+H63+H64</f>
        <v>3069416200</v>
      </c>
      <c r="I53" s="525">
        <f>H53/C53*100</f>
        <v>79.17718177977933</v>
      </c>
      <c r="J53" s="630">
        <f>107651400+2500000+J54+J55+J56+J61+J62+J63+J64</f>
        <v>3069416200</v>
      </c>
      <c r="K53" s="166">
        <f>+J53/C53*100</f>
        <v>79.17718177977933</v>
      </c>
      <c r="L53" s="715">
        <v>100</v>
      </c>
      <c r="M53" s="167">
        <f>J53/C53*100</f>
        <v>79.17718177977933</v>
      </c>
      <c r="N53" s="485">
        <f>C53-J53</f>
        <v>807226200</v>
      </c>
      <c r="O53" s="486"/>
    </row>
    <row r="54" spans="1:15" ht="12" customHeight="1">
      <c r="A54" s="489"/>
      <c r="B54" s="627"/>
      <c r="C54" s="521"/>
      <c r="D54" s="618" t="s">
        <v>111</v>
      </c>
      <c r="E54" s="521">
        <v>89375000</v>
      </c>
      <c r="F54" s="522" t="s">
        <v>114</v>
      </c>
      <c r="G54" s="619" t="s">
        <v>116</v>
      </c>
      <c r="H54" s="521">
        <v>89375000</v>
      </c>
      <c r="I54" s="620">
        <f>H54/E54*100</f>
        <v>100</v>
      </c>
      <c r="J54" s="521">
        <v>89375000</v>
      </c>
      <c r="K54" s="620">
        <f>+H54/E54*100</f>
        <v>100</v>
      </c>
      <c r="L54" s="715">
        <v>100</v>
      </c>
      <c r="M54" s="167">
        <v>100</v>
      </c>
      <c r="N54" s="485"/>
      <c r="O54" s="486"/>
    </row>
    <row r="55" spans="1:15" ht="12" customHeight="1">
      <c r="A55" s="489"/>
      <c r="B55" s="627"/>
      <c r="C55" s="521"/>
      <c r="D55" s="618" t="s">
        <v>112</v>
      </c>
      <c r="E55" s="521">
        <v>198000000</v>
      </c>
      <c r="F55" s="522" t="s">
        <v>115</v>
      </c>
      <c r="G55" s="619" t="s">
        <v>117</v>
      </c>
      <c r="H55" s="521">
        <v>198000000</v>
      </c>
      <c r="I55" s="620">
        <f aca="true" t="shared" si="9" ref="I55:I64">H55/E55*100</f>
        <v>100</v>
      </c>
      <c r="J55" s="521">
        <v>198000000</v>
      </c>
      <c r="K55" s="620">
        <f aca="true" t="shared" si="10" ref="K55:K64">+H55/E55*100</f>
        <v>100</v>
      </c>
      <c r="L55" s="715">
        <v>100</v>
      </c>
      <c r="M55" s="167">
        <v>100</v>
      </c>
      <c r="N55" s="485"/>
      <c r="O55" s="486"/>
    </row>
    <row r="56" spans="1:15" ht="12" customHeight="1">
      <c r="A56" s="489"/>
      <c r="B56" s="627"/>
      <c r="C56" s="521"/>
      <c r="D56" s="618" t="s">
        <v>113</v>
      </c>
      <c r="E56" s="521">
        <v>108075000</v>
      </c>
      <c r="F56" s="522" t="s">
        <v>114</v>
      </c>
      <c r="G56" s="619" t="s">
        <v>116</v>
      </c>
      <c r="H56" s="521">
        <v>108075000</v>
      </c>
      <c r="I56" s="620">
        <f t="shared" si="9"/>
        <v>100</v>
      </c>
      <c r="J56" s="521">
        <v>108075000</v>
      </c>
      <c r="K56" s="620">
        <f t="shared" si="10"/>
        <v>100</v>
      </c>
      <c r="L56" s="715">
        <v>100</v>
      </c>
      <c r="M56" s="167">
        <v>100</v>
      </c>
      <c r="N56" s="485"/>
      <c r="O56" s="486"/>
    </row>
    <row r="57" spans="1:15" ht="12" customHeight="1">
      <c r="A57" s="808" t="s">
        <v>2</v>
      </c>
      <c r="B57" s="808" t="s">
        <v>3</v>
      </c>
      <c r="C57" s="808" t="s">
        <v>168</v>
      </c>
      <c r="D57" s="820" t="s">
        <v>104</v>
      </c>
      <c r="E57" s="808" t="s">
        <v>5</v>
      </c>
      <c r="F57" s="820" t="s">
        <v>6</v>
      </c>
      <c r="G57" s="824" t="s">
        <v>105</v>
      </c>
      <c r="H57" s="816" t="s">
        <v>7</v>
      </c>
      <c r="I57" s="817"/>
      <c r="J57" s="817"/>
      <c r="K57" s="818"/>
      <c r="L57" s="816" t="s">
        <v>8</v>
      </c>
      <c r="M57" s="818"/>
      <c r="N57" s="805" t="s">
        <v>87</v>
      </c>
      <c r="O57" s="827" t="s">
        <v>9</v>
      </c>
    </row>
    <row r="58" spans="1:15" ht="12" customHeight="1">
      <c r="A58" s="806"/>
      <c r="B58" s="806"/>
      <c r="C58" s="806"/>
      <c r="D58" s="821"/>
      <c r="E58" s="814"/>
      <c r="F58" s="821"/>
      <c r="G58" s="825"/>
      <c r="H58" s="809" t="s">
        <v>10</v>
      </c>
      <c r="I58" s="808" t="s">
        <v>11</v>
      </c>
      <c r="J58" s="808" t="s">
        <v>12</v>
      </c>
      <c r="K58" s="808" t="s">
        <v>11</v>
      </c>
      <c r="L58" s="834" t="s">
        <v>13</v>
      </c>
      <c r="M58" s="820" t="s">
        <v>14</v>
      </c>
      <c r="N58" s="806"/>
      <c r="O58" s="828"/>
    </row>
    <row r="59" spans="1:15" ht="12" customHeight="1">
      <c r="A59" s="807"/>
      <c r="B59" s="807"/>
      <c r="C59" s="807"/>
      <c r="D59" s="822"/>
      <c r="E59" s="815"/>
      <c r="F59" s="822"/>
      <c r="G59" s="826"/>
      <c r="H59" s="810"/>
      <c r="I59" s="807"/>
      <c r="J59" s="807"/>
      <c r="K59" s="807"/>
      <c r="L59" s="835"/>
      <c r="M59" s="822"/>
      <c r="N59" s="807"/>
      <c r="O59" s="828"/>
    </row>
    <row r="60" spans="1:15" ht="12" customHeight="1">
      <c r="A60" s="2">
        <v>1</v>
      </c>
      <c r="B60" s="2">
        <v>2</v>
      </c>
      <c r="C60" s="2">
        <v>3</v>
      </c>
      <c r="D60" s="189"/>
      <c r="E60" s="2">
        <v>4</v>
      </c>
      <c r="F60" s="189">
        <v>5</v>
      </c>
      <c r="G60" s="226"/>
      <c r="H60" s="2">
        <v>6</v>
      </c>
      <c r="I60" s="2">
        <v>7</v>
      </c>
      <c r="J60" s="2">
        <v>8</v>
      </c>
      <c r="K60" s="2">
        <v>9</v>
      </c>
      <c r="L60" s="710">
        <v>10</v>
      </c>
      <c r="M60" s="2">
        <v>11</v>
      </c>
      <c r="N60" s="2">
        <v>12</v>
      </c>
      <c r="O60" s="2">
        <v>13</v>
      </c>
    </row>
    <row r="61" spans="1:15" ht="12" customHeight="1">
      <c r="A61" s="489"/>
      <c r="B61" s="627"/>
      <c r="C61" s="521"/>
      <c r="D61" s="622" t="s">
        <v>130</v>
      </c>
      <c r="E61" s="521">
        <v>98200000</v>
      </c>
      <c r="F61" s="623" t="s">
        <v>131</v>
      </c>
      <c r="G61" s="492">
        <v>43556</v>
      </c>
      <c r="H61" s="521">
        <v>98200000</v>
      </c>
      <c r="I61" s="620">
        <f t="shared" si="9"/>
        <v>100</v>
      </c>
      <c r="J61" s="521">
        <v>98200000</v>
      </c>
      <c r="K61" s="620">
        <f t="shared" si="10"/>
        <v>100</v>
      </c>
      <c r="L61" s="715">
        <v>100</v>
      </c>
      <c r="M61" s="167">
        <v>100</v>
      </c>
      <c r="N61" s="485"/>
      <c r="O61" s="486"/>
    </row>
    <row r="62" spans="1:15" ht="12" customHeight="1">
      <c r="A62" s="489"/>
      <c r="B62" s="627"/>
      <c r="C62" s="521"/>
      <c r="D62" s="622" t="s">
        <v>172</v>
      </c>
      <c r="E62" s="521">
        <v>197498000</v>
      </c>
      <c r="F62" s="522" t="s">
        <v>114</v>
      </c>
      <c r="G62" s="492"/>
      <c r="H62" s="521">
        <v>197498000</v>
      </c>
      <c r="I62" s="620">
        <f t="shared" si="9"/>
        <v>100</v>
      </c>
      <c r="J62" s="521">
        <v>197498000</v>
      </c>
      <c r="K62" s="620">
        <f t="shared" si="10"/>
        <v>100</v>
      </c>
      <c r="L62" s="715">
        <v>100</v>
      </c>
      <c r="M62" s="167">
        <v>100</v>
      </c>
      <c r="N62" s="485"/>
      <c r="O62" s="486"/>
    </row>
    <row r="63" spans="1:15" ht="12" customHeight="1">
      <c r="A63" s="63"/>
      <c r="B63" s="21"/>
      <c r="C63" s="22"/>
      <c r="D63" s="622" t="s">
        <v>173</v>
      </c>
      <c r="E63" s="521">
        <v>622203600</v>
      </c>
      <c r="F63" s="624" t="s">
        <v>174</v>
      </c>
      <c r="G63" s="492">
        <v>43738</v>
      </c>
      <c r="H63" s="521">
        <v>622203600</v>
      </c>
      <c r="I63" s="620">
        <f t="shared" si="9"/>
        <v>100</v>
      </c>
      <c r="J63" s="521">
        <v>622203600</v>
      </c>
      <c r="K63" s="620">
        <f t="shared" si="10"/>
        <v>100</v>
      </c>
      <c r="L63" s="715">
        <v>100</v>
      </c>
      <c r="M63" s="37">
        <v>100</v>
      </c>
      <c r="N63" s="172"/>
      <c r="O63" s="343"/>
    </row>
    <row r="64" spans="1:15" ht="12" customHeight="1">
      <c r="A64" s="63"/>
      <c r="B64" s="21"/>
      <c r="C64" s="22"/>
      <c r="D64" s="622" t="s">
        <v>173</v>
      </c>
      <c r="E64" s="521">
        <v>1645913200</v>
      </c>
      <c r="F64" s="624" t="s">
        <v>175</v>
      </c>
      <c r="G64" s="492">
        <v>43738</v>
      </c>
      <c r="H64" s="521">
        <v>1645913200</v>
      </c>
      <c r="I64" s="620">
        <f t="shared" si="9"/>
        <v>100</v>
      </c>
      <c r="J64" s="521">
        <v>1645913200</v>
      </c>
      <c r="K64" s="620">
        <f t="shared" si="10"/>
        <v>100</v>
      </c>
      <c r="L64" s="715">
        <v>100</v>
      </c>
      <c r="M64" s="37">
        <v>100</v>
      </c>
      <c r="N64" s="172"/>
      <c r="O64" s="343"/>
    </row>
    <row r="65" spans="1:15" ht="12" customHeight="1">
      <c r="A65" s="63"/>
      <c r="B65" s="21"/>
      <c r="C65" s="22"/>
      <c r="D65" s="359"/>
      <c r="E65" s="22"/>
      <c r="F65" s="360"/>
      <c r="G65" s="361"/>
      <c r="H65" s="22"/>
      <c r="I65" s="114"/>
      <c r="J65" s="22"/>
      <c r="K65" s="36"/>
      <c r="L65" s="713"/>
      <c r="M65" s="37"/>
      <c r="N65" s="172"/>
      <c r="O65" s="343"/>
    </row>
    <row r="66" spans="1:15" ht="12" customHeight="1">
      <c r="A66" s="582">
        <v>2</v>
      </c>
      <c r="B66" s="583" t="s">
        <v>53</v>
      </c>
      <c r="C66" s="584">
        <v>1110122000</v>
      </c>
      <c r="D66" s="585"/>
      <c r="E66" s="586"/>
      <c r="F66" s="587"/>
      <c r="G66" s="588"/>
      <c r="H66" s="589">
        <f>604173402+100000000+6406500+91445309</f>
        <v>802025211</v>
      </c>
      <c r="I66" s="590">
        <f>+H66/C66*100</f>
        <v>72.2465828980959</v>
      </c>
      <c r="J66" s="589">
        <f>604173402+100000000+6406500+91445309</f>
        <v>802025211</v>
      </c>
      <c r="K66" s="591">
        <f>+J66/C66*100</f>
        <v>72.2465828980959</v>
      </c>
      <c r="L66" s="734">
        <v>100</v>
      </c>
      <c r="M66" s="593">
        <f>+J66/C66*100</f>
        <v>72.2465828980959</v>
      </c>
      <c r="N66" s="594">
        <f>C66-J66</f>
        <v>308096789</v>
      </c>
      <c r="O66" s="595"/>
    </row>
    <row r="67" spans="1:15" ht="12" customHeight="1">
      <c r="A67" s="582">
        <v>3</v>
      </c>
      <c r="B67" s="583" t="s">
        <v>54</v>
      </c>
      <c r="C67" s="584">
        <v>381050000</v>
      </c>
      <c r="D67" s="585" t="s">
        <v>107</v>
      </c>
      <c r="E67" s="589">
        <v>48600000</v>
      </c>
      <c r="F67" s="587" t="s">
        <v>108</v>
      </c>
      <c r="G67" s="588">
        <v>43584</v>
      </c>
      <c r="H67" s="589">
        <f>119273588</f>
        <v>119273588</v>
      </c>
      <c r="I67" s="590">
        <f>+H67/C67*100</f>
        <v>31.30129589292744</v>
      </c>
      <c r="J67" s="589">
        <f>119273588</f>
        <v>119273588</v>
      </c>
      <c r="K67" s="591">
        <f>+J67/C67*100</f>
        <v>31.30129589292744</v>
      </c>
      <c r="L67" s="734">
        <v>100</v>
      </c>
      <c r="M67" s="593">
        <f>+J67/C67*100</f>
        <v>31.30129589292744</v>
      </c>
      <c r="N67" s="594">
        <f>C67-J67</f>
        <v>261776412</v>
      </c>
      <c r="O67" s="595"/>
    </row>
    <row r="68" spans="1:15" ht="12" customHeight="1">
      <c r="A68" s="255"/>
      <c r="B68" s="246"/>
      <c r="C68" s="28"/>
      <c r="D68" s="215"/>
      <c r="E68" s="29"/>
      <c r="F68" s="134"/>
      <c r="G68" s="238"/>
      <c r="H68" s="29"/>
      <c r="I68" s="314"/>
      <c r="J68" s="29"/>
      <c r="K68" s="36"/>
      <c r="L68" s="713"/>
      <c r="M68" s="173"/>
      <c r="N68" s="172"/>
      <c r="O68" s="345"/>
    </row>
    <row r="69" spans="1:15" ht="12" customHeight="1">
      <c r="A69" s="256">
        <v>5</v>
      </c>
      <c r="B69" s="97" t="s">
        <v>56</v>
      </c>
      <c r="C69" s="174">
        <f>SUM(C70:C83)</f>
        <v>1190425000</v>
      </c>
      <c r="D69" s="565"/>
      <c r="E69" s="174">
        <f>E70+E71+E72++E73+E74+E75+E76+E79+E81+E83+E78</f>
        <v>160501000</v>
      </c>
      <c r="F69" s="565"/>
      <c r="G69" s="566"/>
      <c r="H69" s="174">
        <f>SUM(H70:H83)</f>
        <v>873672001</v>
      </c>
      <c r="I69" s="311">
        <f aca="true" t="shared" si="11" ref="I69:I77">+H69/C69*100</f>
        <v>73.39160392296868</v>
      </c>
      <c r="J69" s="174">
        <f>SUM(J70:J83)</f>
        <v>873672001</v>
      </c>
      <c r="K69" s="179">
        <f aca="true" t="shared" si="12" ref="K69:K77">+J69/C69*100</f>
        <v>73.39160392296868</v>
      </c>
      <c r="L69" s="714">
        <v>100</v>
      </c>
      <c r="M69" s="64">
        <f aca="true" t="shared" si="13" ref="M69:M77">+J69/C69*100</f>
        <v>73.39160392296868</v>
      </c>
      <c r="N69" s="172">
        <f aca="true" t="shared" si="14" ref="N69:N77">C69-J69</f>
        <v>316752999</v>
      </c>
      <c r="O69" s="343"/>
    </row>
    <row r="70" spans="1:15" ht="12" customHeight="1">
      <c r="A70" s="582">
        <v>1</v>
      </c>
      <c r="B70" s="597" t="s">
        <v>57</v>
      </c>
      <c r="C70" s="591">
        <v>350000000</v>
      </c>
      <c r="D70" s="598"/>
      <c r="E70" s="591"/>
      <c r="F70" s="587"/>
      <c r="G70" s="588"/>
      <c r="H70" s="591">
        <v>214048900</v>
      </c>
      <c r="I70" s="590">
        <f t="shared" si="11"/>
        <v>61.15682857142857</v>
      </c>
      <c r="J70" s="591">
        <v>214048900</v>
      </c>
      <c r="K70" s="591">
        <f t="shared" si="12"/>
        <v>61.15682857142857</v>
      </c>
      <c r="L70" s="735">
        <v>100</v>
      </c>
      <c r="M70" s="593">
        <f t="shared" si="13"/>
        <v>61.15682857142857</v>
      </c>
      <c r="N70" s="594">
        <f t="shared" si="14"/>
        <v>135951100</v>
      </c>
      <c r="O70" s="595"/>
    </row>
    <row r="71" spans="1:15" ht="12" customHeight="1">
      <c r="A71" s="63">
        <v>2</v>
      </c>
      <c r="B71" s="98" t="s">
        <v>58</v>
      </c>
      <c r="C71" s="71">
        <v>165000000</v>
      </c>
      <c r="D71" s="213"/>
      <c r="E71" s="37"/>
      <c r="F71" s="99"/>
      <c r="G71" s="235"/>
      <c r="H71" s="71">
        <f>122001983+1342421+2100000</f>
        <v>125444404</v>
      </c>
      <c r="I71" s="340">
        <f t="shared" si="11"/>
        <v>76.02691151515153</v>
      </c>
      <c r="J71" s="71">
        <f>122001983+1342421+2100000</f>
        <v>125444404</v>
      </c>
      <c r="K71" s="71">
        <f t="shared" si="12"/>
        <v>76.02691151515153</v>
      </c>
      <c r="L71" s="711">
        <v>100</v>
      </c>
      <c r="M71" s="37">
        <f t="shared" si="13"/>
        <v>76.02691151515153</v>
      </c>
      <c r="N71" s="172">
        <f t="shared" si="14"/>
        <v>39555596</v>
      </c>
      <c r="O71" s="343"/>
    </row>
    <row r="72" spans="1:15" ht="12" customHeight="1">
      <c r="A72" s="438">
        <v>3</v>
      </c>
      <c r="B72" s="436" t="s">
        <v>59</v>
      </c>
      <c r="C72" s="408">
        <v>50000000</v>
      </c>
      <c r="D72" s="409"/>
      <c r="E72" s="415"/>
      <c r="F72" s="410"/>
      <c r="G72" s="411"/>
      <c r="H72" s="412">
        <f>22900000+1375000+2400000</f>
        <v>26675000</v>
      </c>
      <c r="I72" s="413">
        <f t="shared" si="11"/>
        <v>53.349999999999994</v>
      </c>
      <c r="J72" s="412">
        <f>22900000+1375000+2400000</f>
        <v>26675000</v>
      </c>
      <c r="K72" s="408">
        <f t="shared" si="12"/>
        <v>53.349999999999994</v>
      </c>
      <c r="L72" s="736">
        <v>100</v>
      </c>
      <c r="M72" s="415">
        <f t="shared" si="13"/>
        <v>53.349999999999994</v>
      </c>
      <c r="N72" s="416">
        <f t="shared" si="14"/>
        <v>23325000</v>
      </c>
      <c r="O72" s="439"/>
    </row>
    <row r="73" spans="1:15" ht="12" customHeight="1">
      <c r="A73" s="489">
        <v>4</v>
      </c>
      <c r="B73" s="169" t="s">
        <v>78</v>
      </c>
      <c r="C73" s="166">
        <v>80000000</v>
      </c>
      <c r="D73" s="214" t="s">
        <v>110</v>
      </c>
      <c r="E73" s="167">
        <v>11000000</v>
      </c>
      <c r="F73" s="491" t="s">
        <v>109</v>
      </c>
      <c r="G73" s="492">
        <v>43580</v>
      </c>
      <c r="H73" s="168">
        <f>29275000+25799900+8675000</f>
        <v>63749900</v>
      </c>
      <c r="I73" s="483">
        <f t="shared" si="11"/>
        <v>79.687375</v>
      </c>
      <c r="J73" s="168">
        <f>29275000+25799900+8675000</f>
        <v>63749900</v>
      </c>
      <c r="K73" s="166">
        <f t="shared" si="12"/>
        <v>79.687375</v>
      </c>
      <c r="L73" s="718">
        <v>100</v>
      </c>
      <c r="M73" s="167">
        <f t="shared" si="13"/>
        <v>79.687375</v>
      </c>
      <c r="N73" s="485">
        <f t="shared" si="14"/>
        <v>16250100</v>
      </c>
      <c r="O73" s="486"/>
    </row>
    <row r="74" spans="1:15" ht="12" customHeight="1">
      <c r="A74" s="438">
        <v>5</v>
      </c>
      <c r="B74" s="407" t="s">
        <v>79</v>
      </c>
      <c r="C74" s="408">
        <v>50000000</v>
      </c>
      <c r="D74" s="409"/>
      <c r="E74" s="415"/>
      <c r="F74" s="410"/>
      <c r="G74" s="411"/>
      <c r="H74" s="412">
        <f>10775000+4950000+550000</f>
        <v>16275000</v>
      </c>
      <c r="I74" s="413">
        <f t="shared" si="11"/>
        <v>32.550000000000004</v>
      </c>
      <c r="J74" s="412">
        <f>10775000+4950000+550000</f>
        <v>16275000</v>
      </c>
      <c r="K74" s="408">
        <f t="shared" si="12"/>
        <v>32.550000000000004</v>
      </c>
      <c r="L74" s="736">
        <v>100</v>
      </c>
      <c r="M74" s="415">
        <f t="shared" si="13"/>
        <v>32.550000000000004</v>
      </c>
      <c r="N74" s="416">
        <f t="shared" si="14"/>
        <v>33725000</v>
      </c>
      <c r="O74" s="439"/>
    </row>
    <row r="75" spans="1:15" ht="12" customHeight="1">
      <c r="A75" s="489">
        <v>6</v>
      </c>
      <c r="B75" s="169" t="s">
        <v>60</v>
      </c>
      <c r="C75" s="166">
        <v>50000000</v>
      </c>
      <c r="D75" s="214"/>
      <c r="E75" s="167"/>
      <c r="F75" s="491"/>
      <c r="G75" s="492"/>
      <c r="H75" s="168">
        <f>20860166+1435000+2766631</f>
        <v>25061797</v>
      </c>
      <c r="I75" s="483">
        <f t="shared" si="11"/>
        <v>50.123594000000004</v>
      </c>
      <c r="J75" s="168">
        <f>20860166+1435000+2766631</f>
        <v>25061797</v>
      </c>
      <c r="K75" s="166">
        <f t="shared" si="12"/>
        <v>50.123594000000004</v>
      </c>
      <c r="L75" s="718">
        <v>100</v>
      </c>
      <c r="M75" s="167">
        <f t="shared" si="13"/>
        <v>50.123594000000004</v>
      </c>
      <c r="N75" s="485">
        <f t="shared" si="14"/>
        <v>24938203</v>
      </c>
      <c r="O75" s="486"/>
    </row>
    <row r="76" spans="1:15" ht="12" customHeight="1">
      <c r="A76" s="493">
        <v>7</v>
      </c>
      <c r="B76" s="494" t="s">
        <v>61</v>
      </c>
      <c r="C76" s="495">
        <v>50000000</v>
      </c>
      <c r="D76" s="496"/>
      <c r="E76" s="497"/>
      <c r="F76" s="498"/>
      <c r="G76" s="499"/>
      <c r="H76" s="500">
        <v>48600000</v>
      </c>
      <c r="I76" s="483">
        <f t="shared" si="11"/>
        <v>97.2</v>
      </c>
      <c r="J76" s="500">
        <v>48600000</v>
      </c>
      <c r="K76" s="166">
        <f t="shared" si="12"/>
        <v>97.2</v>
      </c>
      <c r="L76" s="718">
        <v>100</v>
      </c>
      <c r="M76" s="167">
        <f t="shared" si="13"/>
        <v>97.2</v>
      </c>
      <c r="N76" s="485">
        <f t="shared" si="14"/>
        <v>1400000</v>
      </c>
      <c r="O76" s="486"/>
    </row>
    <row r="77" spans="1:15" ht="12" customHeight="1">
      <c r="A77" s="489">
        <v>8</v>
      </c>
      <c r="B77" s="494" t="s">
        <v>85</v>
      </c>
      <c r="C77" s="495">
        <v>156700000</v>
      </c>
      <c r="D77" s="496"/>
      <c r="E77" s="497"/>
      <c r="F77" s="498"/>
      <c r="G77" s="499"/>
      <c r="H77" s="500">
        <f>149501000+4700000</f>
        <v>154201000</v>
      </c>
      <c r="I77" s="483">
        <f t="shared" si="11"/>
        <v>98.40523292916401</v>
      </c>
      <c r="J77" s="500">
        <f>149501000+4700000</f>
        <v>154201000</v>
      </c>
      <c r="K77" s="166">
        <f t="shared" si="12"/>
        <v>98.40523292916401</v>
      </c>
      <c r="L77" s="718">
        <v>100</v>
      </c>
      <c r="M77" s="167">
        <f t="shared" si="13"/>
        <v>98.40523292916401</v>
      </c>
      <c r="N77" s="485">
        <f t="shared" si="14"/>
        <v>2499000</v>
      </c>
      <c r="O77" s="486"/>
    </row>
    <row r="78" spans="1:15" ht="12" customHeight="1">
      <c r="A78" s="493"/>
      <c r="B78" s="494"/>
      <c r="C78" s="495"/>
      <c r="D78" s="501" t="s">
        <v>154</v>
      </c>
      <c r="E78" s="502">
        <v>149501000</v>
      </c>
      <c r="F78" s="503" t="s">
        <v>156</v>
      </c>
      <c r="G78" s="504" t="s">
        <v>155</v>
      </c>
      <c r="H78" s="505"/>
      <c r="I78" s="506"/>
      <c r="J78" s="505"/>
      <c r="K78" s="166"/>
      <c r="L78" s="718"/>
      <c r="M78" s="167"/>
      <c r="N78" s="485"/>
      <c r="O78" s="486"/>
    </row>
    <row r="79" spans="1:15" ht="12" customHeight="1">
      <c r="A79" s="442">
        <v>9</v>
      </c>
      <c r="B79" s="425" t="s">
        <v>80</v>
      </c>
      <c r="C79" s="426">
        <v>140000000</v>
      </c>
      <c r="D79" s="427"/>
      <c r="E79" s="428">
        <v>0</v>
      </c>
      <c r="F79" s="429"/>
      <c r="G79" s="430"/>
      <c r="H79" s="426">
        <f>108166000+2350000</f>
        <v>110516000</v>
      </c>
      <c r="I79" s="727">
        <f>(H79)/C79*100</f>
        <v>78.94</v>
      </c>
      <c r="J79" s="426">
        <f>108166000+2350000</f>
        <v>110516000</v>
      </c>
      <c r="K79" s="412">
        <f>(J79+J80)/C79*100</f>
        <v>78.94</v>
      </c>
      <c r="L79" s="736">
        <v>100</v>
      </c>
      <c r="M79" s="415">
        <f>(J79+J80)/C79*100</f>
        <v>78.94</v>
      </c>
      <c r="N79" s="426">
        <f>C79-J79-J80</f>
        <v>29484000</v>
      </c>
      <c r="O79" s="439"/>
    </row>
    <row r="80" spans="1:15" ht="12" customHeight="1">
      <c r="A80" s="442"/>
      <c r="B80" s="425"/>
      <c r="C80" s="426"/>
      <c r="D80" s="432" t="s">
        <v>140</v>
      </c>
      <c r="E80" s="428">
        <v>85930000</v>
      </c>
      <c r="F80" s="433" t="s">
        <v>141</v>
      </c>
      <c r="G80" s="430">
        <v>43556</v>
      </c>
      <c r="H80" s="428"/>
      <c r="I80" s="413"/>
      <c r="J80" s="428"/>
      <c r="K80" s="408"/>
      <c r="L80" s="736"/>
      <c r="M80" s="415"/>
      <c r="N80" s="426"/>
      <c r="O80" s="439"/>
    </row>
    <row r="81" spans="1:15" ht="12" customHeight="1">
      <c r="A81" s="438">
        <v>10</v>
      </c>
      <c r="B81" s="407" t="s">
        <v>62</v>
      </c>
      <c r="C81" s="408">
        <v>58775000</v>
      </c>
      <c r="D81" s="409"/>
      <c r="E81" s="408"/>
      <c r="F81" s="410"/>
      <c r="G81" s="411"/>
      <c r="H81" s="412">
        <f>14545000+25830000+16750000</f>
        <v>57125000</v>
      </c>
      <c r="I81" s="413">
        <f>+H81/C81*100</f>
        <v>97.19268396427051</v>
      </c>
      <c r="J81" s="412">
        <f>14545000+25830000+16750000</f>
        <v>57125000</v>
      </c>
      <c r="K81" s="408">
        <f>+J81/C81*100</f>
        <v>97.19268396427051</v>
      </c>
      <c r="L81" s="736">
        <v>100</v>
      </c>
      <c r="M81" s="415">
        <f>+J81/C81*100</f>
        <v>97.19268396427051</v>
      </c>
      <c r="N81" s="416">
        <f aca="true" t="shared" si="15" ref="N81:N91">C81-J81</f>
        <v>1650000</v>
      </c>
      <c r="O81" s="439"/>
    </row>
    <row r="82" spans="1:15" ht="12" customHeight="1">
      <c r="A82" s="442">
        <v>11</v>
      </c>
      <c r="B82" s="407" t="s">
        <v>81</v>
      </c>
      <c r="C82" s="434">
        <v>18950000</v>
      </c>
      <c r="D82" s="435"/>
      <c r="E82" s="408"/>
      <c r="F82" s="410"/>
      <c r="G82" s="411"/>
      <c r="H82" s="412">
        <v>15150000</v>
      </c>
      <c r="I82" s="413">
        <f>+H82/C82*100</f>
        <v>79.94722955145119</v>
      </c>
      <c r="J82" s="412">
        <v>15150000</v>
      </c>
      <c r="K82" s="408">
        <f>+J82/C82*100</f>
        <v>79.94722955145119</v>
      </c>
      <c r="L82" s="736">
        <v>100</v>
      </c>
      <c r="M82" s="415">
        <f>+J82/C82*100</f>
        <v>79.94722955145119</v>
      </c>
      <c r="N82" s="416">
        <f t="shared" si="15"/>
        <v>3800000</v>
      </c>
      <c r="O82" s="439"/>
    </row>
    <row r="83" spans="1:15" ht="12" customHeight="1">
      <c r="A83" s="570">
        <v>12</v>
      </c>
      <c r="B83" s="571" t="s">
        <v>55</v>
      </c>
      <c r="C83" s="600">
        <v>21000000</v>
      </c>
      <c r="D83" s="601"/>
      <c r="E83" s="572"/>
      <c r="F83" s="602"/>
      <c r="G83" s="603"/>
      <c r="H83" s="577">
        <f>12900000+3925000</f>
        <v>16825000</v>
      </c>
      <c r="I83" s="578">
        <f>+H83/C83*100</f>
        <v>80.11904761904762</v>
      </c>
      <c r="J83" s="577">
        <f>12900000+3925000</f>
        <v>16825000</v>
      </c>
      <c r="K83" s="572">
        <f>+J83/C83*100</f>
        <v>80.11904761904762</v>
      </c>
      <c r="L83" s="737">
        <v>100</v>
      </c>
      <c r="M83" s="574">
        <f>+J83/C83*100</f>
        <v>80.11904761904762</v>
      </c>
      <c r="N83" s="605">
        <f t="shared" si="15"/>
        <v>4175000</v>
      </c>
      <c r="O83" s="580"/>
    </row>
    <row r="84" spans="1:15" ht="12" customHeight="1">
      <c r="A84" s="519"/>
      <c r="B84" s="520"/>
      <c r="C84" s="521"/>
      <c r="D84" s="522"/>
      <c r="E84" s="523"/>
      <c r="F84" s="491"/>
      <c r="G84" s="492"/>
      <c r="H84" s="524"/>
      <c r="I84" s="525"/>
      <c r="J84" s="524"/>
      <c r="K84" s="168"/>
      <c r="L84" s="716"/>
      <c r="M84" s="168"/>
      <c r="N84" s="485">
        <f t="shared" si="15"/>
        <v>0</v>
      </c>
      <c r="O84" s="486"/>
    </row>
    <row r="85" spans="1:15" s="689" customFormat="1" ht="12" customHeight="1">
      <c r="A85" s="527">
        <v>6</v>
      </c>
      <c r="B85" s="528" t="s">
        <v>63</v>
      </c>
      <c r="C85" s="529">
        <f>C86+C87+C88</f>
        <v>386507853</v>
      </c>
      <c r="D85" s="530"/>
      <c r="E85" s="529">
        <f>E86+E87+E88</f>
        <v>0</v>
      </c>
      <c r="F85" s="530"/>
      <c r="G85" s="531"/>
      <c r="H85" s="532">
        <f>SUM(H86:H88)</f>
        <v>319944000</v>
      </c>
      <c r="I85" s="543">
        <f>+H85/C85*100</f>
        <v>82.77813698134615</v>
      </c>
      <c r="J85" s="532">
        <f>SUM(J86:J88)</f>
        <v>319944000</v>
      </c>
      <c r="K85" s="639">
        <f>+J85/C85*100</f>
        <v>82.77813698134615</v>
      </c>
      <c r="L85" s="718">
        <v>100</v>
      </c>
      <c r="M85" s="545">
        <f>+J85/C85*100</f>
        <v>82.77813698134615</v>
      </c>
      <c r="N85" s="670">
        <f t="shared" si="15"/>
        <v>66563853</v>
      </c>
      <c r="O85" s="692"/>
    </row>
    <row r="86" spans="1:15" ht="12" customHeight="1">
      <c r="A86" s="489">
        <v>1</v>
      </c>
      <c r="B86" s="169" t="s">
        <v>64</v>
      </c>
      <c r="C86" s="517">
        <v>50000000</v>
      </c>
      <c r="D86" s="518"/>
      <c r="E86" s="517"/>
      <c r="F86" s="491"/>
      <c r="G86" s="492"/>
      <c r="H86" s="517">
        <f>37223000+3525000+5525000</f>
        <v>46273000</v>
      </c>
      <c r="I86" s="483">
        <f>+H86/C86*100</f>
        <v>92.54599999999999</v>
      </c>
      <c r="J86" s="517">
        <f>37223000+3525000+5525000</f>
        <v>46273000</v>
      </c>
      <c r="K86" s="166">
        <f>+J86/C86*100</f>
        <v>92.54599999999999</v>
      </c>
      <c r="L86" s="718">
        <v>100</v>
      </c>
      <c r="M86" s="167">
        <f>+J86/C86*100</f>
        <v>92.54599999999999</v>
      </c>
      <c r="N86" s="485">
        <f t="shared" si="15"/>
        <v>3727000</v>
      </c>
      <c r="O86" s="486"/>
    </row>
    <row r="87" spans="1:15" ht="12" customHeight="1">
      <c r="A87" s="489">
        <v>2</v>
      </c>
      <c r="B87" s="169" t="s">
        <v>65</v>
      </c>
      <c r="C87" s="517">
        <v>35000000</v>
      </c>
      <c r="D87" s="518"/>
      <c r="E87" s="523"/>
      <c r="F87" s="491"/>
      <c r="G87" s="492"/>
      <c r="H87" s="517">
        <f>8946000+20250000</f>
        <v>29196000</v>
      </c>
      <c r="I87" s="483">
        <f>+H87/C87*100</f>
        <v>83.41714285714286</v>
      </c>
      <c r="J87" s="517">
        <f>8946000+20250000</f>
        <v>29196000</v>
      </c>
      <c r="K87" s="166">
        <f>+J87/C87*100</f>
        <v>83.41714285714286</v>
      </c>
      <c r="L87" s="718">
        <v>100</v>
      </c>
      <c r="M87" s="167">
        <f>+J87/C87*100</f>
        <v>83.41714285714286</v>
      </c>
      <c r="N87" s="485">
        <f t="shared" si="15"/>
        <v>5804000</v>
      </c>
      <c r="O87" s="486"/>
    </row>
    <row r="88" spans="1:15" ht="12" customHeight="1">
      <c r="A88" s="489">
        <v>3</v>
      </c>
      <c r="B88" s="169" t="s">
        <v>66</v>
      </c>
      <c r="C88" s="166">
        <v>301507853</v>
      </c>
      <c r="D88" s="214"/>
      <c r="E88" s="166"/>
      <c r="F88" s="491"/>
      <c r="G88" s="492"/>
      <c r="H88" s="166">
        <f>236275000+4450000+3750000</f>
        <v>244475000</v>
      </c>
      <c r="I88" s="483">
        <f>+H88/C88*100</f>
        <v>81.08412353690834</v>
      </c>
      <c r="J88" s="166">
        <f>236275000+4450000+3750000</f>
        <v>244475000</v>
      </c>
      <c r="K88" s="166">
        <f>+J88/C88*100</f>
        <v>81.08412353690834</v>
      </c>
      <c r="L88" s="718">
        <v>100</v>
      </c>
      <c r="M88" s="167">
        <f>+J88/C88*100</f>
        <v>81.08412353690834</v>
      </c>
      <c r="N88" s="485">
        <f t="shared" si="15"/>
        <v>57032853</v>
      </c>
      <c r="O88" s="486"/>
    </row>
    <row r="89" spans="1:15" ht="12" customHeight="1">
      <c r="A89" s="533"/>
      <c r="B89" s="534"/>
      <c r="C89" s="535"/>
      <c r="D89" s="536"/>
      <c r="E89" s="535"/>
      <c r="F89" s="537"/>
      <c r="G89" s="538"/>
      <c r="H89" s="535">
        <v>0</v>
      </c>
      <c r="I89" s="539"/>
      <c r="J89" s="535"/>
      <c r="K89" s="540"/>
      <c r="L89" s="541"/>
      <c r="M89" s="542"/>
      <c r="N89" s="485">
        <f t="shared" si="15"/>
        <v>0</v>
      </c>
      <c r="O89" s="486"/>
    </row>
    <row r="90" spans="1:15" ht="12" customHeight="1">
      <c r="A90" s="527">
        <v>7</v>
      </c>
      <c r="B90" s="528" t="s">
        <v>67</v>
      </c>
      <c r="C90" s="532">
        <f>C91+C92</f>
        <v>520000000</v>
      </c>
      <c r="D90" s="567"/>
      <c r="E90" s="532">
        <f>SUM(E91:E100)</f>
        <v>503968000</v>
      </c>
      <c r="F90" s="567"/>
      <c r="G90" s="568"/>
      <c r="H90" s="532">
        <f>SUM(H91+H92)</f>
        <v>505018000</v>
      </c>
      <c r="I90" s="543">
        <f>+H90/C90*100</f>
        <v>97.11884615384615</v>
      </c>
      <c r="J90" s="532">
        <f>SUM(J91+J92)</f>
        <v>505018000</v>
      </c>
      <c r="K90" s="544">
        <f>+J90/C90*100</f>
        <v>97.11884615384615</v>
      </c>
      <c r="L90" s="545">
        <v>100</v>
      </c>
      <c r="M90" s="545">
        <f>J90/C90*100</f>
        <v>97.11884615384615</v>
      </c>
      <c r="N90" s="485">
        <f t="shared" si="15"/>
        <v>14982000</v>
      </c>
      <c r="O90" s="486"/>
    </row>
    <row r="91" spans="1:15" ht="12" customHeight="1">
      <c r="A91" s="519">
        <v>1</v>
      </c>
      <c r="B91" s="169" t="s">
        <v>68</v>
      </c>
      <c r="C91" s="166">
        <v>100000000</v>
      </c>
      <c r="D91" s="546" t="s">
        <v>129</v>
      </c>
      <c r="E91" s="521">
        <v>98395000</v>
      </c>
      <c r="F91" s="546" t="s">
        <v>128</v>
      </c>
      <c r="G91" s="547" t="s">
        <v>127</v>
      </c>
      <c r="H91" s="166">
        <v>99445000</v>
      </c>
      <c r="I91" s="483">
        <f>+H91/C91*100</f>
        <v>99.445</v>
      </c>
      <c r="J91" s="166">
        <v>99445000</v>
      </c>
      <c r="K91" s="166">
        <f>+J91/C91*100</f>
        <v>99.445</v>
      </c>
      <c r="L91" s="718">
        <v>100</v>
      </c>
      <c r="M91" s="167">
        <f>+J91/C91*100</f>
        <v>99.445</v>
      </c>
      <c r="N91" s="485">
        <f t="shared" si="15"/>
        <v>555000</v>
      </c>
      <c r="O91" s="486"/>
    </row>
    <row r="92" spans="1:15" ht="12" customHeight="1">
      <c r="A92" s="519">
        <v>2</v>
      </c>
      <c r="B92" s="169" t="s">
        <v>69</v>
      </c>
      <c r="C92" s="166">
        <v>420000000</v>
      </c>
      <c r="D92" s="546"/>
      <c r="E92" s="521"/>
      <c r="F92" s="546"/>
      <c r="G92" s="547"/>
      <c r="H92" s="166">
        <f>SUM(H93+H94+H95+H96+H97+H98+H99+H100)</f>
        <v>405573000</v>
      </c>
      <c r="I92" s="483">
        <f>H92/C92*100</f>
        <v>96.565</v>
      </c>
      <c r="J92" s="166">
        <f>SUM(J93+J94+J95+J96+J97+J98+J99+J100)</f>
        <v>405573000</v>
      </c>
      <c r="K92" s="166">
        <f>J92/C92*100</f>
        <v>96.565</v>
      </c>
      <c r="L92" s="718">
        <v>100</v>
      </c>
      <c r="M92" s="167">
        <f>+J92/C92*100</f>
        <v>96.565</v>
      </c>
      <c r="N92" s="485">
        <f>C92-(J93+J94+J95+J96+J97+J98+J99+J100)</f>
        <v>14427000</v>
      </c>
      <c r="O92" s="486"/>
    </row>
    <row r="93" spans="1:15" ht="12" customHeight="1">
      <c r="A93" s="519"/>
      <c r="B93" s="169"/>
      <c r="C93" s="166"/>
      <c r="D93" s="501" t="s">
        <v>136</v>
      </c>
      <c r="E93" s="166">
        <v>98188000</v>
      </c>
      <c r="F93" s="548" t="s">
        <v>134</v>
      </c>
      <c r="G93" s="492" t="s">
        <v>135</v>
      </c>
      <c r="H93" s="166">
        <v>98188000</v>
      </c>
      <c r="I93" s="725">
        <f>+H93/E93*100</f>
        <v>100</v>
      </c>
      <c r="J93" s="166">
        <v>98188000</v>
      </c>
      <c r="K93" s="725">
        <f>+J93/E93*100</f>
        <v>100</v>
      </c>
      <c r="M93" s="167"/>
      <c r="O93" s="486"/>
    </row>
    <row r="94" spans="1:15" ht="12" customHeight="1">
      <c r="A94" s="519"/>
      <c r="B94" s="169"/>
      <c r="C94" s="166"/>
      <c r="D94" s="501" t="s">
        <v>145</v>
      </c>
      <c r="E94" s="166">
        <v>48230000</v>
      </c>
      <c r="F94" s="548" t="s">
        <v>144</v>
      </c>
      <c r="G94" s="512" t="s">
        <v>143</v>
      </c>
      <c r="H94" s="166">
        <v>48230000</v>
      </c>
      <c r="I94" s="725">
        <f aca="true" t="shared" si="16" ref="I94:I100">+H94/E94*100</f>
        <v>100</v>
      </c>
      <c r="J94" s="166">
        <v>48230000</v>
      </c>
      <c r="K94" s="725">
        <f aca="true" t="shared" si="17" ref="K94:K100">+J94/E94*100</f>
        <v>100</v>
      </c>
      <c r="L94" s="718"/>
      <c r="M94" s="167"/>
      <c r="N94" s="485"/>
      <c r="O94" s="486"/>
    </row>
    <row r="95" spans="1:15" ht="12" customHeight="1">
      <c r="A95" s="519"/>
      <c r="B95" s="169"/>
      <c r="C95" s="166"/>
      <c r="D95" s="501" t="s">
        <v>142</v>
      </c>
      <c r="E95" s="166">
        <v>48150000</v>
      </c>
      <c r="F95" s="548" t="s">
        <v>146</v>
      </c>
      <c r="G95" s="512" t="s">
        <v>143</v>
      </c>
      <c r="H95" s="166">
        <v>48150000</v>
      </c>
      <c r="I95" s="725">
        <f t="shared" si="16"/>
        <v>100</v>
      </c>
      <c r="J95" s="166">
        <v>48150000</v>
      </c>
      <c r="K95" s="725">
        <f t="shared" si="17"/>
        <v>100</v>
      </c>
      <c r="L95" s="718"/>
      <c r="M95" s="167"/>
      <c r="N95" s="485"/>
      <c r="O95" s="486"/>
    </row>
    <row r="96" spans="1:15" ht="12" customHeight="1">
      <c r="A96" s="519"/>
      <c r="B96" s="169"/>
      <c r="C96" s="166"/>
      <c r="D96" s="501" t="s">
        <v>147</v>
      </c>
      <c r="E96" s="166">
        <v>38280000</v>
      </c>
      <c r="F96" s="549" t="s">
        <v>148</v>
      </c>
      <c r="G96" s="512">
        <v>43556</v>
      </c>
      <c r="H96" s="166">
        <v>38280000</v>
      </c>
      <c r="I96" s="725">
        <f t="shared" si="16"/>
        <v>100</v>
      </c>
      <c r="J96" s="166">
        <v>38280000</v>
      </c>
      <c r="K96" s="725">
        <f t="shared" si="17"/>
        <v>100</v>
      </c>
      <c r="L96" s="718"/>
      <c r="M96" s="167"/>
      <c r="N96" s="485"/>
      <c r="O96" s="486"/>
    </row>
    <row r="97" spans="1:15" ht="12" customHeight="1">
      <c r="A97" s="519"/>
      <c r="B97" s="169"/>
      <c r="C97" s="166"/>
      <c r="D97" s="501" t="s">
        <v>149</v>
      </c>
      <c r="E97" s="166">
        <v>48260000</v>
      </c>
      <c r="F97" s="549" t="s">
        <v>148</v>
      </c>
      <c r="G97" s="512">
        <v>43556</v>
      </c>
      <c r="H97" s="166">
        <v>48260000</v>
      </c>
      <c r="I97" s="725">
        <f t="shared" si="16"/>
        <v>100</v>
      </c>
      <c r="J97" s="166">
        <v>48260000</v>
      </c>
      <c r="K97" s="725">
        <f t="shared" si="17"/>
        <v>100</v>
      </c>
      <c r="L97" s="718"/>
      <c r="M97" s="167"/>
      <c r="N97" s="485"/>
      <c r="O97" s="486"/>
    </row>
    <row r="98" spans="1:15" ht="12" customHeight="1">
      <c r="A98" s="519"/>
      <c r="B98" s="169"/>
      <c r="C98" s="166"/>
      <c r="D98" s="501" t="s">
        <v>150</v>
      </c>
      <c r="E98" s="166">
        <v>38170000</v>
      </c>
      <c r="F98" s="549" t="s">
        <v>148</v>
      </c>
      <c r="G98" s="512">
        <v>43556</v>
      </c>
      <c r="H98" s="166">
        <v>38170000</v>
      </c>
      <c r="I98" s="725">
        <f t="shared" si="16"/>
        <v>100</v>
      </c>
      <c r="J98" s="166">
        <v>38170000</v>
      </c>
      <c r="K98" s="725">
        <f t="shared" si="17"/>
        <v>100</v>
      </c>
      <c r="L98" s="718"/>
      <c r="M98" s="167"/>
      <c r="N98" s="485"/>
      <c r="O98" s="486"/>
    </row>
    <row r="99" spans="1:15" ht="12" customHeight="1">
      <c r="A99" s="519"/>
      <c r="B99" s="169"/>
      <c r="C99" s="166"/>
      <c r="D99" s="501" t="s">
        <v>151</v>
      </c>
      <c r="E99" s="166">
        <v>48125000</v>
      </c>
      <c r="F99" s="550" t="s">
        <v>152</v>
      </c>
      <c r="G99" s="512">
        <v>43556</v>
      </c>
      <c r="H99" s="166">
        <v>48125000</v>
      </c>
      <c r="I99" s="725">
        <f t="shared" si="16"/>
        <v>100</v>
      </c>
      <c r="J99" s="166">
        <v>48125000</v>
      </c>
      <c r="K99" s="725">
        <f t="shared" si="17"/>
        <v>100</v>
      </c>
      <c r="L99" s="718"/>
      <c r="M99" s="167"/>
      <c r="N99" s="485"/>
      <c r="O99" s="486"/>
    </row>
    <row r="100" spans="1:15" ht="12" customHeight="1">
      <c r="A100" s="519"/>
      <c r="B100" s="490"/>
      <c r="C100" s="166"/>
      <c r="D100" s="501" t="s">
        <v>153</v>
      </c>
      <c r="E100" s="166">
        <v>38170000</v>
      </c>
      <c r="F100" s="550" t="s">
        <v>152</v>
      </c>
      <c r="G100" s="512">
        <v>43556</v>
      </c>
      <c r="H100" s="166">
        <v>38170000</v>
      </c>
      <c r="I100" s="725">
        <f t="shared" si="16"/>
        <v>100</v>
      </c>
      <c r="J100" s="166">
        <v>38170000</v>
      </c>
      <c r="K100" s="725">
        <f t="shared" si="17"/>
        <v>100</v>
      </c>
      <c r="L100" s="718"/>
      <c r="M100" s="167"/>
      <c r="N100" s="485"/>
      <c r="O100" s="486"/>
    </row>
    <row r="101" spans="2:15" ht="12" customHeight="1">
      <c r="B101" s="490"/>
      <c r="C101" s="166"/>
      <c r="D101" s="166"/>
      <c r="E101" s="523"/>
      <c r="F101" s="491"/>
      <c r="G101" s="492"/>
      <c r="H101" s="168"/>
      <c r="I101" s="525"/>
      <c r="J101" s="168"/>
      <c r="K101" s="168"/>
      <c r="L101" s="168"/>
      <c r="M101" s="552"/>
      <c r="N101" s="485">
        <f>C100-J101</f>
        <v>0</v>
      </c>
      <c r="O101" s="486"/>
    </row>
    <row r="102" spans="1:15" ht="12" customHeight="1">
      <c r="A102" s="254">
        <v>8</v>
      </c>
      <c r="B102" s="69" t="s">
        <v>70</v>
      </c>
      <c r="C102" s="39">
        <f>SUM(C103:C103)</f>
        <v>100000000</v>
      </c>
      <c r="D102" s="198"/>
      <c r="E102" s="39">
        <f>SUM(E103:E103)</f>
        <v>0</v>
      </c>
      <c r="F102" s="198"/>
      <c r="G102" s="234"/>
      <c r="H102" s="179">
        <f>SUM(H103:H103)</f>
        <v>88083981</v>
      </c>
      <c r="I102" s="311">
        <f>+H102/C102*100</f>
        <v>88.083981</v>
      </c>
      <c r="J102" s="179">
        <f>SUM(J103:J103)</f>
        <v>88083981</v>
      </c>
      <c r="K102" s="179">
        <f>+J102/C102*100</f>
        <v>88.083981</v>
      </c>
      <c r="L102" s="711">
        <v>100</v>
      </c>
      <c r="M102" s="64">
        <f>+J102/C102*100</f>
        <v>88.083981</v>
      </c>
      <c r="N102" s="171">
        <f>C102-J102</f>
        <v>11916019</v>
      </c>
      <c r="O102" s="343"/>
    </row>
    <row r="103" spans="1:15" ht="12" customHeight="1">
      <c r="A103" s="475"/>
      <c r="B103" s="476" t="s">
        <v>169</v>
      </c>
      <c r="C103" s="477">
        <v>100000000</v>
      </c>
      <c r="D103" s="478"/>
      <c r="E103" s="479"/>
      <c r="F103" s="480"/>
      <c r="G103" s="481"/>
      <c r="H103" s="482">
        <f>1400000+47496500+39187481</f>
        <v>88083981</v>
      </c>
      <c r="I103" s="483">
        <f>+H103/C103*100</f>
        <v>88.083981</v>
      </c>
      <c r="J103" s="482">
        <f>1400000+47496500+39187481</f>
        <v>88083981</v>
      </c>
      <c r="K103" s="166">
        <f>+J103/C103*100</f>
        <v>88.083981</v>
      </c>
      <c r="L103" s="718">
        <v>100</v>
      </c>
      <c r="M103" s="167">
        <f>+J103/C103*100</f>
        <v>88.083981</v>
      </c>
      <c r="N103" s="485">
        <f>C103-J103</f>
        <v>11916019</v>
      </c>
      <c r="O103" s="486"/>
    </row>
    <row r="104" spans="1:15" ht="12" customHeight="1" thickBot="1">
      <c r="A104" s="63"/>
      <c r="B104" s="40"/>
      <c r="C104" s="41"/>
      <c r="D104" s="221"/>
      <c r="E104" s="37"/>
      <c r="F104" s="99"/>
      <c r="G104" s="235"/>
      <c r="H104" s="42"/>
      <c r="I104" s="320"/>
      <c r="J104" s="321"/>
      <c r="K104" s="322"/>
      <c r="L104" s="322"/>
      <c r="M104" s="322"/>
      <c r="N104" s="34"/>
      <c r="O104" s="343"/>
    </row>
    <row r="105" spans="1:15" ht="15" thickBot="1">
      <c r="A105" s="102"/>
      <c r="B105" s="103"/>
      <c r="C105" s="609">
        <f>C11+C25</f>
        <v>13112358353</v>
      </c>
      <c r="D105" s="609"/>
      <c r="E105" s="609">
        <f>+E11+E25</f>
        <v>3773115804</v>
      </c>
      <c r="F105" s="609">
        <f>F26+F39+F49+F52+F69+F85+F90+F102</f>
        <v>0</v>
      </c>
      <c r="G105" s="610"/>
      <c r="H105" s="611">
        <f>+H11+H25</f>
        <v>9913019123</v>
      </c>
      <c r="I105" s="608">
        <f>+H105/C105*100</f>
        <v>75.6005811931763</v>
      </c>
      <c r="J105" s="612">
        <f>+J11+J25</f>
        <v>9913019123</v>
      </c>
      <c r="K105" s="607">
        <f>+J105/C105*100</f>
        <v>75.6005811931763</v>
      </c>
      <c r="L105" s="721">
        <v>100</v>
      </c>
      <c r="M105" s="607">
        <f>SUM(M25+M11)/2</f>
        <v>74.81498412587447</v>
      </c>
      <c r="N105" s="614">
        <f>N11+N25</f>
        <v>3199339230</v>
      </c>
      <c r="O105" s="606"/>
    </row>
    <row r="106" spans="1:14" ht="12.75">
      <c r="A106" s="126"/>
      <c r="B106" s="135"/>
      <c r="C106" s="136"/>
      <c r="D106" s="208"/>
      <c r="E106" s="60"/>
      <c r="F106" s="207"/>
      <c r="G106" s="244"/>
      <c r="H106" s="44"/>
      <c r="I106" s="634"/>
      <c r="J106" s="1"/>
      <c r="K106" s="117"/>
      <c r="L106" s="722" t="s">
        <v>176</v>
      </c>
      <c r="M106" s="117"/>
      <c r="N106" s="117"/>
    </row>
    <row r="107" spans="1:14" ht="12.75">
      <c r="A107" s="126"/>
      <c r="B107" s="138"/>
      <c r="C107" s="84"/>
      <c r="D107" s="199"/>
      <c r="E107" s="139"/>
      <c r="F107" s="207"/>
      <c r="G107" s="244"/>
      <c r="H107" s="45"/>
      <c r="I107" s="317"/>
      <c r="J107" s="1"/>
      <c r="K107" s="634"/>
      <c r="L107" s="317" t="s">
        <v>73</v>
      </c>
      <c r="M107" s="634"/>
      <c r="N107" s="634"/>
    </row>
    <row r="108" spans="1:14" ht="12.75">
      <c r="A108" s="126"/>
      <c r="B108" s="105" t="s">
        <v>82</v>
      </c>
      <c r="C108" s="106">
        <f>H105/C105*100</f>
        <v>75.6005811931763</v>
      </c>
      <c r="D108" s="222"/>
      <c r="E108" s="60"/>
      <c r="F108" s="208"/>
      <c r="G108" s="224"/>
      <c r="H108" s="44"/>
      <c r="I108" s="634"/>
      <c r="J108" s="1"/>
      <c r="K108" s="634"/>
      <c r="L108" s="317" t="s">
        <v>72</v>
      </c>
      <c r="M108" s="634"/>
      <c r="N108" s="634"/>
    </row>
    <row r="109" spans="1:14" ht="12.75">
      <c r="A109" s="126"/>
      <c r="B109" s="105"/>
      <c r="C109" s="106"/>
      <c r="D109" s="222"/>
      <c r="E109" s="60"/>
      <c r="F109" s="208"/>
      <c r="G109" s="224"/>
      <c r="H109" s="44"/>
      <c r="I109" s="634"/>
      <c r="J109" s="1"/>
      <c r="K109" s="634"/>
      <c r="L109" s="317"/>
      <c r="M109" s="634"/>
      <c r="N109" s="634"/>
    </row>
    <row r="110" spans="1:14" ht="12.75">
      <c r="A110" s="126"/>
      <c r="B110" s="140"/>
      <c r="C110" s="141"/>
      <c r="D110" s="223"/>
      <c r="E110" s="60"/>
      <c r="F110" s="208"/>
      <c r="G110" s="224"/>
      <c r="H110" s="44"/>
      <c r="I110" s="634"/>
      <c r="J110" s="1"/>
      <c r="K110" s="634"/>
      <c r="L110" s="317"/>
      <c r="M110" s="634"/>
      <c r="N110" s="634"/>
    </row>
    <row r="111" spans="1:14" ht="12.75">
      <c r="A111" s="126"/>
      <c r="B111" s="140"/>
      <c r="C111" s="141"/>
      <c r="D111" s="223"/>
      <c r="E111" s="60"/>
      <c r="F111" s="208"/>
      <c r="G111" s="224"/>
      <c r="H111" s="44"/>
      <c r="I111" s="634"/>
      <c r="J111" s="1"/>
      <c r="K111" s="634"/>
      <c r="L111" s="317"/>
      <c r="M111" s="634"/>
      <c r="N111" s="634"/>
    </row>
    <row r="112" spans="1:14" ht="12.75">
      <c r="A112" s="126"/>
      <c r="B112" s="128"/>
      <c r="C112" s="84"/>
      <c r="D112" s="199"/>
      <c r="E112" s="60"/>
      <c r="F112" s="207"/>
      <c r="G112" s="244"/>
      <c r="H112" s="46"/>
      <c r="I112" s="634"/>
      <c r="J112" s="108"/>
      <c r="K112" s="108"/>
      <c r="L112" s="723" t="s">
        <v>74</v>
      </c>
      <c r="M112" s="1"/>
      <c r="N112" s="1"/>
    </row>
    <row r="113" spans="1:14" ht="12.75">
      <c r="A113" s="126"/>
      <c r="B113" s="127"/>
      <c r="C113" s="84"/>
      <c r="D113" s="199"/>
      <c r="E113" s="60"/>
      <c r="F113" s="187"/>
      <c r="G113" s="224"/>
      <c r="H113" s="46"/>
      <c r="I113" s="634"/>
      <c r="J113" s="634"/>
      <c r="K113" s="634"/>
      <c r="L113" s="317" t="s">
        <v>75</v>
      </c>
      <c r="M113" s="1"/>
      <c r="N113" s="1"/>
    </row>
    <row r="114" spans="1:14" ht="12.75">
      <c r="A114" s="151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724"/>
      <c r="M114" s="151"/>
      <c r="N114" s="151"/>
    </row>
    <row r="115" ht="12.75">
      <c r="A115" s="634"/>
    </row>
  </sheetData>
  <sheetProtection/>
  <mergeCells count="38">
    <mergeCell ref="A1:N1"/>
    <mergeCell ref="A2:N2"/>
    <mergeCell ref="A3:N3"/>
    <mergeCell ref="A5:B5"/>
    <mergeCell ref="A7:A9"/>
    <mergeCell ref="B7:B9"/>
    <mergeCell ref="C7:C9"/>
    <mergeCell ref="D7:D9"/>
    <mergeCell ref="E7:E9"/>
    <mergeCell ref="F7:F9"/>
    <mergeCell ref="G7:G9"/>
    <mergeCell ref="H7:K7"/>
    <mergeCell ref="L7:M7"/>
    <mergeCell ref="N7:N9"/>
    <mergeCell ref="O7:O9"/>
    <mergeCell ref="H8:H9"/>
    <mergeCell ref="I8:I9"/>
    <mergeCell ref="J8:J9"/>
    <mergeCell ref="K8:K9"/>
    <mergeCell ref="L8:L9"/>
    <mergeCell ref="M8:M9"/>
    <mergeCell ref="A57:A59"/>
    <mergeCell ref="B57:B59"/>
    <mergeCell ref="C57:C59"/>
    <mergeCell ref="D57:D59"/>
    <mergeCell ref="E57:E59"/>
    <mergeCell ref="F57:F59"/>
    <mergeCell ref="G57:G59"/>
    <mergeCell ref="H57:K57"/>
    <mergeCell ref="L57:M57"/>
    <mergeCell ref="N57:N59"/>
    <mergeCell ref="O57:O59"/>
    <mergeCell ref="H58:H59"/>
    <mergeCell ref="I58:I59"/>
    <mergeCell ref="J58:J59"/>
    <mergeCell ref="K58:K59"/>
    <mergeCell ref="L58:L59"/>
    <mergeCell ref="M58:M5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4"/>
  <sheetViews>
    <sheetView zoomScalePageLayoutView="0" workbookViewId="0" topLeftCell="A82">
      <selection activeCell="H44" sqref="H44"/>
    </sheetView>
  </sheetViews>
  <sheetFormatPr defaultColWidth="9.140625" defaultRowHeight="12.75"/>
  <cols>
    <col min="1" max="1" width="4.7109375" style="0" customWidth="1"/>
    <col min="2" max="2" width="49.00390625" style="0" customWidth="1"/>
    <col min="3" max="3" width="14.8515625" style="0" customWidth="1"/>
    <col min="4" max="4" width="12.8515625" style="0" customWidth="1"/>
    <col min="5" max="5" width="14.8515625" style="0" customWidth="1"/>
    <col min="6" max="6" width="14.28125" style="0" customWidth="1"/>
    <col min="7" max="7" width="12.421875" style="0" customWidth="1"/>
    <col min="8" max="8" width="15.28125" style="0" customWidth="1"/>
    <col min="9" max="9" width="5.28125" style="0" customWidth="1"/>
    <col min="10" max="10" width="14.57421875" style="0" customWidth="1"/>
    <col min="11" max="11" width="5.00390625" style="0" customWidth="1"/>
    <col min="12" max="12" width="5.421875" style="298" customWidth="1"/>
    <col min="13" max="13" width="5.140625" style="0" customWidth="1"/>
    <col min="14" max="14" width="15.57421875" style="0" customWidth="1"/>
    <col min="15" max="15" width="14.28125" style="0" customWidth="1"/>
  </cols>
  <sheetData>
    <row r="1" spans="1:14" ht="15.75">
      <c r="A1" s="811" t="s">
        <v>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</row>
    <row r="2" spans="1:14" ht="12.75">
      <c r="A2" s="812" t="s">
        <v>83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</row>
    <row r="3" spans="1:14" ht="12.75">
      <c r="A3" s="832" t="s">
        <v>77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</row>
    <row r="4" spans="1:14" ht="12.75">
      <c r="A4" s="558" t="s">
        <v>1</v>
      </c>
      <c r="B4" s="558"/>
      <c r="C4" s="59"/>
      <c r="D4" s="188"/>
      <c r="E4" s="59"/>
      <c r="F4" s="188"/>
      <c r="G4" s="225"/>
      <c r="H4" s="59"/>
      <c r="I4" s="59"/>
      <c r="J4" s="59"/>
      <c r="K4" s="59"/>
      <c r="L4" s="709"/>
      <c r="M4" s="59"/>
      <c r="N4" s="59"/>
    </row>
    <row r="5" spans="1:14" ht="12.75">
      <c r="A5" s="833" t="s">
        <v>179</v>
      </c>
      <c r="B5" s="833"/>
      <c r="C5" s="59"/>
      <c r="D5" s="188"/>
      <c r="E5" s="59"/>
      <c r="F5" s="188"/>
      <c r="G5" s="225"/>
      <c r="H5" s="59"/>
      <c r="I5" s="59"/>
      <c r="J5" s="59"/>
      <c r="K5" s="59"/>
      <c r="L5" s="709"/>
      <c r="M5" s="59"/>
      <c r="N5" s="59"/>
    </row>
    <row r="6" spans="1:14" ht="12.75">
      <c r="A6" s="59"/>
      <c r="B6" s="1"/>
      <c r="C6" s="1"/>
      <c r="D6" s="187"/>
      <c r="E6" s="1"/>
      <c r="F6" s="187"/>
      <c r="G6" s="224"/>
      <c r="H6" s="1"/>
      <c r="I6" s="252"/>
      <c r="J6" s="1"/>
      <c r="K6" s="1"/>
      <c r="L6" s="142"/>
      <c r="M6" s="1"/>
      <c r="N6" s="1"/>
    </row>
    <row r="7" spans="1:15" ht="12.75">
      <c r="A7" s="808" t="s">
        <v>2</v>
      </c>
      <c r="B7" s="808" t="s">
        <v>3</v>
      </c>
      <c r="C7" s="808" t="s">
        <v>168</v>
      </c>
      <c r="D7" s="820" t="s">
        <v>104</v>
      </c>
      <c r="E7" s="808" t="s">
        <v>5</v>
      </c>
      <c r="F7" s="820" t="s">
        <v>6</v>
      </c>
      <c r="G7" s="824" t="s">
        <v>105</v>
      </c>
      <c r="H7" s="816" t="s">
        <v>7</v>
      </c>
      <c r="I7" s="817"/>
      <c r="J7" s="817"/>
      <c r="K7" s="818"/>
      <c r="L7" s="816" t="s">
        <v>8</v>
      </c>
      <c r="M7" s="818"/>
      <c r="N7" s="805" t="s">
        <v>87</v>
      </c>
      <c r="O7" s="827" t="s">
        <v>9</v>
      </c>
    </row>
    <row r="8" spans="1:15" ht="12.75">
      <c r="A8" s="806"/>
      <c r="B8" s="806"/>
      <c r="C8" s="806"/>
      <c r="D8" s="821"/>
      <c r="E8" s="814"/>
      <c r="F8" s="821"/>
      <c r="G8" s="825"/>
      <c r="H8" s="809" t="s">
        <v>10</v>
      </c>
      <c r="I8" s="808" t="s">
        <v>11</v>
      </c>
      <c r="J8" s="808" t="s">
        <v>12</v>
      </c>
      <c r="K8" s="808" t="s">
        <v>11</v>
      </c>
      <c r="L8" s="834" t="s">
        <v>13</v>
      </c>
      <c r="M8" s="820" t="s">
        <v>14</v>
      </c>
      <c r="N8" s="806"/>
      <c r="O8" s="828"/>
    </row>
    <row r="9" spans="1:15" ht="12.75">
      <c r="A9" s="807"/>
      <c r="B9" s="807"/>
      <c r="C9" s="807"/>
      <c r="D9" s="822"/>
      <c r="E9" s="815"/>
      <c r="F9" s="822"/>
      <c r="G9" s="826"/>
      <c r="H9" s="810"/>
      <c r="I9" s="807"/>
      <c r="J9" s="807"/>
      <c r="K9" s="807"/>
      <c r="L9" s="835"/>
      <c r="M9" s="822"/>
      <c r="N9" s="807"/>
      <c r="O9" s="828"/>
    </row>
    <row r="10" spans="1:15" ht="12.75">
      <c r="A10" s="2">
        <v>1</v>
      </c>
      <c r="B10" s="2">
        <v>2</v>
      </c>
      <c r="C10" s="2">
        <v>3</v>
      </c>
      <c r="D10" s="189"/>
      <c r="E10" s="2">
        <v>4</v>
      </c>
      <c r="F10" s="189">
        <v>5</v>
      </c>
      <c r="G10" s="226"/>
      <c r="H10" s="2">
        <v>6</v>
      </c>
      <c r="I10" s="2">
        <v>7</v>
      </c>
      <c r="J10" s="2">
        <v>8</v>
      </c>
      <c r="K10" s="2">
        <v>9</v>
      </c>
      <c r="L10" s="710">
        <v>10</v>
      </c>
      <c r="M10" s="2">
        <v>11</v>
      </c>
      <c r="N10" s="2">
        <v>12</v>
      </c>
      <c r="O10" s="2">
        <v>13</v>
      </c>
    </row>
    <row r="11" spans="1:15" ht="12" customHeight="1">
      <c r="A11" s="61" t="s">
        <v>15</v>
      </c>
      <c r="B11" s="62" t="s">
        <v>16</v>
      </c>
      <c r="C11" s="4">
        <f>SUM(C12:C23)</f>
        <v>3388193000</v>
      </c>
      <c r="D11" s="210"/>
      <c r="E11" s="63"/>
      <c r="F11" s="191"/>
      <c r="G11" s="228"/>
      <c r="H11" s="4">
        <f>SUM(H12:H23)</f>
        <v>2479790779</v>
      </c>
      <c r="I11" s="685">
        <f>+H11/C11*100</f>
        <v>73.1891831132406</v>
      </c>
      <c r="J11" s="4">
        <f>SUM(J12:J23)</f>
        <v>2479790779</v>
      </c>
      <c r="K11" s="145">
        <f>+J11/C11*100</f>
        <v>73.1891831132406</v>
      </c>
      <c r="L11" s="711">
        <v>100</v>
      </c>
      <c r="M11" s="64">
        <f>+J11/C11*100</f>
        <v>73.1891831132406</v>
      </c>
      <c r="N11" s="4">
        <f>SUM(N12:N23)</f>
        <v>908402221</v>
      </c>
      <c r="O11" s="344" t="s">
        <v>157</v>
      </c>
    </row>
    <row r="12" spans="1:17" ht="12" customHeight="1">
      <c r="A12" s="63">
        <v>1</v>
      </c>
      <c r="B12" s="47" t="s">
        <v>17</v>
      </c>
      <c r="C12" s="5">
        <v>1903195515</v>
      </c>
      <c r="D12" s="211"/>
      <c r="E12" s="63"/>
      <c r="F12" s="192"/>
      <c r="G12" s="228"/>
      <c r="H12" s="114">
        <v>1479729115</v>
      </c>
      <c r="I12" s="340">
        <f>+H12/C12*100</f>
        <v>77.74971637635454</v>
      </c>
      <c r="J12" s="114">
        <v>1479729115</v>
      </c>
      <c r="K12" s="71">
        <f>+J12/C12*100</f>
        <v>77.74971637635454</v>
      </c>
      <c r="L12" s="712">
        <v>100</v>
      </c>
      <c r="M12" s="37">
        <f>+J12/C12*100</f>
        <v>77.74971637635454</v>
      </c>
      <c r="N12" s="37">
        <f>C12-J12</f>
        <v>423466400</v>
      </c>
      <c r="O12" s="344" t="s">
        <v>157</v>
      </c>
      <c r="Q12" s="726"/>
    </row>
    <row r="13" spans="1:17" ht="12" customHeight="1">
      <c r="A13" s="63">
        <v>2</v>
      </c>
      <c r="B13" s="47" t="s">
        <v>18</v>
      </c>
      <c r="C13" s="5">
        <v>195258530</v>
      </c>
      <c r="D13" s="211"/>
      <c r="E13" s="63"/>
      <c r="F13" s="192"/>
      <c r="G13" s="228"/>
      <c r="H13" s="5">
        <v>165867854</v>
      </c>
      <c r="I13" s="340">
        <f aca="true" t="shared" si="0" ref="I13:I23">+H13/C13*100</f>
        <v>84.9478145717885</v>
      </c>
      <c r="J13" s="5">
        <v>165867854</v>
      </c>
      <c r="K13" s="71">
        <f aca="true" t="shared" si="1" ref="K13:K23">+J13/C13*100</f>
        <v>84.9478145717885</v>
      </c>
      <c r="L13" s="712">
        <v>100</v>
      </c>
      <c r="M13" s="37">
        <f aca="true" t="shared" si="2" ref="M13:M23">+J13/C13*100</f>
        <v>84.9478145717885</v>
      </c>
      <c r="N13" s="37">
        <f>C13-J13</f>
        <v>29390676</v>
      </c>
      <c r="O13" s="344" t="s">
        <v>157</v>
      </c>
      <c r="Q13" s="726"/>
    </row>
    <row r="14" spans="1:17" ht="12" customHeight="1">
      <c r="A14" s="63">
        <v>3</v>
      </c>
      <c r="B14" s="47" t="s">
        <v>19</v>
      </c>
      <c r="C14" s="5">
        <v>160050000</v>
      </c>
      <c r="D14" s="211"/>
      <c r="E14" s="63"/>
      <c r="F14" s="192"/>
      <c r="G14" s="228"/>
      <c r="H14" s="5">
        <v>136800000</v>
      </c>
      <c r="I14" s="340">
        <f t="shared" si="0"/>
        <v>85.47328959700093</v>
      </c>
      <c r="J14" s="5">
        <v>136800000</v>
      </c>
      <c r="K14" s="71">
        <f t="shared" si="1"/>
        <v>85.47328959700093</v>
      </c>
      <c r="L14" s="712">
        <v>100</v>
      </c>
      <c r="M14" s="37">
        <f t="shared" si="2"/>
        <v>85.47328959700093</v>
      </c>
      <c r="N14" s="37">
        <f>C14-J14</f>
        <v>23250000</v>
      </c>
      <c r="O14" s="344" t="s">
        <v>157</v>
      </c>
      <c r="Q14" s="726"/>
    </row>
    <row r="15" spans="1:17" ht="12" customHeight="1">
      <c r="A15" s="63">
        <v>4</v>
      </c>
      <c r="B15" s="47" t="s">
        <v>139</v>
      </c>
      <c r="C15" s="364">
        <v>5100000</v>
      </c>
      <c r="D15" s="211"/>
      <c r="E15" s="63"/>
      <c r="F15" s="192"/>
      <c r="G15" s="228"/>
      <c r="H15" s="5">
        <v>3400000</v>
      </c>
      <c r="I15" s="340">
        <f t="shared" si="0"/>
        <v>66.66666666666666</v>
      </c>
      <c r="J15" s="5">
        <v>3400000</v>
      </c>
      <c r="K15" s="71">
        <f t="shared" si="1"/>
        <v>66.66666666666666</v>
      </c>
      <c r="L15" s="712">
        <v>100</v>
      </c>
      <c r="M15" s="37">
        <f t="shared" si="2"/>
        <v>66.66666666666666</v>
      </c>
      <c r="N15" s="37">
        <f>C15-J15</f>
        <v>1700000</v>
      </c>
      <c r="O15" s="344" t="s">
        <v>157</v>
      </c>
      <c r="Q15" s="726"/>
    </row>
    <row r="16" spans="1:17" ht="12" customHeight="1">
      <c r="A16" s="63">
        <v>5</v>
      </c>
      <c r="B16" s="47" t="s">
        <v>20</v>
      </c>
      <c r="C16" s="5">
        <v>58220000</v>
      </c>
      <c r="D16" s="211"/>
      <c r="E16" s="63"/>
      <c r="F16" s="192"/>
      <c r="G16" s="228"/>
      <c r="H16" s="5">
        <v>49310000</v>
      </c>
      <c r="I16" s="340">
        <f t="shared" si="0"/>
        <v>84.69598076262453</v>
      </c>
      <c r="J16" s="5">
        <v>49310000</v>
      </c>
      <c r="K16" s="71">
        <f t="shared" si="1"/>
        <v>84.69598076262453</v>
      </c>
      <c r="L16" s="712">
        <v>100</v>
      </c>
      <c r="M16" s="37">
        <f t="shared" si="2"/>
        <v>84.69598076262453</v>
      </c>
      <c r="N16" s="37">
        <f aca="true" t="shared" si="3" ref="N16:N23">C16-J16</f>
        <v>8910000</v>
      </c>
      <c r="O16" s="344" t="s">
        <v>157</v>
      </c>
      <c r="Q16" s="726"/>
    </row>
    <row r="17" spans="1:17" ht="12" customHeight="1">
      <c r="A17" s="63">
        <v>6</v>
      </c>
      <c r="B17" s="47" t="s">
        <v>21</v>
      </c>
      <c r="C17" s="5">
        <v>104791740</v>
      </c>
      <c r="D17" s="211"/>
      <c r="E17" s="63"/>
      <c r="F17" s="192"/>
      <c r="G17" s="228"/>
      <c r="H17" s="5">
        <v>85745280</v>
      </c>
      <c r="I17" s="340">
        <f t="shared" si="0"/>
        <v>81.82446440912233</v>
      </c>
      <c r="J17" s="5">
        <v>85745280</v>
      </c>
      <c r="K17" s="71">
        <f t="shared" si="1"/>
        <v>81.82446440912233</v>
      </c>
      <c r="L17" s="712">
        <v>100</v>
      </c>
      <c r="M17" s="37">
        <f t="shared" si="2"/>
        <v>81.82446440912233</v>
      </c>
      <c r="N17" s="37">
        <f t="shared" si="3"/>
        <v>19046460</v>
      </c>
      <c r="O17" s="344" t="s">
        <v>157</v>
      </c>
      <c r="Q17" s="726"/>
    </row>
    <row r="18" spans="1:17" ht="12" customHeight="1">
      <c r="A18" s="63">
        <v>7</v>
      </c>
      <c r="B18" s="47" t="s">
        <v>22</v>
      </c>
      <c r="C18" s="5">
        <v>9937670</v>
      </c>
      <c r="D18" s="211"/>
      <c r="E18" s="63"/>
      <c r="F18" s="192"/>
      <c r="G18" s="228"/>
      <c r="H18" s="5">
        <v>8425090</v>
      </c>
      <c r="I18" s="340">
        <f t="shared" si="0"/>
        <v>84.77932956115468</v>
      </c>
      <c r="J18" s="5">
        <v>8425090</v>
      </c>
      <c r="K18" s="71">
        <f t="shared" si="1"/>
        <v>84.77932956115468</v>
      </c>
      <c r="L18" s="712">
        <v>100</v>
      </c>
      <c r="M18" s="37">
        <f t="shared" si="2"/>
        <v>84.77932956115468</v>
      </c>
      <c r="N18" s="37">
        <f t="shared" si="3"/>
        <v>1512580</v>
      </c>
      <c r="O18" s="344" t="s">
        <v>157</v>
      </c>
      <c r="Q18" s="726"/>
    </row>
    <row r="19" spans="1:17" ht="12" customHeight="1">
      <c r="A19" s="63">
        <v>8</v>
      </c>
      <c r="B19" s="47" t="s">
        <v>23</v>
      </c>
      <c r="C19" s="5">
        <v>31249</v>
      </c>
      <c r="D19" s="211"/>
      <c r="E19" s="63"/>
      <c r="F19" s="192"/>
      <c r="G19" s="228"/>
      <c r="H19" s="5">
        <v>26313</v>
      </c>
      <c r="I19" s="340">
        <f t="shared" si="0"/>
        <v>84.2042945374252</v>
      </c>
      <c r="J19" s="5">
        <v>26313</v>
      </c>
      <c r="K19" s="71">
        <f t="shared" si="1"/>
        <v>84.2042945374252</v>
      </c>
      <c r="L19" s="712">
        <v>100</v>
      </c>
      <c r="M19" s="37">
        <f t="shared" si="2"/>
        <v>84.2042945374252</v>
      </c>
      <c r="N19" s="37">
        <f t="shared" si="3"/>
        <v>4936</v>
      </c>
      <c r="O19" s="344" t="s">
        <v>157</v>
      </c>
      <c r="Q19" s="726"/>
    </row>
    <row r="20" spans="1:17" ht="12" customHeight="1">
      <c r="A20" s="63">
        <v>9</v>
      </c>
      <c r="B20" s="47" t="s">
        <v>24</v>
      </c>
      <c r="C20" s="5">
        <v>49247899</v>
      </c>
      <c r="D20" s="211"/>
      <c r="E20" s="63"/>
      <c r="F20" s="192"/>
      <c r="G20" s="228"/>
      <c r="H20" s="5">
        <v>40642187</v>
      </c>
      <c r="I20" s="340">
        <f t="shared" si="0"/>
        <v>82.5257276457621</v>
      </c>
      <c r="J20" s="5">
        <v>40642187</v>
      </c>
      <c r="K20" s="71">
        <f t="shared" si="1"/>
        <v>82.5257276457621</v>
      </c>
      <c r="L20" s="712">
        <v>100</v>
      </c>
      <c r="M20" s="37">
        <f t="shared" si="2"/>
        <v>82.5257276457621</v>
      </c>
      <c r="N20" s="37">
        <f t="shared" si="3"/>
        <v>8605712</v>
      </c>
      <c r="O20" s="344" t="s">
        <v>157</v>
      </c>
      <c r="Q20" s="726"/>
    </row>
    <row r="21" spans="1:17" ht="12" customHeight="1">
      <c r="A21" s="63">
        <v>10</v>
      </c>
      <c r="B21" s="47" t="s">
        <v>25</v>
      </c>
      <c r="C21" s="5">
        <v>3541854</v>
      </c>
      <c r="D21" s="211"/>
      <c r="E21" s="63"/>
      <c r="F21" s="192"/>
      <c r="G21" s="228"/>
      <c r="H21" s="5">
        <v>2913115</v>
      </c>
      <c r="I21" s="340">
        <f t="shared" si="0"/>
        <v>82.24830837183012</v>
      </c>
      <c r="J21" s="5">
        <v>2913115</v>
      </c>
      <c r="K21" s="71">
        <f t="shared" si="1"/>
        <v>82.24830837183012</v>
      </c>
      <c r="L21" s="712">
        <v>100</v>
      </c>
      <c r="M21" s="37">
        <f t="shared" si="2"/>
        <v>82.24830837183012</v>
      </c>
      <c r="N21" s="37">
        <f t="shared" si="3"/>
        <v>628739</v>
      </c>
      <c r="O21" s="344" t="s">
        <v>157</v>
      </c>
      <c r="Q21" s="726"/>
    </row>
    <row r="22" spans="1:17" ht="12" customHeight="1">
      <c r="A22" s="63">
        <v>11</v>
      </c>
      <c r="B22" s="47" t="s">
        <v>26</v>
      </c>
      <c r="C22" s="5">
        <v>10625543</v>
      </c>
      <c r="D22" s="211"/>
      <c r="E22" s="63"/>
      <c r="F22" s="192"/>
      <c r="G22" s="228"/>
      <c r="H22" s="5">
        <v>8739325</v>
      </c>
      <c r="I22" s="340">
        <f t="shared" si="0"/>
        <v>82.24826721796713</v>
      </c>
      <c r="J22" s="5">
        <v>8739325</v>
      </c>
      <c r="K22" s="71">
        <f t="shared" si="1"/>
        <v>82.24826721796713</v>
      </c>
      <c r="L22" s="712">
        <v>100</v>
      </c>
      <c r="M22" s="37">
        <f t="shared" si="2"/>
        <v>82.24826721796713</v>
      </c>
      <c r="N22" s="37">
        <f t="shared" si="3"/>
        <v>1886218</v>
      </c>
      <c r="O22" s="344" t="s">
        <v>157</v>
      </c>
      <c r="Q22" s="726"/>
    </row>
    <row r="23" spans="1:17" ht="12" customHeight="1">
      <c r="A23" s="63">
        <v>12</v>
      </c>
      <c r="B23" s="47" t="s">
        <v>27</v>
      </c>
      <c r="C23" s="5">
        <v>888193000</v>
      </c>
      <c r="D23" s="211"/>
      <c r="E23" s="63"/>
      <c r="F23" s="192"/>
      <c r="G23" s="228"/>
      <c r="H23" s="5">
        <v>498192500</v>
      </c>
      <c r="I23" s="340">
        <f t="shared" si="0"/>
        <v>56.09056815354321</v>
      </c>
      <c r="J23" s="5">
        <v>498192500</v>
      </c>
      <c r="K23" s="71">
        <f t="shared" si="1"/>
        <v>56.09056815354321</v>
      </c>
      <c r="L23" s="712">
        <v>100</v>
      </c>
      <c r="M23" s="37">
        <f t="shared" si="2"/>
        <v>56.09056815354321</v>
      </c>
      <c r="N23" s="37">
        <f t="shared" si="3"/>
        <v>390000500</v>
      </c>
      <c r="O23" s="344" t="s">
        <v>157</v>
      </c>
      <c r="Q23" s="726"/>
    </row>
    <row r="24" spans="1:15" ht="12" customHeight="1">
      <c r="A24" s="63"/>
      <c r="B24" s="47"/>
      <c r="C24" s="5"/>
      <c r="D24" s="211"/>
      <c r="E24" s="63"/>
      <c r="F24" s="192"/>
      <c r="G24" s="228"/>
      <c r="H24" s="5"/>
      <c r="I24" s="114"/>
      <c r="J24" s="5"/>
      <c r="K24" s="36"/>
      <c r="L24" s="713"/>
      <c r="M24" s="37"/>
      <c r="N24" s="296"/>
      <c r="O24" s="343"/>
    </row>
    <row r="25" spans="1:15" ht="12" customHeight="1">
      <c r="A25" s="61" t="s">
        <v>28</v>
      </c>
      <c r="B25" s="62" t="s">
        <v>29</v>
      </c>
      <c r="C25" s="147">
        <f>C26+C39+C49+C52+C69+C85+C90+C102</f>
        <v>9724165353</v>
      </c>
      <c r="D25" s="559"/>
      <c r="E25" s="147">
        <f>E26+E39+E49+E52+E69+E85+E90+E102</f>
        <v>3773115804</v>
      </c>
      <c r="F25" s="192"/>
      <c r="G25" s="228"/>
      <c r="H25" s="147">
        <f>H26+H39+H49+H52+H69+H85+H90+H102</f>
        <v>7658228504</v>
      </c>
      <c r="I25" s="311">
        <f aca="true" t="shared" si="4" ref="I25:I37">+H25/C25*100</f>
        <v>78.75461004617081</v>
      </c>
      <c r="J25" s="147">
        <f>J26+J39+J49+J52+J69+J85+J90+J102</f>
        <v>7658228504</v>
      </c>
      <c r="K25" s="179">
        <f aca="true" t="shared" si="5" ref="K25:K37">+J25/C25*100</f>
        <v>78.75461004617081</v>
      </c>
      <c r="L25" s="714">
        <v>100</v>
      </c>
      <c r="M25" s="145">
        <f>+J25/C25*100</f>
        <v>78.75461004617081</v>
      </c>
      <c r="N25" s="147">
        <f>N26+N39+N49+N52+N69+N85+N90+N102</f>
        <v>2065936849</v>
      </c>
      <c r="O25" s="343"/>
    </row>
    <row r="26" spans="1:15" ht="12" customHeight="1">
      <c r="A26" s="68">
        <v>1</v>
      </c>
      <c r="B26" s="69" t="s">
        <v>30</v>
      </c>
      <c r="C26" s="147">
        <f>SUM(C27:C37)</f>
        <v>1036961650</v>
      </c>
      <c r="D26" s="559"/>
      <c r="E26" s="147">
        <f>SUM(E27:E37)</f>
        <v>0</v>
      </c>
      <c r="F26" s="194"/>
      <c r="G26" s="230"/>
      <c r="H26" s="64">
        <f>SUM(H27:H37)</f>
        <v>813106643</v>
      </c>
      <c r="I26" s="311">
        <f t="shared" si="4"/>
        <v>78.4124121658694</v>
      </c>
      <c r="J26" s="64">
        <f>SUM(J27:J37)</f>
        <v>813106643</v>
      </c>
      <c r="K26" s="179">
        <f t="shared" si="5"/>
        <v>78.4124121658694</v>
      </c>
      <c r="L26" s="714">
        <v>100</v>
      </c>
      <c r="M26" s="64">
        <f aca="true" t="shared" si="6" ref="M26:M37">+J26/C26*100</f>
        <v>78.4124121658694</v>
      </c>
      <c r="N26" s="64">
        <f>SUM(N27:N37)</f>
        <v>223855007</v>
      </c>
      <c r="O26" s="343"/>
    </row>
    <row r="27" spans="1:15" ht="12" customHeight="1">
      <c r="A27" s="63">
        <v>1</v>
      </c>
      <c r="B27" s="55" t="s">
        <v>31</v>
      </c>
      <c r="C27" s="71">
        <v>6310000</v>
      </c>
      <c r="D27" s="213"/>
      <c r="E27" s="72" t="s">
        <v>32</v>
      </c>
      <c r="F27" s="194" t="s">
        <v>32</v>
      </c>
      <c r="G27" s="230"/>
      <c r="H27" s="185">
        <f>6276000</f>
        <v>6276000</v>
      </c>
      <c r="I27" s="340">
        <f t="shared" si="4"/>
        <v>99.46117274167987</v>
      </c>
      <c r="J27" s="185">
        <f>6276000</f>
        <v>6276000</v>
      </c>
      <c r="K27" s="71">
        <f t="shared" si="5"/>
        <v>99.46117274167987</v>
      </c>
      <c r="L27" s="712">
        <v>100</v>
      </c>
      <c r="M27" s="37">
        <f t="shared" si="6"/>
        <v>99.46117274167987</v>
      </c>
      <c r="N27" s="37">
        <f>C27-J27</f>
        <v>34000</v>
      </c>
      <c r="O27" s="343"/>
    </row>
    <row r="28" spans="1:16" ht="12" customHeight="1">
      <c r="A28" s="489">
        <v>2</v>
      </c>
      <c r="B28" s="169" t="s">
        <v>76</v>
      </c>
      <c r="C28" s="166">
        <v>82000000</v>
      </c>
      <c r="D28" s="214"/>
      <c r="E28" s="167"/>
      <c r="F28" s="196"/>
      <c r="G28" s="232"/>
      <c r="H28" s="168">
        <f>40719206+6925758+3674586+6167499+6877136</f>
        <v>64364185</v>
      </c>
      <c r="I28" s="483">
        <f t="shared" si="4"/>
        <v>78.49290853658538</v>
      </c>
      <c r="J28" s="168">
        <f>40719206+6925758+3674586+6167499+6877136</f>
        <v>64364185</v>
      </c>
      <c r="K28" s="166">
        <f t="shared" si="5"/>
        <v>78.49290853658538</v>
      </c>
      <c r="L28" s="715">
        <v>100</v>
      </c>
      <c r="M28" s="167">
        <f t="shared" si="6"/>
        <v>78.49290853658538</v>
      </c>
      <c r="N28" s="167">
        <f aca="true" t="shared" si="7" ref="N28:N41">C28-J28</f>
        <v>17635815</v>
      </c>
      <c r="O28" s="486"/>
      <c r="P28" s="551"/>
    </row>
    <row r="29" spans="1:16" ht="12" customHeight="1">
      <c r="A29" s="489">
        <v>3</v>
      </c>
      <c r="B29" s="165" t="s">
        <v>33</v>
      </c>
      <c r="C29" s="166">
        <v>26635000</v>
      </c>
      <c r="D29" s="214"/>
      <c r="E29" s="167">
        <v>0</v>
      </c>
      <c r="F29" s="196">
        <v>0</v>
      </c>
      <c r="G29" s="232"/>
      <c r="H29" s="682">
        <f>14485000+6075000</f>
        <v>20560000</v>
      </c>
      <c r="I29" s="483">
        <f t="shared" si="4"/>
        <v>77.19166510230899</v>
      </c>
      <c r="J29" s="682">
        <f>14485000+6075000</f>
        <v>20560000</v>
      </c>
      <c r="K29" s="166">
        <f t="shared" si="5"/>
        <v>77.19166510230899</v>
      </c>
      <c r="L29" s="715">
        <v>100</v>
      </c>
      <c r="M29" s="167">
        <f t="shared" si="6"/>
        <v>77.19166510230899</v>
      </c>
      <c r="N29" s="167">
        <f t="shared" si="7"/>
        <v>6075000</v>
      </c>
      <c r="O29" s="486"/>
      <c r="P29" s="551"/>
    </row>
    <row r="30" spans="1:16" ht="12" customHeight="1">
      <c r="A30" s="489">
        <v>4</v>
      </c>
      <c r="B30" s="169" t="s">
        <v>34</v>
      </c>
      <c r="C30" s="166">
        <v>61844350</v>
      </c>
      <c r="D30" s="214"/>
      <c r="E30" s="167">
        <v>0</v>
      </c>
      <c r="F30" s="196">
        <v>0</v>
      </c>
      <c r="G30" s="232"/>
      <c r="H30" s="168">
        <f>34305000+13745800+6844100</f>
        <v>54894900</v>
      </c>
      <c r="I30" s="483">
        <f t="shared" si="4"/>
        <v>88.76299936857612</v>
      </c>
      <c r="J30" s="168">
        <f>34305000+13745800+6844100</f>
        <v>54894900</v>
      </c>
      <c r="K30" s="166">
        <f t="shared" si="5"/>
        <v>88.76299936857612</v>
      </c>
      <c r="L30" s="715">
        <v>100</v>
      </c>
      <c r="M30" s="167">
        <f t="shared" si="6"/>
        <v>88.76299936857612</v>
      </c>
      <c r="N30" s="167">
        <f t="shared" si="7"/>
        <v>6949450</v>
      </c>
      <c r="O30" s="486"/>
      <c r="P30" s="551"/>
    </row>
    <row r="31" spans="1:16" ht="12" customHeight="1">
      <c r="A31" s="489">
        <v>5</v>
      </c>
      <c r="B31" s="169" t="s">
        <v>35</v>
      </c>
      <c r="C31" s="166">
        <v>30676500</v>
      </c>
      <c r="D31" s="214"/>
      <c r="E31" s="167">
        <v>0</v>
      </c>
      <c r="F31" s="196">
        <v>0</v>
      </c>
      <c r="G31" s="232"/>
      <c r="H31" s="467">
        <f>14485300+8850000+567000+1591800+2408100+189900</f>
        <v>28092100</v>
      </c>
      <c r="I31" s="483">
        <f t="shared" si="4"/>
        <v>91.5753100907861</v>
      </c>
      <c r="J31" s="467">
        <f>14485300+8850000+567000+1591800+2408100+189900</f>
        <v>28092100</v>
      </c>
      <c r="K31" s="166">
        <f t="shared" si="5"/>
        <v>91.5753100907861</v>
      </c>
      <c r="L31" s="715">
        <v>100</v>
      </c>
      <c r="M31" s="167">
        <f t="shared" si="6"/>
        <v>91.5753100907861</v>
      </c>
      <c r="N31" s="167">
        <f t="shared" si="7"/>
        <v>2584400</v>
      </c>
      <c r="O31" s="486"/>
      <c r="P31" s="551"/>
    </row>
    <row r="32" spans="1:16" ht="12" customHeight="1">
      <c r="A32" s="489">
        <v>6</v>
      </c>
      <c r="B32" s="169" t="s">
        <v>36</v>
      </c>
      <c r="C32" s="166">
        <v>8800000</v>
      </c>
      <c r="D32" s="214"/>
      <c r="E32" s="167">
        <v>0</v>
      </c>
      <c r="F32" s="196">
        <v>0</v>
      </c>
      <c r="G32" s="232"/>
      <c r="H32" s="168">
        <f>1995200+2004800+4797800</f>
        <v>8797800</v>
      </c>
      <c r="I32" s="483">
        <f t="shared" si="4"/>
        <v>99.97500000000001</v>
      </c>
      <c r="J32" s="168">
        <f>1995200+2004800+4797800</f>
        <v>8797800</v>
      </c>
      <c r="K32" s="166">
        <f t="shared" si="5"/>
        <v>99.97500000000001</v>
      </c>
      <c r="L32" s="715">
        <v>100</v>
      </c>
      <c r="M32" s="167">
        <f t="shared" si="6"/>
        <v>99.97500000000001</v>
      </c>
      <c r="N32" s="167">
        <f t="shared" si="7"/>
        <v>2200</v>
      </c>
      <c r="O32" s="486"/>
      <c r="P32" s="551"/>
    </row>
    <row r="33" spans="1:16" ht="12" customHeight="1">
      <c r="A33" s="489">
        <v>7</v>
      </c>
      <c r="B33" s="169" t="s">
        <v>37</v>
      </c>
      <c r="C33" s="166">
        <v>13076000</v>
      </c>
      <c r="D33" s="214"/>
      <c r="E33" s="167">
        <v>0</v>
      </c>
      <c r="F33" s="196">
        <v>0</v>
      </c>
      <c r="G33" s="232"/>
      <c r="H33" s="168">
        <f>8761950+4314050</f>
        <v>13076000</v>
      </c>
      <c r="I33" s="483">
        <f t="shared" si="4"/>
        <v>100</v>
      </c>
      <c r="J33" s="168">
        <f>8761950+4314050</f>
        <v>13076000</v>
      </c>
      <c r="K33" s="166">
        <f t="shared" si="5"/>
        <v>100</v>
      </c>
      <c r="L33" s="715">
        <v>100</v>
      </c>
      <c r="M33" s="167">
        <f t="shared" si="6"/>
        <v>100</v>
      </c>
      <c r="N33" s="167">
        <f t="shared" si="7"/>
        <v>0</v>
      </c>
      <c r="O33" s="486"/>
      <c r="P33" s="551"/>
    </row>
    <row r="34" spans="1:16" ht="12" customHeight="1">
      <c r="A34" s="489">
        <v>8</v>
      </c>
      <c r="B34" s="169" t="s">
        <v>38</v>
      </c>
      <c r="C34" s="166">
        <v>7500000</v>
      </c>
      <c r="D34" s="214"/>
      <c r="E34" s="167">
        <v>0</v>
      </c>
      <c r="F34" s="196">
        <v>0</v>
      </c>
      <c r="G34" s="232"/>
      <c r="H34" s="168">
        <f>2180000+3856000</f>
        <v>6036000</v>
      </c>
      <c r="I34" s="483">
        <f t="shared" si="4"/>
        <v>80.47999999999999</v>
      </c>
      <c r="J34" s="168">
        <f>2180000+3856000</f>
        <v>6036000</v>
      </c>
      <c r="K34" s="166">
        <f t="shared" si="5"/>
        <v>80.47999999999999</v>
      </c>
      <c r="L34" s="715">
        <v>100</v>
      </c>
      <c r="M34" s="167">
        <f t="shared" si="6"/>
        <v>80.47999999999999</v>
      </c>
      <c r="N34" s="167">
        <f t="shared" si="7"/>
        <v>1464000</v>
      </c>
      <c r="O34" s="486"/>
      <c r="P34" s="551"/>
    </row>
    <row r="35" spans="1:16" ht="12" customHeight="1">
      <c r="A35" s="489">
        <v>9</v>
      </c>
      <c r="B35" s="169" t="s">
        <v>39</v>
      </c>
      <c r="C35" s="166">
        <v>30000000</v>
      </c>
      <c r="D35" s="214"/>
      <c r="E35" s="167">
        <v>0</v>
      </c>
      <c r="F35" s="196">
        <v>0</v>
      </c>
      <c r="G35" s="232"/>
      <c r="H35" s="168">
        <f>18128200+7990000</f>
        <v>26118200</v>
      </c>
      <c r="I35" s="483">
        <f t="shared" si="4"/>
        <v>87.06066666666666</v>
      </c>
      <c r="J35" s="168">
        <f>18128200+7990000</f>
        <v>26118200</v>
      </c>
      <c r="K35" s="166">
        <f t="shared" si="5"/>
        <v>87.06066666666666</v>
      </c>
      <c r="L35" s="715">
        <v>100</v>
      </c>
      <c r="M35" s="167">
        <f t="shared" si="6"/>
        <v>87.06066666666666</v>
      </c>
      <c r="N35" s="167">
        <f t="shared" si="7"/>
        <v>3881800</v>
      </c>
      <c r="O35" s="486"/>
      <c r="P35" s="551"/>
    </row>
    <row r="36" spans="1:16" ht="12" customHeight="1">
      <c r="A36" s="489">
        <v>10</v>
      </c>
      <c r="B36" s="169" t="s">
        <v>40</v>
      </c>
      <c r="C36" s="166">
        <v>175000000</v>
      </c>
      <c r="D36" s="214"/>
      <c r="E36" s="167">
        <v>0</v>
      </c>
      <c r="F36" s="196">
        <v>0</v>
      </c>
      <c r="G36" s="232"/>
      <c r="H36" s="168">
        <f>91631161+15825000+25233525+5875000+11190000+1050000</f>
        <v>150804686</v>
      </c>
      <c r="I36" s="483">
        <f t="shared" si="4"/>
        <v>86.17410628571427</v>
      </c>
      <c r="J36" s="168">
        <f>91631161+15825000+25233525+5875000+11190000+1050000</f>
        <v>150804686</v>
      </c>
      <c r="K36" s="166">
        <f t="shared" si="5"/>
        <v>86.17410628571427</v>
      </c>
      <c r="L36" s="715">
        <v>100</v>
      </c>
      <c r="M36" s="167">
        <f t="shared" si="6"/>
        <v>86.17410628571427</v>
      </c>
      <c r="N36" s="167">
        <f t="shared" si="7"/>
        <v>24195314</v>
      </c>
      <c r="O36" s="486"/>
      <c r="P36" s="551"/>
    </row>
    <row r="37" spans="1:16" ht="12" customHeight="1">
      <c r="A37" s="489">
        <v>11</v>
      </c>
      <c r="B37" s="169" t="s">
        <v>41</v>
      </c>
      <c r="C37" s="166">
        <v>595119800</v>
      </c>
      <c r="D37" s="214"/>
      <c r="E37" s="167">
        <v>0</v>
      </c>
      <c r="F37" s="196">
        <v>0</v>
      </c>
      <c r="G37" s="232"/>
      <c r="H37" s="168">
        <f>385658472+1823500+46604800</f>
        <v>434086772</v>
      </c>
      <c r="I37" s="483">
        <f t="shared" si="4"/>
        <v>72.94107371322546</v>
      </c>
      <c r="J37" s="168">
        <f>385658472+1823500+46604800</f>
        <v>434086772</v>
      </c>
      <c r="K37" s="166">
        <f t="shared" si="5"/>
        <v>72.94107371322546</v>
      </c>
      <c r="L37" s="715">
        <v>100</v>
      </c>
      <c r="M37" s="167">
        <f t="shared" si="6"/>
        <v>72.94107371322546</v>
      </c>
      <c r="N37" s="167">
        <f t="shared" si="7"/>
        <v>161033028</v>
      </c>
      <c r="O37" s="486"/>
      <c r="P37" s="551"/>
    </row>
    <row r="38" spans="1:16" ht="12" customHeight="1">
      <c r="A38" s="635"/>
      <c r="B38" s="636"/>
      <c r="C38" s="166"/>
      <c r="D38" s="214"/>
      <c r="E38" s="167"/>
      <c r="F38" s="196"/>
      <c r="G38" s="232"/>
      <c r="H38" s="168"/>
      <c r="I38" s="620"/>
      <c r="J38" s="168"/>
      <c r="K38" s="540"/>
      <c r="L38" s="716"/>
      <c r="M38" s="167">
        <f>K38</f>
        <v>0</v>
      </c>
      <c r="N38" s="167">
        <f t="shared" si="7"/>
        <v>0</v>
      </c>
      <c r="O38" s="486"/>
      <c r="P38" s="551"/>
    </row>
    <row r="39" spans="1:16" ht="12" customHeight="1">
      <c r="A39" s="637">
        <v>2</v>
      </c>
      <c r="B39" s="638" t="s">
        <v>42</v>
      </c>
      <c r="C39" s="639">
        <f>SUM(C40:C47)</f>
        <v>1049086450</v>
      </c>
      <c r="D39" s="640"/>
      <c r="E39" s="639">
        <f>SUM(E40:E47)</f>
        <v>43582000</v>
      </c>
      <c r="F39" s="641"/>
      <c r="G39" s="642"/>
      <c r="H39" s="639">
        <f>SUM(H40:H47)</f>
        <v>775753620</v>
      </c>
      <c r="I39" s="543">
        <f>+H39/C39*100</f>
        <v>73.94563336510542</v>
      </c>
      <c r="J39" s="639">
        <f>SUM(J40:J47)</f>
        <v>775753620</v>
      </c>
      <c r="K39" s="639">
        <f>+J39/C39*100</f>
        <v>73.94563336510542</v>
      </c>
      <c r="L39" s="545">
        <v>100</v>
      </c>
      <c r="M39" s="545">
        <f>+J39/C39*100</f>
        <v>73.94563336510542</v>
      </c>
      <c r="N39" s="167">
        <f t="shared" si="7"/>
        <v>273332830</v>
      </c>
      <c r="O39" s="486"/>
      <c r="P39" s="551"/>
    </row>
    <row r="40" spans="1:16" ht="12" customHeight="1">
      <c r="A40" s="489">
        <v>1</v>
      </c>
      <c r="B40" s="169" t="s">
        <v>43</v>
      </c>
      <c r="C40" s="166">
        <v>96501600</v>
      </c>
      <c r="D40" s="214"/>
      <c r="E40" s="167"/>
      <c r="F40" s="196"/>
      <c r="G40" s="232"/>
      <c r="H40" s="166">
        <f>54043200+6158400</f>
        <v>60201600</v>
      </c>
      <c r="I40" s="483">
        <f>+H40/C40*100</f>
        <v>62.38404337337412</v>
      </c>
      <c r="J40" s="166">
        <f>54043200+6158400</f>
        <v>60201600</v>
      </c>
      <c r="K40" s="166">
        <f>+J40/C40*100</f>
        <v>62.38404337337412</v>
      </c>
      <c r="L40" s="715">
        <v>100</v>
      </c>
      <c r="M40" s="167">
        <f>+J40/C40*100</f>
        <v>62.38404337337412</v>
      </c>
      <c r="N40" s="167">
        <f t="shared" si="7"/>
        <v>36300000</v>
      </c>
      <c r="O40" s="486"/>
      <c r="P40" s="551"/>
    </row>
    <row r="41" spans="1:16" ht="12" customHeight="1">
      <c r="A41" s="489">
        <v>2</v>
      </c>
      <c r="B41" s="169" t="s">
        <v>44</v>
      </c>
      <c r="C41" s="166">
        <v>62611000</v>
      </c>
      <c r="D41" s="643" t="s">
        <v>121</v>
      </c>
      <c r="E41" s="167">
        <v>5808000</v>
      </c>
      <c r="F41" s="196" t="s">
        <v>124</v>
      </c>
      <c r="G41" s="232" t="s">
        <v>125</v>
      </c>
      <c r="H41" s="166">
        <v>44536000</v>
      </c>
      <c r="I41" s="483">
        <f>+H41/C41*100</f>
        <v>71.1312708629474</v>
      </c>
      <c r="J41" s="166">
        <v>44536000</v>
      </c>
      <c r="K41" s="166">
        <f>+J41/C41*100</f>
        <v>71.1312708629474</v>
      </c>
      <c r="L41" s="715">
        <v>100</v>
      </c>
      <c r="M41" s="167">
        <f>+J41/C41*100</f>
        <v>71.1312708629474</v>
      </c>
      <c r="N41" s="167">
        <f t="shared" si="7"/>
        <v>18075000</v>
      </c>
      <c r="O41" s="486"/>
      <c r="P41" s="551"/>
    </row>
    <row r="42" spans="1:16" ht="12" customHeight="1">
      <c r="A42" s="489"/>
      <c r="B42" s="169"/>
      <c r="C42" s="166"/>
      <c r="D42" s="643" t="s">
        <v>122</v>
      </c>
      <c r="E42" s="167">
        <v>15774000</v>
      </c>
      <c r="F42" s="196" t="s">
        <v>124</v>
      </c>
      <c r="G42" s="232" t="s">
        <v>125</v>
      </c>
      <c r="H42" s="166"/>
      <c r="I42" s="620"/>
      <c r="J42" s="166"/>
      <c r="K42" s="540"/>
      <c r="L42" s="167"/>
      <c r="M42" s="167"/>
      <c r="N42" s="167"/>
      <c r="O42" s="486"/>
      <c r="P42" s="551"/>
    </row>
    <row r="43" spans="1:16" ht="12" customHeight="1">
      <c r="A43" s="489"/>
      <c r="B43" s="169"/>
      <c r="C43" s="166"/>
      <c r="D43" s="643" t="s">
        <v>123</v>
      </c>
      <c r="E43" s="167">
        <v>22000000</v>
      </c>
      <c r="F43" s="196" t="s">
        <v>124</v>
      </c>
      <c r="G43" s="232" t="s">
        <v>125</v>
      </c>
      <c r="H43" s="166"/>
      <c r="I43" s="620"/>
      <c r="J43" s="166"/>
      <c r="K43" s="540"/>
      <c r="L43" s="717"/>
      <c r="M43" s="167"/>
      <c r="N43" s="167"/>
      <c r="O43" s="486"/>
      <c r="P43" s="551"/>
    </row>
    <row r="44" spans="1:16" ht="12" customHeight="1">
      <c r="A44" s="489">
        <v>3</v>
      </c>
      <c r="B44" s="169" t="s">
        <v>45</v>
      </c>
      <c r="C44" s="166">
        <v>217537650</v>
      </c>
      <c r="D44" s="643"/>
      <c r="E44" s="167"/>
      <c r="F44" s="196"/>
      <c r="G44" s="232"/>
      <c r="H44" s="166">
        <v>174523050</v>
      </c>
      <c r="I44" s="483">
        <f>+H44/C44*100</f>
        <v>80.22659525833804</v>
      </c>
      <c r="J44" s="166">
        <v>174523050</v>
      </c>
      <c r="K44" s="166">
        <f>+J44/C44*100</f>
        <v>80.22659525833804</v>
      </c>
      <c r="L44" s="715">
        <v>100</v>
      </c>
      <c r="M44" s="167">
        <f>+J44/C44*100</f>
        <v>80.22659525833804</v>
      </c>
      <c r="N44" s="167">
        <f aca="true" t="shared" si="8" ref="N44:N50">C44-J44</f>
        <v>43014600</v>
      </c>
      <c r="O44" s="486"/>
      <c r="P44" s="551"/>
    </row>
    <row r="45" spans="1:16" ht="12" customHeight="1">
      <c r="A45" s="489">
        <v>4</v>
      </c>
      <c r="B45" s="169" t="s">
        <v>46</v>
      </c>
      <c r="C45" s="166">
        <v>651786200</v>
      </c>
      <c r="D45" s="214"/>
      <c r="E45" s="167"/>
      <c r="F45" s="196"/>
      <c r="G45" s="232"/>
      <c r="H45" s="168">
        <f>290055301+20511297+388649+121088107+45809816</f>
        <v>477853170</v>
      </c>
      <c r="I45" s="483">
        <f>+H45/C45*100</f>
        <v>73.31440432460829</v>
      </c>
      <c r="J45" s="168">
        <f>290055301+20511297+388649+121088107+45809816</f>
        <v>477853170</v>
      </c>
      <c r="K45" s="166">
        <f>+J45/C45*100</f>
        <v>73.31440432460829</v>
      </c>
      <c r="L45" s="715">
        <v>100</v>
      </c>
      <c r="M45" s="167">
        <f>+J45/C45*100</f>
        <v>73.31440432460829</v>
      </c>
      <c r="N45" s="167">
        <f t="shared" si="8"/>
        <v>173933030</v>
      </c>
      <c r="O45" s="486"/>
      <c r="P45" s="551"/>
    </row>
    <row r="46" spans="1:16" ht="12" customHeight="1">
      <c r="A46" s="489">
        <v>5</v>
      </c>
      <c r="B46" s="169" t="s">
        <v>47</v>
      </c>
      <c r="C46" s="166">
        <v>13050000</v>
      </c>
      <c r="D46" s="214"/>
      <c r="E46" s="167">
        <v>0</v>
      </c>
      <c r="F46" s="196">
        <v>0</v>
      </c>
      <c r="G46" s="232"/>
      <c r="H46" s="168">
        <f>3400000+7640000</f>
        <v>11040000</v>
      </c>
      <c r="I46" s="483">
        <f>+H46/C46*100</f>
        <v>84.59770114942529</v>
      </c>
      <c r="J46" s="168">
        <f>3400000+7640000</f>
        <v>11040000</v>
      </c>
      <c r="K46" s="166">
        <f>+J46/C46*100</f>
        <v>84.59770114942529</v>
      </c>
      <c r="L46" s="715">
        <v>100</v>
      </c>
      <c r="M46" s="167">
        <f>+J46/C46*100</f>
        <v>84.59770114942529</v>
      </c>
      <c r="N46" s="167">
        <f t="shared" si="8"/>
        <v>2010000</v>
      </c>
      <c r="O46" s="486"/>
      <c r="P46" s="551"/>
    </row>
    <row r="47" spans="1:16" ht="12" customHeight="1">
      <c r="A47" s="489">
        <v>6</v>
      </c>
      <c r="B47" s="169" t="s">
        <v>48</v>
      </c>
      <c r="C47" s="166">
        <v>7600000</v>
      </c>
      <c r="D47" s="214"/>
      <c r="E47" s="167"/>
      <c r="F47" s="196"/>
      <c r="G47" s="232"/>
      <c r="H47" s="166">
        <v>7599800</v>
      </c>
      <c r="I47" s="483">
        <f>+H47/C47*100</f>
        <v>99.99736842105264</v>
      </c>
      <c r="J47" s="166">
        <v>7599800</v>
      </c>
      <c r="K47" s="166">
        <f>+J47/C47*100</f>
        <v>99.99736842105264</v>
      </c>
      <c r="L47" s="715">
        <v>100</v>
      </c>
      <c r="M47" s="167">
        <f>+J47/C47*100</f>
        <v>99.99736842105264</v>
      </c>
      <c r="N47" s="167">
        <f t="shared" si="8"/>
        <v>200</v>
      </c>
      <c r="O47" s="486"/>
      <c r="P47" s="551"/>
    </row>
    <row r="48" spans="1:16" ht="12" customHeight="1">
      <c r="A48" s="489"/>
      <c r="B48" s="169"/>
      <c r="C48" s="166"/>
      <c r="D48" s="214"/>
      <c r="E48" s="167"/>
      <c r="F48" s="196"/>
      <c r="G48" s="232"/>
      <c r="H48" s="168"/>
      <c r="I48" s="620"/>
      <c r="J48" s="168"/>
      <c r="K48" s="540"/>
      <c r="L48" s="167"/>
      <c r="M48" s="167"/>
      <c r="N48" s="167">
        <f t="shared" si="8"/>
        <v>0</v>
      </c>
      <c r="O48" s="486"/>
      <c r="P48" s="551"/>
    </row>
    <row r="49" spans="1:16" ht="12" customHeight="1">
      <c r="A49" s="637">
        <v>3</v>
      </c>
      <c r="B49" s="638" t="s">
        <v>49</v>
      </c>
      <c r="C49" s="639">
        <f>C50</f>
        <v>73370000</v>
      </c>
      <c r="D49" s="640"/>
      <c r="E49" s="639">
        <f>E50</f>
        <v>57200000</v>
      </c>
      <c r="F49" s="640"/>
      <c r="G49" s="644"/>
      <c r="H49" s="552">
        <f>H50</f>
        <v>73200000</v>
      </c>
      <c r="I49" s="543">
        <f>+H49/C49*100</f>
        <v>99.76829766934715</v>
      </c>
      <c r="J49" s="552">
        <f>J50</f>
        <v>73200000</v>
      </c>
      <c r="K49" s="639">
        <f>+J49/C49*100</f>
        <v>99.76829766934715</v>
      </c>
      <c r="L49" s="545">
        <v>100</v>
      </c>
      <c r="M49" s="545">
        <f>+J49/C49*100</f>
        <v>99.76829766934715</v>
      </c>
      <c r="N49" s="167">
        <f t="shared" si="8"/>
        <v>170000</v>
      </c>
      <c r="O49" s="486"/>
      <c r="P49" s="551"/>
    </row>
    <row r="50" spans="1:16" ht="12" customHeight="1">
      <c r="A50" s="489"/>
      <c r="B50" s="165" t="s">
        <v>50</v>
      </c>
      <c r="C50" s="645">
        <v>73370000</v>
      </c>
      <c r="D50" s="646" t="s">
        <v>118</v>
      </c>
      <c r="E50" s="167">
        <v>57200000</v>
      </c>
      <c r="F50" s="647" t="s">
        <v>119</v>
      </c>
      <c r="G50" s="232" t="s">
        <v>120</v>
      </c>
      <c r="H50" s="648">
        <f>16000000+57200000</f>
        <v>73200000</v>
      </c>
      <c r="I50" s="483">
        <f>+H50/C50*100</f>
        <v>99.76829766934715</v>
      </c>
      <c r="J50" s="648">
        <f>16000000+57200000</f>
        <v>73200000</v>
      </c>
      <c r="K50" s="166">
        <f>+J50/C50*100</f>
        <v>99.76829766934715</v>
      </c>
      <c r="L50" s="715">
        <v>100</v>
      </c>
      <c r="M50" s="167">
        <f>+J50/C50*100</f>
        <v>99.76829766934715</v>
      </c>
      <c r="N50" s="167">
        <f t="shared" si="8"/>
        <v>170000</v>
      </c>
      <c r="O50" s="486"/>
      <c r="P50" s="551"/>
    </row>
    <row r="51" spans="1:16" ht="12" customHeight="1">
      <c r="A51" s="533"/>
      <c r="B51" s="649"/>
      <c r="C51" s="650"/>
      <c r="D51" s="646"/>
      <c r="E51" s="542"/>
      <c r="F51" s="647"/>
      <c r="G51" s="651"/>
      <c r="H51" s="652"/>
      <c r="I51" s="483"/>
      <c r="J51" s="652"/>
      <c r="K51" s="166"/>
      <c r="L51" s="715"/>
      <c r="M51" s="167"/>
      <c r="N51" s="542"/>
      <c r="O51" s="486"/>
      <c r="P51" s="551"/>
    </row>
    <row r="52" spans="1:16" s="689" customFormat="1" ht="12" customHeight="1">
      <c r="A52" s="527">
        <v>4</v>
      </c>
      <c r="B52" s="653" t="s">
        <v>51</v>
      </c>
      <c r="C52" s="654">
        <f>C53+C66+C67</f>
        <v>5367814400</v>
      </c>
      <c r="D52" s="655"/>
      <c r="E52" s="654">
        <f>SUM(E54:E68)</f>
        <v>3007864804</v>
      </c>
      <c r="F52" s="655"/>
      <c r="G52" s="656"/>
      <c r="H52" s="657">
        <f>SUM(H53+H66+H67)</f>
        <v>4128275259</v>
      </c>
      <c r="I52" s="543">
        <f>+H52/C52*100</f>
        <v>76.90793591894682</v>
      </c>
      <c r="J52" s="657">
        <f>+J53+J66+J67</f>
        <v>4128275259</v>
      </c>
      <c r="K52" s="639">
        <f>+J52/C52*100</f>
        <v>76.90793591894682</v>
      </c>
      <c r="L52" s="718">
        <v>100</v>
      </c>
      <c r="M52" s="545">
        <f>+J52/C52*100</f>
        <v>76.90793591894682</v>
      </c>
      <c r="N52" s="657">
        <f>C52-J52</f>
        <v>1239539141</v>
      </c>
      <c r="O52" s="692"/>
      <c r="P52" s="688"/>
    </row>
    <row r="53" spans="1:16" ht="12" customHeight="1">
      <c r="A53" s="489">
        <v>1</v>
      </c>
      <c r="B53" s="627" t="s">
        <v>52</v>
      </c>
      <c r="C53" s="521">
        <v>3876642400</v>
      </c>
      <c r="D53" s="551"/>
      <c r="E53" s="686"/>
      <c r="F53" s="686"/>
      <c r="G53" s="551"/>
      <c r="H53" s="681">
        <f>107651400+2500000+H54+H55+H56+H61+H62+H63+H64+11808800+12028000</f>
        <v>3093253000</v>
      </c>
      <c r="I53" s="525">
        <f>H53/C53*100</f>
        <v>79.79206439056642</v>
      </c>
      <c r="J53" s="681">
        <f>107651400+2500000+J54+J55+J56+J61+J62+J63+J64+11808800+12028000</f>
        <v>3093253000</v>
      </c>
      <c r="K53" s="166">
        <f>+J53/C53*100</f>
        <v>79.79206439056642</v>
      </c>
      <c r="L53" s="715">
        <v>100</v>
      </c>
      <c r="M53" s="167">
        <f>J53/C53*100</f>
        <v>79.79206439056642</v>
      </c>
      <c r="N53" s="485">
        <f>C53-J53</f>
        <v>783389400</v>
      </c>
      <c r="O53" s="486"/>
      <c r="P53" s="551"/>
    </row>
    <row r="54" spans="1:16" ht="12" customHeight="1">
      <c r="A54" s="489"/>
      <c r="B54" s="627"/>
      <c r="C54" s="521"/>
      <c r="D54" s="618" t="s">
        <v>111</v>
      </c>
      <c r="E54" s="521">
        <v>89375000</v>
      </c>
      <c r="F54" s="522" t="s">
        <v>114</v>
      </c>
      <c r="G54" s="619" t="s">
        <v>116</v>
      </c>
      <c r="H54" s="521">
        <v>89375000</v>
      </c>
      <c r="I54" s="620">
        <f>H54/E54*100</f>
        <v>100</v>
      </c>
      <c r="J54" s="521">
        <v>89375000</v>
      </c>
      <c r="K54" s="620">
        <f>+H54/E54*100</f>
        <v>100</v>
      </c>
      <c r="L54" s="715">
        <v>100</v>
      </c>
      <c r="M54" s="167">
        <v>100</v>
      </c>
      <c r="N54" s="485"/>
      <c r="O54" s="486"/>
      <c r="P54" s="551"/>
    </row>
    <row r="55" spans="1:16" ht="12" customHeight="1">
      <c r="A55" s="489"/>
      <c r="B55" s="627"/>
      <c r="C55" s="521"/>
      <c r="D55" s="618" t="s">
        <v>112</v>
      </c>
      <c r="E55" s="521">
        <v>198000000</v>
      </c>
      <c r="F55" s="522" t="s">
        <v>115</v>
      </c>
      <c r="G55" s="619" t="s">
        <v>117</v>
      </c>
      <c r="H55" s="521">
        <v>198000000</v>
      </c>
      <c r="I55" s="620">
        <f aca="true" t="shared" si="9" ref="I55:I64">H55/E55*100</f>
        <v>100</v>
      </c>
      <c r="J55" s="521">
        <v>198000000</v>
      </c>
      <c r="K55" s="620">
        <f aca="true" t="shared" si="10" ref="K55:K64">+H55/E55*100</f>
        <v>100</v>
      </c>
      <c r="L55" s="715">
        <v>100</v>
      </c>
      <c r="M55" s="167">
        <v>100</v>
      </c>
      <c r="N55" s="485"/>
      <c r="O55" s="486"/>
      <c r="P55" s="551"/>
    </row>
    <row r="56" spans="1:16" ht="12" customHeight="1">
      <c r="A56" s="489"/>
      <c r="B56" s="627"/>
      <c r="C56" s="521"/>
      <c r="D56" s="618" t="s">
        <v>113</v>
      </c>
      <c r="E56" s="521">
        <v>108075000</v>
      </c>
      <c r="F56" s="522" t="s">
        <v>114</v>
      </c>
      <c r="G56" s="619" t="s">
        <v>116</v>
      </c>
      <c r="H56" s="521">
        <v>108075000</v>
      </c>
      <c r="I56" s="620">
        <f t="shared" si="9"/>
        <v>100</v>
      </c>
      <c r="J56" s="521">
        <v>108075000</v>
      </c>
      <c r="K56" s="620">
        <f t="shared" si="10"/>
        <v>100</v>
      </c>
      <c r="L56" s="715">
        <v>100</v>
      </c>
      <c r="M56" s="167">
        <v>100</v>
      </c>
      <c r="N56" s="485"/>
      <c r="O56" s="486"/>
      <c r="P56" s="551"/>
    </row>
    <row r="57" spans="1:16" ht="12" customHeight="1">
      <c r="A57" s="843" t="s">
        <v>2</v>
      </c>
      <c r="B57" s="843" t="s">
        <v>3</v>
      </c>
      <c r="C57" s="843" t="s">
        <v>168</v>
      </c>
      <c r="D57" s="846" t="s">
        <v>104</v>
      </c>
      <c r="E57" s="843" t="s">
        <v>5</v>
      </c>
      <c r="F57" s="846" t="s">
        <v>6</v>
      </c>
      <c r="G57" s="851" t="s">
        <v>105</v>
      </c>
      <c r="H57" s="854" t="s">
        <v>7</v>
      </c>
      <c r="I57" s="855"/>
      <c r="J57" s="855"/>
      <c r="K57" s="856"/>
      <c r="L57" s="854" t="s">
        <v>8</v>
      </c>
      <c r="M57" s="856"/>
      <c r="N57" s="836" t="s">
        <v>87</v>
      </c>
      <c r="O57" s="839" t="s">
        <v>9</v>
      </c>
      <c r="P57" s="551"/>
    </row>
    <row r="58" spans="1:16" ht="12" customHeight="1">
      <c r="A58" s="837"/>
      <c r="B58" s="837"/>
      <c r="C58" s="837"/>
      <c r="D58" s="848"/>
      <c r="E58" s="849"/>
      <c r="F58" s="848"/>
      <c r="G58" s="852"/>
      <c r="H58" s="841" t="s">
        <v>10</v>
      </c>
      <c r="I58" s="843" t="s">
        <v>11</v>
      </c>
      <c r="J58" s="843" t="s">
        <v>12</v>
      </c>
      <c r="K58" s="843" t="s">
        <v>11</v>
      </c>
      <c r="L58" s="844" t="s">
        <v>13</v>
      </c>
      <c r="M58" s="846" t="s">
        <v>14</v>
      </c>
      <c r="N58" s="837"/>
      <c r="O58" s="840"/>
      <c r="P58" s="551"/>
    </row>
    <row r="59" spans="1:16" ht="12" customHeight="1">
      <c r="A59" s="838"/>
      <c r="B59" s="838"/>
      <c r="C59" s="838"/>
      <c r="D59" s="847"/>
      <c r="E59" s="850"/>
      <c r="F59" s="847"/>
      <c r="G59" s="853"/>
      <c r="H59" s="842"/>
      <c r="I59" s="838"/>
      <c r="J59" s="838"/>
      <c r="K59" s="838"/>
      <c r="L59" s="845"/>
      <c r="M59" s="847"/>
      <c r="N59" s="838"/>
      <c r="O59" s="840"/>
      <c r="P59" s="551"/>
    </row>
    <row r="60" spans="1:16" ht="12" customHeight="1">
      <c r="A60" s="658">
        <v>1</v>
      </c>
      <c r="B60" s="658">
        <v>2</v>
      </c>
      <c r="C60" s="658">
        <v>3</v>
      </c>
      <c r="D60" s="659"/>
      <c r="E60" s="658">
        <v>4</v>
      </c>
      <c r="F60" s="659">
        <v>5</v>
      </c>
      <c r="G60" s="660"/>
      <c r="H60" s="658">
        <v>6</v>
      </c>
      <c r="I60" s="658">
        <v>7</v>
      </c>
      <c r="J60" s="658">
        <v>8</v>
      </c>
      <c r="K60" s="658">
        <v>9</v>
      </c>
      <c r="L60" s="719">
        <v>10</v>
      </c>
      <c r="M60" s="658">
        <v>11</v>
      </c>
      <c r="N60" s="658">
        <v>12</v>
      </c>
      <c r="O60" s="658">
        <v>13</v>
      </c>
      <c r="P60" s="551"/>
    </row>
    <row r="61" spans="1:16" ht="12" customHeight="1">
      <c r="A61" s="489"/>
      <c r="B61" s="627"/>
      <c r="C61" s="521"/>
      <c r="D61" s="622" t="s">
        <v>130</v>
      </c>
      <c r="E61" s="521">
        <v>98200000</v>
      </c>
      <c r="F61" s="623" t="s">
        <v>131</v>
      </c>
      <c r="G61" s="492">
        <v>43556</v>
      </c>
      <c r="H61" s="521">
        <v>98200000</v>
      </c>
      <c r="I61" s="620">
        <f t="shared" si="9"/>
        <v>100</v>
      </c>
      <c r="J61" s="521">
        <v>98200000</v>
      </c>
      <c r="K61" s="620">
        <f t="shared" si="10"/>
        <v>100</v>
      </c>
      <c r="L61" s="715">
        <v>100</v>
      </c>
      <c r="M61" s="167">
        <v>100</v>
      </c>
      <c r="N61" s="485"/>
      <c r="O61" s="486"/>
      <c r="P61" s="551"/>
    </row>
    <row r="62" spans="1:16" ht="12" customHeight="1">
      <c r="A62" s="489"/>
      <c r="B62" s="627"/>
      <c r="C62" s="521"/>
      <c r="D62" s="622" t="s">
        <v>172</v>
      </c>
      <c r="E62" s="521">
        <v>197498000</v>
      </c>
      <c r="F62" s="522" t="s">
        <v>114</v>
      </c>
      <c r="G62" s="492"/>
      <c r="H62" s="521">
        <v>197498000</v>
      </c>
      <c r="I62" s="620">
        <f t="shared" si="9"/>
        <v>100</v>
      </c>
      <c r="J62" s="521">
        <v>197498000</v>
      </c>
      <c r="K62" s="620">
        <f t="shared" si="10"/>
        <v>100</v>
      </c>
      <c r="L62" s="715">
        <v>100</v>
      </c>
      <c r="M62" s="167">
        <v>100</v>
      </c>
      <c r="N62" s="485"/>
      <c r="O62" s="486"/>
      <c r="P62" s="551"/>
    </row>
    <row r="63" spans="1:16" ht="12" customHeight="1">
      <c r="A63" s="489"/>
      <c r="B63" s="627"/>
      <c r="C63" s="521"/>
      <c r="D63" s="622" t="s">
        <v>173</v>
      </c>
      <c r="E63" s="521">
        <v>622203600</v>
      </c>
      <c r="F63" s="624" t="s">
        <v>174</v>
      </c>
      <c r="G63" s="492">
        <v>43738</v>
      </c>
      <c r="H63" s="521">
        <v>622203600</v>
      </c>
      <c r="I63" s="620">
        <f t="shared" si="9"/>
        <v>100</v>
      </c>
      <c r="J63" s="521">
        <v>622203600</v>
      </c>
      <c r="K63" s="620">
        <f t="shared" si="10"/>
        <v>100</v>
      </c>
      <c r="L63" s="715">
        <v>100</v>
      </c>
      <c r="M63" s="167">
        <v>100</v>
      </c>
      <c r="N63" s="485"/>
      <c r="O63" s="486"/>
      <c r="P63" s="551"/>
    </row>
    <row r="64" spans="1:16" ht="12" customHeight="1">
      <c r="A64" s="489"/>
      <c r="B64" s="627"/>
      <c r="C64" s="521"/>
      <c r="D64" s="622" t="s">
        <v>173</v>
      </c>
      <c r="E64" s="521">
        <v>1645913200</v>
      </c>
      <c r="F64" s="624" t="s">
        <v>175</v>
      </c>
      <c r="G64" s="492">
        <v>43738</v>
      </c>
      <c r="H64" s="521">
        <v>1645913200</v>
      </c>
      <c r="I64" s="620">
        <f t="shared" si="9"/>
        <v>100</v>
      </c>
      <c r="J64" s="521">
        <v>1645913200</v>
      </c>
      <c r="K64" s="620">
        <f t="shared" si="10"/>
        <v>100</v>
      </c>
      <c r="L64" s="715">
        <v>100</v>
      </c>
      <c r="M64" s="167">
        <v>100</v>
      </c>
      <c r="N64" s="485"/>
      <c r="O64" s="486"/>
      <c r="P64" s="551"/>
    </row>
    <row r="65" spans="1:16" ht="12" customHeight="1">
      <c r="A65" s="489"/>
      <c r="B65" s="627"/>
      <c r="C65" s="521"/>
      <c r="D65" s="622"/>
      <c r="E65" s="521"/>
      <c r="F65" s="623"/>
      <c r="G65" s="492"/>
      <c r="H65" s="521"/>
      <c r="I65" s="620"/>
      <c r="J65" s="521"/>
      <c r="K65" s="540"/>
      <c r="L65" s="716"/>
      <c r="M65" s="167"/>
      <c r="N65" s="485"/>
      <c r="O65" s="486"/>
      <c r="P65" s="551"/>
    </row>
    <row r="66" spans="1:16" ht="12" customHeight="1">
      <c r="A66" s="489">
        <v>2</v>
      </c>
      <c r="B66" s="627" t="s">
        <v>53</v>
      </c>
      <c r="C66" s="521">
        <v>1110122000</v>
      </c>
      <c r="D66" s="522"/>
      <c r="E66" s="523"/>
      <c r="F66" s="491"/>
      <c r="G66" s="492"/>
      <c r="H66" s="680">
        <f>604173402+100000000+6406500+91445309+113723460</f>
        <v>915748671</v>
      </c>
      <c r="I66" s="483">
        <f>+H66/C66*100</f>
        <v>82.49081371236674</v>
      </c>
      <c r="J66" s="680">
        <f>604173402+100000000+6406500+91445309+113723460</f>
        <v>915748671</v>
      </c>
      <c r="K66" s="166">
        <f>+J66/C66*100</f>
        <v>82.49081371236674</v>
      </c>
      <c r="L66" s="715">
        <v>100</v>
      </c>
      <c r="M66" s="167">
        <f>+J66/C66*100</f>
        <v>82.49081371236674</v>
      </c>
      <c r="N66" s="485">
        <f>C66-J66</f>
        <v>194373329</v>
      </c>
      <c r="O66" s="486"/>
      <c r="P66" s="551"/>
    </row>
    <row r="67" spans="1:16" ht="12" customHeight="1">
      <c r="A67" s="489">
        <v>3</v>
      </c>
      <c r="B67" s="627" t="s">
        <v>54</v>
      </c>
      <c r="C67" s="521">
        <v>381050000</v>
      </c>
      <c r="D67" s="522" t="s">
        <v>107</v>
      </c>
      <c r="E67" s="524">
        <v>48600000</v>
      </c>
      <c r="F67" s="491" t="s">
        <v>108</v>
      </c>
      <c r="G67" s="492">
        <v>43584</v>
      </c>
      <c r="H67" s="524">
        <f>119273588</f>
        <v>119273588</v>
      </c>
      <c r="I67" s="483">
        <f>+H67/C67*100</f>
        <v>31.30129589292744</v>
      </c>
      <c r="J67" s="524">
        <f>119273588</f>
        <v>119273588</v>
      </c>
      <c r="K67" s="166">
        <f>+J67/C67*100</f>
        <v>31.30129589292744</v>
      </c>
      <c r="L67" s="715">
        <v>100</v>
      </c>
      <c r="M67" s="167">
        <f>+J67/C67*100</f>
        <v>31.30129589292744</v>
      </c>
      <c r="N67" s="485">
        <f>C67-J67</f>
        <v>261776412</v>
      </c>
      <c r="O67" s="486"/>
      <c r="P67" s="551"/>
    </row>
    <row r="68" spans="1:16" ht="12" customHeight="1">
      <c r="A68" s="533"/>
      <c r="B68" s="661"/>
      <c r="C68" s="662"/>
      <c r="D68" s="663"/>
      <c r="E68" s="664"/>
      <c r="F68" s="537"/>
      <c r="G68" s="538"/>
      <c r="H68" s="664"/>
      <c r="I68" s="539"/>
      <c r="J68" s="664"/>
      <c r="K68" s="540"/>
      <c r="L68" s="716"/>
      <c r="M68" s="542"/>
      <c r="N68" s="485"/>
      <c r="O68" s="486"/>
      <c r="P68" s="551"/>
    </row>
    <row r="69" spans="1:17" ht="12" customHeight="1">
      <c r="A69" s="665">
        <v>5</v>
      </c>
      <c r="B69" s="528" t="s">
        <v>56</v>
      </c>
      <c r="C69" s="532">
        <f>SUM(C70:C83)</f>
        <v>1190425000</v>
      </c>
      <c r="D69" s="567"/>
      <c r="E69" s="532">
        <f>E70+E71+E72++E73+E74+E75+E76+E79+E81+E83+E78</f>
        <v>160501000</v>
      </c>
      <c r="F69" s="567"/>
      <c r="G69" s="568"/>
      <c r="H69" s="532">
        <f>SUM(H70:H83)</f>
        <v>905774501</v>
      </c>
      <c r="I69" s="543">
        <f aca="true" t="shared" si="11" ref="I69:I77">+H69/C69*100</f>
        <v>76.08832988218494</v>
      </c>
      <c r="J69" s="532">
        <f>SUM(J70:J83)</f>
        <v>905774501</v>
      </c>
      <c r="K69" s="639">
        <f aca="true" t="shared" si="12" ref="K69:K77">+J69/C69*100</f>
        <v>76.08832988218494</v>
      </c>
      <c r="L69" s="545">
        <v>100</v>
      </c>
      <c r="M69" s="545">
        <f>+J69/C69*100</f>
        <v>76.08832988218494</v>
      </c>
      <c r="N69" s="485">
        <f aca="true" t="shared" si="13" ref="N69:N77">C69-J69</f>
        <v>284650499</v>
      </c>
      <c r="O69" s="486"/>
      <c r="P69" s="551"/>
      <c r="Q69" s="545"/>
    </row>
    <row r="70" spans="1:16" ht="12" customHeight="1">
      <c r="A70" s="489">
        <v>1</v>
      </c>
      <c r="B70" s="169" t="s">
        <v>57</v>
      </c>
      <c r="C70" s="166">
        <v>350000000</v>
      </c>
      <c r="D70" s="214"/>
      <c r="E70" s="166"/>
      <c r="F70" s="491"/>
      <c r="G70" s="492"/>
      <c r="H70" s="166">
        <v>214048900</v>
      </c>
      <c r="I70" s="483">
        <f t="shared" si="11"/>
        <v>61.15682857142857</v>
      </c>
      <c r="J70" s="166">
        <v>214048900</v>
      </c>
      <c r="K70" s="166">
        <f t="shared" si="12"/>
        <v>61.15682857142857</v>
      </c>
      <c r="L70" s="718">
        <v>100</v>
      </c>
      <c r="M70" s="167">
        <f aca="true" t="shared" si="14" ref="M70:M77">+J70/C70*100</f>
        <v>61.15682857142857</v>
      </c>
      <c r="N70" s="485">
        <f t="shared" si="13"/>
        <v>135951100</v>
      </c>
      <c r="O70" s="486"/>
      <c r="P70" s="551"/>
    </row>
    <row r="71" spans="1:16" ht="12" customHeight="1">
      <c r="A71" s="489">
        <v>2</v>
      </c>
      <c r="B71" s="490" t="s">
        <v>58</v>
      </c>
      <c r="C71" s="166">
        <v>165000000</v>
      </c>
      <c r="D71" s="214"/>
      <c r="E71" s="167"/>
      <c r="F71" s="491"/>
      <c r="G71" s="492"/>
      <c r="H71" s="683">
        <f>122001983+1342421+2100000+32102500</f>
        <v>157546904</v>
      </c>
      <c r="I71" s="483">
        <f t="shared" si="11"/>
        <v>95.48297212121211</v>
      </c>
      <c r="J71" s="683">
        <f>122001983+1342421+2100000+32102500</f>
        <v>157546904</v>
      </c>
      <c r="K71" s="166">
        <f t="shared" si="12"/>
        <v>95.48297212121211</v>
      </c>
      <c r="L71" s="718">
        <v>100</v>
      </c>
      <c r="M71" s="167">
        <f t="shared" si="14"/>
        <v>95.48297212121211</v>
      </c>
      <c r="N71" s="485">
        <f t="shared" si="13"/>
        <v>7453096</v>
      </c>
      <c r="O71" s="486"/>
      <c r="P71" s="551"/>
    </row>
    <row r="72" spans="1:16" ht="12" customHeight="1">
      <c r="A72" s="489">
        <v>3</v>
      </c>
      <c r="B72" s="490" t="s">
        <v>59</v>
      </c>
      <c r="C72" s="166">
        <v>50000000</v>
      </c>
      <c r="D72" s="214"/>
      <c r="E72" s="167"/>
      <c r="F72" s="491"/>
      <c r="G72" s="492"/>
      <c r="H72" s="168">
        <f>22900000+1375000+2400000</f>
        <v>26675000</v>
      </c>
      <c r="I72" s="483">
        <f t="shared" si="11"/>
        <v>53.349999999999994</v>
      </c>
      <c r="J72" s="168">
        <f>22900000+1375000+2400000</f>
        <v>26675000</v>
      </c>
      <c r="K72" s="166">
        <f t="shared" si="12"/>
        <v>53.349999999999994</v>
      </c>
      <c r="L72" s="718">
        <v>100</v>
      </c>
      <c r="M72" s="167">
        <f t="shared" si="14"/>
        <v>53.349999999999994</v>
      </c>
      <c r="N72" s="485">
        <f t="shared" si="13"/>
        <v>23325000</v>
      </c>
      <c r="O72" s="486"/>
      <c r="P72" s="551"/>
    </row>
    <row r="73" spans="1:16" ht="12" customHeight="1">
      <c r="A73" s="489">
        <v>4</v>
      </c>
      <c r="B73" s="169" t="s">
        <v>78</v>
      </c>
      <c r="C73" s="166">
        <v>80000000</v>
      </c>
      <c r="D73" s="214" t="s">
        <v>110</v>
      </c>
      <c r="E73" s="167">
        <v>11000000</v>
      </c>
      <c r="F73" s="491" t="s">
        <v>109</v>
      </c>
      <c r="G73" s="492">
        <v>43580</v>
      </c>
      <c r="H73" s="168">
        <f>29275000+25799900+8675000</f>
        <v>63749900</v>
      </c>
      <c r="I73" s="483">
        <f t="shared" si="11"/>
        <v>79.687375</v>
      </c>
      <c r="J73" s="168">
        <f>29275000+25799900+8675000</f>
        <v>63749900</v>
      </c>
      <c r="K73" s="166">
        <f t="shared" si="12"/>
        <v>79.687375</v>
      </c>
      <c r="L73" s="718">
        <v>100</v>
      </c>
      <c r="M73" s="167">
        <f t="shared" si="14"/>
        <v>79.687375</v>
      </c>
      <c r="N73" s="485">
        <f t="shared" si="13"/>
        <v>16250100</v>
      </c>
      <c r="O73" s="486"/>
      <c r="P73" s="551"/>
    </row>
    <row r="74" spans="1:16" ht="12" customHeight="1">
      <c r="A74" s="489">
        <v>5</v>
      </c>
      <c r="B74" s="169" t="s">
        <v>79</v>
      </c>
      <c r="C74" s="166">
        <v>50000000</v>
      </c>
      <c r="D74" s="214"/>
      <c r="E74" s="167"/>
      <c r="F74" s="491"/>
      <c r="G74" s="492"/>
      <c r="H74" s="168">
        <f>10775000+4950000+550000</f>
        <v>16275000</v>
      </c>
      <c r="I74" s="483">
        <f t="shared" si="11"/>
        <v>32.550000000000004</v>
      </c>
      <c r="J74" s="168">
        <f>10775000+4950000+550000</f>
        <v>16275000</v>
      </c>
      <c r="K74" s="166">
        <f t="shared" si="12"/>
        <v>32.550000000000004</v>
      </c>
      <c r="L74" s="718">
        <v>100</v>
      </c>
      <c r="M74" s="167">
        <f t="shared" si="14"/>
        <v>32.550000000000004</v>
      </c>
      <c r="N74" s="485">
        <f t="shared" si="13"/>
        <v>33725000</v>
      </c>
      <c r="O74" s="486"/>
      <c r="P74" s="551"/>
    </row>
    <row r="75" spans="1:16" ht="12" customHeight="1">
      <c r="A75" s="489">
        <v>6</v>
      </c>
      <c r="B75" s="169" t="s">
        <v>60</v>
      </c>
      <c r="C75" s="166">
        <v>50000000</v>
      </c>
      <c r="D75" s="214"/>
      <c r="E75" s="167"/>
      <c r="F75" s="491"/>
      <c r="G75" s="492"/>
      <c r="H75" s="168">
        <f>20860166+1435000+2766631</f>
        <v>25061797</v>
      </c>
      <c r="I75" s="483">
        <f t="shared" si="11"/>
        <v>50.123594000000004</v>
      </c>
      <c r="J75" s="168">
        <f>20860166+1435000+2766631</f>
        <v>25061797</v>
      </c>
      <c r="K75" s="166">
        <f t="shared" si="12"/>
        <v>50.123594000000004</v>
      </c>
      <c r="L75" s="718">
        <v>100</v>
      </c>
      <c r="M75" s="167">
        <f t="shared" si="14"/>
        <v>50.123594000000004</v>
      </c>
      <c r="N75" s="485">
        <f t="shared" si="13"/>
        <v>24938203</v>
      </c>
      <c r="O75" s="486"/>
      <c r="P75" s="551"/>
    </row>
    <row r="76" spans="1:16" ht="12" customHeight="1">
      <c r="A76" s="493">
        <v>7</v>
      </c>
      <c r="B76" s="494" t="s">
        <v>61</v>
      </c>
      <c r="C76" s="495">
        <v>50000000</v>
      </c>
      <c r="D76" s="496"/>
      <c r="E76" s="497"/>
      <c r="F76" s="498"/>
      <c r="G76" s="499"/>
      <c r="H76" s="500">
        <v>48600000</v>
      </c>
      <c r="I76" s="483">
        <f t="shared" si="11"/>
        <v>97.2</v>
      </c>
      <c r="J76" s="500">
        <v>48600000</v>
      </c>
      <c r="K76" s="166">
        <f t="shared" si="12"/>
        <v>97.2</v>
      </c>
      <c r="L76" s="718">
        <v>100</v>
      </c>
      <c r="M76" s="167">
        <f t="shared" si="14"/>
        <v>97.2</v>
      </c>
      <c r="N76" s="485">
        <f t="shared" si="13"/>
        <v>1400000</v>
      </c>
      <c r="O76" s="486"/>
      <c r="P76" s="551"/>
    </row>
    <row r="77" spans="1:16" ht="12" customHeight="1">
      <c r="A77" s="489">
        <v>8</v>
      </c>
      <c r="B77" s="494" t="s">
        <v>85</v>
      </c>
      <c r="C77" s="495">
        <v>156700000</v>
      </c>
      <c r="D77" s="496"/>
      <c r="E77" s="497"/>
      <c r="F77" s="498"/>
      <c r="G77" s="499"/>
      <c r="H77" s="500">
        <f>149501000+4700000</f>
        <v>154201000</v>
      </c>
      <c r="I77" s="483">
        <f t="shared" si="11"/>
        <v>98.40523292916401</v>
      </c>
      <c r="J77" s="500">
        <f>149501000+4700000</f>
        <v>154201000</v>
      </c>
      <c r="K77" s="166">
        <f t="shared" si="12"/>
        <v>98.40523292916401</v>
      </c>
      <c r="L77" s="718">
        <v>100</v>
      </c>
      <c r="M77" s="167">
        <f t="shared" si="14"/>
        <v>98.40523292916401</v>
      </c>
      <c r="N77" s="485">
        <f t="shared" si="13"/>
        <v>2499000</v>
      </c>
      <c r="O77" s="486"/>
      <c r="P77" s="551"/>
    </row>
    <row r="78" spans="1:16" ht="12" customHeight="1">
      <c r="A78" s="493"/>
      <c r="B78" s="494"/>
      <c r="C78" s="495"/>
      <c r="D78" s="501" t="s">
        <v>154</v>
      </c>
      <c r="E78" s="502">
        <v>149501000</v>
      </c>
      <c r="F78" s="503" t="s">
        <v>156</v>
      </c>
      <c r="G78" s="504" t="s">
        <v>155</v>
      </c>
      <c r="H78" s="505"/>
      <c r="I78" s="506"/>
      <c r="J78" s="505"/>
      <c r="K78" s="166"/>
      <c r="L78" s="718"/>
      <c r="M78" s="167"/>
      <c r="N78" s="485"/>
      <c r="O78" s="486"/>
      <c r="P78" s="551"/>
    </row>
    <row r="79" spans="1:16" ht="12" customHeight="1">
      <c r="A79" s="493">
        <v>9</v>
      </c>
      <c r="B79" s="507" t="s">
        <v>80</v>
      </c>
      <c r="C79" s="508">
        <v>140000000</v>
      </c>
      <c r="D79" s="509"/>
      <c r="E79" s="510">
        <v>0</v>
      </c>
      <c r="F79" s="511"/>
      <c r="G79" s="512"/>
      <c r="H79" s="508">
        <f>108166000+2350000</f>
        <v>110516000</v>
      </c>
      <c r="I79" s="525">
        <f>(H79)/C79*100</f>
        <v>78.94</v>
      </c>
      <c r="J79" s="508">
        <f>108166000+2350000</f>
        <v>110516000</v>
      </c>
      <c r="K79" s="168">
        <f>(J79+J80)/C79*100</f>
        <v>78.94</v>
      </c>
      <c r="L79" s="718">
        <v>100</v>
      </c>
      <c r="M79" s="167">
        <f>(J79+J80)/C79*100</f>
        <v>78.94</v>
      </c>
      <c r="N79" s="508">
        <f>C79-J79-J80</f>
        <v>29484000</v>
      </c>
      <c r="O79" s="486"/>
      <c r="P79" s="551"/>
    </row>
    <row r="80" spans="1:16" ht="12" customHeight="1">
      <c r="A80" s="493"/>
      <c r="B80" s="507"/>
      <c r="C80" s="508"/>
      <c r="D80" s="515" t="s">
        <v>140</v>
      </c>
      <c r="E80" s="510">
        <v>85930000</v>
      </c>
      <c r="F80" s="516" t="s">
        <v>141</v>
      </c>
      <c r="G80" s="512">
        <v>43556</v>
      </c>
      <c r="H80" s="510"/>
      <c r="I80" s="483"/>
      <c r="J80" s="510"/>
      <c r="K80" s="166"/>
      <c r="L80" s="718"/>
      <c r="M80" s="167"/>
      <c r="N80" s="508"/>
      <c r="O80" s="486"/>
      <c r="P80" s="551"/>
    </row>
    <row r="81" spans="1:16" ht="12" customHeight="1">
      <c r="A81" s="489">
        <v>10</v>
      </c>
      <c r="B81" s="169" t="s">
        <v>62</v>
      </c>
      <c r="C81" s="166">
        <v>58775000</v>
      </c>
      <c r="D81" s="214"/>
      <c r="E81" s="166"/>
      <c r="F81" s="491"/>
      <c r="G81" s="492"/>
      <c r="H81" s="168">
        <f>14545000+25830000+16750000</f>
        <v>57125000</v>
      </c>
      <c r="I81" s="483">
        <f>+H81/C81*100</f>
        <v>97.19268396427051</v>
      </c>
      <c r="J81" s="168">
        <f>14545000+25830000+16750000</f>
        <v>57125000</v>
      </c>
      <c r="K81" s="166">
        <f>+J81/C81*100</f>
        <v>97.19268396427051</v>
      </c>
      <c r="L81" s="718">
        <v>100</v>
      </c>
      <c r="M81" s="167">
        <f>+J81/C81*100</f>
        <v>97.19268396427051</v>
      </c>
      <c r="N81" s="485">
        <f aca="true" t="shared" si="15" ref="N81:N91">C81-J81</f>
        <v>1650000</v>
      </c>
      <c r="O81" s="486"/>
      <c r="P81" s="551"/>
    </row>
    <row r="82" spans="1:16" ht="12" customHeight="1">
      <c r="A82" s="493">
        <v>11</v>
      </c>
      <c r="B82" s="169" t="s">
        <v>81</v>
      </c>
      <c r="C82" s="517">
        <v>18950000</v>
      </c>
      <c r="D82" s="518"/>
      <c r="E82" s="166"/>
      <c r="F82" s="491"/>
      <c r="G82" s="492"/>
      <c r="H82" s="168">
        <v>15150000</v>
      </c>
      <c r="I82" s="483">
        <f>+H82/C82*100</f>
        <v>79.94722955145119</v>
      </c>
      <c r="J82" s="168">
        <v>15150000</v>
      </c>
      <c r="K82" s="166">
        <f>+J82/C82*100</f>
        <v>79.94722955145119</v>
      </c>
      <c r="L82" s="718">
        <v>100</v>
      </c>
      <c r="M82" s="167">
        <f>+J82/C82*100</f>
        <v>79.94722955145119</v>
      </c>
      <c r="N82" s="485">
        <f t="shared" si="15"/>
        <v>3800000</v>
      </c>
      <c r="O82" s="486"/>
      <c r="P82" s="551"/>
    </row>
    <row r="83" spans="1:16" ht="12" customHeight="1">
      <c r="A83" s="489">
        <v>12</v>
      </c>
      <c r="B83" s="169" t="s">
        <v>55</v>
      </c>
      <c r="C83" s="517">
        <v>21000000</v>
      </c>
      <c r="D83" s="518"/>
      <c r="E83" s="166"/>
      <c r="F83" s="491"/>
      <c r="G83" s="492"/>
      <c r="H83" s="168">
        <f>12900000+3925000</f>
        <v>16825000</v>
      </c>
      <c r="I83" s="483">
        <f>+H83/C83*100</f>
        <v>80.11904761904762</v>
      </c>
      <c r="J83" s="168">
        <f>12900000+3925000</f>
        <v>16825000</v>
      </c>
      <c r="K83" s="166">
        <f>+J83/C83*100</f>
        <v>80.11904761904762</v>
      </c>
      <c r="L83" s="718">
        <v>100</v>
      </c>
      <c r="M83" s="167">
        <f>+J83/C83*100</f>
        <v>80.11904761904762</v>
      </c>
      <c r="N83" s="485">
        <f t="shared" si="15"/>
        <v>4175000</v>
      </c>
      <c r="O83" s="486"/>
      <c r="P83" s="551"/>
    </row>
    <row r="84" spans="1:16" ht="12" customHeight="1">
      <c r="A84" s="519"/>
      <c r="B84" s="520"/>
      <c r="C84" s="521"/>
      <c r="D84" s="522"/>
      <c r="E84" s="523"/>
      <c r="F84" s="491"/>
      <c r="G84" s="492"/>
      <c r="H84" s="524"/>
      <c r="I84" s="525"/>
      <c r="J84" s="524"/>
      <c r="K84" s="168"/>
      <c r="L84" s="716"/>
      <c r="M84" s="168"/>
      <c r="N84" s="485">
        <f t="shared" si="15"/>
        <v>0</v>
      </c>
      <c r="O84" s="486"/>
      <c r="P84" s="551"/>
    </row>
    <row r="85" spans="1:16" s="689" customFormat="1" ht="12" customHeight="1">
      <c r="A85" s="527">
        <v>6</v>
      </c>
      <c r="B85" s="528" t="s">
        <v>63</v>
      </c>
      <c r="C85" s="529">
        <f>C86+C87+C88</f>
        <v>386507853</v>
      </c>
      <c r="D85" s="530"/>
      <c r="E85" s="529">
        <f>E86+E87+E88</f>
        <v>0</v>
      </c>
      <c r="F85" s="530"/>
      <c r="G85" s="531"/>
      <c r="H85" s="532">
        <f>SUM(H86:H88)</f>
        <v>369016500</v>
      </c>
      <c r="I85" s="543">
        <f>+H85/C85*100</f>
        <v>95.4745154945144</v>
      </c>
      <c r="J85" s="532">
        <f>SUM(J86:J88)</f>
        <v>369016500</v>
      </c>
      <c r="K85" s="639">
        <f>+J85/C85*100</f>
        <v>95.4745154945144</v>
      </c>
      <c r="L85" s="718">
        <v>100</v>
      </c>
      <c r="M85" s="545">
        <f>+J85/C85*100</f>
        <v>95.4745154945144</v>
      </c>
      <c r="N85" s="670">
        <f t="shared" si="15"/>
        <v>17491353</v>
      </c>
      <c r="O85" s="692"/>
      <c r="P85" s="688"/>
    </row>
    <row r="86" spans="1:16" ht="12" customHeight="1">
      <c r="A86" s="489">
        <v>1</v>
      </c>
      <c r="B86" s="169" t="s">
        <v>64</v>
      </c>
      <c r="C86" s="517">
        <v>50000000</v>
      </c>
      <c r="D86" s="518"/>
      <c r="E86" s="517"/>
      <c r="F86" s="491"/>
      <c r="G86" s="492"/>
      <c r="H86" s="517">
        <f>37223000+3525000+5525000</f>
        <v>46273000</v>
      </c>
      <c r="I86" s="483">
        <f>+H86/C86*100</f>
        <v>92.54599999999999</v>
      </c>
      <c r="J86" s="517">
        <f>37223000+3525000+5525000</f>
        <v>46273000</v>
      </c>
      <c r="K86" s="166">
        <f>+J86/C86*100</f>
        <v>92.54599999999999</v>
      </c>
      <c r="L86" s="718">
        <v>100</v>
      </c>
      <c r="M86" s="167">
        <f>+J86/C86*100</f>
        <v>92.54599999999999</v>
      </c>
      <c r="N86" s="485">
        <f t="shared" si="15"/>
        <v>3727000</v>
      </c>
      <c r="O86" s="486"/>
      <c r="P86" s="551"/>
    </row>
    <row r="87" spans="1:16" ht="12" customHeight="1">
      <c r="A87" s="489">
        <v>2</v>
      </c>
      <c r="B87" s="169" t="s">
        <v>65</v>
      </c>
      <c r="C87" s="517">
        <v>35000000</v>
      </c>
      <c r="D87" s="518"/>
      <c r="E87" s="523"/>
      <c r="F87" s="491"/>
      <c r="G87" s="492"/>
      <c r="H87" s="517">
        <f>8946000+20250000</f>
        <v>29196000</v>
      </c>
      <c r="I87" s="483">
        <f>+H87/C87*100</f>
        <v>83.41714285714286</v>
      </c>
      <c r="J87" s="517">
        <f>8946000+20250000</f>
        <v>29196000</v>
      </c>
      <c r="K87" s="166">
        <f>+J87/C87*100</f>
        <v>83.41714285714286</v>
      </c>
      <c r="L87" s="718">
        <v>100</v>
      </c>
      <c r="M87" s="167">
        <f>+J87/C87*100</f>
        <v>83.41714285714286</v>
      </c>
      <c r="N87" s="485">
        <f t="shared" si="15"/>
        <v>5804000</v>
      </c>
      <c r="O87" s="486"/>
      <c r="P87" s="551"/>
    </row>
    <row r="88" spans="1:16" ht="12" customHeight="1">
      <c r="A88" s="489">
        <v>3</v>
      </c>
      <c r="B88" s="169" t="s">
        <v>66</v>
      </c>
      <c r="C88" s="166">
        <v>301507853</v>
      </c>
      <c r="D88" s="214"/>
      <c r="E88" s="166"/>
      <c r="F88" s="491"/>
      <c r="G88" s="492"/>
      <c r="H88" s="683">
        <f>236275000+4450000+3750000+49072500</f>
        <v>293547500</v>
      </c>
      <c r="I88" s="483">
        <f>+H88/C88*100</f>
        <v>97.35981901605727</v>
      </c>
      <c r="J88" s="683">
        <f>236275000+4450000+3750000+49072500</f>
        <v>293547500</v>
      </c>
      <c r="K88" s="166">
        <f>+J88/C88*100</f>
        <v>97.35981901605727</v>
      </c>
      <c r="L88" s="718">
        <v>100</v>
      </c>
      <c r="M88" s="167">
        <f>+J88/C88*100</f>
        <v>97.35981901605727</v>
      </c>
      <c r="N88" s="485">
        <f t="shared" si="15"/>
        <v>7960353</v>
      </c>
      <c r="O88" s="486"/>
      <c r="P88" s="551"/>
    </row>
    <row r="89" spans="1:16" ht="12" customHeight="1">
      <c r="A89" s="533"/>
      <c r="B89" s="534"/>
      <c r="C89" s="535"/>
      <c r="D89" s="536"/>
      <c r="E89" s="535"/>
      <c r="F89" s="537"/>
      <c r="G89" s="538"/>
      <c r="H89" s="535">
        <v>0</v>
      </c>
      <c r="I89" s="539"/>
      <c r="J89" s="535"/>
      <c r="K89" s="540"/>
      <c r="L89" s="541"/>
      <c r="M89" s="542"/>
      <c r="N89" s="485">
        <f t="shared" si="15"/>
        <v>0</v>
      </c>
      <c r="O89" s="486"/>
      <c r="P89" s="551"/>
    </row>
    <row r="90" spans="1:16" ht="12" customHeight="1">
      <c r="A90" s="527">
        <v>7</v>
      </c>
      <c r="B90" s="528" t="s">
        <v>67</v>
      </c>
      <c r="C90" s="532">
        <f>C91+C92</f>
        <v>520000000</v>
      </c>
      <c r="D90" s="567"/>
      <c r="E90" s="532">
        <f>SUM(E91:E100)</f>
        <v>503968000</v>
      </c>
      <c r="F90" s="567"/>
      <c r="G90" s="568"/>
      <c r="H90" s="532">
        <f>SUM(H91+H92)</f>
        <v>505018000</v>
      </c>
      <c r="I90" s="684">
        <f>+H90/C90*100</f>
        <v>97.11884615384615</v>
      </c>
      <c r="J90" s="532">
        <f>SUM(J91+J92)</f>
        <v>505018000</v>
      </c>
      <c r="K90" s="552">
        <f>+J90/C90*100</f>
        <v>97.11884615384615</v>
      </c>
      <c r="L90" s="545">
        <v>100</v>
      </c>
      <c r="M90" s="545">
        <f>J90/C90*100</f>
        <v>97.11884615384615</v>
      </c>
      <c r="N90" s="485">
        <f t="shared" si="15"/>
        <v>14982000</v>
      </c>
      <c r="O90" s="486"/>
      <c r="P90" s="551"/>
    </row>
    <row r="91" spans="1:16" ht="12" customHeight="1">
      <c r="A91" s="519">
        <v>1</v>
      </c>
      <c r="B91" s="169" t="s">
        <v>68</v>
      </c>
      <c r="C91" s="166">
        <v>100000000</v>
      </c>
      <c r="D91" s="546" t="s">
        <v>129</v>
      </c>
      <c r="E91" s="521">
        <v>98395000</v>
      </c>
      <c r="F91" s="546" t="s">
        <v>128</v>
      </c>
      <c r="G91" s="547" t="s">
        <v>127</v>
      </c>
      <c r="H91" s="166">
        <v>99445000</v>
      </c>
      <c r="I91" s="483">
        <f>+H91/C91*100</f>
        <v>99.445</v>
      </c>
      <c r="J91" s="166">
        <v>99445000</v>
      </c>
      <c r="K91" s="166">
        <f>+J91/C91*100</f>
        <v>99.445</v>
      </c>
      <c r="L91" s="718">
        <v>100</v>
      </c>
      <c r="M91" s="167">
        <f>+J91/C91*100</f>
        <v>99.445</v>
      </c>
      <c r="N91" s="485">
        <f t="shared" si="15"/>
        <v>555000</v>
      </c>
      <c r="O91" s="486"/>
      <c r="P91" s="551"/>
    </row>
    <row r="92" spans="1:16" ht="12" customHeight="1">
      <c r="A92" s="519">
        <v>2</v>
      </c>
      <c r="B92" s="169" t="s">
        <v>69</v>
      </c>
      <c r="C92" s="166">
        <v>420000000</v>
      </c>
      <c r="D92" s="546"/>
      <c r="E92" s="521"/>
      <c r="F92" s="546"/>
      <c r="G92" s="547"/>
      <c r="H92" s="166">
        <f>SUM(H93+H94+H95+H96+H97+H98+H99+H100)</f>
        <v>405573000</v>
      </c>
      <c r="I92" s="483">
        <f>H92/C92*100</f>
        <v>96.565</v>
      </c>
      <c r="J92" s="166">
        <f>SUM(J93+J94+J95+J96+J97+J98+J99+J100)</f>
        <v>405573000</v>
      </c>
      <c r="K92" s="166">
        <f>J92/C92*100</f>
        <v>96.565</v>
      </c>
      <c r="L92" s="718">
        <v>100</v>
      </c>
      <c r="M92" s="167">
        <f>+J92/C92*100</f>
        <v>96.565</v>
      </c>
      <c r="N92" s="485">
        <f>C92-(J93+J94+J95+J96+J97+J98+J99+J100)</f>
        <v>14427000</v>
      </c>
      <c r="O92" s="486"/>
      <c r="P92" s="551"/>
    </row>
    <row r="93" spans="1:16" ht="12" customHeight="1">
      <c r="A93" s="519"/>
      <c r="B93" s="169"/>
      <c r="C93" s="166"/>
      <c r="D93" s="501" t="s">
        <v>136</v>
      </c>
      <c r="E93" s="166">
        <v>98188000</v>
      </c>
      <c r="F93" s="548" t="s">
        <v>134</v>
      </c>
      <c r="G93" s="492" t="s">
        <v>135</v>
      </c>
      <c r="H93" s="166">
        <v>98188000</v>
      </c>
      <c r="I93" s="725">
        <f>+H93/E93*100</f>
        <v>100</v>
      </c>
      <c r="J93" s="166">
        <v>98188000</v>
      </c>
      <c r="K93" s="725">
        <f>+J93/E93*100</f>
        <v>100</v>
      </c>
      <c r="L93" s="720"/>
      <c r="M93" s="167"/>
      <c r="N93" s="551"/>
      <c r="O93" s="486"/>
      <c r="P93" s="551"/>
    </row>
    <row r="94" spans="1:16" ht="12" customHeight="1">
      <c r="A94" s="519"/>
      <c r="B94" s="169"/>
      <c r="C94" s="166"/>
      <c r="D94" s="501" t="s">
        <v>145</v>
      </c>
      <c r="E94" s="166">
        <v>48230000</v>
      </c>
      <c r="F94" s="548" t="s">
        <v>144</v>
      </c>
      <c r="G94" s="512" t="s">
        <v>143</v>
      </c>
      <c r="H94" s="166">
        <v>48230000</v>
      </c>
      <c r="I94" s="725">
        <f aca="true" t="shared" si="16" ref="I94:I100">+H94/E94*100</f>
        <v>100</v>
      </c>
      <c r="J94" s="166">
        <v>48230000</v>
      </c>
      <c r="K94" s="725">
        <f aca="true" t="shared" si="17" ref="K94:K100">+J94/E94*100</f>
        <v>100</v>
      </c>
      <c r="L94" s="718"/>
      <c r="M94" s="167"/>
      <c r="N94" s="485"/>
      <c r="O94" s="486"/>
      <c r="P94" s="551"/>
    </row>
    <row r="95" spans="1:16" ht="12" customHeight="1">
      <c r="A95" s="519"/>
      <c r="B95" s="169"/>
      <c r="C95" s="166"/>
      <c r="D95" s="501" t="s">
        <v>142</v>
      </c>
      <c r="E95" s="166">
        <v>48150000</v>
      </c>
      <c r="F95" s="548" t="s">
        <v>146</v>
      </c>
      <c r="G95" s="512" t="s">
        <v>143</v>
      </c>
      <c r="H95" s="166">
        <v>48150000</v>
      </c>
      <c r="I95" s="725">
        <f t="shared" si="16"/>
        <v>100</v>
      </c>
      <c r="J95" s="166">
        <v>48150000</v>
      </c>
      <c r="K95" s="725">
        <f t="shared" si="17"/>
        <v>100</v>
      </c>
      <c r="L95" s="718"/>
      <c r="M95" s="167"/>
      <c r="N95" s="485"/>
      <c r="O95" s="486"/>
      <c r="P95" s="551"/>
    </row>
    <row r="96" spans="1:16" ht="12" customHeight="1">
      <c r="A96" s="519"/>
      <c r="B96" s="169"/>
      <c r="C96" s="166"/>
      <c r="D96" s="501" t="s">
        <v>147</v>
      </c>
      <c r="E96" s="166">
        <v>38280000</v>
      </c>
      <c r="F96" s="549" t="s">
        <v>148</v>
      </c>
      <c r="G96" s="512">
        <v>43556</v>
      </c>
      <c r="H96" s="166">
        <v>38280000</v>
      </c>
      <c r="I96" s="725">
        <f t="shared" si="16"/>
        <v>100</v>
      </c>
      <c r="J96" s="166">
        <v>38280000</v>
      </c>
      <c r="K96" s="725">
        <f t="shared" si="17"/>
        <v>100</v>
      </c>
      <c r="L96" s="718"/>
      <c r="M96" s="167"/>
      <c r="N96" s="485"/>
      <c r="O96" s="486"/>
      <c r="P96" s="551"/>
    </row>
    <row r="97" spans="1:16" ht="12" customHeight="1">
      <c r="A97" s="519"/>
      <c r="B97" s="169"/>
      <c r="C97" s="166"/>
      <c r="D97" s="501" t="s">
        <v>149</v>
      </c>
      <c r="E97" s="166">
        <v>48260000</v>
      </c>
      <c r="F97" s="549" t="s">
        <v>148</v>
      </c>
      <c r="G97" s="512">
        <v>43556</v>
      </c>
      <c r="H97" s="166">
        <v>48260000</v>
      </c>
      <c r="I97" s="725">
        <f t="shared" si="16"/>
        <v>100</v>
      </c>
      <c r="J97" s="166">
        <v>48260000</v>
      </c>
      <c r="K97" s="725">
        <f t="shared" si="17"/>
        <v>100</v>
      </c>
      <c r="L97" s="718"/>
      <c r="M97" s="167"/>
      <c r="N97" s="485"/>
      <c r="O97" s="486"/>
      <c r="P97" s="551"/>
    </row>
    <row r="98" spans="1:16" ht="12" customHeight="1">
      <c r="A98" s="519"/>
      <c r="B98" s="169"/>
      <c r="C98" s="166"/>
      <c r="D98" s="501" t="s">
        <v>150</v>
      </c>
      <c r="E98" s="166">
        <v>38170000</v>
      </c>
      <c r="F98" s="549" t="s">
        <v>148</v>
      </c>
      <c r="G98" s="512">
        <v>43556</v>
      </c>
      <c r="H98" s="166">
        <v>38170000</v>
      </c>
      <c r="I98" s="725">
        <f t="shared" si="16"/>
        <v>100</v>
      </c>
      <c r="J98" s="166">
        <v>38170000</v>
      </c>
      <c r="K98" s="725">
        <f t="shared" si="17"/>
        <v>100</v>
      </c>
      <c r="L98" s="718"/>
      <c r="M98" s="167"/>
      <c r="N98" s="485"/>
      <c r="O98" s="486"/>
      <c r="P98" s="551"/>
    </row>
    <row r="99" spans="1:16" ht="12" customHeight="1">
      <c r="A99" s="519"/>
      <c r="B99" s="169"/>
      <c r="C99" s="166"/>
      <c r="D99" s="501" t="s">
        <v>151</v>
      </c>
      <c r="E99" s="166">
        <v>48125000</v>
      </c>
      <c r="F99" s="550" t="s">
        <v>152</v>
      </c>
      <c r="G99" s="512">
        <v>43556</v>
      </c>
      <c r="H99" s="166">
        <v>48125000</v>
      </c>
      <c r="I99" s="725">
        <f t="shared" si="16"/>
        <v>100</v>
      </c>
      <c r="J99" s="166">
        <v>48125000</v>
      </c>
      <c r="K99" s="725">
        <f t="shared" si="17"/>
        <v>100</v>
      </c>
      <c r="L99" s="718"/>
      <c r="M99" s="167"/>
      <c r="N99" s="485"/>
      <c r="O99" s="486"/>
      <c r="P99" s="551"/>
    </row>
    <row r="100" spans="1:16" ht="12" customHeight="1">
      <c r="A100" s="519"/>
      <c r="B100" s="490"/>
      <c r="C100" s="166"/>
      <c r="D100" s="501" t="s">
        <v>153</v>
      </c>
      <c r="E100" s="166">
        <v>38170000</v>
      </c>
      <c r="F100" s="550" t="s">
        <v>152</v>
      </c>
      <c r="G100" s="512">
        <v>43556</v>
      </c>
      <c r="H100" s="166">
        <v>38170000</v>
      </c>
      <c r="I100" s="725">
        <f t="shared" si="16"/>
        <v>100</v>
      </c>
      <c r="J100" s="166">
        <v>38170000</v>
      </c>
      <c r="K100" s="725">
        <f t="shared" si="17"/>
        <v>100</v>
      </c>
      <c r="L100" s="718"/>
      <c r="M100" s="167"/>
      <c r="N100" s="485"/>
      <c r="O100" s="486"/>
      <c r="P100" s="551"/>
    </row>
    <row r="101" spans="2:16" ht="12" customHeight="1">
      <c r="B101" s="490"/>
      <c r="C101" s="166"/>
      <c r="D101" s="166"/>
      <c r="E101" s="523"/>
      <c r="F101" s="491"/>
      <c r="G101" s="492"/>
      <c r="H101" s="168"/>
      <c r="I101" s="525"/>
      <c r="J101" s="168"/>
      <c r="K101" s="168"/>
      <c r="L101" s="168"/>
      <c r="M101" s="552"/>
      <c r="N101" s="485">
        <f>C100-J101</f>
        <v>0</v>
      </c>
      <c r="O101" s="486"/>
      <c r="P101" s="551"/>
    </row>
    <row r="102" spans="1:16" ht="12" customHeight="1">
      <c r="A102" s="666">
        <v>8</v>
      </c>
      <c r="B102" s="638" t="s">
        <v>70</v>
      </c>
      <c r="C102" s="667">
        <f>SUM(C103:C103)</f>
        <v>100000000</v>
      </c>
      <c r="D102" s="668"/>
      <c r="E102" s="667">
        <f>SUM(E103:E103)</f>
        <v>0</v>
      </c>
      <c r="F102" s="668"/>
      <c r="G102" s="669"/>
      <c r="H102" s="639">
        <f>SUM(H103:H103)</f>
        <v>88083981</v>
      </c>
      <c r="I102" s="543">
        <f>+H102/C102*100</f>
        <v>88.083981</v>
      </c>
      <c r="J102" s="639">
        <f>SUM(J103:J103)</f>
        <v>88083981</v>
      </c>
      <c r="K102" s="639">
        <f>+J102/C102*100</f>
        <v>88.083981</v>
      </c>
      <c r="L102" s="718">
        <v>100</v>
      </c>
      <c r="M102" s="545">
        <f>+J102/C102*100</f>
        <v>88.083981</v>
      </c>
      <c r="N102" s="670">
        <f>C102-J102</f>
        <v>11916019</v>
      </c>
      <c r="O102" s="486"/>
      <c r="P102" s="551"/>
    </row>
    <row r="103" spans="1:16" ht="12" customHeight="1">
      <c r="A103" s="475"/>
      <c r="B103" s="476" t="s">
        <v>169</v>
      </c>
      <c r="C103" s="477">
        <v>100000000</v>
      </c>
      <c r="D103" s="478"/>
      <c r="E103" s="479"/>
      <c r="F103" s="480"/>
      <c r="G103" s="481"/>
      <c r="H103" s="482">
        <f>1400000+47496500+39187481</f>
        <v>88083981</v>
      </c>
      <c r="I103" s="483">
        <f>+H103/C103*100</f>
        <v>88.083981</v>
      </c>
      <c r="J103" s="482">
        <f>1400000+47496500+39187481</f>
        <v>88083981</v>
      </c>
      <c r="K103" s="166">
        <f>+J103/C103*100</f>
        <v>88.083981</v>
      </c>
      <c r="L103" s="718">
        <v>100</v>
      </c>
      <c r="M103" s="167">
        <f>+J103/C103*100</f>
        <v>88.083981</v>
      </c>
      <c r="N103" s="485">
        <f>C103-J103</f>
        <v>11916019</v>
      </c>
      <c r="O103" s="486"/>
      <c r="P103" s="551"/>
    </row>
    <row r="104" spans="1:16" ht="12" customHeight="1" thickBot="1">
      <c r="A104" s="489"/>
      <c r="B104" s="672"/>
      <c r="C104" s="673"/>
      <c r="D104" s="674"/>
      <c r="E104" s="167"/>
      <c r="F104" s="491"/>
      <c r="G104" s="492"/>
      <c r="H104" s="675"/>
      <c r="I104" s="676"/>
      <c r="J104" s="677"/>
      <c r="K104" s="678"/>
      <c r="L104" s="678"/>
      <c r="M104" s="678"/>
      <c r="N104" s="679"/>
      <c r="O104" s="486"/>
      <c r="P104" s="551"/>
    </row>
    <row r="105" spans="1:15" ht="15" thickBot="1">
      <c r="A105" s="671"/>
      <c r="B105" s="103"/>
      <c r="C105" s="609">
        <f>C11+C25</f>
        <v>13112358353</v>
      </c>
      <c r="D105" s="609"/>
      <c r="E105" s="609">
        <f>+E11+E25</f>
        <v>3773115804</v>
      </c>
      <c r="F105" s="609">
        <f>F26+F39+F49+F52+F69+F85+F90+F102</f>
        <v>0</v>
      </c>
      <c r="G105" s="610"/>
      <c r="H105" s="611">
        <f>+H11+H25</f>
        <v>10138019283</v>
      </c>
      <c r="I105" s="608">
        <f>+H105/C105*100</f>
        <v>77.31652087345908</v>
      </c>
      <c r="J105" s="612">
        <f>+J11+J25</f>
        <v>10138019283</v>
      </c>
      <c r="K105" s="607">
        <f>+J105/C105*100</f>
        <v>77.31652087345908</v>
      </c>
      <c r="L105" s="721">
        <v>100</v>
      </c>
      <c r="M105" s="607">
        <f>+J105/C105*100</f>
        <v>77.31652087345908</v>
      </c>
      <c r="N105" s="614">
        <f>N11+N25</f>
        <v>2974339070</v>
      </c>
      <c r="O105" s="606"/>
    </row>
    <row r="106" spans="1:14" ht="12.75">
      <c r="A106" s="126"/>
      <c r="B106" s="135"/>
      <c r="C106" s="136"/>
      <c r="D106" s="208"/>
      <c r="E106" s="60"/>
      <c r="F106" s="207"/>
      <c r="G106" s="244"/>
      <c r="H106" s="44"/>
      <c r="I106" s="634"/>
      <c r="J106" s="1"/>
      <c r="K106" s="117"/>
      <c r="L106" s="722" t="s">
        <v>178</v>
      </c>
      <c r="M106" s="117"/>
      <c r="N106" s="117"/>
    </row>
    <row r="107" spans="1:14" ht="12.75">
      <c r="A107" s="126"/>
      <c r="B107" s="138"/>
      <c r="C107" s="84"/>
      <c r="D107" s="199"/>
      <c r="E107" s="139"/>
      <c r="F107" s="207"/>
      <c r="G107" s="244"/>
      <c r="H107" s="45"/>
      <c r="I107" s="317"/>
      <c r="J107" s="1"/>
      <c r="K107" s="634"/>
      <c r="L107" s="317" t="s">
        <v>73</v>
      </c>
      <c r="M107" s="634"/>
      <c r="N107" s="634"/>
    </row>
    <row r="108" spans="1:14" ht="12.75">
      <c r="A108" s="126"/>
      <c r="B108" s="105" t="s">
        <v>82</v>
      </c>
      <c r="C108" s="106">
        <f>H105/C105*100</f>
        <v>77.31652087345908</v>
      </c>
      <c r="D108" s="222"/>
      <c r="E108" s="60"/>
      <c r="F108" s="208"/>
      <c r="G108" s="224"/>
      <c r="H108" s="44"/>
      <c r="I108" s="634"/>
      <c r="J108" s="1"/>
      <c r="K108" s="634"/>
      <c r="L108" s="317" t="s">
        <v>72</v>
      </c>
      <c r="M108" s="634"/>
      <c r="N108" s="634"/>
    </row>
    <row r="109" spans="1:14" ht="12.75">
      <c r="A109" s="126"/>
      <c r="B109" s="105"/>
      <c r="C109" s="106"/>
      <c r="D109" s="222"/>
      <c r="E109" s="60"/>
      <c r="F109" s="208"/>
      <c r="G109" s="224"/>
      <c r="H109" s="44"/>
      <c r="I109" s="634"/>
      <c r="J109" s="1"/>
      <c r="K109" s="634"/>
      <c r="L109" s="317"/>
      <c r="M109" s="634"/>
      <c r="N109" s="634"/>
    </row>
    <row r="110" spans="1:14" ht="12.75">
      <c r="A110" s="126"/>
      <c r="B110" s="140"/>
      <c r="C110" s="141"/>
      <c r="D110" s="223"/>
      <c r="E110" s="60"/>
      <c r="F110" s="208"/>
      <c r="G110" s="224"/>
      <c r="H110" s="44"/>
      <c r="I110" s="634"/>
      <c r="J110" s="1"/>
      <c r="K110" s="634"/>
      <c r="L110" s="317"/>
      <c r="M110" s="634"/>
      <c r="N110" s="634"/>
    </row>
    <row r="111" spans="1:14" ht="12.75">
      <c r="A111" s="126"/>
      <c r="B111" s="128"/>
      <c r="C111" s="84"/>
      <c r="D111" s="199"/>
      <c r="E111" s="60"/>
      <c r="F111" s="207"/>
      <c r="G111" s="244"/>
      <c r="H111" s="46"/>
      <c r="I111" s="634"/>
      <c r="J111" s="108"/>
      <c r="K111" s="108"/>
      <c r="L111" s="723" t="s">
        <v>74</v>
      </c>
      <c r="M111" s="1"/>
      <c r="N111" s="1"/>
    </row>
    <row r="112" spans="1:14" ht="12.75">
      <c r="A112" s="126"/>
      <c r="B112" s="127"/>
      <c r="C112" s="84"/>
      <c r="D112" s="199"/>
      <c r="E112" s="60"/>
      <c r="F112" s="187"/>
      <c r="G112" s="224"/>
      <c r="H112" s="46"/>
      <c r="I112" s="634"/>
      <c r="J112" s="634"/>
      <c r="K112" s="634"/>
      <c r="L112" s="317" t="s">
        <v>75</v>
      </c>
      <c r="M112" s="1"/>
      <c r="N112" s="1"/>
    </row>
    <row r="113" spans="1:14" ht="12.75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724"/>
      <c r="M113" s="151"/>
      <c r="N113" s="151"/>
    </row>
    <row r="114" ht="12.75">
      <c r="A114" s="634"/>
    </row>
  </sheetData>
  <sheetProtection/>
  <mergeCells count="38">
    <mergeCell ref="A1:N1"/>
    <mergeCell ref="A2:N2"/>
    <mergeCell ref="A3:N3"/>
    <mergeCell ref="A5:B5"/>
    <mergeCell ref="A7:A9"/>
    <mergeCell ref="B7:B9"/>
    <mergeCell ref="C7:C9"/>
    <mergeCell ref="D7:D9"/>
    <mergeCell ref="E7:E9"/>
    <mergeCell ref="F7:F9"/>
    <mergeCell ref="G7:G9"/>
    <mergeCell ref="H7:K7"/>
    <mergeCell ref="L7:M7"/>
    <mergeCell ref="N7:N9"/>
    <mergeCell ref="O7:O9"/>
    <mergeCell ref="H8:H9"/>
    <mergeCell ref="I8:I9"/>
    <mergeCell ref="J8:J9"/>
    <mergeCell ref="K8:K9"/>
    <mergeCell ref="L8:L9"/>
    <mergeCell ref="M8:M9"/>
    <mergeCell ref="A57:A59"/>
    <mergeCell ref="B57:B59"/>
    <mergeCell ref="C57:C59"/>
    <mergeCell ref="D57:D59"/>
    <mergeCell ref="E57:E59"/>
    <mergeCell ref="F57:F59"/>
    <mergeCell ref="G57:G59"/>
    <mergeCell ref="H57:K57"/>
    <mergeCell ref="L57:M57"/>
    <mergeCell ref="N57:N59"/>
    <mergeCell ref="O57:O59"/>
    <mergeCell ref="H58:H59"/>
    <mergeCell ref="I58:I59"/>
    <mergeCell ref="J58:J59"/>
    <mergeCell ref="K58:K59"/>
    <mergeCell ref="L58:L59"/>
    <mergeCell ref="M58:M59"/>
  </mergeCells>
  <printOptions/>
  <pageMargins left="0.7" right="0.7" top="0.75" bottom="0.75" header="0.3" footer="0.3"/>
  <pageSetup orientation="landscape" paperSize="5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H37" sqref="H37"/>
    </sheetView>
  </sheetViews>
  <sheetFormatPr defaultColWidth="9.140625" defaultRowHeight="12" customHeight="1"/>
  <cols>
    <col min="1" max="1" width="4.00390625" style="0" customWidth="1"/>
    <col min="2" max="2" width="47.57421875" style="0" customWidth="1"/>
    <col min="3" max="3" width="14.421875" style="0" customWidth="1"/>
    <col min="4" max="4" width="12.8515625" style="0" customWidth="1"/>
    <col min="5" max="5" width="13.57421875" style="0" customWidth="1"/>
    <col min="6" max="6" width="13.421875" style="0" customWidth="1"/>
    <col min="7" max="7" width="12.421875" style="0" customWidth="1"/>
    <col min="8" max="8" width="15.421875" style="0" customWidth="1"/>
    <col min="9" max="9" width="5.57421875" style="0" customWidth="1"/>
    <col min="10" max="10" width="14.421875" style="0" customWidth="1"/>
    <col min="11" max="11" width="5.00390625" style="0" customWidth="1"/>
    <col min="12" max="12" width="5.421875" style="0" customWidth="1"/>
    <col min="13" max="13" width="4.8515625" style="0" customWidth="1"/>
    <col min="14" max="14" width="14.00390625" style="0" customWidth="1"/>
    <col min="15" max="15" width="13.7109375" style="0" customWidth="1"/>
  </cols>
  <sheetData>
    <row r="1" spans="1:14" ht="18.75" customHeight="1">
      <c r="A1" s="811" t="s">
        <v>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</row>
    <row r="2" spans="1:14" ht="12" customHeight="1">
      <c r="A2" s="812" t="s">
        <v>83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</row>
    <row r="3" spans="1:14" ht="12" customHeight="1">
      <c r="A3" s="832" t="s">
        <v>77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</row>
    <row r="4" spans="1:14" ht="12" customHeight="1">
      <c r="A4" s="558" t="s">
        <v>1</v>
      </c>
      <c r="B4" s="558"/>
      <c r="C4" s="59"/>
      <c r="D4" s="188"/>
      <c r="E4" s="59"/>
      <c r="F4" s="188"/>
      <c r="G4" s="225"/>
      <c r="H4" s="59"/>
      <c r="I4" s="59"/>
      <c r="J4" s="59"/>
      <c r="K4" s="59"/>
      <c r="L4" s="709"/>
      <c r="M4" s="59"/>
      <c r="N4" s="59"/>
    </row>
    <row r="5" spans="1:14" ht="12" customHeight="1">
      <c r="A5" s="833" t="s">
        <v>180</v>
      </c>
      <c r="B5" s="833"/>
      <c r="C5" s="59"/>
      <c r="D5" s="188"/>
      <c r="E5" s="59"/>
      <c r="F5" s="188"/>
      <c r="G5" s="225"/>
      <c r="H5" s="59"/>
      <c r="I5" s="59"/>
      <c r="J5" s="59"/>
      <c r="K5" s="59"/>
      <c r="L5" s="709"/>
      <c r="M5" s="59"/>
      <c r="N5" s="59"/>
    </row>
    <row r="6" spans="1:14" ht="12" customHeight="1">
      <c r="A6" s="59"/>
      <c r="B6" s="1"/>
      <c r="C6" s="1"/>
      <c r="D6" s="187"/>
      <c r="E6" s="1"/>
      <c r="F6" s="187"/>
      <c r="G6" s="224"/>
      <c r="H6" s="1"/>
      <c r="I6" s="252"/>
      <c r="J6" s="1"/>
      <c r="K6" s="1"/>
      <c r="L6" s="142"/>
      <c r="M6" s="1"/>
      <c r="N6" s="1"/>
    </row>
    <row r="7" spans="1:15" ht="12" customHeight="1">
      <c r="A7" s="808" t="s">
        <v>2</v>
      </c>
      <c r="B7" s="808" t="s">
        <v>3</v>
      </c>
      <c r="C7" s="808" t="s">
        <v>168</v>
      </c>
      <c r="D7" s="820" t="s">
        <v>104</v>
      </c>
      <c r="E7" s="808" t="s">
        <v>5</v>
      </c>
      <c r="F7" s="820" t="s">
        <v>6</v>
      </c>
      <c r="G7" s="824" t="s">
        <v>105</v>
      </c>
      <c r="H7" s="816" t="s">
        <v>7</v>
      </c>
      <c r="I7" s="817"/>
      <c r="J7" s="817"/>
      <c r="K7" s="818"/>
      <c r="L7" s="816" t="s">
        <v>8</v>
      </c>
      <c r="M7" s="818"/>
      <c r="N7" s="805" t="s">
        <v>87</v>
      </c>
      <c r="O7" s="827" t="s">
        <v>9</v>
      </c>
    </row>
    <row r="8" spans="1:15" ht="12" customHeight="1">
      <c r="A8" s="806"/>
      <c r="B8" s="806"/>
      <c r="C8" s="806"/>
      <c r="D8" s="821"/>
      <c r="E8" s="814"/>
      <c r="F8" s="821"/>
      <c r="G8" s="825"/>
      <c r="H8" s="809" t="s">
        <v>10</v>
      </c>
      <c r="I8" s="808" t="s">
        <v>11</v>
      </c>
      <c r="J8" s="808" t="s">
        <v>12</v>
      </c>
      <c r="K8" s="808" t="s">
        <v>11</v>
      </c>
      <c r="L8" s="834" t="s">
        <v>13</v>
      </c>
      <c r="M8" s="820" t="s">
        <v>14</v>
      </c>
      <c r="N8" s="806"/>
      <c r="O8" s="828"/>
    </row>
    <row r="9" spans="1:15" ht="12" customHeight="1">
      <c r="A9" s="807"/>
      <c r="B9" s="807"/>
      <c r="C9" s="807"/>
      <c r="D9" s="822"/>
      <c r="E9" s="815"/>
      <c r="F9" s="822"/>
      <c r="G9" s="826"/>
      <c r="H9" s="810"/>
      <c r="I9" s="807"/>
      <c r="J9" s="807"/>
      <c r="K9" s="807"/>
      <c r="L9" s="835"/>
      <c r="M9" s="822"/>
      <c r="N9" s="807"/>
      <c r="O9" s="828"/>
    </row>
    <row r="10" spans="1:15" ht="12" customHeight="1">
      <c r="A10" s="2">
        <v>1</v>
      </c>
      <c r="B10" s="2">
        <v>2</v>
      </c>
      <c r="C10" s="2">
        <v>3</v>
      </c>
      <c r="D10" s="189"/>
      <c r="E10" s="2">
        <v>4</v>
      </c>
      <c r="F10" s="189">
        <v>5</v>
      </c>
      <c r="G10" s="226"/>
      <c r="H10" s="2">
        <v>6</v>
      </c>
      <c r="I10" s="2">
        <v>7</v>
      </c>
      <c r="J10" s="2">
        <v>8</v>
      </c>
      <c r="K10" s="2">
        <v>9</v>
      </c>
      <c r="L10" s="710">
        <v>10</v>
      </c>
      <c r="M10" s="2">
        <v>11</v>
      </c>
      <c r="N10" s="2">
        <v>12</v>
      </c>
      <c r="O10" s="2">
        <v>13</v>
      </c>
    </row>
    <row r="11" spans="1:15" ht="12" customHeight="1">
      <c r="A11" s="61" t="s">
        <v>15</v>
      </c>
      <c r="B11" s="62" t="s">
        <v>16</v>
      </c>
      <c r="C11" s="4">
        <f>SUM(C12:C23)</f>
        <v>3388193000</v>
      </c>
      <c r="D11" s="210"/>
      <c r="E11" s="63"/>
      <c r="F11" s="191"/>
      <c r="G11" s="228"/>
      <c r="H11" s="4">
        <f>SUM(H12:H23)</f>
        <v>2663805779</v>
      </c>
      <c r="I11" s="685">
        <f>+H11/C11*100</f>
        <v>78.62024917116587</v>
      </c>
      <c r="J11" s="4">
        <f>SUM(J12:J23)</f>
        <v>2663805779</v>
      </c>
      <c r="K11" s="145">
        <f>+J11/C11*100</f>
        <v>78.62024917116587</v>
      </c>
      <c r="L11" s="711">
        <v>100</v>
      </c>
      <c r="M11" s="64">
        <f>+J11/C11*100</f>
        <v>78.62024917116587</v>
      </c>
      <c r="N11" s="4">
        <f>SUM(N12:N23)</f>
        <v>724387221</v>
      </c>
      <c r="O11" s="749" t="s">
        <v>157</v>
      </c>
    </row>
    <row r="12" spans="1:15" ht="12" customHeight="1">
      <c r="A12" s="63">
        <v>1</v>
      </c>
      <c r="B12" s="47" t="s">
        <v>17</v>
      </c>
      <c r="C12" s="5">
        <v>1903195515</v>
      </c>
      <c r="D12" s="211"/>
      <c r="E12" s="63"/>
      <c r="F12" s="192"/>
      <c r="G12" s="228"/>
      <c r="H12" s="114">
        <v>1479729115</v>
      </c>
      <c r="I12" s="340">
        <f>+H12/C12*100</f>
        <v>77.74971637635454</v>
      </c>
      <c r="J12" s="114">
        <v>1479729115</v>
      </c>
      <c r="K12" s="71">
        <f>+J12/C12*100</f>
        <v>77.74971637635454</v>
      </c>
      <c r="L12" s="712">
        <v>100</v>
      </c>
      <c r="M12" s="37">
        <f>+J12/C12*100</f>
        <v>77.74971637635454</v>
      </c>
      <c r="N12" s="37">
        <f>C12-J12</f>
        <v>423466400</v>
      </c>
      <c r="O12" s="747" t="s">
        <v>157</v>
      </c>
    </row>
    <row r="13" spans="1:15" ht="12" customHeight="1">
      <c r="A13" s="63">
        <v>2</v>
      </c>
      <c r="B13" s="47" t="s">
        <v>18</v>
      </c>
      <c r="C13" s="5">
        <v>195258530</v>
      </c>
      <c r="D13" s="211"/>
      <c r="E13" s="63"/>
      <c r="F13" s="192"/>
      <c r="G13" s="228"/>
      <c r="H13" s="5">
        <v>165867854</v>
      </c>
      <c r="I13" s="340">
        <f aca="true" t="shared" si="0" ref="I13:I23">+H13/C13*100</f>
        <v>84.9478145717885</v>
      </c>
      <c r="J13" s="5">
        <v>165867854</v>
      </c>
      <c r="K13" s="71">
        <f aca="true" t="shared" si="1" ref="K13:K23">+J13/C13*100</f>
        <v>84.9478145717885</v>
      </c>
      <c r="L13" s="712">
        <v>100</v>
      </c>
      <c r="M13" s="37">
        <f aca="true" t="shared" si="2" ref="M13:M23">+J13/C13*100</f>
        <v>84.9478145717885</v>
      </c>
      <c r="N13" s="37">
        <f>C13-J13</f>
        <v>29390676</v>
      </c>
      <c r="O13" s="747" t="s">
        <v>157</v>
      </c>
    </row>
    <row r="14" spans="1:15" ht="12" customHeight="1">
      <c r="A14" s="63">
        <v>3</v>
      </c>
      <c r="B14" s="47" t="s">
        <v>19</v>
      </c>
      <c r="C14" s="5">
        <v>160050000</v>
      </c>
      <c r="D14" s="211"/>
      <c r="E14" s="63"/>
      <c r="F14" s="192"/>
      <c r="G14" s="228"/>
      <c r="H14" s="5">
        <v>136800000</v>
      </c>
      <c r="I14" s="340">
        <f t="shared" si="0"/>
        <v>85.47328959700093</v>
      </c>
      <c r="J14" s="5">
        <v>136800000</v>
      </c>
      <c r="K14" s="71">
        <f t="shared" si="1"/>
        <v>85.47328959700093</v>
      </c>
      <c r="L14" s="712">
        <v>100</v>
      </c>
      <c r="M14" s="37">
        <f t="shared" si="2"/>
        <v>85.47328959700093</v>
      </c>
      <c r="N14" s="37">
        <f>C14-J14</f>
        <v>23250000</v>
      </c>
      <c r="O14" s="747" t="s">
        <v>157</v>
      </c>
    </row>
    <row r="15" spans="1:15" ht="12" customHeight="1">
      <c r="A15" s="63">
        <v>4</v>
      </c>
      <c r="B15" s="47" t="s">
        <v>139</v>
      </c>
      <c r="C15" s="364">
        <v>5100000</v>
      </c>
      <c r="D15" s="211"/>
      <c r="E15" s="63"/>
      <c r="F15" s="192"/>
      <c r="G15" s="228"/>
      <c r="H15" s="5">
        <v>3400000</v>
      </c>
      <c r="I15" s="340">
        <f t="shared" si="0"/>
        <v>66.66666666666666</v>
      </c>
      <c r="J15" s="5">
        <v>3400000</v>
      </c>
      <c r="K15" s="71">
        <f t="shared" si="1"/>
        <v>66.66666666666666</v>
      </c>
      <c r="L15" s="712">
        <v>100</v>
      </c>
      <c r="M15" s="37">
        <f t="shared" si="2"/>
        <v>66.66666666666666</v>
      </c>
      <c r="N15" s="37">
        <f>C15-J15</f>
        <v>1700000</v>
      </c>
      <c r="O15" s="747" t="s">
        <v>157</v>
      </c>
    </row>
    <row r="16" spans="1:15" ht="12" customHeight="1">
      <c r="A16" s="63">
        <v>5</v>
      </c>
      <c r="B16" s="47" t="s">
        <v>20</v>
      </c>
      <c r="C16" s="5">
        <v>58220000</v>
      </c>
      <c r="D16" s="211"/>
      <c r="E16" s="63"/>
      <c r="F16" s="192"/>
      <c r="G16" s="228"/>
      <c r="H16" s="5">
        <v>49310000</v>
      </c>
      <c r="I16" s="340">
        <f t="shared" si="0"/>
        <v>84.69598076262453</v>
      </c>
      <c r="J16" s="5">
        <v>49310000</v>
      </c>
      <c r="K16" s="71">
        <f t="shared" si="1"/>
        <v>84.69598076262453</v>
      </c>
      <c r="L16" s="712">
        <v>100</v>
      </c>
      <c r="M16" s="37">
        <f t="shared" si="2"/>
        <v>84.69598076262453</v>
      </c>
      <c r="N16" s="37">
        <f aca="true" t="shared" si="3" ref="N16:N23">C16-J16</f>
        <v>8910000</v>
      </c>
      <c r="O16" s="747" t="s">
        <v>157</v>
      </c>
    </row>
    <row r="17" spans="1:15" ht="12" customHeight="1">
      <c r="A17" s="63">
        <v>6</v>
      </c>
      <c r="B17" s="47" t="s">
        <v>21</v>
      </c>
      <c r="C17" s="5">
        <v>104791740</v>
      </c>
      <c r="D17" s="211"/>
      <c r="E17" s="63"/>
      <c r="F17" s="192"/>
      <c r="G17" s="228"/>
      <c r="H17" s="5">
        <v>85745280</v>
      </c>
      <c r="I17" s="340">
        <f t="shared" si="0"/>
        <v>81.82446440912233</v>
      </c>
      <c r="J17" s="5">
        <v>85745280</v>
      </c>
      <c r="K17" s="71">
        <f t="shared" si="1"/>
        <v>81.82446440912233</v>
      </c>
      <c r="L17" s="712">
        <v>100</v>
      </c>
      <c r="M17" s="37">
        <f t="shared" si="2"/>
        <v>81.82446440912233</v>
      </c>
      <c r="N17" s="37">
        <f t="shared" si="3"/>
        <v>19046460</v>
      </c>
      <c r="O17" s="747" t="s">
        <v>157</v>
      </c>
    </row>
    <row r="18" spans="1:15" ht="12" customHeight="1">
      <c r="A18" s="63">
        <v>7</v>
      </c>
      <c r="B18" s="47" t="s">
        <v>22</v>
      </c>
      <c r="C18" s="5">
        <v>9937670</v>
      </c>
      <c r="D18" s="211"/>
      <c r="E18" s="63"/>
      <c r="F18" s="192"/>
      <c r="G18" s="228"/>
      <c r="H18" s="5">
        <v>8425090</v>
      </c>
      <c r="I18" s="340">
        <f t="shared" si="0"/>
        <v>84.77932956115468</v>
      </c>
      <c r="J18" s="5">
        <v>8425090</v>
      </c>
      <c r="K18" s="71">
        <f t="shared" si="1"/>
        <v>84.77932956115468</v>
      </c>
      <c r="L18" s="712">
        <v>100</v>
      </c>
      <c r="M18" s="37">
        <f t="shared" si="2"/>
        <v>84.77932956115468</v>
      </c>
      <c r="N18" s="37">
        <f t="shared" si="3"/>
        <v>1512580</v>
      </c>
      <c r="O18" s="747" t="s">
        <v>157</v>
      </c>
    </row>
    <row r="19" spans="1:15" ht="12" customHeight="1">
      <c r="A19" s="63">
        <v>8</v>
      </c>
      <c r="B19" s="47" t="s">
        <v>23</v>
      </c>
      <c r="C19" s="5">
        <v>31249</v>
      </c>
      <c r="D19" s="211"/>
      <c r="E19" s="63"/>
      <c r="F19" s="192"/>
      <c r="G19" s="228"/>
      <c r="H19" s="5">
        <v>26313</v>
      </c>
      <c r="I19" s="340">
        <f t="shared" si="0"/>
        <v>84.2042945374252</v>
      </c>
      <c r="J19" s="5">
        <v>26313</v>
      </c>
      <c r="K19" s="71">
        <f t="shared" si="1"/>
        <v>84.2042945374252</v>
      </c>
      <c r="L19" s="712">
        <v>100</v>
      </c>
      <c r="M19" s="37">
        <f t="shared" si="2"/>
        <v>84.2042945374252</v>
      </c>
      <c r="N19" s="37">
        <f t="shared" si="3"/>
        <v>4936</v>
      </c>
      <c r="O19" s="747" t="s">
        <v>157</v>
      </c>
    </row>
    <row r="20" spans="1:15" ht="12" customHeight="1">
      <c r="A20" s="63">
        <v>9</v>
      </c>
      <c r="B20" s="47" t="s">
        <v>24</v>
      </c>
      <c r="C20" s="5">
        <v>49247899</v>
      </c>
      <c r="D20" s="211"/>
      <c r="E20" s="63"/>
      <c r="F20" s="192"/>
      <c r="G20" s="228"/>
      <c r="H20" s="5">
        <v>40642187</v>
      </c>
      <c r="I20" s="340">
        <f t="shared" si="0"/>
        <v>82.5257276457621</v>
      </c>
      <c r="J20" s="5">
        <v>40642187</v>
      </c>
      <c r="K20" s="71">
        <f t="shared" si="1"/>
        <v>82.5257276457621</v>
      </c>
      <c r="L20" s="712">
        <v>100</v>
      </c>
      <c r="M20" s="37">
        <f t="shared" si="2"/>
        <v>82.5257276457621</v>
      </c>
      <c r="N20" s="37">
        <f t="shared" si="3"/>
        <v>8605712</v>
      </c>
      <c r="O20" s="747" t="s">
        <v>157</v>
      </c>
    </row>
    <row r="21" spans="1:15" ht="12" customHeight="1">
      <c r="A21" s="63">
        <v>10</v>
      </c>
      <c r="B21" s="47" t="s">
        <v>25</v>
      </c>
      <c r="C21" s="5">
        <v>3541854</v>
      </c>
      <c r="D21" s="211"/>
      <c r="E21" s="63"/>
      <c r="F21" s="192"/>
      <c r="G21" s="228"/>
      <c r="H21" s="5">
        <v>2913115</v>
      </c>
      <c r="I21" s="340">
        <f t="shared" si="0"/>
        <v>82.24830837183012</v>
      </c>
      <c r="J21" s="5">
        <v>2913115</v>
      </c>
      <c r="K21" s="71">
        <f t="shared" si="1"/>
        <v>82.24830837183012</v>
      </c>
      <c r="L21" s="712">
        <v>100</v>
      </c>
      <c r="M21" s="37">
        <f t="shared" si="2"/>
        <v>82.24830837183012</v>
      </c>
      <c r="N21" s="37">
        <f t="shared" si="3"/>
        <v>628739</v>
      </c>
      <c r="O21" s="747" t="s">
        <v>157</v>
      </c>
    </row>
    <row r="22" spans="1:15" ht="12" customHeight="1">
      <c r="A22" s="63">
        <v>11</v>
      </c>
      <c r="B22" s="47" t="s">
        <v>26</v>
      </c>
      <c r="C22" s="5">
        <v>10625543</v>
      </c>
      <c r="D22" s="211"/>
      <c r="E22" s="63"/>
      <c r="F22" s="192"/>
      <c r="G22" s="228"/>
      <c r="H22" s="5">
        <v>8739325</v>
      </c>
      <c r="I22" s="340">
        <f t="shared" si="0"/>
        <v>82.24826721796713</v>
      </c>
      <c r="J22" s="5">
        <v>8739325</v>
      </c>
      <c r="K22" s="71">
        <f t="shared" si="1"/>
        <v>82.24826721796713</v>
      </c>
      <c r="L22" s="712">
        <v>100</v>
      </c>
      <c r="M22" s="37">
        <f t="shared" si="2"/>
        <v>82.24826721796713</v>
      </c>
      <c r="N22" s="37">
        <f t="shared" si="3"/>
        <v>1886218</v>
      </c>
      <c r="O22" s="747" t="s">
        <v>157</v>
      </c>
    </row>
    <row r="23" spans="1:15" ht="12" customHeight="1">
      <c r="A23" s="63">
        <v>12</v>
      </c>
      <c r="B23" s="47" t="s">
        <v>27</v>
      </c>
      <c r="C23" s="5">
        <v>888193000</v>
      </c>
      <c r="D23" s="211"/>
      <c r="E23" s="63"/>
      <c r="F23" s="192"/>
      <c r="G23" s="228"/>
      <c r="H23" s="5">
        <v>682207500</v>
      </c>
      <c r="I23" s="340">
        <f t="shared" si="0"/>
        <v>76.80847518501047</v>
      </c>
      <c r="J23" s="5">
        <v>682207500</v>
      </c>
      <c r="K23" s="71">
        <f t="shared" si="1"/>
        <v>76.80847518501047</v>
      </c>
      <c r="L23" s="712">
        <v>100</v>
      </c>
      <c r="M23" s="37">
        <f t="shared" si="2"/>
        <v>76.80847518501047</v>
      </c>
      <c r="N23" s="37">
        <f t="shared" si="3"/>
        <v>205985500</v>
      </c>
      <c r="O23" s="747" t="s">
        <v>157</v>
      </c>
    </row>
    <row r="24" spans="1:15" ht="12" customHeight="1">
      <c r="A24" s="63"/>
      <c r="B24" s="47"/>
      <c r="C24" s="5"/>
      <c r="D24" s="211"/>
      <c r="E24" s="63"/>
      <c r="F24" s="192"/>
      <c r="G24" s="228"/>
      <c r="H24" s="5"/>
      <c r="I24" s="114"/>
      <c r="J24" s="5"/>
      <c r="K24" s="36"/>
      <c r="L24" s="713"/>
      <c r="M24" s="37"/>
      <c r="N24" s="296"/>
      <c r="O24" s="384"/>
    </row>
    <row r="25" spans="1:15" ht="12" customHeight="1">
      <c r="A25" s="61" t="s">
        <v>28</v>
      </c>
      <c r="B25" s="62" t="s">
        <v>29</v>
      </c>
      <c r="C25" s="147">
        <f>C26+C39+C49+C52+C71+C87+C92+C104</f>
        <v>9724165353</v>
      </c>
      <c r="D25" s="559"/>
      <c r="E25" s="147">
        <f>E26+E39+E49+E52+E71+E87+E92+E104</f>
        <v>3773115804</v>
      </c>
      <c r="F25" s="192"/>
      <c r="G25" s="228"/>
      <c r="H25" s="147">
        <f>H26+H39+H49+H52+H71+H87+H92+H104</f>
        <v>7885130379</v>
      </c>
      <c r="I25" s="311">
        <f aca="true" t="shared" si="4" ref="I25:I37">+H25/C25*100</f>
        <v>81.08799154230095</v>
      </c>
      <c r="J25" s="147">
        <f>J26+J39+J49+J52+J71+J87+J92+J104</f>
        <v>7885130379</v>
      </c>
      <c r="K25" s="179">
        <f aca="true" t="shared" si="5" ref="K25:K37">+J25/C25*100</f>
        <v>81.08799154230095</v>
      </c>
      <c r="L25" s="714">
        <v>100</v>
      </c>
      <c r="M25" s="145">
        <f>+J25/C25*100</f>
        <v>81.08799154230095</v>
      </c>
      <c r="N25" s="147">
        <f>N26+N39+N49+N52+N71+N87+N92+N104</f>
        <v>1839034974</v>
      </c>
      <c r="O25" s="384"/>
    </row>
    <row r="26" spans="1:15" ht="12" customHeight="1">
      <c r="A26" s="68">
        <v>1</v>
      </c>
      <c r="B26" s="69" t="s">
        <v>30</v>
      </c>
      <c r="C26" s="147">
        <f>SUM(C27:C37)</f>
        <v>1036961650</v>
      </c>
      <c r="D26" s="559"/>
      <c r="E26" s="147">
        <f>SUM(E27:E37)</f>
        <v>0</v>
      </c>
      <c r="F26" s="194"/>
      <c r="G26" s="230"/>
      <c r="H26" s="64">
        <f>SUM(H27:H37)</f>
        <v>845217043</v>
      </c>
      <c r="I26" s="311">
        <f t="shared" si="4"/>
        <v>81.50899727101769</v>
      </c>
      <c r="J26" s="64">
        <f>SUM(J27:J37)</f>
        <v>845217043</v>
      </c>
      <c r="K26" s="179">
        <f t="shared" si="5"/>
        <v>81.50899727101769</v>
      </c>
      <c r="L26" s="714">
        <v>100</v>
      </c>
      <c r="M26" s="64">
        <f aca="true" t="shared" si="6" ref="M26:M37">+J26/C26*100</f>
        <v>81.50899727101769</v>
      </c>
      <c r="N26" s="64">
        <f>SUM(N27:N37)</f>
        <v>191744607</v>
      </c>
      <c r="O26" s="384"/>
    </row>
    <row r="27" spans="1:15" ht="12" customHeight="1">
      <c r="A27" s="63">
        <v>1</v>
      </c>
      <c r="B27" s="55" t="s">
        <v>31</v>
      </c>
      <c r="C27" s="71">
        <v>6310000</v>
      </c>
      <c r="D27" s="213"/>
      <c r="E27" s="72" t="s">
        <v>32</v>
      </c>
      <c r="F27" s="194" t="s">
        <v>32</v>
      </c>
      <c r="G27" s="230"/>
      <c r="H27" s="185">
        <f>6276000+33000</f>
        <v>6309000</v>
      </c>
      <c r="I27" s="340">
        <f t="shared" si="4"/>
        <v>99.98415213946117</v>
      </c>
      <c r="J27" s="185">
        <f>6276000+33000</f>
        <v>6309000</v>
      </c>
      <c r="K27" s="71">
        <f t="shared" si="5"/>
        <v>99.98415213946117</v>
      </c>
      <c r="L27" s="712">
        <v>100</v>
      </c>
      <c r="M27" s="37">
        <f t="shared" si="6"/>
        <v>99.98415213946117</v>
      </c>
      <c r="N27" s="37">
        <f>C27-J27</f>
        <v>1000</v>
      </c>
      <c r="O27" s="384"/>
    </row>
    <row r="28" spans="1:16" ht="12" customHeight="1">
      <c r="A28" s="489">
        <v>2</v>
      </c>
      <c r="B28" s="169" t="s">
        <v>76</v>
      </c>
      <c r="C28" s="166">
        <v>82000000</v>
      </c>
      <c r="D28" s="214"/>
      <c r="E28" s="167"/>
      <c r="F28" s="196"/>
      <c r="G28" s="232"/>
      <c r="H28" s="168">
        <f>40719206+6925758+3674586+6167499+6877136+5837300</f>
        <v>70201485</v>
      </c>
      <c r="I28" s="483">
        <f t="shared" si="4"/>
        <v>85.61156707317073</v>
      </c>
      <c r="J28" s="168">
        <f>40719206+6925758+3674586+6167499+6877136+5837300</f>
        <v>70201485</v>
      </c>
      <c r="K28" s="166">
        <f t="shared" si="5"/>
        <v>85.61156707317073</v>
      </c>
      <c r="L28" s="715">
        <v>100</v>
      </c>
      <c r="M28" s="167">
        <f t="shared" si="6"/>
        <v>85.61156707317073</v>
      </c>
      <c r="N28" s="167">
        <f aca="true" t="shared" si="7" ref="N28:N41">C28-J28</f>
        <v>11798515</v>
      </c>
      <c r="O28" s="686"/>
      <c r="P28" s="551"/>
    </row>
    <row r="29" spans="1:16" ht="12" customHeight="1">
      <c r="A29" s="489">
        <v>3</v>
      </c>
      <c r="B29" s="165" t="s">
        <v>33</v>
      </c>
      <c r="C29" s="166">
        <v>26635000</v>
      </c>
      <c r="D29" s="214"/>
      <c r="E29" s="167">
        <v>0</v>
      </c>
      <c r="F29" s="196">
        <v>0</v>
      </c>
      <c r="G29" s="232"/>
      <c r="H29" s="168">
        <f>14485000+6075000</f>
        <v>20560000</v>
      </c>
      <c r="I29" s="483">
        <f t="shared" si="4"/>
        <v>77.19166510230899</v>
      </c>
      <c r="J29" s="168">
        <f>14485000+6075000</f>
        <v>20560000</v>
      </c>
      <c r="K29" s="166">
        <f t="shared" si="5"/>
        <v>77.19166510230899</v>
      </c>
      <c r="L29" s="715">
        <v>100</v>
      </c>
      <c r="M29" s="167">
        <f t="shared" si="6"/>
        <v>77.19166510230899</v>
      </c>
      <c r="N29" s="167">
        <f t="shared" si="7"/>
        <v>6075000</v>
      </c>
      <c r="O29" s="686"/>
      <c r="P29" s="551"/>
    </row>
    <row r="30" spans="1:16" ht="12" customHeight="1">
      <c r="A30" s="489">
        <v>4</v>
      </c>
      <c r="B30" s="169" t="s">
        <v>34</v>
      </c>
      <c r="C30" s="166">
        <v>61844350</v>
      </c>
      <c r="D30" s="214"/>
      <c r="E30" s="167">
        <v>0</v>
      </c>
      <c r="F30" s="196">
        <v>0</v>
      </c>
      <c r="G30" s="232"/>
      <c r="H30" s="168">
        <f>34305000+13745800+6844100+6949100</f>
        <v>61844000</v>
      </c>
      <c r="I30" s="483">
        <f t="shared" si="4"/>
        <v>99.99943406309549</v>
      </c>
      <c r="J30" s="168">
        <f>34305000+13745800+6844100+6949100</f>
        <v>61844000</v>
      </c>
      <c r="K30" s="166">
        <f t="shared" si="5"/>
        <v>99.99943406309549</v>
      </c>
      <c r="L30" s="715">
        <v>100</v>
      </c>
      <c r="M30" s="167">
        <f t="shared" si="6"/>
        <v>99.99943406309549</v>
      </c>
      <c r="N30" s="167">
        <f t="shared" si="7"/>
        <v>350</v>
      </c>
      <c r="O30" s="686"/>
      <c r="P30" s="551"/>
    </row>
    <row r="31" spans="1:16" ht="12" customHeight="1">
      <c r="A31" s="489">
        <v>5</v>
      </c>
      <c r="B31" s="169" t="s">
        <v>35</v>
      </c>
      <c r="C31" s="166">
        <v>30676500</v>
      </c>
      <c r="D31" s="214"/>
      <c r="E31" s="167">
        <v>0</v>
      </c>
      <c r="F31" s="196">
        <v>0</v>
      </c>
      <c r="G31" s="232"/>
      <c r="H31" s="168">
        <f>14485300+8850000+567000+1591800+2408100+189900+1965000</f>
        <v>30057100</v>
      </c>
      <c r="I31" s="483">
        <f t="shared" si="4"/>
        <v>97.98086483138559</v>
      </c>
      <c r="J31" s="168">
        <f>14485300+8850000+567000+1591800+2408100+189900+1965000</f>
        <v>30057100</v>
      </c>
      <c r="K31" s="166">
        <f t="shared" si="5"/>
        <v>97.98086483138559</v>
      </c>
      <c r="L31" s="715">
        <v>100</v>
      </c>
      <c r="M31" s="167">
        <f t="shared" si="6"/>
        <v>97.98086483138559</v>
      </c>
      <c r="N31" s="167">
        <f t="shared" si="7"/>
        <v>619400</v>
      </c>
      <c r="O31" s="686"/>
      <c r="P31" s="551"/>
    </row>
    <row r="32" spans="1:16" ht="12" customHeight="1">
      <c r="A32" s="489">
        <v>6</v>
      </c>
      <c r="B32" s="169" t="s">
        <v>36</v>
      </c>
      <c r="C32" s="166">
        <v>8800000</v>
      </c>
      <c r="D32" s="214"/>
      <c r="E32" s="167">
        <v>0</v>
      </c>
      <c r="F32" s="196">
        <v>0</v>
      </c>
      <c r="G32" s="232"/>
      <c r="H32" s="168">
        <f>1995200+2004800+4797800</f>
        <v>8797800</v>
      </c>
      <c r="I32" s="483">
        <f t="shared" si="4"/>
        <v>99.97500000000001</v>
      </c>
      <c r="J32" s="168">
        <f>1995200+2004800+4797800</f>
        <v>8797800</v>
      </c>
      <c r="K32" s="166">
        <f t="shared" si="5"/>
        <v>99.97500000000001</v>
      </c>
      <c r="L32" s="715">
        <v>100</v>
      </c>
      <c r="M32" s="167">
        <f t="shared" si="6"/>
        <v>99.97500000000001</v>
      </c>
      <c r="N32" s="167">
        <f t="shared" si="7"/>
        <v>2200</v>
      </c>
      <c r="O32" s="686"/>
      <c r="P32" s="551"/>
    </row>
    <row r="33" spans="1:16" ht="12" customHeight="1">
      <c r="A33" s="489">
        <v>7</v>
      </c>
      <c r="B33" s="169" t="s">
        <v>37</v>
      </c>
      <c r="C33" s="166">
        <v>13076000</v>
      </c>
      <c r="D33" s="214"/>
      <c r="E33" s="167">
        <v>0</v>
      </c>
      <c r="F33" s="196">
        <v>0</v>
      </c>
      <c r="G33" s="232"/>
      <c r="H33" s="168">
        <f>8761950+4314050</f>
        <v>13076000</v>
      </c>
      <c r="I33" s="483">
        <f t="shared" si="4"/>
        <v>100</v>
      </c>
      <c r="J33" s="168">
        <f>8761950+4314050</f>
        <v>13076000</v>
      </c>
      <c r="K33" s="166">
        <f t="shared" si="5"/>
        <v>100</v>
      </c>
      <c r="L33" s="715">
        <v>100</v>
      </c>
      <c r="M33" s="167">
        <f t="shared" si="6"/>
        <v>100</v>
      </c>
      <c r="N33" s="167">
        <f t="shared" si="7"/>
        <v>0</v>
      </c>
      <c r="O33" s="686"/>
      <c r="P33" s="551"/>
    </row>
    <row r="34" spans="1:16" ht="12" customHeight="1">
      <c r="A34" s="489">
        <v>8</v>
      </c>
      <c r="B34" s="169" t="s">
        <v>38</v>
      </c>
      <c r="C34" s="166">
        <v>7500000</v>
      </c>
      <c r="D34" s="214"/>
      <c r="E34" s="167">
        <v>0</v>
      </c>
      <c r="F34" s="196">
        <v>0</v>
      </c>
      <c r="G34" s="232"/>
      <c r="H34" s="168">
        <f>2180000+3856000+964000</f>
        <v>7000000</v>
      </c>
      <c r="I34" s="483">
        <f t="shared" si="4"/>
        <v>93.33333333333333</v>
      </c>
      <c r="J34" s="168">
        <f>2180000+3856000+964000</f>
        <v>7000000</v>
      </c>
      <c r="K34" s="166">
        <f t="shared" si="5"/>
        <v>93.33333333333333</v>
      </c>
      <c r="L34" s="715">
        <v>100</v>
      </c>
      <c r="M34" s="167">
        <f t="shared" si="6"/>
        <v>93.33333333333333</v>
      </c>
      <c r="N34" s="167">
        <f t="shared" si="7"/>
        <v>500000</v>
      </c>
      <c r="O34" s="686"/>
      <c r="P34" s="551"/>
    </row>
    <row r="35" spans="1:16" ht="12" customHeight="1">
      <c r="A35" s="489">
        <v>9</v>
      </c>
      <c r="B35" s="169" t="s">
        <v>39</v>
      </c>
      <c r="C35" s="166">
        <v>30000000</v>
      </c>
      <c r="D35" s="214"/>
      <c r="E35" s="167">
        <v>0</v>
      </c>
      <c r="F35" s="196">
        <v>0</v>
      </c>
      <c r="G35" s="232"/>
      <c r="H35" s="168">
        <f>18128200+7990000+3880000</f>
        <v>29998200</v>
      </c>
      <c r="I35" s="483">
        <f t="shared" si="4"/>
        <v>99.994</v>
      </c>
      <c r="J35" s="168">
        <f>18128200+7990000+3880000</f>
        <v>29998200</v>
      </c>
      <c r="K35" s="166">
        <f t="shared" si="5"/>
        <v>99.994</v>
      </c>
      <c r="L35" s="715">
        <v>100</v>
      </c>
      <c r="M35" s="167">
        <f t="shared" si="6"/>
        <v>99.994</v>
      </c>
      <c r="N35" s="167">
        <f t="shared" si="7"/>
        <v>1800</v>
      </c>
      <c r="O35" s="686"/>
      <c r="P35" s="551"/>
    </row>
    <row r="36" spans="1:16" ht="12" customHeight="1">
      <c r="A36" s="489">
        <v>10</v>
      </c>
      <c r="B36" s="169" t="s">
        <v>40</v>
      </c>
      <c r="C36" s="166">
        <v>175000000</v>
      </c>
      <c r="D36" s="214"/>
      <c r="E36" s="167">
        <v>0</v>
      </c>
      <c r="F36" s="196">
        <v>0</v>
      </c>
      <c r="G36" s="232"/>
      <c r="H36" s="168">
        <f>91631161+15825000+25233525+5875000+11190000+1050000+12482000</f>
        <v>163286686</v>
      </c>
      <c r="I36" s="483">
        <f t="shared" si="4"/>
        <v>93.30667771428571</v>
      </c>
      <c r="J36" s="168">
        <f>91631161+15825000+25233525+5875000+11190000+1050000+12482000</f>
        <v>163286686</v>
      </c>
      <c r="K36" s="166">
        <f t="shared" si="5"/>
        <v>93.30667771428571</v>
      </c>
      <c r="L36" s="715">
        <v>100</v>
      </c>
      <c r="M36" s="167">
        <f t="shared" si="6"/>
        <v>93.30667771428571</v>
      </c>
      <c r="N36" s="167">
        <f t="shared" si="7"/>
        <v>11713314</v>
      </c>
      <c r="O36" s="686"/>
      <c r="P36" s="551"/>
    </row>
    <row r="37" spans="1:16" ht="12" customHeight="1">
      <c r="A37" s="489">
        <v>11</v>
      </c>
      <c r="B37" s="169" t="s">
        <v>41</v>
      </c>
      <c r="C37" s="166">
        <v>595119800</v>
      </c>
      <c r="D37" s="214"/>
      <c r="E37" s="167">
        <v>0</v>
      </c>
      <c r="F37" s="196">
        <v>0</v>
      </c>
      <c r="G37" s="232"/>
      <c r="H37" s="168">
        <f>385658472+1823500+46604800</f>
        <v>434086772</v>
      </c>
      <c r="I37" s="483">
        <f t="shared" si="4"/>
        <v>72.94107371322546</v>
      </c>
      <c r="J37" s="168">
        <f>385658472+1823500+46604800</f>
        <v>434086772</v>
      </c>
      <c r="K37" s="166">
        <f t="shared" si="5"/>
        <v>72.94107371322546</v>
      </c>
      <c r="L37" s="715">
        <v>100</v>
      </c>
      <c r="M37" s="167">
        <f t="shared" si="6"/>
        <v>72.94107371322546</v>
      </c>
      <c r="N37" s="167">
        <f t="shared" si="7"/>
        <v>161033028</v>
      </c>
      <c r="O37" s="686"/>
      <c r="P37" s="551"/>
    </row>
    <row r="38" spans="1:16" ht="12" customHeight="1">
      <c r="A38" s="635"/>
      <c r="B38" s="636"/>
      <c r="C38" s="166"/>
      <c r="D38" s="214"/>
      <c r="E38" s="167"/>
      <c r="F38" s="196"/>
      <c r="G38" s="232"/>
      <c r="H38" s="168"/>
      <c r="I38" s="620"/>
      <c r="J38" s="168"/>
      <c r="K38" s="540"/>
      <c r="L38" s="716"/>
      <c r="M38" s="167">
        <f>K38</f>
        <v>0</v>
      </c>
      <c r="N38" s="167">
        <f t="shared" si="7"/>
        <v>0</v>
      </c>
      <c r="O38" s="686"/>
      <c r="P38" s="551"/>
    </row>
    <row r="39" spans="1:16" ht="12" customHeight="1">
      <c r="A39" s="637">
        <v>2</v>
      </c>
      <c r="B39" s="638" t="s">
        <v>42</v>
      </c>
      <c r="C39" s="639">
        <f>SUM(C40:C47)</f>
        <v>1049086450</v>
      </c>
      <c r="D39" s="640"/>
      <c r="E39" s="639">
        <f>SUM(E40:E47)</f>
        <v>43582000</v>
      </c>
      <c r="F39" s="641"/>
      <c r="G39" s="642"/>
      <c r="H39" s="639">
        <f>SUM(H40:H47)</f>
        <v>890668620</v>
      </c>
      <c r="I39" s="543">
        <f>+H39/C39*100</f>
        <v>84.89944942097003</v>
      </c>
      <c r="J39" s="639">
        <f>SUM(J40:J47)</f>
        <v>890668620</v>
      </c>
      <c r="K39" s="639">
        <f>+J39/C39*100</f>
        <v>84.89944942097003</v>
      </c>
      <c r="L39" s="545">
        <v>100</v>
      </c>
      <c r="M39" s="545">
        <f>+J39/C39*100</f>
        <v>84.89944942097003</v>
      </c>
      <c r="N39" s="167">
        <f t="shared" si="7"/>
        <v>158417830</v>
      </c>
      <c r="O39" s="686"/>
      <c r="P39" s="551"/>
    </row>
    <row r="40" spans="1:16" ht="12" customHeight="1">
      <c r="A40" s="489">
        <v>1</v>
      </c>
      <c r="B40" s="169" t="s">
        <v>43</v>
      </c>
      <c r="C40" s="166">
        <v>96501600</v>
      </c>
      <c r="D40" s="214"/>
      <c r="E40" s="167"/>
      <c r="F40" s="196"/>
      <c r="G40" s="232"/>
      <c r="H40" s="166">
        <f>54043200+6158400+1484000</f>
        <v>61685600</v>
      </c>
      <c r="I40" s="483">
        <f>+H40/C40*100</f>
        <v>63.92184171039651</v>
      </c>
      <c r="J40" s="166">
        <f>54043200+6158400+1484000</f>
        <v>61685600</v>
      </c>
      <c r="K40" s="166">
        <f>+J40/C40*100</f>
        <v>63.92184171039651</v>
      </c>
      <c r="L40" s="715">
        <v>100</v>
      </c>
      <c r="M40" s="167">
        <f>+J40/C40*100</f>
        <v>63.92184171039651</v>
      </c>
      <c r="N40" s="167">
        <f t="shared" si="7"/>
        <v>34816000</v>
      </c>
      <c r="O40" s="686"/>
      <c r="P40" s="551"/>
    </row>
    <row r="41" spans="1:16" ht="12" customHeight="1">
      <c r="A41" s="489">
        <v>2</v>
      </c>
      <c r="B41" s="169" t="s">
        <v>44</v>
      </c>
      <c r="C41" s="166">
        <v>62611000</v>
      </c>
      <c r="D41" s="643" t="s">
        <v>121</v>
      </c>
      <c r="E41" s="167">
        <v>5808000</v>
      </c>
      <c r="F41" s="196" t="s">
        <v>124</v>
      </c>
      <c r="G41" s="232" t="s">
        <v>125</v>
      </c>
      <c r="H41" s="166">
        <v>44536000</v>
      </c>
      <c r="I41" s="483">
        <f>+H41/C41*100</f>
        <v>71.1312708629474</v>
      </c>
      <c r="J41" s="166">
        <v>44536000</v>
      </c>
      <c r="K41" s="166">
        <f>+J41/C41*100</f>
        <v>71.1312708629474</v>
      </c>
      <c r="L41" s="715">
        <v>100</v>
      </c>
      <c r="M41" s="167">
        <f>+J41/C41*100</f>
        <v>71.1312708629474</v>
      </c>
      <c r="N41" s="167">
        <f t="shared" si="7"/>
        <v>18075000</v>
      </c>
      <c r="O41" s="686"/>
      <c r="P41" s="551"/>
    </row>
    <row r="42" spans="1:16" ht="12" customHeight="1">
      <c r="A42" s="489"/>
      <c r="B42" s="169"/>
      <c r="C42" s="166"/>
      <c r="D42" s="643" t="s">
        <v>122</v>
      </c>
      <c r="E42" s="167">
        <v>15774000</v>
      </c>
      <c r="F42" s="196" t="s">
        <v>124</v>
      </c>
      <c r="G42" s="232" t="s">
        <v>125</v>
      </c>
      <c r="H42" s="166"/>
      <c r="I42" s="620"/>
      <c r="J42" s="166"/>
      <c r="K42" s="540"/>
      <c r="L42" s="167"/>
      <c r="M42" s="167"/>
      <c r="N42" s="167"/>
      <c r="O42" s="686"/>
      <c r="P42" s="551"/>
    </row>
    <row r="43" spans="1:16" ht="12" customHeight="1">
      <c r="A43" s="489"/>
      <c r="B43" s="169"/>
      <c r="C43" s="166"/>
      <c r="D43" s="643" t="s">
        <v>123</v>
      </c>
      <c r="E43" s="167">
        <v>22000000</v>
      </c>
      <c r="F43" s="196" t="s">
        <v>124</v>
      </c>
      <c r="G43" s="232" t="s">
        <v>125</v>
      </c>
      <c r="H43" s="166"/>
      <c r="I43" s="620"/>
      <c r="J43" s="166"/>
      <c r="K43" s="540"/>
      <c r="L43" s="717"/>
      <c r="M43" s="167"/>
      <c r="N43" s="167"/>
      <c r="O43" s="686"/>
      <c r="P43" s="551"/>
    </row>
    <row r="44" spans="1:16" ht="12" customHeight="1">
      <c r="A44" s="489">
        <v>3</v>
      </c>
      <c r="B44" s="169" t="s">
        <v>45</v>
      </c>
      <c r="C44" s="166">
        <v>217537650</v>
      </c>
      <c r="D44" s="643"/>
      <c r="E44" s="167"/>
      <c r="F44" s="196"/>
      <c r="G44" s="232"/>
      <c r="H44" s="166">
        <f>174523050+42944000</f>
        <v>217467050</v>
      </c>
      <c r="I44" s="483">
        <f>+H44/C44*100</f>
        <v>99.96754584781071</v>
      </c>
      <c r="J44" s="166">
        <f>174523050+42944000</f>
        <v>217467050</v>
      </c>
      <c r="K44" s="166">
        <f>+J44/C44*100</f>
        <v>99.96754584781071</v>
      </c>
      <c r="L44" s="715">
        <v>100</v>
      </c>
      <c r="M44" s="167">
        <f>+J44/C44*100</f>
        <v>99.96754584781071</v>
      </c>
      <c r="N44" s="167">
        <f aca="true" t="shared" si="8" ref="N44:N50">C44-J44</f>
        <v>70600</v>
      </c>
      <c r="O44" s="686"/>
      <c r="P44" s="551"/>
    </row>
    <row r="45" spans="1:16" ht="12" customHeight="1">
      <c r="A45" s="489">
        <v>4</v>
      </c>
      <c r="B45" s="169" t="s">
        <v>46</v>
      </c>
      <c r="C45" s="166">
        <v>651786200</v>
      </c>
      <c r="D45" s="214"/>
      <c r="E45" s="167"/>
      <c r="F45" s="196"/>
      <c r="G45" s="232"/>
      <c r="H45" s="168">
        <f>290055301+20511297+388649+121088107+45809816+68477000</f>
        <v>546330170</v>
      </c>
      <c r="I45" s="483">
        <f>+H45/C45*100</f>
        <v>83.82045676941304</v>
      </c>
      <c r="J45" s="168">
        <f>290055301+20511297+388649+121088107+45809816+68477000</f>
        <v>546330170</v>
      </c>
      <c r="K45" s="166">
        <f>+J45/C45*100</f>
        <v>83.82045676941304</v>
      </c>
      <c r="L45" s="715">
        <v>100</v>
      </c>
      <c r="M45" s="167">
        <f>+J45/C45*100</f>
        <v>83.82045676941304</v>
      </c>
      <c r="N45" s="167">
        <f t="shared" si="8"/>
        <v>105456030</v>
      </c>
      <c r="O45" s="686"/>
      <c r="P45" s="551"/>
    </row>
    <row r="46" spans="1:16" ht="12" customHeight="1">
      <c r="A46" s="489">
        <v>5</v>
      </c>
      <c r="B46" s="169" t="s">
        <v>47</v>
      </c>
      <c r="C46" s="166">
        <v>13050000</v>
      </c>
      <c r="D46" s="214"/>
      <c r="E46" s="167">
        <v>0</v>
      </c>
      <c r="F46" s="196">
        <v>0</v>
      </c>
      <c r="G46" s="232"/>
      <c r="H46" s="168">
        <f>3400000+7640000+2010000</f>
        <v>13050000</v>
      </c>
      <c r="I46" s="483">
        <f>+H46/C46*100</f>
        <v>100</v>
      </c>
      <c r="J46" s="168">
        <f>3400000+7640000+2010000</f>
        <v>13050000</v>
      </c>
      <c r="K46" s="166">
        <f>+J46/C46*100</f>
        <v>100</v>
      </c>
      <c r="L46" s="715">
        <v>100</v>
      </c>
      <c r="M46" s="167">
        <f>+J46/C46*100</f>
        <v>100</v>
      </c>
      <c r="N46" s="167">
        <f t="shared" si="8"/>
        <v>0</v>
      </c>
      <c r="O46" s="686"/>
      <c r="P46" s="551"/>
    </row>
    <row r="47" spans="1:16" ht="12" customHeight="1">
      <c r="A47" s="489">
        <v>6</v>
      </c>
      <c r="B47" s="169" t="s">
        <v>48</v>
      </c>
      <c r="C47" s="166">
        <v>7600000</v>
      </c>
      <c r="D47" s="214"/>
      <c r="E47" s="167"/>
      <c r="F47" s="196"/>
      <c r="G47" s="232"/>
      <c r="H47" s="166">
        <v>7599800</v>
      </c>
      <c r="I47" s="483">
        <f>+H47/C47*100</f>
        <v>99.99736842105264</v>
      </c>
      <c r="J47" s="166">
        <v>7599800</v>
      </c>
      <c r="K47" s="166">
        <f>+J47/C47*100</f>
        <v>99.99736842105264</v>
      </c>
      <c r="L47" s="715">
        <v>100</v>
      </c>
      <c r="M47" s="167">
        <f>+J47/C47*100</f>
        <v>99.99736842105264</v>
      </c>
      <c r="N47" s="167">
        <f t="shared" si="8"/>
        <v>200</v>
      </c>
      <c r="O47" s="686"/>
      <c r="P47" s="551"/>
    </row>
    <row r="48" spans="1:16" ht="12" customHeight="1">
      <c r="A48" s="489"/>
      <c r="B48" s="169"/>
      <c r="C48" s="166"/>
      <c r="D48" s="214"/>
      <c r="E48" s="167"/>
      <c r="F48" s="196"/>
      <c r="G48" s="232"/>
      <c r="H48" s="168"/>
      <c r="I48" s="620"/>
      <c r="J48" s="168"/>
      <c r="K48" s="540"/>
      <c r="L48" s="167"/>
      <c r="M48" s="167"/>
      <c r="N48" s="167">
        <f t="shared" si="8"/>
        <v>0</v>
      </c>
      <c r="O48" s="686"/>
      <c r="P48" s="551"/>
    </row>
    <row r="49" spans="1:16" ht="12" customHeight="1">
      <c r="A49" s="637">
        <v>3</v>
      </c>
      <c r="B49" s="638" t="s">
        <v>49</v>
      </c>
      <c r="C49" s="639">
        <f>C50</f>
        <v>73370000</v>
      </c>
      <c r="D49" s="640"/>
      <c r="E49" s="639">
        <f>E50</f>
        <v>57200000</v>
      </c>
      <c r="F49" s="640"/>
      <c r="G49" s="644"/>
      <c r="H49" s="552">
        <f>H50</f>
        <v>73200000</v>
      </c>
      <c r="I49" s="543">
        <f>+H49/C49*100</f>
        <v>99.76829766934715</v>
      </c>
      <c r="J49" s="552">
        <f>J50</f>
        <v>73200000</v>
      </c>
      <c r="K49" s="639">
        <f>+J49/C49*100</f>
        <v>99.76829766934715</v>
      </c>
      <c r="L49" s="545">
        <v>100</v>
      </c>
      <c r="M49" s="545">
        <f>+J49/C49*100</f>
        <v>99.76829766934715</v>
      </c>
      <c r="N49" s="167">
        <f t="shared" si="8"/>
        <v>170000</v>
      </c>
      <c r="O49" s="686"/>
      <c r="P49" s="551"/>
    </row>
    <row r="50" spans="1:16" ht="12" customHeight="1">
      <c r="A50" s="489"/>
      <c r="B50" s="165" t="s">
        <v>50</v>
      </c>
      <c r="C50" s="645">
        <v>73370000</v>
      </c>
      <c r="D50" s="646" t="s">
        <v>118</v>
      </c>
      <c r="E50" s="167">
        <v>57200000</v>
      </c>
      <c r="F50" s="647" t="s">
        <v>119</v>
      </c>
      <c r="G50" s="232" t="s">
        <v>120</v>
      </c>
      <c r="H50" s="648">
        <f>16000000+57200000</f>
        <v>73200000</v>
      </c>
      <c r="I50" s="483">
        <f>+H50/C50*100</f>
        <v>99.76829766934715</v>
      </c>
      <c r="J50" s="648">
        <f>16000000+57200000</f>
        <v>73200000</v>
      </c>
      <c r="K50" s="166">
        <f>+J50/C50*100</f>
        <v>99.76829766934715</v>
      </c>
      <c r="L50" s="715">
        <v>100</v>
      </c>
      <c r="M50" s="167">
        <f>+J50/C50*100</f>
        <v>99.76829766934715</v>
      </c>
      <c r="N50" s="167">
        <f t="shared" si="8"/>
        <v>170000</v>
      </c>
      <c r="O50" s="686"/>
      <c r="P50" s="551"/>
    </row>
    <row r="51" spans="1:16" ht="12" customHeight="1">
      <c r="A51" s="533"/>
      <c r="B51" s="649"/>
      <c r="C51" s="650"/>
      <c r="D51" s="646"/>
      <c r="E51" s="542"/>
      <c r="F51" s="746"/>
      <c r="G51" s="651"/>
      <c r="H51" s="652"/>
      <c r="I51" s="483"/>
      <c r="J51" s="652"/>
      <c r="K51" s="166"/>
      <c r="L51" s="715"/>
      <c r="M51" s="167"/>
      <c r="N51" s="542"/>
      <c r="O51" s="686"/>
      <c r="P51" s="551"/>
    </row>
    <row r="52" spans="1:16" ht="12" customHeight="1">
      <c r="A52" s="527">
        <v>4</v>
      </c>
      <c r="B52" s="653" t="s">
        <v>51</v>
      </c>
      <c r="C52" s="654">
        <f>C53+C68+C69</f>
        <v>5367814400</v>
      </c>
      <c r="D52" s="655"/>
      <c r="E52" s="654">
        <f>SUM(E55:E70)</f>
        <v>3007864804</v>
      </c>
      <c r="F52" s="655"/>
      <c r="G52" s="656"/>
      <c r="H52" s="657">
        <f>SUM(H53+H68+H69)</f>
        <v>4157162259</v>
      </c>
      <c r="I52" s="543">
        <f>+H52/C52*100</f>
        <v>77.44608790870265</v>
      </c>
      <c r="J52" s="657">
        <f>+J53+J68+J69</f>
        <v>4157162259</v>
      </c>
      <c r="K52" s="639">
        <f>+J52/C52*100</f>
        <v>77.44608790870265</v>
      </c>
      <c r="L52" s="718">
        <v>100</v>
      </c>
      <c r="M52" s="545">
        <f>+J52/C52*100</f>
        <v>77.44608790870265</v>
      </c>
      <c r="N52" s="657">
        <f>C52-J52</f>
        <v>1210652141</v>
      </c>
      <c r="O52" s="748"/>
      <c r="P52" s="688"/>
    </row>
    <row r="53" spans="1:16" ht="12" customHeight="1">
      <c r="A53" s="489">
        <v>1</v>
      </c>
      <c r="B53" s="627" t="s">
        <v>52</v>
      </c>
      <c r="C53" s="521">
        <v>3876642400</v>
      </c>
      <c r="D53" s="686"/>
      <c r="E53" s="686"/>
      <c r="F53" s="686"/>
      <c r="G53" s="686"/>
      <c r="H53" s="741">
        <f>H55+H56+H63+H64+H65+H66+H67+H54</f>
        <v>3122140000</v>
      </c>
      <c r="I53" s="525">
        <f>H53/C53*100</f>
        <v>80.537219527909</v>
      </c>
      <c r="J53" s="741">
        <f>J55+J56+J63+J64+J65+J66+J67+J54</f>
        <v>3122140000</v>
      </c>
      <c r="K53" s="166">
        <f>+J53/C53*100</f>
        <v>80.537219527909</v>
      </c>
      <c r="L53" s="715">
        <v>100</v>
      </c>
      <c r="M53" s="167">
        <f>J53/C53*100</f>
        <v>80.537219527909</v>
      </c>
      <c r="N53" s="485">
        <f>C53-J53</f>
        <v>754502400</v>
      </c>
      <c r="O53" s="686"/>
      <c r="P53" s="551"/>
    </row>
    <row r="54" spans="1:16" ht="12" customHeight="1">
      <c r="A54" s="489"/>
      <c r="B54" s="627"/>
      <c r="C54" s="521"/>
      <c r="D54" s="551"/>
      <c r="E54" s="686"/>
      <c r="F54" s="686"/>
      <c r="G54" s="551"/>
      <c r="H54" s="741">
        <f>107651400+2500000+11808800+12028000+28887000</f>
        <v>162875200</v>
      </c>
      <c r="I54" s="525"/>
      <c r="J54" s="741">
        <f>107651400+2500000+11808800+12028000+28887000</f>
        <v>162875200</v>
      </c>
      <c r="K54" s="166"/>
      <c r="L54" s="715"/>
      <c r="M54" s="167"/>
      <c r="N54" s="485"/>
      <c r="O54" s="686"/>
      <c r="P54" s="551"/>
    </row>
    <row r="55" spans="1:16" ht="12" customHeight="1">
      <c r="A55" s="489"/>
      <c r="B55" s="627"/>
      <c r="C55" s="521"/>
      <c r="D55" s="618" t="s">
        <v>111</v>
      </c>
      <c r="E55" s="521">
        <v>89375000</v>
      </c>
      <c r="F55" s="522" t="s">
        <v>114</v>
      </c>
      <c r="G55" s="619" t="s">
        <v>116</v>
      </c>
      <c r="H55" s="521">
        <v>89375000</v>
      </c>
      <c r="I55" s="620">
        <f>H55/E55*100</f>
        <v>100</v>
      </c>
      <c r="J55" s="521">
        <v>89375000</v>
      </c>
      <c r="K55" s="620">
        <f>+H55/E55*100</f>
        <v>100</v>
      </c>
      <c r="L55" s="715">
        <v>100</v>
      </c>
      <c r="M55" s="167">
        <v>100</v>
      </c>
      <c r="N55" s="485"/>
      <c r="O55" s="686"/>
      <c r="P55" s="551"/>
    </row>
    <row r="56" spans="1:16" ht="12" customHeight="1">
      <c r="A56" s="489"/>
      <c r="B56" s="627"/>
      <c r="C56" s="521"/>
      <c r="D56" s="618" t="s">
        <v>112</v>
      </c>
      <c r="E56" s="521">
        <v>198000000</v>
      </c>
      <c r="F56" s="522" t="s">
        <v>115</v>
      </c>
      <c r="G56" s="619" t="s">
        <v>117</v>
      </c>
      <c r="H56" s="521">
        <v>198000000</v>
      </c>
      <c r="I56" s="620">
        <f>H56/E56*100</f>
        <v>100</v>
      </c>
      <c r="J56" s="521">
        <v>198000000</v>
      </c>
      <c r="K56" s="620">
        <f>+H56/E56*100</f>
        <v>100</v>
      </c>
      <c r="L56" s="715">
        <v>100</v>
      </c>
      <c r="M56" s="167">
        <v>100</v>
      </c>
      <c r="N56" s="485"/>
      <c r="O56" s="686"/>
      <c r="P56" s="551"/>
    </row>
    <row r="57" spans="1:16" ht="12" customHeight="1">
      <c r="A57" s="533"/>
      <c r="B57" s="661"/>
      <c r="C57" s="662"/>
      <c r="D57" s="750"/>
      <c r="E57" s="662"/>
      <c r="F57" s="663"/>
      <c r="G57" s="751"/>
      <c r="H57" s="752"/>
      <c r="I57" s="620"/>
      <c r="J57" s="753"/>
      <c r="K57" s="620"/>
      <c r="L57" s="754"/>
      <c r="M57" s="167"/>
      <c r="N57" s="755"/>
      <c r="O57" s="756"/>
      <c r="P57" s="551"/>
    </row>
    <row r="58" spans="1:17" ht="12" customHeight="1">
      <c r="A58" s="533"/>
      <c r="B58" s="661"/>
      <c r="C58" s="662"/>
      <c r="D58" s="750"/>
      <c r="E58" s="662"/>
      <c r="F58" s="663"/>
      <c r="G58" s="751"/>
      <c r="H58" s="752"/>
      <c r="I58" s="539"/>
      <c r="J58" s="753"/>
      <c r="K58" s="539"/>
      <c r="L58" s="754"/>
      <c r="M58" s="542"/>
      <c r="N58" s="755"/>
      <c r="O58" s="756"/>
      <c r="P58" s="765"/>
      <c r="Q58" s="766"/>
    </row>
    <row r="59" spans="1:16" ht="12" customHeight="1">
      <c r="A59" s="837" t="s">
        <v>2</v>
      </c>
      <c r="B59" s="837" t="s">
        <v>3</v>
      </c>
      <c r="C59" s="837" t="s">
        <v>168</v>
      </c>
      <c r="D59" s="848" t="s">
        <v>104</v>
      </c>
      <c r="E59" s="837" t="s">
        <v>5</v>
      </c>
      <c r="F59" s="848" t="s">
        <v>6</v>
      </c>
      <c r="G59" s="852" t="s">
        <v>105</v>
      </c>
      <c r="H59" s="857" t="s">
        <v>7</v>
      </c>
      <c r="I59" s="858"/>
      <c r="J59" s="858"/>
      <c r="K59" s="842"/>
      <c r="L59" s="857" t="s">
        <v>8</v>
      </c>
      <c r="M59" s="842"/>
      <c r="N59" s="859" t="s">
        <v>87</v>
      </c>
      <c r="O59" s="860" t="s">
        <v>9</v>
      </c>
      <c r="P59" s="551"/>
    </row>
    <row r="60" spans="1:16" ht="12" customHeight="1">
      <c r="A60" s="837"/>
      <c r="B60" s="837"/>
      <c r="C60" s="837"/>
      <c r="D60" s="848"/>
      <c r="E60" s="849"/>
      <c r="F60" s="848"/>
      <c r="G60" s="852"/>
      <c r="H60" s="841" t="s">
        <v>10</v>
      </c>
      <c r="I60" s="843" t="s">
        <v>11</v>
      </c>
      <c r="J60" s="843" t="s">
        <v>12</v>
      </c>
      <c r="K60" s="843" t="s">
        <v>11</v>
      </c>
      <c r="L60" s="844" t="s">
        <v>13</v>
      </c>
      <c r="M60" s="846" t="s">
        <v>14</v>
      </c>
      <c r="N60" s="837"/>
      <c r="O60" s="840"/>
      <c r="P60" s="551"/>
    </row>
    <row r="61" spans="1:16" ht="12" customHeight="1">
      <c r="A61" s="838"/>
      <c r="B61" s="838"/>
      <c r="C61" s="838"/>
      <c r="D61" s="847"/>
      <c r="E61" s="850"/>
      <c r="F61" s="847"/>
      <c r="G61" s="853"/>
      <c r="H61" s="842"/>
      <c r="I61" s="838"/>
      <c r="J61" s="838"/>
      <c r="K61" s="838"/>
      <c r="L61" s="845"/>
      <c r="M61" s="847"/>
      <c r="N61" s="838"/>
      <c r="O61" s="840"/>
      <c r="P61" s="551"/>
    </row>
    <row r="62" spans="1:16" ht="12" customHeight="1">
      <c r="A62" s="658">
        <v>1</v>
      </c>
      <c r="B62" s="658">
        <v>2</v>
      </c>
      <c r="C62" s="658">
        <v>3</v>
      </c>
      <c r="D62" s="659"/>
      <c r="E62" s="658">
        <v>4</v>
      </c>
      <c r="F62" s="659">
        <v>5</v>
      </c>
      <c r="G62" s="660"/>
      <c r="H62" s="658">
        <v>6</v>
      </c>
      <c r="I62" s="658">
        <v>7</v>
      </c>
      <c r="J62" s="658">
        <v>8</v>
      </c>
      <c r="K62" s="658">
        <v>9</v>
      </c>
      <c r="L62" s="719">
        <v>10</v>
      </c>
      <c r="M62" s="658">
        <v>11</v>
      </c>
      <c r="N62" s="658">
        <v>12</v>
      </c>
      <c r="O62" s="658">
        <v>13</v>
      </c>
      <c r="P62" s="551"/>
    </row>
    <row r="63" spans="1:16" ht="12" customHeight="1">
      <c r="A63" s="739"/>
      <c r="B63" s="739"/>
      <c r="C63" s="739"/>
      <c r="D63" s="618" t="s">
        <v>113</v>
      </c>
      <c r="E63" s="521">
        <v>108075000</v>
      </c>
      <c r="F63" s="522" t="s">
        <v>114</v>
      </c>
      <c r="G63" s="619" t="s">
        <v>116</v>
      </c>
      <c r="H63" s="521">
        <v>108075000</v>
      </c>
      <c r="I63" s="620">
        <f>H63/E63*100</f>
        <v>100</v>
      </c>
      <c r="J63" s="521">
        <v>108075000</v>
      </c>
      <c r="K63" s="620">
        <f>+H63/E63*100</f>
        <v>100</v>
      </c>
      <c r="L63" s="715">
        <v>100</v>
      </c>
      <c r="M63" s="167">
        <v>100</v>
      </c>
      <c r="N63" s="739"/>
      <c r="O63" s="757"/>
      <c r="P63" s="551"/>
    </row>
    <row r="64" spans="1:16" ht="12" customHeight="1">
      <c r="A64" s="489"/>
      <c r="B64" s="627"/>
      <c r="C64" s="521"/>
      <c r="D64" s="622" t="s">
        <v>130</v>
      </c>
      <c r="E64" s="521">
        <v>98200000</v>
      </c>
      <c r="F64" s="623" t="s">
        <v>131</v>
      </c>
      <c r="G64" s="492">
        <v>43556</v>
      </c>
      <c r="H64" s="521">
        <v>98200000</v>
      </c>
      <c r="I64" s="620">
        <f>H64/E64*100</f>
        <v>100</v>
      </c>
      <c r="J64" s="521">
        <v>98200000</v>
      </c>
      <c r="K64" s="620">
        <f>+H64/E64*100</f>
        <v>100</v>
      </c>
      <c r="L64" s="715">
        <v>100</v>
      </c>
      <c r="M64" s="167">
        <v>100</v>
      </c>
      <c r="N64" s="485"/>
      <c r="O64" s="686"/>
      <c r="P64" s="551"/>
    </row>
    <row r="65" spans="1:16" ht="12" customHeight="1">
      <c r="A65" s="489"/>
      <c r="B65" s="627"/>
      <c r="C65" s="521"/>
      <c r="D65" s="622" t="s">
        <v>172</v>
      </c>
      <c r="E65" s="521">
        <v>197498000</v>
      </c>
      <c r="F65" s="522" t="s">
        <v>114</v>
      </c>
      <c r="G65" s="492"/>
      <c r="H65" s="521">
        <v>197498000</v>
      </c>
      <c r="I65" s="620">
        <f>H65/E65*100</f>
        <v>100</v>
      </c>
      <c r="J65" s="521">
        <v>197498000</v>
      </c>
      <c r="K65" s="620">
        <f>+H65/E65*100</f>
        <v>100</v>
      </c>
      <c r="L65" s="715">
        <v>100</v>
      </c>
      <c r="M65" s="167">
        <v>100</v>
      </c>
      <c r="N65" s="485"/>
      <c r="O65" s="686"/>
      <c r="P65" s="551"/>
    </row>
    <row r="66" spans="1:16" ht="12" customHeight="1">
      <c r="A66" s="489"/>
      <c r="B66" s="627"/>
      <c r="C66" s="521"/>
      <c r="D66" s="622" t="s">
        <v>173</v>
      </c>
      <c r="E66" s="521">
        <v>622203600</v>
      </c>
      <c r="F66" s="624" t="s">
        <v>174</v>
      </c>
      <c r="G66" s="492">
        <v>43738</v>
      </c>
      <c r="H66" s="521">
        <v>622203600</v>
      </c>
      <c r="I66" s="620">
        <f>H66/E66*100</f>
        <v>100</v>
      </c>
      <c r="J66" s="521">
        <v>622203600</v>
      </c>
      <c r="K66" s="620">
        <f>+H66/E66*100</f>
        <v>100</v>
      </c>
      <c r="L66" s="715">
        <v>100</v>
      </c>
      <c r="M66" s="167">
        <v>100</v>
      </c>
      <c r="N66" s="485"/>
      <c r="O66" s="686"/>
      <c r="P66" s="551"/>
    </row>
    <row r="67" spans="1:16" ht="12" customHeight="1">
      <c r="A67" s="489"/>
      <c r="B67" s="627"/>
      <c r="C67" s="521"/>
      <c r="D67" s="622" t="s">
        <v>173</v>
      </c>
      <c r="E67" s="521">
        <v>1645913200</v>
      </c>
      <c r="F67" s="624" t="s">
        <v>175</v>
      </c>
      <c r="G67" s="492">
        <v>43738</v>
      </c>
      <c r="H67" s="521">
        <v>1645913200</v>
      </c>
      <c r="I67" s="620">
        <f>H67/E67*100</f>
        <v>100</v>
      </c>
      <c r="J67" s="521">
        <v>1645913200</v>
      </c>
      <c r="K67" s="620">
        <f>+H67/E67*100</f>
        <v>100</v>
      </c>
      <c r="L67" s="715">
        <v>100</v>
      </c>
      <c r="M67" s="167">
        <v>100</v>
      </c>
      <c r="N67" s="485"/>
      <c r="O67" s="686"/>
      <c r="P67" s="551"/>
    </row>
    <row r="68" spans="1:16" ht="12" customHeight="1">
      <c r="A68" s="489">
        <v>2</v>
      </c>
      <c r="B68" s="627" t="s">
        <v>53</v>
      </c>
      <c r="C68" s="521">
        <v>1110122000</v>
      </c>
      <c r="D68" s="522"/>
      <c r="E68" s="523"/>
      <c r="F68" s="491"/>
      <c r="G68" s="492"/>
      <c r="H68" s="524">
        <f>604173402+100000000+6406500+91445309+113723460</f>
        <v>915748671</v>
      </c>
      <c r="I68" s="483">
        <f>+H68/C68*100</f>
        <v>82.49081371236674</v>
      </c>
      <c r="J68" s="524">
        <f>604173402+100000000+6406500+91445309+113723460</f>
        <v>915748671</v>
      </c>
      <c r="K68" s="166">
        <f>+J68/C68*100</f>
        <v>82.49081371236674</v>
      </c>
      <c r="L68" s="715">
        <v>100</v>
      </c>
      <c r="M68" s="167">
        <f>+J68/C68*100</f>
        <v>82.49081371236674</v>
      </c>
      <c r="N68" s="485">
        <f>C68-J68</f>
        <v>194373329</v>
      </c>
      <c r="O68" s="686"/>
      <c r="P68" s="551"/>
    </row>
    <row r="69" spans="1:16" ht="12" customHeight="1">
      <c r="A69" s="489">
        <v>3</v>
      </c>
      <c r="B69" s="627" t="s">
        <v>54</v>
      </c>
      <c r="C69" s="521">
        <v>381050000</v>
      </c>
      <c r="D69" s="522" t="s">
        <v>107</v>
      </c>
      <c r="E69" s="524">
        <v>48600000</v>
      </c>
      <c r="F69" s="491" t="s">
        <v>108</v>
      </c>
      <c r="G69" s="492">
        <v>43584</v>
      </c>
      <c r="H69" s="524">
        <f>119273588</f>
        <v>119273588</v>
      </c>
      <c r="I69" s="483">
        <f>+H69/C69*100</f>
        <v>31.30129589292744</v>
      </c>
      <c r="J69" s="524">
        <f>119273588</f>
        <v>119273588</v>
      </c>
      <c r="K69" s="166">
        <f>+J69/C69*100</f>
        <v>31.30129589292744</v>
      </c>
      <c r="L69" s="715">
        <v>100</v>
      </c>
      <c r="M69" s="167">
        <f>+J69/C69*100</f>
        <v>31.30129589292744</v>
      </c>
      <c r="N69" s="485">
        <f>C69-J69</f>
        <v>261776412</v>
      </c>
      <c r="O69" s="686"/>
      <c r="P69" s="551"/>
    </row>
    <row r="70" spans="1:16" ht="12" customHeight="1">
      <c r="A70" s="533"/>
      <c r="B70" s="661"/>
      <c r="C70" s="662"/>
      <c r="D70" s="663"/>
      <c r="E70" s="664"/>
      <c r="F70" s="537"/>
      <c r="G70" s="538"/>
      <c r="H70" s="664"/>
      <c r="I70" s="539"/>
      <c r="J70" s="664"/>
      <c r="K70" s="540"/>
      <c r="L70" s="716"/>
      <c r="M70" s="542"/>
      <c r="N70" s="485"/>
      <c r="O70" s="686"/>
      <c r="P70" s="551"/>
    </row>
    <row r="71" spans="1:16" ht="12" customHeight="1">
      <c r="A71" s="665">
        <v>5</v>
      </c>
      <c r="B71" s="528" t="s">
        <v>56</v>
      </c>
      <c r="C71" s="532">
        <f>SUM(C72:C85)</f>
        <v>1190425000</v>
      </c>
      <c r="D71" s="567"/>
      <c r="E71" s="532">
        <f>E72+E73+E74++E75+E76+E77+E78+E81+E83+E85+E80</f>
        <v>160501000</v>
      </c>
      <c r="F71" s="567"/>
      <c r="G71" s="568"/>
      <c r="H71" s="532">
        <f>SUM(H72:H85)</f>
        <v>953956874</v>
      </c>
      <c r="I71" s="543">
        <f aca="true" t="shared" si="9" ref="I71:I79">+H71/C71*100</f>
        <v>80.13582325640003</v>
      </c>
      <c r="J71" s="532">
        <f>SUM(J72:J85)</f>
        <v>953956874</v>
      </c>
      <c r="K71" s="639">
        <f aca="true" t="shared" si="10" ref="K71:K79">+J71/C71*100</f>
        <v>80.13582325640003</v>
      </c>
      <c r="L71" s="545">
        <v>100</v>
      </c>
      <c r="M71" s="545">
        <f>+J71/C71*100</f>
        <v>80.13582325640003</v>
      </c>
      <c r="N71" s="485">
        <f aca="true" t="shared" si="11" ref="N71:N79">C71-J71</f>
        <v>236468126</v>
      </c>
      <c r="O71" s="686"/>
      <c r="P71" s="551"/>
    </row>
    <row r="72" spans="1:16" ht="12" customHeight="1">
      <c r="A72" s="489">
        <v>1</v>
      </c>
      <c r="B72" s="169" t="s">
        <v>57</v>
      </c>
      <c r="C72" s="166">
        <v>350000000</v>
      </c>
      <c r="D72" s="214"/>
      <c r="E72" s="166"/>
      <c r="F72" s="491"/>
      <c r="G72" s="492"/>
      <c r="H72" s="166">
        <v>214048900</v>
      </c>
      <c r="I72" s="483">
        <f t="shared" si="9"/>
        <v>61.15682857142857</v>
      </c>
      <c r="J72" s="166">
        <v>214048900</v>
      </c>
      <c r="K72" s="166">
        <f t="shared" si="10"/>
        <v>61.15682857142857</v>
      </c>
      <c r="L72" s="718">
        <v>100</v>
      </c>
      <c r="M72" s="167">
        <f aca="true" t="shared" si="12" ref="M72:M79">+J72/C72*100</f>
        <v>61.15682857142857</v>
      </c>
      <c r="N72" s="485">
        <f t="shared" si="11"/>
        <v>135951100</v>
      </c>
      <c r="O72" s="686"/>
      <c r="P72" s="551"/>
    </row>
    <row r="73" spans="1:16" ht="12" customHeight="1">
      <c r="A73" s="489">
        <v>2</v>
      </c>
      <c r="B73" s="490" t="s">
        <v>58</v>
      </c>
      <c r="C73" s="166">
        <v>165000000</v>
      </c>
      <c r="D73" s="214"/>
      <c r="E73" s="167"/>
      <c r="F73" s="491"/>
      <c r="G73" s="492"/>
      <c r="H73" s="166">
        <f>122001983+1342421+2100000+32652500</f>
        <v>158096904</v>
      </c>
      <c r="I73" s="483">
        <f t="shared" si="9"/>
        <v>95.81630545454546</v>
      </c>
      <c r="J73" s="166">
        <f>122001983+1342421+2100000+32652500</f>
        <v>158096904</v>
      </c>
      <c r="K73" s="166">
        <f t="shared" si="10"/>
        <v>95.81630545454546</v>
      </c>
      <c r="L73" s="718">
        <v>100</v>
      </c>
      <c r="M73" s="167">
        <f t="shared" si="12"/>
        <v>95.81630545454546</v>
      </c>
      <c r="N73" s="485">
        <f t="shared" si="11"/>
        <v>6903096</v>
      </c>
      <c r="O73" s="686"/>
      <c r="P73" s="551"/>
    </row>
    <row r="74" spans="1:16" ht="12" customHeight="1">
      <c r="A74" s="489">
        <v>3</v>
      </c>
      <c r="B74" s="490" t="s">
        <v>59</v>
      </c>
      <c r="C74" s="166">
        <v>50000000</v>
      </c>
      <c r="D74" s="214"/>
      <c r="E74" s="167"/>
      <c r="F74" s="491"/>
      <c r="G74" s="492"/>
      <c r="H74" s="168">
        <f>22900000+1375000+2400000+11450000</f>
        <v>38125000</v>
      </c>
      <c r="I74" s="483">
        <f t="shared" si="9"/>
        <v>76.25</v>
      </c>
      <c r="J74" s="168">
        <f>22900000+1375000+2400000+11450000</f>
        <v>38125000</v>
      </c>
      <c r="K74" s="166">
        <f t="shared" si="10"/>
        <v>76.25</v>
      </c>
      <c r="L74" s="718">
        <v>100</v>
      </c>
      <c r="M74" s="167">
        <f t="shared" si="12"/>
        <v>76.25</v>
      </c>
      <c r="N74" s="485">
        <f t="shared" si="11"/>
        <v>11875000</v>
      </c>
      <c r="O74" s="686"/>
      <c r="P74" s="551"/>
    </row>
    <row r="75" spans="1:16" ht="12" customHeight="1">
      <c r="A75" s="489">
        <v>4</v>
      </c>
      <c r="B75" s="169" t="s">
        <v>78</v>
      </c>
      <c r="C75" s="166">
        <v>80000000</v>
      </c>
      <c r="D75" s="214" t="s">
        <v>110</v>
      </c>
      <c r="E75" s="167">
        <v>11000000</v>
      </c>
      <c r="F75" s="491" t="s">
        <v>109</v>
      </c>
      <c r="G75" s="492">
        <v>43580</v>
      </c>
      <c r="H75" s="168">
        <f>29275000+25799900+8675000</f>
        <v>63749900</v>
      </c>
      <c r="I75" s="483">
        <f t="shared" si="9"/>
        <v>79.687375</v>
      </c>
      <c r="J75" s="168">
        <f>29275000+25799900+8675000</f>
        <v>63749900</v>
      </c>
      <c r="K75" s="166">
        <f t="shared" si="10"/>
        <v>79.687375</v>
      </c>
      <c r="L75" s="718">
        <v>100</v>
      </c>
      <c r="M75" s="167">
        <f t="shared" si="12"/>
        <v>79.687375</v>
      </c>
      <c r="N75" s="485">
        <f t="shared" si="11"/>
        <v>16250100</v>
      </c>
      <c r="O75" s="686"/>
      <c r="P75" s="551"/>
    </row>
    <row r="76" spans="1:16" ht="12" customHeight="1">
      <c r="A76" s="489">
        <v>5</v>
      </c>
      <c r="B76" s="169" t="s">
        <v>79</v>
      </c>
      <c r="C76" s="166">
        <v>50000000</v>
      </c>
      <c r="D76" s="214"/>
      <c r="E76" s="167"/>
      <c r="F76" s="491"/>
      <c r="G76" s="492"/>
      <c r="H76" s="168">
        <f>10775000+4950000+550000+14850000</f>
        <v>31125000</v>
      </c>
      <c r="I76" s="483">
        <f t="shared" si="9"/>
        <v>62.25000000000001</v>
      </c>
      <c r="J76" s="168">
        <f>10775000+4950000+550000+14850000</f>
        <v>31125000</v>
      </c>
      <c r="K76" s="166">
        <f t="shared" si="10"/>
        <v>62.25000000000001</v>
      </c>
      <c r="L76" s="718">
        <v>100</v>
      </c>
      <c r="M76" s="167">
        <f t="shared" si="12"/>
        <v>62.25000000000001</v>
      </c>
      <c r="N76" s="485">
        <f t="shared" si="11"/>
        <v>18875000</v>
      </c>
      <c r="O76" s="686"/>
      <c r="P76" s="551"/>
    </row>
    <row r="77" spans="1:16" ht="12" customHeight="1">
      <c r="A77" s="489">
        <v>6</v>
      </c>
      <c r="B77" s="169" t="s">
        <v>60</v>
      </c>
      <c r="C77" s="166">
        <v>50000000</v>
      </c>
      <c r="D77" s="214"/>
      <c r="E77" s="167"/>
      <c r="F77" s="491"/>
      <c r="G77" s="492"/>
      <c r="H77" s="168">
        <f>20860166+1435000+2766631+21332373</f>
        <v>46394170</v>
      </c>
      <c r="I77" s="483">
        <f t="shared" si="9"/>
        <v>92.78834</v>
      </c>
      <c r="J77" s="168">
        <f>20860166+1435000+2766631+21332373</f>
        <v>46394170</v>
      </c>
      <c r="K77" s="166">
        <f t="shared" si="10"/>
        <v>92.78834</v>
      </c>
      <c r="L77" s="718">
        <v>100</v>
      </c>
      <c r="M77" s="167">
        <f t="shared" si="12"/>
        <v>92.78834</v>
      </c>
      <c r="N77" s="485">
        <f t="shared" si="11"/>
        <v>3605830</v>
      </c>
      <c r="O77" s="686"/>
      <c r="P77" s="551"/>
    </row>
    <row r="78" spans="1:16" ht="12" customHeight="1">
      <c r="A78" s="493">
        <v>7</v>
      </c>
      <c r="B78" s="494" t="s">
        <v>61</v>
      </c>
      <c r="C78" s="495">
        <v>50000000</v>
      </c>
      <c r="D78" s="496"/>
      <c r="E78" s="497"/>
      <c r="F78" s="498"/>
      <c r="G78" s="499"/>
      <c r="H78" s="500">
        <v>48600000</v>
      </c>
      <c r="I78" s="483">
        <f t="shared" si="9"/>
        <v>97.2</v>
      </c>
      <c r="J78" s="500">
        <v>48600000</v>
      </c>
      <c r="K78" s="166">
        <f t="shared" si="10"/>
        <v>97.2</v>
      </c>
      <c r="L78" s="718">
        <v>100</v>
      </c>
      <c r="M78" s="167">
        <f t="shared" si="12"/>
        <v>97.2</v>
      </c>
      <c r="N78" s="485">
        <f t="shared" si="11"/>
        <v>1400000</v>
      </c>
      <c r="O78" s="686"/>
      <c r="P78" s="551"/>
    </row>
    <row r="79" spans="1:16" ht="12" customHeight="1">
      <c r="A79" s="489">
        <v>8</v>
      </c>
      <c r="B79" s="494" t="s">
        <v>85</v>
      </c>
      <c r="C79" s="495">
        <v>156700000</v>
      </c>
      <c r="D79" s="496"/>
      <c r="E79" s="497"/>
      <c r="F79" s="498"/>
      <c r="G79" s="499"/>
      <c r="H79" s="500">
        <f>149501000+4700000</f>
        <v>154201000</v>
      </c>
      <c r="I79" s="483">
        <f t="shared" si="9"/>
        <v>98.40523292916401</v>
      </c>
      <c r="J79" s="500">
        <f>149501000+4700000</f>
        <v>154201000</v>
      </c>
      <c r="K79" s="166">
        <f t="shared" si="10"/>
        <v>98.40523292916401</v>
      </c>
      <c r="L79" s="718">
        <v>100</v>
      </c>
      <c r="M79" s="167">
        <f t="shared" si="12"/>
        <v>98.40523292916401</v>
      </c>
      <c r="N79" s="485">
        <f t="shared" si="11"/>
        <v>2499000</v>
      </c>
      <c r="O79" s="686"/>
      <c r="P79" s="551"/>
    </row>
    <row r="80" spans="1:16" ht="12" customHeight="1">
      <c r="A80" s="493"/>
      <c r="B80" s="494"/>
      <c r="C80" s="495"/>
      <c r="D80" s="501" t="s">
        <v>154</v>
      </c>
      <c r="E80" s="502">
        <v>149501000</v>
      </c>
      <c r="F80" s="503" t="s">
        <v>156</v>
      </c>
      <c r="G80" s="504" t="s">
        <v>155</v>
      </c>
      <c r="H80" s="505"/>
      <c r="I80" s="506"/>
      <c r="J80" s="505"/>
      <c r="K80" s="166"/>
      <c r="L80" s="718"/>
      <c r="M80" s="167"/>
      <c r="N80" s="485"/>
      <c r="O80" s="686"/>
      <c r="P80" s="551"/>
    </row>
    <row r="81" spans="1:16" ht="14.25" customHeight="1">
      <c r="A81" s="493">
        <v>9</v>
      </c>
      <c r="B81" s="507" t="s">
        <v>80</v>
      </c>
      <c r="C81" s="508">
        <v>140000000</v>
      </c>
      <c r="D81" s="509"/>
      <c r="E81" s="510">
        <v>0</v>
      </c>
      <c r="F81" s="511"/>
      <c r="G81" s="512"/>
      <c r="H81" s="508">
        <f>108166000+2350000</f>
        <v>110516000</v>
      </c>
      <c r="I81" s="525">
        <f>(H81)/C81*100</f>
        <v>78.94</v>
      </c>
      <c r="J81" s="508">
        <f>108166000+2350000</f>
        <v>110516000</v>
      </c>
      <c r="K81" s="168">
        <f>(J81+J82)/C81*100</f>
        <v>78.94</v>
      </c>
      <c r="L81" s="718">
        <v>100</v>
      </c>
      <c r="M81" s="167">
        <f>(J81+J82)/C81*100</f>
        <v>78.94</v>
      </c>
      <c r="N81" s="508">
        <f>C81-J81-J82</f>
        <v>29484000</v>
      </c>
      <c r="O81" s="686"/>
      <c r="P81" s="551"/>
    </row>
    <row r="82" spans="1:16" ht="14.25" customHeight="1">
      <c r="A82" s="493"/>
      <c r="B82" s="507"/>
      <c r="C82" s="508"/>
      <c r="D82" s="515" t="s">
        <v>140</v>
      </c>
      <c r="E82" s="510">
        <v>85930000</v>
      </c>
      <c r="F82" s="516" t="s">
        <v>141</v>
      </c>
      <c r="G82" s="512">
        <v>43556</v>
      </c>
      <c r="H82" s="510"/>
      <c r="I82" s="483"/>
      <c r="J82" s="510"/>
      <c r="K82" s="166"/>
      <c r="L82" s="718"/>
      <c r="M82" s="167"/>
      <c r="N82" s="508"/>
      <c r="O82" s="686"/>
      <c r="P82" s="551"/>
    </row>
    <row r="83" spans="1:16" ht="12" customHeight="1">
      <c r="A83" s="489">
        <v>10</v>
      </c>
      <c r="B83" s="169" t="s">
        <v>62</v>
      </c>
      <c r="C83" s="166">
        <v>58775000</v>
      </c>
      <c r="D83" s="214"/>
      <c r="E83" s="166"/>
      <c r="F83" s="491"/>
      <c r="G83" s="492"/>
      <c r="H83" s="168">
        <f>14545000+25830000+16750000</f>
        <v>57125000</v>
      </c>
      <c r="I83" s="483">
        <f>+H83/C83*100</f>
        <v>97.19268396427051</v>
      </c>
      <c r="J83" s="168">
        <f>14545000+25830000+16750000</f>
        <v>57125000</v>
      </c>
      <c r="K83" s="166">
        <f>+J83/C83*100</f>
        <v>97.19268396427051</v>
      </c>
      <c r="L83" s="718">
        <v>100</v>
      </c>
      <c r="M83" s="167">
        <f>+J83/C83*100</f>
        <v>97.19268396427051</v>
      </c>
      <c r="N83" s="485">
        <f aca="true" t="shared" si="13" ref="N83:N93">C83-J83</f>
        <v>1650000</v>
      </c>
      <c r="O83" s="686"/>
      <c r="P83" s="551"/>
    </row>
    <row r="84" spans="1:16" ht="12" customHeight="1">
      <c r="A84" s="493">
        <v>11</v>
      </c>
      <c r="B84" s="169" t="s">
        <v>81</v>
      </c>
      <c r="C84" s="517">
        <v>18950000</v>
      </c>
      <c r="D84" s="518"/>
      <c r="E84" s="166"/>
      <c r="F84" s="491"/>
      <c r="G84" s="492"/>
      <c r="H84" s="168">
        <v>15150000</v>
      </c>
      <c r="I84" s="483">
        <f>+H84/C84*100</f>
        <v>79.94722955145119</v>
      </c>
      <c r="J84" s="168">
        <v>15150000</v>
      </c>
      <c r="K84" s="166">
        <f>+J84/C84*100</f>
        <v>79.94722955145119</v>
      </c>
      <c r="L84" s="718">
        <v>100</v>
      </c>
      <c r="M84" s="167">
        <f>+J84/C84*100</f>
        <v>79.94722955145119</v>
      </c>
      <c r="N84" s="485">
        <f t="shared" si="13"/>
        <v>3800000</v>
      </c>
      <c r="O84" s="686"/>
      <c r="P84" s="551"/>
    </row>
    <row r="85" spans="1:16" ht="12" customHeight="1">
      <c r="A85" s="489">
        <v>12</v>
      </c>
      <c r="B85" s="169" t="s">
        <v>55</v>
      </c>
      <c r="C85" s="517">
        <v>21000000</v>
      </c>
      <c r="D85" s="518"/>
      <c r="E85" s="166"/>
      <c r="F85" s="491"/>
      <c r="G85" s="492"/>
      <c r="H85" s="168">
        <f>12900000+3925000</f>
        <v>16825000</v>
      </c>
      <c r="I85" s="483">
        <f>+H85/C85*100</f>
        <v>80.11904761904762</v>
      </c>
      <c r="J85" s="168">
        <f>12900000+3925000</f>
        <v>16825000</v>
      </c>
      <c r="K85" s="166">
        <f>+J85/C85*100</f>
        <v>80.11904761904762</v>
      </c>
      <c r="L85" s="718">
        <v>100</v>
      </c>
      <c r="M85" s="167">
        <f>+J85/C85*100</f>
        <v>80.11904761904762</v>
      </c>
      <c r="N85" s="485">
        <f t="shared" si="13"/>
        <v>4175000</v>
      </c>
      <c r="O85" s="686"/>
      <c r="P85" s="551"/>
    </row>
    <row r="86" spans="1:16" ht="12" customHeight="1">
      <c r="A86" s="519"/>
      <c r="B86" s="520"/>
      <c r="C86" s="521"/>
      <c r="D86" s="522"/>
      <c r="E86" s="523"/>
      <c r="F86" s="491"/>
      <c r="G86" s="492"/>
      <c r="H86" s="524"/>
      <c r="I86" s="525"/>
      <c r="J86" s="524"/>
      <c r="K86" s="168"/>
      <c r="L86" s="716"/>
      <c r="M86" s="168"/>
      <c r="N86" s="485">
        <f t="shared" si="13"/>
        <v>0</v>
      </c>
      <c r="O86" s="686"/>
      <c r="P86" s="551"/>
    </row>
    <row r="87" spans="1:16" ht="12" customHeight="1">
      <c r="A87" s="527">
        <v>6</v>
      </c>
      <c r="B87" s="528" t="s">
        <v>63</v>
      </c>
      <c r="C87" s="529">
        <f>C88+C89+C90</f>
        <v>386507853</v>
      </c>
      <c r="D87" s="530"/>
      <c r="E87" s="529">
        <f>E88+E89+E90</f>
        <v>0</v>
      </c>
      <c r="F87" s="530"/>
      <c r="G87" s="531"/>
      <c r="H87" s="532">
        <f>SUM(H88:H90)</f>
        <v>368766500</v>
      </c>
      <c r="I87" s="543">
        <f>+H87/C87*100</f>
        <v>95.40983375569344</v>
      </c>
      <c r="J87" s="532">
        <f>SUM(J88:J90)</f>
        <v>368766500</v>
      </c>
      <c r="K87" s="639">
        <f>+J87/C87*100</f>
        <v>95.40983375569344</v>
      </c>
      <c r="L87" s="718">
        <v>100</v>
      </c>
      <c r="M87" s="545">
        <f>+J87/C87*100</f>
        <v>95.40983375569344</v>
      </c>
      <c r="N87" s="670">
        <f t="shared" si="13"/>
        <v>17741353</v>
      </c>
      <c r="O87" s="748"/>
      <c r="P87" s="688"/>
    </row>
    <row r="88" spans="1:16" ht="12" customHeight="1">
      <c r="A88" s="489">
        <v>1</v>
      </c>
      <c r="B88" s="169" t="s">
        <v>64</v>
      </c>
      <c r="C88" s="517">
        <v>50000000</v>
      </c>
      <c r="D88" s="518"/>
      <c r="E88" s="517"/>
      <c r="F88" s="491"/>
      <c r="G88" s="492"/>
      <c r="H88" s="517">
        <f>37223000+3525000+5525000</f>
        <v>46273000</v>
      </c>
      <c r="I88" s="483">
        <f>+H88/C88*100</f>
        <v>92.54599999999999</v>
      </c>
      <c r="J88" s="517">
        <f>37223000+3525000+5525000</f>
        <v>46273000</v>
      </c>
      <c r="K88" s="166">
        <f>+J88/C88*100</f>
        <v>92.54599999999999</v>
      </c>
      <c r="L88" s="718">
        <v>100</v>
      </c>
      <c r="M88" s="167">
        <f>+J88/C88*100</f>
        <v>92.54599999999999</v>
      </c>
      <c r="N88" s="485">
        <f t="shared" si="13"/>
        <v>3727000</v>
      </c>
      <c r="O88" s="686"/>
      <c r="P88" s="551"/>
    </row>
    <row r="89" spans="1:16" ht="12" customHeight="1">
      <c r="A89" s="489">
        <v>2</v>
      </c>
      <c r="B89" s="169" t="s">
        <v>65</v>
      </c>
      <c r="C89" s="517">
        <v>35000000</v>
      </c>
      <c r="D89" s="518"/>
      <c r="E89" s="523"/>
      <c r="F89" s="491"/>
      <c r="G89" s="492"/>
      <c r="H89" s="517">
        <f>8946000+20250000</f>
        <v>29196000</v>
      </c>
      <c r="I89" s="483">
        <f>+H89/C89*100</f>
        <v>83.41714285714286</v>
      </c>
      <c r="J89" s="517">
        <f>8946000+20250000</f>
        <v>29196000</v>
      </c>
      <c r="K89" s="166">
        <f>+J89/C89*100</f>
        <v>83.41714285714286</v>
      </c>
      <c r="L89" s="718">
        <v>100</v>
      </c>
      <c r="M89" s="167">
        <f>+J89/C89*100</f>
        <v>83.41714285714286</v>
      </c>
      <c r="N89" s="485">
        <f t="shared" si="13"/>
        <v>5804000</v>
      </c>
      <c r="O89" s="686"/>
      <c r="P89" s="551"/>
    </row>
    <row r="90" spans="1:16" ht="12" customHeight="1">
      <c r="A90" s="489">
        <v>3</v>
      </c>
      <c r="B90" s="169" t="s">
        <v>66</v>
      </c>
      <c r="C90" s="166">
        <v>301507853</v>
      </c>
      <c r="D90" s="214"/>
      <c r="E90" s="166"/>
      <c r="F90" s="491"/>
      <c r="G90" s="492"/>
      <c r="H90" s="166">
        <f>236275000+4450000+3750000+45447500+300000+3075000</f>
        <v>293297500</v>
      </c>
      <c r="I90" s="483">
        <f>+H90/C90*100</f>
        <v>97.27690243610338</v>
      </c>
      <c r="J90" s="166">
        <f>236275000+4450000+3750000+45447500+300000+3075000</f>
        <v>293297500</v>
      </c>
      <c r="K90" s="166">
        <f>+J90/C90*100</f>
        <v>97.27690243610338</v>
      </c>
      <c r="L90" s="718">
        <v>100</v>
      </c>
      <c r="M90" s="167">
        <f>+J90/C90*100</f>
        <v>97.27690243610338</v>
      </c>
      <c r="N90" s="485">
        <f t="shared" si="13"/>
        <v>8210353</v>
      </c>
      <c r="O90" s="686"/>
      <c r="P90" s="551"/>
    </row>
    <row r="91" spans="1:16" ht="12" customHeight="1">
      <c r="A91" s="533"/>
      <c r="B91" s="534"/>
      <c r="C91" s="535"/>
      <c r="D91" s="536"/>
      <c r="E91" s="535"/>
      <c r="F91" s="537"/>
      <c r="G91" s="538"/>
      <c r="H91" s="535">
        <v>0</v>
      </c>
      <c r="I91" s="539"/>
      <c r="J91" s="535"/>
      <c r="K91" s="540"/>
      <c r="L91" s="541"/>
      <c r="M91" s="542"/>
      <c r="N91" s="485">
        <f t="shared" si="13"/>
        <v>0</v>
      </c>
      <c r="O91" s="686"/>
      <c r="P91" s="551"/>
    </row>
    <row r="92" spans="1:16" ht="12" customHeight="1">
      <c r="A92" s="527">
        <v>7</v>
      </c>
      <c r="B92" s="528" t="s">
        <v>67</v>
      </c>
      <c r="C92" s="532">
        <f>C93+C94</f>
        <v>520000000</v>
      </c>
      <c r="D92" s="567"/>
      <c r="E92" s="532">
        <f>SUM(E93:E102)</f>
        <v>503968000</v>
      </c>
      <c r="F92" s="567"/>
      <c r="G92" s="568"/>
      <c r="H92" s="532">
        <f>SUM(H93+H94)</f>
        <v>505018000</v>
      </c>
      <c r="I92" s="684">
        <f>+H92/C92*100</f>
        <v>97.11884615384615</v>
      </c>
      <c r="J92" s="532">
        <f>SUM(J93+J94)</f>
        <v>505018000</v>
      </c>
      <c r="K92" s="552">
        <f>+J92/C92*100</f>
        <v>97.11884615384615</v>
      </c>
      <c r="L92" s="545">
        <v>100</v>
      </c>
      <c r="M92" s="545">
        <f>J92/C92*100</f>
        <v>97.11884615384615</v>
      </c>
      <c r="N92" s="485">
        <f t="shared" si="13"/>
        <v>14982000</v>
      </c>
      <c r="O92" s="686"/>
      <c r="P92" s="551"/>
    </row>
    <row r="93" spans="1:16" ht="12" customHeight="1">
      <c r="A93" s="519">
        <v>1</v>
      </c>
      <c r="B93" s="169" t="s">
        <v>68</v>
      </c>
      <c r="C93" s="166">
        <v>100000000</v>
      </c>
      <c r="D93" s="546" t="s">
        <v>129</v>
      </c>
      <c r="E93" s="521">
        <v>98395000</v>
      </c>
      <c r="F93" s="546" t="s">
        <v>128</v>
      </c>
      <c r="G93" s="547" t="s">
        <v>127</v>
      </c>
      <c r="H93" s="166">
        <v>99445000</v>
      </c>
      <c r="I93" s="483">
        <f>+H93/C93*100</f>
        <v>99.445</v>
      </c>
      <c r="J93" s="166">
        <v>99445000</v>
      </c>
      <c r="K93" s="166">
        <f>+J93/C93*100</f>
        <v>99.445</v>
      </c>
      <c r="L93" s="718">
        <v>100</v>
      </c>
      <c r="M93" s="167">
        <f>+J93/C93*100</f>
        <v>99.445</v>
      </c>
      <c r="N93" s="485">
        <f t="shared" si="13"/>
        <v>555000</v>
      </c>
      <c r="O93" s="686"/>
      <c r="P93" s="551"/>
    </row>
    <row r="94" spans="1:16" ht="12" customHeight="1">
      <c r="A94" s="519">
        <v>2</v>
      </c>
      <c r="B94" s="169" t="s">
        <v>69</v>
      </c>
      <c r="C94" s="166">
        <v>420000000</v>
      </c>
      <c r="D94" s="546"/>
      <c r="E94" s="521"/>
      <c r="F94" s="546"/>
      <c r="G94" s="547"/>
      <c r="H94" s="166">
        <f>SUM(H95+H96+H97+H98+H99+H100+H101+H102)</f>
        <v>405573000</v>
      </c>
      <c r="I94" s="483">
        <f>H94/C94*100</f>
        <v>96.565</v>
      </c>
      <c r="J94" s="166">
        <f>SUM(J95+J96+J97+J98+J99+J100+J101+J102)</f>
        <v>405573000</v>
      </c>
      <c r="K94" s="166">
        <f>J94/C94*100</f>
        <v>96.565</v>
      </c>
      <c r="L94" s="718">
        <v>100</v>
      </c>
      <c r="M94" s="167">
        <f>+J94/C94*100</f>
        <v>96.565</v>
      </c>
      <c r="N94" s="485">
        <f>C94-(J95+J96+J97+J98+J99+J100+J101+J102)</f>
        <v>14427000</v>
      </c>
      <c r="O94" s="686"/>
      <c r="P94" s="551"/>
    </row>
    <row r="95" spans="1:16" ht="12" customHeight="1">
      <c r="A95" s="519"/>
      <c r="B95" s="169"/>
      <c r="C95" s="166"/>
      <c r="D95" s="501" t="s">
        <v>136</v>
      </c>
      <c r="E95" s="166">
        <v>98188000</v>
      </c>
      <c r="F95" s="548" t="s">
        <v>134</v>
      </c>
      <c r="G95" s="492" t="s">
        <v>135</v>
      </c>
      <c r="H95" s="166">
        <v>98188000</v>
      </c>
      <c r="I95" s="725">
        <f>+H95/E95*100</f>
        <v>100</v>
      </c>
      <c r="J95" s="166">
        <v>98188000</v>
      </c>
      <c r="K95" s="725">
        <f>+J95/E95*100</f>
        <v>100</v>
      </c>
      <c r="L95" s="720"/>
      <c r="M95" s="167"/>
      <c r="N95" s="551"/>
      <c r="O95" s="686"/>
      <c r="P95" s="551"/>
    </row>
    <row r="96" spans="1:16" ht="12" customHeight="1">
      <c r="A96" s="519"/>
      <c r="B96" s="169"/>
      <c r="C96" s="166"/>
      <c r="D96" s="501" t="s">
        <v>145</v>
      </c>
      <c r="E96" s="166">
        <v>48230000</v>
      </c>
      <c r="F96" s="548" t="s">
        <v>144</v>
      </c>
      <c r="G96" s="512" t="s">
        <v>143</v>
      </c>
      <c r="H96" s="166">
        <v>48230000</v>
      </c>
      <c r="I96" s="725">
        <f aca="true" t="shared" si="14" ref="I96:I102">+H96/E96*100</f>
        <v>100</v>
      </c>
      <c r="J96" s="166">
        <v>48230000</v>
      </c>
      <c r="K96" s="725">
        <f aca="true" t="shared" si="15" ref="K96:K102">+J96/E96*100</f>
        <v>100</v>
      </c>
      <c r="L96" s="718"/>
      <c r="M96" s="167"/>
      <c r="N96" s="485"/>
      <c r="O96" s="686"/>
      <c r="P96" s="551"/>
    </row>
    <row r="97" spans="1:16" ht="12" customHeight="1">
      <c r="A97" s="519"/>
      <c r="B97" s="169"/>
      <c r="C97" s="166"/>
      <c r="D97" s="501" t="s">
        <v>142</v>
      </c>
      <c r="E97" s="166">
        <v>48150000</v>
      </c>
      <c r="F97" s="548" t="s">
        <v>146</v>
      </c>
      <c r="G97" s="512" t="s">
        <v>143</v>
      </c>
      <c r="H97" s="166">
        <v>48150000</v>
      </c>
      <c r="I97" s="725">
        <f t="shared" si="14"/>
        <v>100</v>
      </c>
      <c r="J97" s="166">
        <v>48150000</v>
      </c>
      <c r="K97" s="725">
        <f t="shared" si="15"/>
        <v>100</v>
      </c>
      <c r="L97" s="718"/>
      <c r="M97" s="167"/>
      <c r="N97" s="485"/>
      <c r="O97" s="686"/>
      <c r="P97" s="551"/>
    </row>
    <row r="98" spans="1:16" ht="12" customHeight="1">
      <c r="A98" s="519"/>
      <c r="B98" s="169"/>
      <c r="C98" s="166"/>
      <c r="D98" s="501" t="s">
        <v>147</v>
      </c>
      <c r="E98" s="166">
        <v>38280000</v>
      </c>
      <c r="F98" s="549" t="s">
        <v>148</v>
      </c>
      <c r="G98" s="512">
        <v>43556</v>
      </c>
      <c r="H98" s="166">
        <v>38280000</v>
      </c>
      <c r="I98" s="725">
        <f t="shared" si="14"/>
        <v>100</v>
      </c>
      <c r="J98" s="166">
        <v>38280000</v>
      </c>
      <c r="K98" s="725">
        <f t="shared" si="15"/>
        <v>100</v>
      </c>
      <c r="L98" s="718"/>
      <c r="M98" s="167"/>
      <c r="N98" s="485"/>
      <c r="O98" s="686"/>
      <c r="P98" s="551"/>
    </row>
    <row r="99" spans="1:16" ht="12" customHeight="1">
      <c r="A99" s="519"/>
      <c r="B99" s="169"/>
      <c r="C99" s="166"/>
      <c r="D99" s="501" t="s">
        <v>149</v>
      </c>
      <c r="E99" s="166">
        <v>48260000</v>
      </c>
      <c r="F99" s="549" t="s">
        <v>148</v>
      </c>
      <c r="G99" s="512">
        <v>43556</v>
      </c>
      <c r="H99" s="166">
        <v>48260000</v>
      </c>
      <c r="I99" s="725">
        <f t="shared" si="14"/>
        <v>100</v>
      </c>
      <c r="J99" s="166">
        <v>48260000</v>
      </c>
      <c r="K99" s="725">
        <f t="shared" si="15"/>
        <v>100</v>
      </c>
      <c r="L99" s="718"/>
      <c r="M99" s="167"/>
      <c r="N99" s="485"/>
      <c r="O99" s="686"/>
      <c r="P99" s="551"/>
    </row>
    <row r="100" spans="1:16" ht="12" customHeight="1">
      <c r="A100" s="519"/>
      <c r="B100" s="169"/>
      <c r="C100" s="166"/>
      <c r="D100" s="501" t="s">
        <v>150</v>
      </c>
      <c r="E100" s="166">
        <v>38170000</v>
      </c>
      <c r="F100" s="549" t="s">
        <v>148</v>
      </c>
      <c r="G100" s="512">
        <v>43556</v>
      </c>
      <c r="H100" s="166">
        <v>38170000</v>
      </c>
      <c r="I100" s="725">
        <f t="shared" si="14"/>
        <v>100</v>
      </c>
      <c r="J100" s="166">
        <v>38170000</v>
      </c>
      <c r="K100" s="725">
        <f t="shared" si="15"/>
        <v>100</v>
      </c>
      <c r="L100" s="718"/>
      <c r="M100" s="167"/>
      <c r="N100" s="485"/>
      <c r="O100" s="686"/>
      <c r="P100" s="551"/>
    </row>
    <row r="101" spans="1:16" ht="12" customHeight="1">
      <c r="A101" s="519"/>
      <c r="B101" s="169"/>
      <c r="C101" s="166"/>
      <c r="D101" s="501" t="s">
        <v>151</v>
      </c>
      <c r="E101" s="166">
        <v>48125000</v>
      </c>
      <c r="F101" s="550" t="s">
        <v>152</v>
      </c>
      <c r="G101" s="512">
        <v>43556</v>
      </c>
      <c r="H101" s="166">
        <v>48125000</v>
      </c>
      <c r="I101" s="725">
        <f t="shared" si="14"/>
        <v>100</v>
      </c>
      <c r="J101" s="166">
        <v>48125000</v>
      </c>
      <c r="K101" s="725">
        <f t="shared" si="15"/>
        <v>100</v>
      </c>
      <c r="L101" s="718"/>
      <c r="M101" s="167"/>
      <c r="N101" s="485"/>
      <c r="O101" s="686"/>
      <c r="P101" s="551"/>
    </row>
    <row r="102" spans="1:16" ht="12" customHeight="1">
      <c r="A102" s="519"/>
      <c r="B102" s="490"/>
      <c r="C102" s="166"/>
      <c r="D102" s="501" t="s">
        <v>153</v>
      </c>
      <c r="E102" s="166">
        <v>38170000</v>
      </c>
      <c r="F102" s="550" t="s">
        <v>152</v>
      </c>
      <c r="G102" s="512">
        <v>43556</v>
      </c>
      <c r="H102" s="166">
        <v>38170000</v>
      </c>
      <c r="I102" s="725">
        <f t="shared" si="14"/>
        <v>100</v>
      </c>
      <c r="J102" s="166">
        <v>38170000</v>
      </c>
      <c r="K102" s="725">
        <f t="shared" si="15"/>
        <v>100</v>
      </c>
      <c r="L102" s="718"/>
      <c r="M102" s="167"/>
      <c r="N102" s="485"/>
      <c r="O102" s="686"/>
      <c r="P102" s="551"/>
    </row>
    <row r="103" spans="1:16" ht="12" customHeight="1">
      <c r="A103" s="384"/>
      <c r="B103" s="490"/>
      <c r="C103" s="166"/>
      <c r="D103" s="166"/>
      <c r="E103" s="523"/>
      <c r="F103" s="491"/>
      <c r="G103" s="492"/>
      <c r="H103" s="168"/>
      <c r="I103" s="525"/>
      <c r="J103" s="168"/>
      <c r="K103" s="168"/>
      <c r="L103" s="168"/>
      <c r="M103" s="552"/>
      <c r="N103" s="485">
        <f>C102-J103</f>
        <v>0</v>
      </c>
      <c r="O103" s="686"/>
      <c r="P103" s="551"/>
    </row>
    <row r="104" spans="1:16" ht="12" customHeight="1">
      <c r="A104" s="666">
        <v>8</v>
      </c>
      <c r="B104" s="638" t="s">
        <v>70</v>
      </c>
      <c r="C104" s="667">
        <f>SUM(C105:C105)</f>
        <v>100000000</v>
      </c>
      <c r="D104" s="668"/>
      <c r="E104" s="667">
        <f>SUM(E105:E105)</f>
        <v>0</v>
      </c>
      <c r="F104" s="668"/>
      <c r="G104" s="669"/>
      <c r="H104" s="639">
        <f>SUM(H105:H105)</f>
        <v>91141083</v>
      </c>
      <c r="I104" s="543">
        <f>+H104/C104*100</f>
        <v>91.141083</v>
      </c>
      <c r="J104" s="639">
        <f>SUM(J105:J105)</f>
        <v>91141083</v>
      </c>
      <c r="K104" s="639">
        <f>+J104/C104*100</f>
        <v>91.141083</v>
      </c>
      <c r="L104" s="718">
        <v>100</v>
      </c>
      <c r="M104" s="545">
        <f>+J104/C104*100</f>
        <v>91.141083</v>
      </c>
      <c r="N104" s="670">
        <f>C104-J104</f>
        <v>8858917</v>
      </c>
      <c r="O104" s="686"/>
      <c r="P104" s="551"/>
    </row>
    <row r="105" spans="1:16" ht="12" customHeight="1">
      <c r="A105" s="475"/>
      <c r="B105" s="742" t="s">
        <v>169</v>
      </c>
      <c r="C105" s="743">
        <v>100000000</v>
      </c>
      <c r="D105" s="744"/>
      <c r="E105" s="167"/>
      <c r="F105" s="491"/>
      <c r="G105" s="492"/>
      <c r="H105" s="745">
        <f>1400000+47496500+39187481+3057102</f>
        <v>91141083</v>
      </c>
      <c r="I105" s="483">
        <f>+H105/C105*100</f>
        <v>91.141083</v>
      </c>
      <c r="J105" s="745">
        <f>1400000+47496500+39187481+3057102</f>
        <v>91141083</v>
      </c>
      <c r="K105" s="166">
        <f>+J105/C105*100</f>
        <v>91.141083</v>
      </c>
      <c r="L105" s="718">
        <v>100</v>
      </c>
      <c r="M105" s="167">
        <f>+J105/C105*100</f>
        <v>91.141083</v>
      </c>
      <c r="N105" s="485">
        <f>C105-J105</f>
        <v>8858917</v>
      </c>
      <c r="O105" s="686"/>
      <c r="P105" s="551"/>
    </row>
    <row r="106" spans="1:16" ht="12" customHeight="1" thickBot="1">
      <c r="A106" s="489"/>
      <c r="B106" s="672"/>
      <c r="C106" s="673"/>
      <c r="D106" s="674"/>
      <c r="E106" s="167"/>
      <c r="F106" s="491"/>
      <c r="G106" s="492"/>
      <c r="H106" s="675"/>
      <c r="I106" s="676"/>
      <c r="J106" s="677"/>
      <c r="K106" s="678"/>
      <c r="L106" s="678"/>
      <c r="M106" s="678"/>
      <c r="N106" s="679"/>
      <c r="O106" s="740"/>
      <c r="P106" s="551"/>
    </row>
    <row r="107" spans="1:15" ht="18.75" customHeight="1" thickBot="1">
      <c r="A107" s="671"/>
      <c r="B107" s="103"/>
      <c r="C107" s="609">
        <f>C11+C25</f>
        <v>13112358353</v>
      </c>
      <c r="D107" s="609"/>
      <c r="E107" s="609">
        <f>+E11+E25</f>
        <v>3773115804</v>
      </c>
      <c r="F107" s="609">
        <f>F26+F39+F49+F52+F71+F87+F92+F104</f>
        <v>0</v>
      </c>
      <c r="G107" s="610"/>
      <c r="H107" s="611">
        <f>+H11+H25</f>
        <v>10548936158</v>
      </c>
      <c r="I107" s="608">
        <f>+H107/C107*100</f>
        <v>80.45033451657069</v>
      </c>
      <c r="J107" s="612">
        <f>+J11+J25</f>
        <v>10548936158</v>
      </c>
      <c r="K107" s="607">
        <f>+J107/C107*100</f>
        <v>80.45033451657069</v>
      </c>
      <c r="L107" s="721">
        <v>100</v>
      </c>
      <c r="M107" s="607">
        <f>+J107/C107*100</f>
        <v>80.45033451657069</v>
      </c>
      <c r="N107" s="614">
        <f>N11+N25</f>
        <v>2563422195</v>
      </c>
      <c r="O107" s="606"/>
    </row>
    <row r="108" spans="1:15" ht="12" customHeight="1">
      <c r="A108" s="758"/>
      <c r="B108" s="127"/>
      <c r="C108" s="759"/>
      <c r="D108" s="759"/>
      <c r="E108" s="759"/>
      <c r="F108" s="759"/>
      <c r="G108" s="760"/>
      <c r="H108" s="759"/>
      <c r="I108" s="761"/>
      <c r="J108" s="759"/>
      <c r="K108" s="762"/>
      <c r="L108" s="763"/>
      <c r="M108" s="762"/>
      <c r="N108" s="759"/>
      <c r="O108" s="764"/>
    </row>
    <row r="109" spans="1:14" ht="12" customHeight="1">
      <c r="A109" s="126"/>
      <c r="B109" s="135"/>
      <c r="C109" s="136"/>
      <c r="D109" s="208"/>
      <c r="E109" s="60"/>
      <c r="F109" s="207"/>
      <c r="G109" s="244"/>
      <c r="H109" s="44"/>
      <c r="I109" s="738"/>
      <c r="J109" s="1"/>
      <c r="K109" s="117"/>
      <c r="L109" s="722" t="s">
        <v>181</v>
      </c>
      <c r="M109" s="117"/>
      <c r="N109" s="117"/>
    </row>
    <row r="110" spans="1:14" ht="12" customHeight="1">
      <c r="A110" s="126"/>
      <c r="B110" s="138"/>
      <c r="C110" s="84"/>
      <c r="D110" s="199"/>
      <c r="E110" s="139"/>
      <c r="F110" s="207"/>
      <c r="G110" s="244"/>
      <c r="H110" s="45"/>
      <c r="I110" s="317"/>
      <c r="J110" s="1"/>
      <c r="K110" s="738"/>
      <c r="L110" s="317" t="s">
        <v>73</v>
      </c>
      <c r="M110" s="738"/>
      <c r="N110" s="738"/>
    </row>
    <row r="111" spans="1:14" ht="12" customHeight="1">
      <c r="A111" s="126"/>
      <c r="B111" s="105" t="s">
        <v>82</v>
      </c>
      <c r="C111" s="106">
        <f>H107/C107*100</f>
        <v>80.45033451657069</v>
      </c>
      <c r="D111" s="222"/>
      <c r="E111" s="60"/>
      <c r="F111" s="208"/>
      <c r="G111" s="224"/>
      <c r="H111" s="44"/>
      <c r="I111" s="738"/>
      <c r="J111" s="1"/>
      <c r="K111" s="738"/>
      <c r="L111" s="317" t="s">
        <v>72</v>
      </c>
      <c r="M111" s="738"/>
      <c r="N111" s="738"/>
    </row>
    <row r="112" spans="1:14" ht="12" customHeight="1">
      <c r="A112" s="126"/>
      <c r="B112" s="105"/>
      <c r="C112" s="106"/>
      <c r="D112" s="222"/>
      <c r="E112" s="60"/>
      <c r="F112" s="208"/>
      <c r="G112" s="224"/>
      <c r="H112" s="44"/>
      <c r="I112" s="738"/>
      <c r="J112" s="1"/>
      <c r="K112" s="738"/>
      <c r="L112" s="317"/>
      <c r="M112" s="738"/>
      <c r="N112" s="738"/>
    </row>
    <row r="113" spans="1:14" ht="12" customHeight="1">
      <c r="A113" s="126"/>
      <c r="B113" s="140"/>
      <c r="C113" s="141"/>
      <c r="D113" s="223"/>
      <c r="E113" s="60"/>
      <c r="F113" s="208"/>
      <c r="G113" s="224"/>
      <c r="H113" s="44"/>
      <c r="I113" s="738"/>
      <c r="J113" s="1"/>
      <c r="K113" s="738"/>
      <c r="L113" s="317"/>
      <c r="M113" s="738"/>
      <c r="N113" s="738"/>
    </row>
    <row r="114" spans="1:14" ht="12" customHeight="1">
      <c r="A114" s="126"/>
      <c r="B114" s="128"/>
      <c r="C114" s="84"/>
      <c r="D114" s="199"/>
      <c r="E114" s="60"/>
      <c r="F114" s="207"/>
      <c r="G114" s="244"/>
      <c r="H114" s="46"/>
      <c r="I114" s="738"/>
      <c r="J114" s="108"/>
      <c r="K114" s="108"/>
      <c r="L114" s="723" t="s">
        <v>74</v>
      </c>
      <c r="M114" s="1"/>
      <c r="N114" s="1"/>
    </row>
    <row r="115" spans="1:14" ht="12" customHeight="1">
      <c r="A115" s="126"/>
      <c r="B115" s="127"/>
      <c r="C115" s="84"/>
      <c r="D115" s="199"/>
      <c r="E115" s="60"/>
      <c r="F115" s="187"/>
      <c r="G115" s="224"/>
      <c r="H115" s="46"/>
      <c r="I115" s="738"/>
      <c r="J115" s="738"/>
      <c r="K115" s="738"/>
      <c r="L115" s="317" t="s">
        <v>75</v>
      </c>
      <c r="M115" s="1"/>
      <c r="N115" s="1"/>
    </row>
    <row r="116" spans="1:14" ht="12" customHeight="1">
      <c r="A116" s="151"/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724"/>
      <c r="M116" s="151"/>
      <c r="N116" s="151"/>
    </row>
    <row r="117" spans="1:12" ht="12" customHeight="1">
      <c r="A117" s="738"/>
      <c r="L117" s="298"/>
    </row>
  </sheetData>
  <sheetProtection/>
  <mergeCells count="38">
    <mergeCell ref="N59:N61"/>
    <mergeCell ref="O59:O61"/>
    <mergeCell ref="H60:H61"/>
    <mergeCell ref="I60:I61"/>
    <mergeCell ref="J60:J61"/>
    <mergeCell ref="K60:K61"/>
    <mergeCell ref="L60:L61"/>
    <mergeCell ref="M60:M61"/>
    <mergeCell ref="M8:M9"/>
    <mergeCell ref="A59:A61"/>
    <mergeCell ref="B59:B61"/>
    <mergeCell ref="C59:C61"/>
    <mergeCell ref="D59:D61"/>
    <mergeCell ref="E59:E61"/>
    <mergeCell ref="F59:F61"/>
    <mergeCell ref="G59:G61"/>
    <mergeCell ref="H59:K59"/>
    <mergeCell ref="L59:M59"/>
    <mergeCell ref="G7:G9"/>
    <mergeCell ref="H7:K7"/>
    <mergeCell ref="L7:M7"/>
    <mergeCell ref="N7:N9"/>
    <mergeCell ref="O7:O9"/>
    <mergeCell ref="H8:H9"/>
    <mergeCell ref="I8:I9"/>
    <mergeCell ref="J8:J9"/>
    <mergeCell ref="K8:K9"/>
    <mergeCell ref="L8:L9"/>
    <mergeCell ref="A1:N1"/>
    <mergeCell ref="A2:N2"/>
    <mergeCell ref="A3:N3"/>
    <mergeCell ref="A5:B5"/>
    <mergeCell ref="A7:A9"/>
    <mergeCell ref="B7:B9"/>
    <mergeCell ref="C7:C9"/>
    <mergeCell ref="D7:D9"/>
    <mergeCell ref="E7:E9"/>
    <mergeCell ref="F7:F9"/>
  </mergeCells>
  <printOptions horizontalCentered="1"/>
  <pageMargins left="0.45" right="0.7" top="0.75" bottom="0.5" header="0.3" footer="0.3"/>
  <pageSetup orientation="landscape" paperSize="5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25"/>
  <sheetViews>
    <sheetView view="pageBreakPreview" zoomScaleSheetLayoutView="100" zoomScalePageLayoutView="0" workbookViewId="0" topLeftCell="A100">
      <selection activeCell="J111" sqref="J111:N112"/>
    </sheetView>
  </sheetViews>
  <sheetFormatPr defaultColWidth="9.140625" defaultRowHeight="12.75"/>
  <cols>
    <col min="1" max="1" width="4.7109375" style="0" customWidth="1"/>
    <col min="2" max="2" width="43.8515625" style="0" customWidth="1"/>
    <col min="3" max="3" width="14.421875" style="0" customWidth="1"/>
    <col min="4" max="4" width="23.7109375" style="0" customWidth="1"/>
    <col min="5" max="5" width="13.8515625" style="0" customWidth="1"/>
    <col min="6" max="6" width="14.7109375" style="0" customWidth="1"/>
    <col min="7" max="7" width="12.28125" style="0" customWidth="1"/>
    <col min="8" max="8" width="15.57421875" style="0" customWidth="1"/>
    <col min="9" max="9" width="6.00390625" style="0" customWidth="1"/>
    <col min="10" max="10" width="15.28125" style="0" customWidth="1"/>
    <col min="11" max="11" width="6.00390625" style="0" customWidth="1"/>
    <col min="12" max="12" width="5.421875" style="0" customWidth="1"/>
    <col min="13" max="13" width="5.57421875" style="0" customWidth="1"/>
    <col min="14" max="14" width="16.00390625" style="0" customWidth="1"/>
    <col min="15" max="15" width="14.421875" style="0" customWidth="1"/>
    <col min="18" max="18" width="16.421875" style="0" customWidth="1"/>
  </cols>
  <sheetData>
    <row r="1" spans="1:14" ht="15.75">
      <c r="A1" s="811" t="s">
        <v>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</row>
    <row r="2" spans="1:14" ht="12.75">
      <c r="A2" s="812" t="s">
        <v>83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</row>
    <row r="3" spans="1:14" ht="12.75">
      <c r="A3" s="832" t="s">
        <v>77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</row>
    <row r="4" spans="1:14" ht="12.75">
      <c r="A4" s="558" t="s">
        <v>1</v>
      </c>
      <c r="B4" s="558"/>
      <c r="C4" s="59"/>
      <c r="D4" s="188"/>
      <c r="E4" s="59"/>
      <c r="F4" s="188"/>
      <c r="G4" s="225"/>
      <c r="H4" s="59"/>
      <c r="I4" s="59"/>
      <c r="J4" s="59"/>
      <c r="K4" s="59"/>
      <c r="L4" s="709"/>
      <c r="M4" s="59"/>
      <c r="N4" s="59"/>
    </row>
    <row r="5" spans="1:14" ht="12.75">
      <c r="A5" s="833" t="s">
        <v>183</v>
      </c>
      <c r="B5" s="833"/>
      <c r="C5" s="59"/>
      <c r="D5" s="188"/>
      <c r="E5" s="59"/>
      <c r="F5" s="188"/>
      <c r="G5" s="225"/>
      <c r="H5" s="59"/>
      <c r="I5" s="59"/>
      <c r="J5" s="59"/>
      <c r="K5" s="59"/>
      <c r="L5" s="709"/>
      <c r="M5" s="59"/>
      <c r="N5" s="59"/>
    </row>
    <row r="6" spans="1:15" ht="12.75">
      <c r="A6" s="808" t="s">
        <v>2</v>
      </c>
      <c r="B6" s="808" t="s">
        <v>3</v>
      </c>
      <c r="C6" s="808" t="s">
        <v>168</v>
      </c>
      <c r="D6" s="820" t="s">
        <v>104</v>
      </c>
      <c r="E6" s="808" t="s">
        <v>5</v>
      </c>
      <c r="F6" s="820" t="s">
        <v>6</v>
      </c>
      <c r="G6" s="824" t="s">
        <v>105</v>
      </c>
      <c r="H6" s="816" t="s">
        <v>7</v>
      </c>
      <c r="I6" s="817"/>
      <c r="J6" s="817"/>
      <c r="K6" s="818"/>
      <c r="L6" s="816" t="s">
        <v>8</v>
      </c>
      <c r="M6" s="818"/>
      <c r="N6" s="805" t="s">
        <v>87</v>
      </c>
      <c r="O6" s="827" t="s">
        <v>9</v>
      </c>
    </row>
    <row r="7" spans="1:15" ht="12.75">
      <c r="A7" s="806"/>
      <c r="B7" s="806"/>
      <c r="C7" s="806"/>
      <c r="D7" s="821"/>
      <c r="E7" s="814"/>
      <c r="F7" s="821"/>
      <c r="G7" s="825"/>
      <c r="H7" s="809" t="s">
        <v>10</v>
      </c>
      <c r="I7" s="808" t="s">
        <v>11</v>
      </c>
      <c r="J7" s="808" t="s">
        <v>12</v>
      </c>
      <c r="K7" s="808" t="s">
        <v>11</v>
      </c>
      <c r="L7" s="834" t="s">
        <v>13</v>
      </c>
      <c r="M7" s="820" t="s">
        <v>14</v>
      </c>
      <c r="N7" s="806"/>
      <c r="O7" s="828"/>
    </row>
    <row r="8" spans="1:15" ht="12.75">
      <c r="A8" s="807"/>
      <c r="B8" s="807"/>
      <c r="C8" s="807"/>
      <c r="D8" s="822"/>
      <c r="E8" s="815"/>
      <c r="F8" s="822"/>
      <c r="G8" s="826"/>
      <c r="H8" s="810"/>
      <c r="I8" s="807"/>
      <c r="J8" s="807"/>
      <c r="K8" s="807"/>
      <c r="L8" s="835"/>
      <c r="M8" s="822"/>
      <c r="N8" s="807"/>
      <c r="O8" s="828"/>
    </row>
    <row r="9" spans="1:18" ht="12.75">
      <c r="A9" s="2">
        <v>1</v>
      </c>
      <c r="B9" s="2">
        <v>2</v>
      </c>
      <c r="C9" s="2">
        <v>3</v>
      </c>
      <c r="D9" s="189"/>
      <c r="E9" s="2">
        <v>4</v>
      </c>
      <c r="F9" s="189">
        <v>5</v>
      </c>
      <c r="G9" s="226"/>
      <c r="H9" s="2">
        <v>6</v>
      </c>
      <c r="I9" s="2">
        <v>7</v>
      </c>
      <c r="J9" s="2">
        <v>8</v>
      </c>
      <c r="K9" s="2">
        <v>9</v>
      </c>
      <c r="L9" s="710">
        <v>10</v>
      </c>
      <c r="M9" s="2">
        <v>11</v>
      </c>
      <c r="N9" s="2">
        <v>12</v>
      </c>
      <c r="O9" s="2">
        <v>13</v>
      </c>
      <c r="R9" s="168">
        <f>40719206+6925758+3674586+6167499+6877136+5837300+5266833</f>
        <v>75468318</v>
      </c>
    </row>
    <row r="10" spans="1:15" ht="12" customHeight="1">
      <c r="A10" s="61" t="s">
        <v>15</v>
      </c>
      <c r="B10" s="62" t="s">
        <v>16</v>
      </c>
      <c r="C10" s="4">
        <f>SUM(C11:C22)</f>
        <v>3388193000</v>
      </c>
      <c r="D10" s="210"/>
      <c r="E10" s="63"/>
      <c r="F10" s="191"/>
      <c r="G10" s="228"/>
      <c r="H10" s="4">
        <f>SUM(H11:H22)</f>
        <v>2838481097</v>
      </c>
      <c r="I10" s="685">
        <f>+H10/C10*100</f>
        <v>83.77566145139902</v>
      </c>
      <c r="J10" s="4">
        <f>SUM(J11:J22)</f>
        <v>2838481097</v>
      </c>
      <c r="K10" s="145">
        <f>+J10/C10*100</f>
        <v>83.77566145139902</v>
      </c>
      <c r="L10" s="711">
        <v>100</v>
      </c>
      <c r="M10" s="64">
        <f>+J10/C10*100</f>
        <v>83.77566145139902</v>
      </c>
      <c r="N10" s="4">
        <f>SUM(N11:N22)</f>
        <v>549711903</v>
      </c>
      <c r="O10" s="749" t="s">
        <v>157</v>
      </c>
    </row>
    <row r="11" spans="1:15" ht="12" customHeight="1">
      <c r="A11" s="63">
        <v>1</v>
      </c>
      <c r="B11" s="47" t="s">
        <v>17</v>
      </c>
      <c r="C11" s="5">
        <v>1903195515</v>
      </c>
      <c r="D11" s="211"/>
      <c r="E11" s="63"/>
      <c r="F11" s="192"/>
      <c r="G11" s="228"/>
      <c r="H11" s="114">
        <v>1608462315</v>
      </c>
      <c r="I11" s="340">
        <f>+H11/C11*100</f>
        <v>84.51377182863948</v>
      </c>
      <c r="J11" s="114">
        <v>1608462315</v>
      </c>
      <c r="K11" s="71">
        <f>+J11/C11*100</f>
        <v>84.51377182863948</v>
      </c>
      <c r="L11" s="712">
        <v>100</v>
      </c>
      <c r="M11" s="37">
        <f>+J11/C11*100</f>
        <v>84.51377182863948</v>
      </c>
      <c r="N11" s="37">
        <f>C11-J11</f>
        <v>294733200</v>
      </c>
      <c r="O11" s="747" t="s">
        <v>157</v>
      </c>
    </row>
    <row r="12" spans="1:15" ht="12" customHeight="1">
      <c r="A12" s="63">
        <v>2</v>
      </c>
      <c r="B12" s="47" t="s">
        <v>18</v>
      </c>
      <c r="C12" s="5">
        <v>195258530</v>
      </c>
      <c r="D12" s="211"/>
      <c r="E12" s="63"/>
      <c r="F12" s="192"/>
      <c r="G12" s="228"/>
      <c r="H12" s="5">
        <v>179860456</v>
      </c>
      <c r="I12" s="340">
        <f aca="true" t="shared" si="0" ref="I12:I22">+H12/C12*100</f>
        <v>92.11400700394498</v>
      </c>
      <c r="J12" s="5">
        <v>179860456</v>
      </c>
      <c r="K12" s="71">
        <f aca="true" t="shared" si="1" ref="K12:K22">+J12/C12*100</f>
        <v>92.11400700394498</v>
      </c>
      <c r="L12" s="712">
        <v>100</v>
      </c>
      <c r="M12" s="37">
        <f aca="true" t="shared" si="2" ref="M12:M22">+J12/C12*100</f>
        <v>92.11400700394498</v>
      </c>
      <c r="N12" s="37">
        <f>C12-J12</f>
        <v>15398074</v>
      </c>
      <c r="O12" s="747" t="s">
        <v>157</v>
      </c>
    </row>
    <row r="13" spans="1:15" ht="12" customHeight="1">
      <c r="A13" s="63">
        <v>3</v>
      </c>
      <c r="B13" s="47" t="s">
        <v>19</v>
      </c>
      <c r="C13" s="5">
        <v>160050000</v>
      </c>
      <c r="D13" s="211"/>
      <c r="E13" s="63"/>
      <c r="F13" s="192"/>
      <c r="G13" s="228"/>
      <c r="H13" s="5">
        <v>148425000</v>
      </c>
      <c r="I13" s="340">
        <f t="shared" si="0"/>
        <v>92.73664479850046</v>
      </c>
      <c r="J13" s="5">
        <v>148425000</v>
      </c>
      <c r="K13" s="71">
        <f t="shared" si="1"/>
        <v>92.73664479850046</v>
      </c>
      <c r="L13" s="712">
        <v>100</v>
      </c>
      <c r="M13" s="37">
        <f t="shared" si="2"/>
        <v>92.73664479850046</v>
      </c>
      <c r="N13" s="37">
        <f>C13-J13</f>
        <v>11625000</v>
      </c>
      <c r="O13" s="747" t="s">
        <v>157</v>
      </c>
    </row>
    <row r="14" spans="1:15" ht="12" customHeight="1">
      <c r="A14" s="63">
        <v>4</v>
      </c>
      <c r="B14" s="47" t="s">
        <v>139</v>
      </c>
      <c r="C14" s="364">
        <v>5100000</v>
      </c>
      <c r="D14" s="211"/>
      <c r="E14" s="63"/>
      <c r="F14" s="192"/>
      <c r="G14" s="228"/>
      <c r="H14" s="5">
        <v>4250000</v>
      </c>
      <c r="I14" s="340">
        <f t="shared" si="0"/>
        <v>83.33333333333334</v>
      </c>
      <c r="J14" s="5">
        <v>4250000</v>
      </c>
      <c r="K14" s="71">
        <f t="shared" si="1"/>
        <v>83.33333333333334</v>
      </c>
      <c r="L14" s="712">
        <v>100</v>
      </c>
      <c r="M14" s="37">
        <f t="shared" si="2"/>
        <v>83.33333333333334</v>
      </c>
      <c r="N14" s="37">
        <f>C14-J14</f>
        <v>850000</v>
      </c>
      <c r="O14" s="747" t="s">
        <v>157</v>
      </c>
    </row>
    <row r="15" spans="1:15" ht="12" customHeight="1">
      <c r="A15" s="63">
        <v>5</v>
      </c>
      <c r="B15" s="47" t="s">
        <v>20</v>
      </c>
      <c r="C15" s="5">
        <v>58220000</v>
      </c>
      <c r="D15" s="211"/>
      <c r="E15" s="63"/>
      <c r="F15" s="192"/>
      <c r="G15" s="228"/>
      <c r="H15" s="5">
        <v>53765000</v>
      </c>
      <c r="I15" s="340">
        <f t="shared" si="0"/>
        <v>92.34799038131226</v>
      </c>
      <c r="J15" s="5">
        <v>53765000</v>
      </c>
      <c r="K15" s="71">
        <f t="shared" si="1"/>
        <v>92.34799038131226</v>
      </c>
      <c r="L15" s="712">
        <v>100</v>
      </c>
      <c r="M15" s="37">
        <f t="shared" si="2"/>
        <v>92.34799038131226</v>
      </c>
      <c r="N15" s="37">
        <f aca="true" t="shared" si="3" ref="N15:N22">C15-J15</f>
        <v>4455000</v>
      </c>
      <c r="O15" s="747" t="s">
        <v>157</v>
      </c>
    </row>
    <row r="16" spans="1:15" ht="12" customHeight="1">
      <c r="A16" s="63">
        <v>6</v>
      </c>
      <c r="B16" s="47" t="s">
        <v>21</v>
      </c>
      <c r="C16" s="5">
        <v>104791740</v>
      </c>
      <c r="D16" s="211"/>
      <c r="E16" s="63"/>
      <c r="F16" s="192"/>
      <c r="G16" s="228"/>
      <c r="H16" s="5">
        <v>95015040</v>
      </c>
      <c r="I16" s="340">
        <f t="shared" si="0"/>
        <v>90.67035245335177</v>
      </c>
      <c r="J16" s="5">
        <v>95015040</v>
      </c>
      <c r="K16" s="71">
        <f t="shared" si="1"/>
        <v>90.67035245335177</v>
      </c>
      <c r="L16" s="712">
        <v>100</v>
      </c>
      <c r="M16" s="37">
        <f t="shared" si="2"/>
        <v>90.67035245335177</v>
      </c>
      <c r="N16" s="37">
        <f t="shared" si="3"/>
        <v>9776700</v>
      </c>
      <c r="O16" s="747" t="s">
        <v>157</v>
      </c>
    </row>
    <row r="17" spans="1:15" ht="12" customHeight="1">
      <c r="A17" s="63">
        <v>7</v>
      </c>
      <c r="B17" s="47" t="s">
        <v>22</v>
      </c>
      <c r="C17" s="5">
        <v>9937670</v>
      </c>
      <c r="D17" s="211"/>
      <c r="E17" s="63"/>
      <c r="F17" s="192"/>
      <c r="G17" s="228"/>
      <c r="H17" s="5">
        <v>8698173</v>
      </c>
      <c r="I17" s="340">
        <f t="shared" si="0"/>
        <v>87.52728758350801</v>
      </c>
      <c r="J17" s="5">
        <v>8698173</v>
      </c>
      <c r="K17" s="71">
        <f t="shared" si="1"/>
        <v>87.52728758350801</v>
      </c>
      <c r="L17" s="712">
        <v>100</v>
      </c>
      <c r="M17" s="37">
        <f t="shared" si="2"/>
        <v>87.52728758350801</v>
      </c>
      <c r="N17" s="37">
        <f t="shared" si="3"/>
        <v>1239497</v>
      </c>
      <c r="O17" s="747" t="s">
        <v>157</v>
      </c>
    </row>
    <row r="18" spans="1:15" ht="12" customHeight="1">
      <c r="A18" s="63">
        <v>8</v>
      </c>
      <c r="B18" s="47" t="s">
        <v>23</v>
      </c>
      <c r="C18" s="5">
        <v>31249</v>
      </c>
      <c r="D18" s="211"/>
      <c r="E18" s="63"/>
      <c r="F18" s="192"/>
      <c r="G18" s="228"/>
      <c r="H18" s="5">
        <v>28659</v>
      </c>
      <c r="I18" s="340">
        <f t="shared" si="0"/>
        <v>91.71173477551282</v>
      </c>
      <c r="J18" s="5">
        <v>28659</v>
      </c>
      <c r="K18" s="71">
        <f t="shared" si="1"/>
        <v>91.71173477551282</v>
      </c>
      <c r="L18" s="712">
        <v>100</v>
      </c>
      <c r="M18" s="37">
        <f t="shared" si="2"/>
        <v>91.71173477551282</v>
      </c>
      <c r="N18" s="37">
        <f t="shared" si="3"/>
        <v>2590</v>
      </c>
      <c r="O18" s="747" t="s">
        <v>157</v>
      </c>
    </row>
    <row r="19" spans="1:15" ht="12" customHeight="1">
      <c r="A19" s="63">
        <v>9</v>
      </c>
      <c r="B19" s="47" t="s">
        <v>24</v>
      </c>
      <c r="C19" s="5">
        <v>49247899</v>
      </c>
      <c r="D19" s="211"/>
      <c r="E19" s="63"/>
      <c r="F19" s="192"/>
      <c r="G19" s="228"/>
      <c r="H19" s="5">
        <v>44923960</v>
      </c>
      <c r="I19" s="340">
        <f t="shared" si="0"/>
        <v>91.2200538747856</v>
      </c>
      <c r="J19" s="5">
        <v>44923960</v>
      </c>
      <c r="K19" s="71">
        <f t="shared" si="1"/>
        <v>91.2200538747856</v>
      </c>
      <c r="L19" s="712">
        <v>100</v>
      </c>
      <c r="M19" s="37">
        <f t="shared" si="2"/>
        <v>91.2200538747856</v>
      </c>
      <c r="N19" s="37">
        <f t="shared" si="3"/>
        <v>4323939</v>
      </c>
      <c r="O19" s="747" t="s">
        <v>157</v>
      </c>
    </row>
    <row r="20" spans="1:15" ht="12" customHeight="1">
      <c r="A20" s="63">
        <v>10</v>
      </c>
      <c r="B20" s="47" t="s">
        <v>25</v>
      </c>
      <c r="C20" s="5">
        <v>3541854</v>
      </c>
      <c r="D20" s="211"/>
      <c r="E20" s="63"/>
      <c r="F20" s="192"/>
      <c r="G20" s="228"/>
      <c r="H20" s="5">
        <v>3211253</v>
      </c>
      <c r="I20" s="340">
        <f t="shared" si="0"/>
        <v>90.66587724959867</v>
      </c>
      <c r="J20" s="5">
        <v>3211253</v>
      </c>
      <c r="K20" s="71">
        <f t="shared" si="1"/>
        <v>90.66587724959867</v>
      </c>
      <c r="L20" s="712">
        <v>100</v>
      </c>
      <c r="M20" s="37">
        <f t="shared" si="2"/>
        <v>90.66587724959867</v>
      </c>
      <c r="N20" s="37">
        <f t="shared" si="3"/>
        <v>330601</v>
      </c>
      <c r="O20" s="747" t="s">
        <v>157</v>
      </c>
    </row>
    <row r="21" spans="1:15" ht="12" customHeight="1">
      <c r="A21" s="63">
        <v>11</v>
      </c>
      <c r="B21" s="47" t="s">
        <v>26</v>
      </c>
      <c r="C21" s="5">
        <v>10625543</v>
      </c>
      <c r="D21" s="211"/>
      <c r="E21" s="63"/>
      <c r="F21" s="192"/>
      <c r="G21" s="228"/>
      <c r="H21" s="5">
        <v>9633741</v>
      </c>
      <c r="I21" s="340">
        <f t="shared" si="0"/>
        <v>90.66586997012764</v>
      </c>
      <c r="J21" s="5">
        <v>9633741</v>
      </c>
      <c r="K21" s="71">
        <f t="shared" si="1"/>
        <v>90.66586997012764</v>
      </c>
      <c r="L21" s="712">
        <v>100</v>
      </c>
      <c r="M21" s="37">
        <f t="shared" si="2"/>
        <v>90.66586997012764</v>
      </c>
      <c r="N21" s="37">
        <f t="shared" si="3"/>
        <v>991802</v>
      </c>
      <c r="O21" s="747" t="s">
        <v>157</v>
      </c>
    </row>
    <row r="22" spans="1:15" ht="12" customHeight="1">
      <c r="A22" s="63">
        <v>12</v>
      </c>
      <c r="B22" s="47" t="s">
        <v>27</v>
      </c>
      <c r="C22" s="5">
        <v>888193000</v>
      </c>
      <c r="D22" s="211"/>
      <c r="E22" s="63"/>
      <c r="F22" s="192"/>
      <c r="G22" s="228"/>
      <c r="H22" s="5">
        <v>682207500</v>
      </c>
      <c r="I22" s="340">
        <f t="shared" si="0"/>
        <v>76.80847518501047</v>
      </c>
      <c r="J22" s="5">
        <v>682207500</v>
      </c>
      <c r="K22" s="71">
        <f t="shared" si="1"/>
        <v>76.80847518501047</v>
      </c>
      <c r="L22" s="712">
        <v>100</v>
      </c>
      <c r="M22" s="37">
        <f t="shared" si="2"/>
        <v>76.80847518501047</v>
      </c>
      <c r="N22" s="37">
        <f t="shared" si="3"/>
        <v>205985500</v>
      </c>
      <c r="O22" s="747" t="s">
        <v>157</v>
      </c>
    </row>
    <row r="23" spans="1:15" ht="12" customHeight="1">
      <c r="A23" s="63"/>
      <c r="B23" s="47"/>
      <c r="C23" s="5"/>
      <c r="D23" s="211"/>
      <c r="E23" s="63"/>
      <c r="F23" s="192"/>
      <c r="G23" s="228"/>
      <c r="H23" s="5"/>
      <c r="I23" s="114"/>
      <c r="J23" s="5"/>
      <c r="K23" s="36"/>
      <c r="L23" s="713"/>
      <c r="M23" s="37"/>
      <c r="N23" s="296"/>
      <c r="O23" s="384"/>
    </row>
    <row r="24" spans="1:15" ht="12" customHeight="1">
      <c r="A24" s="61" t="s">
        <v>28</v>
      </c>
      <c r="B24" s="62" t="s">
        <v>29</v>
      </c>
      <c r="C24" s="147">
        <f>C25+C38+C48+C51+C73+C88+C92+C103</f>
        <v>9724165353</v>
      </c>
      <c r="D24" s="559"/>
      <c r="E24" s="147">
        <f>E25+E38+E48+E51+E73+E88+E92+E103</f>
        <v>4047776804</v>
      </c>
      <c r="F24" s="192"/>
      <c r="G24" s="228"/>
      <c r="H24" s="147">
        <f>H25+H38+H48+H51+H73+H88+H92+H103</f>
        <v>8773849869</v>
      </c>
      <c r="I24" s="311">
        <f aca="true" t="shared" si="4" ref="I24:I36">+H24/C24*100</f>
        <v>90.22727967386098</v>
      </c>
      <c r="J24" s="147">
        <f>J25+J38+J48+J51+J73+J88+J92+J103</f>
        <v>8773849869</v>
      </c>
      <c r="K24" s="179">
        <f aca="true" t="shared" si="5" ref="K24:K36">+J24/C24*100</f>
        <v>90.22727967386098</v>
      </c>
      <c r="L24" s="714">
        <v>100</v>
      </c>
      <c r="M24" s="145">
        <f>+J24/C24*100</f>
        <v>90.22727967386098</v>
      </c>
      <c r="N24" s="147">
        <f>N25+N38+N48+N51+N73+N88+N92+N103</f>
        <v>950315484</v>
      </c>
      <c r="O24" s="384"/>
    </row>
    <row r="25" spans="1:15" ht="12" customHeight="1">
      <c r="A25" s="68">
        <v>1</v>
      </c>
      <c r="B25" s="69" t="s">
        <v>30</v>
      </c>
      <c r="C25" s="147">
        <f>SUM(C26:C36)</f>
        <v>1036961650</v>
      </c>
      <c r="D25" s="559"/>
      <c r="E25" s="147">
        <f>SUM(E26:E36)</f>
        <v>0</v>
      </c>
      <c r="F25" s="194"/>
      <c r="G25" s="230"/>
      <c r="H25" s="64">
        <f>SUM(H26:H36)</f>
        <v>957720112</v>
      </c>
      <c r="I25" s="311">
        <f t="shared" si="4"/>
        <v>92.35829618192727</v>
      </c>
      <c r="J25" s="64">
        <f>SUM(J26:J36)</f>
        <v>957720112</v>
      </c>
      <c r="K25" s="179">
        <f t="shared" si="5"/>
        <v>92.35829618192727</v>
      </c>
      <c r="L25" s="714">
        <v>100</v>
      </c>
      <c r="M25" s="64">
        <f aca="true" t="shared" si="6" ref="M25:M36">+J25/C25*100</f>
        <v>92.35829618192727</v>
      </c>
      <c r="N25" s="64">
        <f>SUM(N26:N36)</f>
        <v>79241538</v>
      </c>
      <c r="O25" s="384"/>
    </row>
    <row r="26" spans="1:15" ht="12" customHeight="1">
      <c r="A26" s="63">
        <v>1</v>
      </c>
      <c r="B26" s="55" t="s">
        <v>31</v>
      </c>
      <c r="C26" s="71">
        <v>6310000</v>
      </c>
      <c r="D26" s="213"/>
      <c r="E26" s="72" t="s">
        <v>32</v>
      </c>
      <c r="F26" s="194" t="s">
        <v>32</v>
      </c>
      <c r="G26" s="230"/>
      <c r="H26" s="185">
        <f>6276000+33000</f>
        <v>6309000</v>
      </c>
      <c r="I26" s="340">
        <f t="shared" si="4"/>
        <v>99.98415213946117</v>
      </c>
      <c r="J26" s="185">
        <f>6276000+33000</f>
        <v>6309000</v>
      </c>
      <c r="K26" s="71">
        <f t="shared" si="5"/>
        <v>99.98415213946117</v>
      </c>
      <c r="L26" s="712">
        <v>100</v>
      </c>
      <c r="M26" s="37">
        <f t="shared" si="6"/>
        <v>99.98415213946117</v>
      </c>
      <c r="N26" s="37">
        <f>C26-J26</f>
        <v>1000</v>
      </c>
      <c r="O26" s="384"/>
    </row>
    <row r="27" spans="1:15" ht="12" customHeight="1">
      <c r="A27" s="489">
        <v>2</v>
      </c>
      <c r="B27" s="169" t="s">
        <v>76</v>
      </c>
      <c r="C27" s="166">
        <v>82000000</v>
      </c>
      <c r="D27" s="214"/>
      <c r="E27" s="167"/>
      <c r="F27" s="196"/>
      <c r="G27" s="232"/>
      <c r="H27" s="168">
        <v>75731858</v>
      </c>
      <c r="I27" s="483">
        <f t="shared" si="4"/>
        <v>92.3559243902439</v>
      </c>
      <c r="J27" s="168">
        <v>75731858</v>
      </c>
      <c r="K27" s="166">
        <f t="shared" si="5"/>
        <v>92.3559243902439</v>
      </c>
      <c r="L27" s="715">
        <v>100</v>
      </c>
      <c r="M27" s="167">
        <f t="shared" si="6"/>
        <v>92.3559243902439</v>
      </c>
      <c r="N27" s="167">
        <f aca="true" t="shared" si="7" ref="N27:N40">C27-J27</f>
        <v>6268142</v>
      </c>
      <c r="O27" s="686"/>
    </row>
    <row r="28" spans="1:15" ht="12" customHeight="1">
      <c r="A28" s="489">
        <v>3</v>
      </c>
      <c r="B28" s="165" t="s">
        <v>33</v>
      </c>
      <c r="C28" s="166">
        <v>26635000</v>
      </c>
      <c r="D28" s="214"/>
      <c r="E28" s="167">
        <v>0</v>
      </c>
      <c r="F28" s="196">
        <v>0</v>
      </c>
      <c r="G28" s="232"/>
      <c r="H28" s="168">
        <f>14485000+6075000</f>
        <v>20560000</v>
      </c>
      <c r="I28" s="483">
        <f t="shared" si="4"/>
        <v>77.19166510230899</v>
      </c>
      <c r="J28" s="168">
        <f>14485000+6075000</f>
        <v>20560000</v>
      </c>
      <c r="K28" s="166">
        <f t="shared" si="5"/>
        <v>77.19166510230899</v>
      </c>
      <c r="L28" s="715">
        <v>100</v>
      </c>
      <c r="M28" s="167">
        <f t="shared" si="6"/>
        <v>77.19166510230899</v>
      </c>
      <c r="N28" s="167">
        <f t="shared" si="7"/>
        <v>6075000</v>
      </c>
      <c r="O28" s="686"/>
    </row>
    <row r="29" spans="1:15" ht="12" customHeight="1">
      <c r="A29" s="489">
        <v>4</v>
      </c>
      <c r="B29" s="169" t="s">
        <v>34</v>
      </c>
      <c r="C29" s="166">
        <v>61844350</v>
      </c>
      <c r="D29" s="214"/>
      <c r="E29" s="167">
        <v>0</v>
      </c>
      <c r="F29" s="196">
        <v>0</v>
      </c>
      <c r="G29" s="232"/>
      <c r="H29" s="168">
        <f>34305000+13745800+6844100+6949100</f>
        <v>61844000</v>
      </c>
      <c r="I29" s="483">
        <f t="shared" si="4"/>
        <v>99.99943406309549</v>
      </c>
      <c r="J29" s="168">
        <f>34305000+13745800+6844100+6949100</f>
        <v>61844000</v>
      </c>
      <c r="K29" s="166">
        <f t="shared" si="5"/>
        <v>99.99943406309549</v>
      </c>
      <c r="L29" s="715">
        <v>100</v>
      </c>
      <c r="M29" s="167">
        <f t="shared" si="6"/>
        <v>99.99943406309549</v>
      </c>
      <c r="N29" s="167">
        <f t="shared" si="7"/>
        <v>350</v>
      </c>
      <c r="O29" s="686"/>
    </row>
    <row r="30" spans="1:15" ht="12" customHeight="1">
      <c r="A30" s="489">
        <v>5</v>
      </c>
      <c r="B30" s="169" t="s">
        <v>35</v>
      </c>
      <c r="C30" s="166">
        <v>30676500</v>
      </c>
      <c r="D30" s="214"/>
      <c r="E30" s="167">
        <v>0</v>
      </c>
      <c r="F30" s="196">
        <v>0</v>
      </c>
      <c r="G30" s="232"/>
      <c r="H30" s="168">
        <f>14485300+8850000+567000+1591800+2408100+189900+1965000+619200</f>
        <v>30676300</v>
      </c>
      <c r="I30" s="483">
        <f t="shared" si="4"/>
        <v>99.99934803514091</v>
      </c>
      <c r="J30" s="168">
        <f>14485300+8850000+567000+1591800+2408100+189900+1965000+619200</f>
        <v>30676300</v>
      </c>
      <c r="K30" s="166">
        <f t="shared" si="5"/>
        <v>99.99934803514091</v>
      </c>
      <c r="L30" s="715">
        <v>100</v>
      </c>
      <c r="M30" s="167">
        <f t="shared" si="6"/>
        <v>99.99934803514091</v>
      </c>
      <c r="N30" s="167">
        <f t="shared" si="7"/>
        <v>200</v>
      </c>
      <c r="O30" s="686"/>
    </row>
    <row r="31" spans="1:15" ht="12" customHeight="1">
      <c r="A31" s="489">
        <v>6</v>
      </c>
      <c r="B31" s="169" t="s">
        <v>36</v>
      </c>
      <c r="C31" s="166">
        <v>8800000</v>
      </c>
      <c r="D31" s="214"/>
      <c r="E31" s="167">
        <v>0</v>
      </c>
      <c r="F31" s="196">
        <v>0</v>
      </c>
      <c r="G31" s="232"/>
      <c r="H31" s="168">
        <f>1995200+2004800+4797800</f>
        <v>8797800</v>
      </c>
      <c r="I31" s="483">
        <f t="shared" si="4"/>
        <v>99.97500000000001</v>
      </c>
      <c r="J31" s="168">
        <f>1995200+2004800+4797800</f>
        <v>8797800</v>
      </c>
      <c r="K31" s="166">
        <f t="shared" si="5"/>
        <v>99.97500000000001</v>
      </c>
      <c r="L31" s="715">
        <v>100</v>
      </c>
      <c r="M31" s="167">
        <f t="shared" si="6"/>
        <v>99.97500000000001</v>
      </c>
      <c r="N31" s="167">
        <f t="shared" si="7"/>
        <v>2200</v>
      </c>
      <c r="O31" s="686"/>
    </row>
    <row r="32" spans="1:15" ht="12" customHeight="1">
      <c r="A32" s="489">
        <v>7</v>
      </c>
      <c r="B32" s="169" t="s">
        <v>37</v>
      </c>
      <c r="C32" s="166">
        <v>13076000</v>
      </c>
      <c r="D32" s="214"/>
      <c r="E32" s="167">
        <v>0</v>
      </c>
      <c r="F32" s="196">
        <v>0</v>
      </c>
      <c r="G32" s="232"/>
      <c r="H32" s="168">
        <f>8761950+4314050</f>
        <v>13076000</v>
      </c>
      <c r="I32" s="483">
        <f t="shared" si="4"/>
        <v>100</v>
      </c>
      <c r="J32" s="168">
        <f>8761950+4314050</f>
        <v>13076000</v>
      </c>
      <c r="K32" s="166">
        <f t="shared" si="5"/>
        <v>100</v>
      </c>
      <c r="L32" s="715">
        <v>100</v>
      </c>
      <c r="M32" s="167">
        <f t="shared" si="6"/>
        <v>100</v>
      </c>
      <c r="N32" s="167">
        <f t="shared" si="7"/>
        <v>0</v>
      </c>
      <c r="O32" s="686"/>
    </row>
    <row r="33" spans="1:18" ht="12" customHeight="1">
      <c r="A33" s="489">
        <v>8</v>
      </c>
      <c r="B33" s="169" t="s">
        <v>38</v>
      </c>
      <c r="C33" s="166">
        <v>7500000</v>
      </c>
      <c r="D33" s="214"/>
      <c r="E33" s="167">
        <v>0</v>
      </c>
      <c r="F33" s="196">
        <v>0</v>
      </c>
      <c r="G33" s="232"/>
      <c r="H33" s="168">
        <f>7000000+499000</f>
        <v>7499000</v>
      </c>
      <c r="I33" s="483">
        <f t="shared" si="4"/>
        <v>99.98666666666666</v>
      </c>
      <c r="J33" s="168">
        <f>7000000+499000</f>
        <v>7499000</v>
      </c>
      <c r="K33" s="166">
        <f t="shared" si="5"/>
        <v>99.98666666666666</v>
      </c>
      <c r="L33" s="715">
        <v>100</v>
      </c>
      <c r="M33" s="167">
        <f t="shared" si="6"/>
        <v>99.98666666666666</v>
      </c>
      <c r="N33" s="167">
        <f t="shared" si="7"/>
        <v>1000</v>
      </c>
      <c r="O33" s="686"/>
      <c r="R33" s="168">
        <f>2180000+3856000+964000+500000+499000</f>
        <v>7999000</v>
      </c>
    </row>
    <row r="34" spans="1:15" ht="12" customHeight="1">
      <c r="A34" s="489">
        <v>9</v>
      </c>
      <c r="B34" s="169" t="s">
        <v>39</v>
      </c>
      <c r="C34" s="166">
        <v>30000000</v>
      </c>
      <c r="D34" s="214"/>
      <c r="E34" s="167">
        <v>0</v>
      </c>
      <c r="F34" s="196">
        <v>0</v>
      </c>
      <c r="G34" s="232"/>
      <c r="H34" s="168">
        <f>18128200+7990000+3880000</f>
        <v>29998200</v>
      </c>
      <c r="I34" s="483">
        <f t="shared" si="4"/>
        <v>99.994</v>
      </c>
      <c r="J34" s="168">
        <f>18128200+7990000+3880000</f>
        <v>29998200</v>
      </c>
      <c r="K34" s="166">
        <f t="shared" si="5"/>
        <v>99.994</v>
      </c>
      <c r="L34" s="715">
        <v>100</v>
      </c>
      <c r="M34" s="167">
        <f t="shared" si="6"/>
        <v>99.994</v>
      </c>
      <c r="N34" s="167">
        <f t="shared" si="7"/>
        <v>1800</v>
      </c>
      <c r="O34" s="686"/>
    </row>
    <row r="35" spans="1:18" ht="12" customHeight="1">
      <c r="A35" s="489">
        <v>10</v>
      </c>
      <c r="B35" s="169" t="s">
        <v>40</v>
      </c>
      <c r="C35" s="166">
        <v>175000000</v>
      </c>
      <c r="D35" s="214"/>
      <c r="E35" s="167">
        <v>0</v>
      </c>
      <c r="F35" s="196">
        <v>0</v>
      </c>
      <c r="G35" s="232"/>
      <c r="H35" s="168">
        <f>167636686+6882800</f>
        <v>174519486</v>
      </c>
      <c r="I35" s="483">
        <f t="shared" si="4"/>
        <v>99.72542057142857</v>
      </c>
      <c r="J35" s="168">
        <f>167636686+6882800</f>
        <v>174519486</v>
      </c>
      <c r="K35" s="166">
        <f t="shared" si="5"/>
        <v>99.72542057142857</v>
      </c>
      <c r="L35" s="715">
        <v>100</v>
      </c>
      <c r="M35" s="167">
        <f t="shared" si="6"/>
        <v>99.72542057142857</v>
      </c>
      <c r="N35" s="167">
        <f t="shared" si="7"/>
        <v>480514</v>
      </c>
      <c r="O35" s="686"/>
      <c r="R35" s="168">
        <f>91631161+15825000+25233525+5875000+11190000+1050000+12482000+800000+5582800</f>
        <v>169669486</v>
      </c>
    </row>
    <row r="36" spans="1:15" ht="12" customHeight="1">
      <c r="A36" s="489">
        <v>11</v>
      </c>
      <c r="B36" s="169" t="s">
        <v>41</v>
      </c>
      <c r="C36" s="166">
        <v>595119800</v>
      </c>
      <c r="D36" s="214"/>
      <c r="E36" s="167">
        <v>0</v>
      </c>
      <c r="F36" s="196">
        <v>0</v>
      </c>
      <c r="G36" s="232"/>
      <c r="H36" s="168">
        <v>528708468</v>
      </c>
      <c r="I36" s="483">
        <f t="shared" si="4"/>
        <v>88.84067846507544</v>
      </c>
      <c r="J36" s="168">
        <v>528708468</v>
      </c>
      <c r="K36" s="166">
        <f t="shared" si="5"/>
        <v>88.84067846507544</v>
      </c>
      <c r="L36" s="715">
        <v>100</v>
      </c>
      <c r="M36" s="167">
        <f t="shared" si="6"/>
        <v>88.84067846507544</v>
      </c>
      <c r="N36" s="167">
        <f t="shared" si="7"/>
        <v>66411332</v>
      </c>
      <c r="O36" s="686"/>
    </row>
    <row r="37" spans="1:15" ht="12" customHeight="1">
      <c r="A37" s="635"/>
      <c r="B37" s="636"/>
      <c r="C37" s="166"/>
      <c r="D37" s="214"/>
      <c r="E37" s="167"/>
      <c r="F37" s="196"/>
      <c r="G37" s="232"/>
      <c r="H37" s="168"/>
      <c r="I37" s="620"/>
      <c r="J37" s="168"/>
      <c r="K37" s="540"/>
      <c r="L37" s="716"/>
      <c r="M37" s="167">
        <f>K37</f>
        <v>0</v>
      </c>
      <c r="N37" s="167">
        <f t="shared" si="7"/>
        <v>0</v>
      </c>
      <c r="O37" s="686"/>
    </row>
    <row r="38" spans="1:15" ht="12" customHeight="1">
      <c r="A38" s="637">
        <v>2</v>
      </c>
      <c r="B38" s="638" t="s">
        <v>42</v>
      </c>
      <c r="C38" s="639">
        <f>SUM(C39:C46)</f>
        <v>1049086450</v>
      </c>
      <c r="D38" s="640"/>
      <c r="E38" s="639">
        <f>SUM(E39:E46)</f>
        <v>43582000</v>
      </c>
      <c r="F38" s="641"/>
      <c r="G38" s="642"/>
      <c r="H38" s="639">
        <f>SUM(H39:H46)</f>
        <v>1047739041</v>
      </c>
      <c r="I38" s="543">
        <f>+H38/C38*100</f>
        <v>99.87156358753847</v>
      </c>
      <c r="J38" s="639">
        <f>SUM(J39:J46)</f>
        <v>1047739041</v>
      </c>
      <c r="K38" s="639">
        <f>+J38/C38*100</f>
        <v>99.87156358753847</v>
      </c>
      <c r="L38" s="545">
        <v>100</v>
      </c>
      <c r="M38" s="545">
        <f>+J38/C38*100</f>
        <v>99.87156358753847</v>
      </c>
      <c r="N38" s="167">
        <f t="shared" si="7"/>
        <v>1347409</v>
      </c>
      <c r="O38" s="686"/>
    </row>
    <row r="39" spans="1:15" ht="12" customHeight="1">
      <c r="A39" s="489">
        <v>1</v>
      </c>
      <c r="B39" s="169" t="s">
        <v>43</v>
      </c>
      <c r="C39" s="166">
        <v>96501600</v>
      </c>
      <c r="D39" s="214"/>
      <c r="E39" s="167"/>
      <c r="F39" s="196"/>
      <c r="G39" s="232"/>
      <c r="H39" s="166">
        <v>96332600</v>
      </c>
      <c r="I39" s="483">
        <f>+H39/C39*100</f>
        <v>99.82487336997521</v>
      </c>
      <c r="J39" s="166">
        <v>96332600</v>
      </c>
      <c r="K39" s="166">
        <f>+J39/C39*100</f>
        <v>99.82487336997521</v>
      </c>
      <c r="L39" s="715">
        <v>100</v>
      </c>
      <c r="M39" s="167">
        <f>+J39/C39*100</f>
        <v>99.82487336997521</v>
      </c>
      <c r="N39" s="167">
        <f t="shared" si="7"/>
        <v>169000</v>
      </c>
      <c r="O39" s="686"/>
    </row>
    <row r="40" spans="1:15" ht="12" customHeight="1">
      <c r="A40" s="489">
        <v>2</v>
      </c>
      <c r="B40" s="169" t="s">
        <v>44</v>
      </c>
      <c r="C40" s="166">
        <v>62611000</v>
      </c>
      <c r="D40" s="643" t="s">
        <v>121</v>
      </c>
      <c r="E40" s="167">
        <v>5808000</v>
      </c>
      <c r="F40" s="196" t="s">
        <v>124</v>
      </c>
      <c r="G40" s="232" t="s">
        <v>125</v>
      </c>
      <c r="H40" s="166">
        <v>62611000</v>
      </c>
      <c r="I40" s="483">
        <f>+H40/C40*100</f>
        <v>100</v>
      </c>
      <c r="J40" s="166">
        <v>62611000</v>
      </c>
      <c r="K40" s="166">
        <f>+J40/C40*100</f>
        <v>100</v>
      </c>
      <c r="L40" s="715">
        <v>100</v>
      </c>
      <c r="M40" s="167">
        <f>+J40/C40*100</f>
        <v>100</v>
      </c>
      <c r="N40" s="167">
        <f t="shared" si="7"/>
        <v>0</v>
      </c>
      <c r="O40" s="686"/>
    </row>
    <row r="41" spans="1:15" ht="12" customHeight="1">
      <c r="A41" s="489"/>
      <c r="B41" s="169"/>
      <c r="C41" s="166"/>
      <c r="D41" s="643" t="s">
        <v>122</v>
      </c>
      <c r="E41" s="167">
        <v>15774000</v>
      </c>
      <c r="F41" s="196" t="s">
        <v>124</v>
      </c>
      <c r="G41" s="232" t="s">
        <v>125</v>
      </c>
      <c r="H41" s="166"/>
      <c r="I41" s="620"/>
      <c r="J41" s="166"/>
      <c r="K41" s="540"/>
      <c r="L41" s="167"/>
      <c r="M41" s="167"/>
      <c r="N41" s="167"/>
      <c r="O41" s="686"/>
    </row>
    <row r="42" spans="1:15" ht="12" customHeight="1">
      <c r="A42" s="489"/>
      <c r="B42" s="169"/>
      <c r="C42" s="166"/>
      <c r="D42" s="643" t="s">
        <v>123</v>
      </c>
      <c r="E42" s="167">
        <v>22000000</v>
      </c>
      <c r="F42" s="196" t="s">
        <v>124</v>
      </c>
      <c r="G42" s="232" t="s">
        <v>125</v>
      </c>
      <c r="H42" s="166"/>
      <c r="I42" s="620"/>
      <c r="J42" s="166"/>
      <c r="K42" s="540"/>
      <c r="L42" s="717"/>
      <c r="M42" s="167"/>
      <c r="N42" s="167"/>
      <c r="O42" s="686"/>
    </row>
    <row r="43" spans="1:15" ht="12" customHeight="1">
      <c r="A43" s="489">
        <v>3</v>
      </c>
      <c r="B43" s="169" t="s">
        <v>45</v>
      </c>
      <c r="C43" s="166">
        <v>217537650</v>
      </c>
      <c r="D43" s="643"/>
      <c r="E43" s="167"/>
      <c r="F43" s="196"/>
      <c r="G43" s="232"/>
      <c r="H43" s="166">
        <f>174523050+42944000</f>
        <v>217467050</v>
      </c>
      <c r="I43" s="483">
        <f>+H43/C43*100</f>
        <v>99.96754584781071</v>
      </c>
      <c r="J43" s="166">
        <f>174523050+42944000</f>
        <v>217467050</v>
      </c>
      <c r="K43" s="166">
        <f>+J43/C43*100</f>
        <v>99.96754584781071</v>
      </c>
      <c r="L43" s="715">
        <v>100</v>
      </c>
      <c r="M43" s="167">
        <f>+J43/C43*100</f>
        <v>99.96754584781071</v>
      </c>
      <c r="N43" s="167">
        <f aca="true" t="shared" si="8" ref="N43:N49">C43-J43</f>
        <v>70600</v>
      </c>
      <c r="O43" s="686"/>
    </row>
    <row r="44" spans="1:15" ht="12" customHeight="1">
      <c r="A44" s="489">
        <v>4</v>
      </c>
      <c r="B44" s="169" t="s">
        <v>46</v>
      </c>
      <c r="C44" s="166">
        <v>651786200</v>
      </c>
      <c r="D44" s="214"/>
      <c r="E44" s="167"/>
      <c r="F44" s="196"/>
      <c r="G44" s="232"/>
      <c r="H44" s="168">
        <v>650678591</v>
      </c>
      <c r="I44" s="483">
        <f>+H44/C44*100</f>
        <v>99.8300655951292</v>
      </c>
      <c r="J44" s="168">
        <v>650678591</v>
      </c>
      <c r="K44" s="166">
        <f>+J44/C44*100</f>
        <v>99.8300655951292</v>
      </c>
      <c r="L44" s="715">
        <v>100</v>
      </c>
      <c r="M44" s="167">
        <f>+J44/C44*100</f>
        <v>99.8300655951292</v>
      </c>
      <c r="N44" s="167">
        <f t="shared" si="8"/>
        <v>1107609</v>
      </c>
      <c r="O44" s="686"/>
    </row>
    <row r="45" spans="1:15" ht="12" customHeight="1">
      <c r="A45" s="489">
        <v>5</v>
      </c>
      <c r="B45" s="169" t="s">
        <v>47</v>
      </c>
      <c r="C45" s="166">
        <v>13050000</v>
      </c>
      <c r="D45" s="214"/>
      <c r="E45" s="167">
        <v>0</v>
      </c>
      <c r="F45" s="196">
        <v>0</v>
      </c>
      <c r="G45" s="232"/>
      <c r="H45" s="168">
        <f>3400000+7640000+2010000</f>
        <v>13050000</v>
      </c>
      <c r="I45" s="483">
        <f>+H45/C45*100</f>
        <v>100</v>
      </c>
      <c r="J45" s="168">
        <f>3400000+7640000+2010000</f>
        <v>13050000</v>
      </c>
      <c r="K45" s="166">
        <f>+J45/C45*100</f>
        <v>100</v>
      </c>
      <c r="L45" s="715">
        <v>100</v>
      </c>
      <c r="M45" s="167">
        <f>+J45/C45*100</f>
        <v>100</v>
      </c>
      <c r="N45" s="167">
        <f t="shared" si="8"/>
        <v>0</v>
      </c>
      <c r="O45" s="686"/>
    </row>
    <row r="46" spans="1:15" ht="12" customHeight="1">
      <c r="A46" s="489">
        <v>6</v>
      </c>
      <c r="B46" s="169" t="s">
        <v>48</v>
      </c>
      <c r="C46" s="166">
        <v>7600000</v>
      </c>
      <c r="D46" s="214"/>
      <c r="E46" s="167"/>
      <c r="F46" s="196"/>
      <c r="G46" s="232"/>
      <c r="H46" s="166">
        <v>7599800</v>
      </c>
      <c r="I46" s="483">
        <f>+H46/C46*100</f>
        <v>99.99736842105264</v>
      </c>
      <c r="J46" s="166">
        <v>7599800</v>
      </c>
      <c r="K46" s="166">
        <f>+J46/C46*100</f>
        <v>99.99736842105264</v>
      </c>
      <c r="L46" s="715">
        <v>100</v>
      </c>
      <c r="M46" s="167">
        <f>+J46/C46*100</f>
        <v>99.99736842105264</v>
      </c>
      <c r="N46" s="167">
        <f t="shared" si="8"/>
        <v>200</v>
      </c>
      <c r="O46" s="686"/>
    </row>
    <row r="47" spans="1:15" ht="12" customHeight="1">
      <c r="A47" s="489"/>
      <c r="B47" s="169"/>
      <c r="C47" s="166"/>
      <c r="D47" s="214"/>
      <c r="E47" s="167"/>
      <c r="F47" s="196"/>
      <c r="G47" s="232"/>
      <c r="H47" s="168"/>
      <c r="I47" s="620"/>
      <c r="J47" s="168"/>
      <c r="K47" s="540"/>
      <c r="L47" s="167"/>
      <c r="M47" s="167"/>
      <c r="N47" s="167">
        <f t="shared" si="8"/>
        <v>0</v>
      </c>
      <c r="O47" s="686"/>
    </row>
    <row r="48" spans="1:15" ht="12" customHeight="1">
      <c r="A48" s="637">
        <v>3</v>
      </c>
      <c r="B48" s="638" t="s">
        <v>49</v>
      </c>
      <c r="C48" s="639">
        <f>C49</f>
        <v>73370000</v>
      </c>
      <c r="D48" s="640"/>
      <c r="E48" s="639">
        <f>E49</f>
        <v>57200000</v>
      </c>
      <c r="F48" s="640"/>
      <c r="G48" s="644"/>
      <c r="H48" s="552">
        <f>H49</f>
        <v>73200000</v>
      </c>
      <c r="I48" s="543">
        <f>+H48/C48*100</f>
        <v>99.76829766934715</v>
      </c>
      <c r="J48" s="552">
        <f>J49</f>
        <v>73200000</v>
      </c>
      <c r="K48" s="639">
        <f>+J48/C48*100</f>
        <v>99.76829766934715</v>
      </c>
      <c r="L48" s="545">
        <v>100</v>
      </c>
      <c r="M48" s="545">
        <f>+J48/C48*100</f>
        <v>99.76829766934715</v>
      </c>
      <c r="N48" s="167">
        <f t="shared" si="8"/>
        <v>170000</v>
      </c>
      <c r="O48" s="686"/>
    </row>
    <row r="49" spans="1:15" ht="12" customHeight="1">
      <c r="A49" s="489"/>
      <c r="B49" s="165" t="s">
        <v>50</v>
      </c>
      <c r="C49" s="645">
        <v>73370000</v>
      </c>
      <c r="D49" s="646" t="s">
        <v>118</v>
      </c>
      <c r="E49" s="167">
        <v>57200000</v>
      </c>
      <c r="F49" s="647" t="s">
        <v>119</v>
      </c>
      <c r="G49" s="232" t="s">
        <v>120</v>
      </c>
      <c r="H49" s="648">
        <f>16000000+57200000</f>
        <v>73200000</v>
      </c>
      <c r="I49" s="483">
        <f>+H49/C49*100</f>
        <v>99.76829766934715</v>
      </c>
      <c r="J49" s="648">
        <f>16000000+57200000</f>
        <v>73200000</v>
      </c>
      <c r="K49" s="166">
        <f>+J49/C49*100</f>
        <v>99.76829766934715</v>
      </c>
      <c r="L49" s="715">
        <v>100</v>
      </c>
      <c r="M49" s="167">
        <f>+J49/C49*100</f>
        <v>99.76829766934715</v>
      </c>
      <c r="N49" s="167">
        <f t="shared" si="8"/>
        <v>170000</v>
      </c>
      <c r="O49" s="686"/>
    </row>
    <row r="50" spans="1:15" ht="12" customHeight="1">
      <c r="A50" s="533"/>
      <c r="B50" s="649"/>
      <c r="C50" s="650"/>
      <c r="D50" s="646"/>
      <c r="E50" s="542"/>
      <c r="F50" s="746"/>
      <c r="G50" s="651"/>
      <c r="H50" s="652"/>
      <c r="I50" s="483"/>
      <c r="J50" s="652"/>
      <c r="K50" s="166"/>
      <c r="L50" s="715"/>
      <c r="M50" s="167"/>
      <c r="N50" s="542"/>
      <c r="O50" s="686"/>
    </row>
    <row r="51" spans="1:15" ht="12" customHeight="1">
      <c r="A51" s="527">
        <v>4</v>
      </c>
      <c r="B51" s="653" t="s">
        <v>51</v>
      </c>
      <c r="C51" s="654">
        <f>C52+C69+C70</f>
        <v>5367814400</v>
      </c>
      <c r="D51" s="655"/>
      <c r="E51" s="654">
        <f>SUM(E54:E72)</f>
        <v>3282525804</v>
      </c>
      <c r="F51" s="655"/>
      <c r="G51" s="656"/>
      <c r="H51" s="657">
        <f>SUM(H52+H69+H70)</f>
        <v>4664493259</v>
      </c>
      <c r="I51" s="543">
        <f>+H51/C51*100</f>
        <v>86.89743928180528</v>
      </c>
      <c r="J51" s="657">
        <f>+J52+J69+J70</f>
        <v>4664493259</v>
      </c>
      <c r="K51" s="639">
        <f>+J51/C51*100</f>
        <v>86.89743928180528</v>
      </c>
      <c r="L51" s="718">
        <v>100</v>
      </c>
      <c r="M51" s="545">
        <f>+J51/C51*100</f>
        <v>86.89743928180528</v>
      </c>
      <c r="N51" s="657">
        <f>C51-J51</f>
        <v>703321141</v>
      </c>
      <c r="O51" s="748"/>
    </row>
    <row r="52" spans="1:15" ht="12" customHeight="1">
      <c r="A52" s="489">
        <v>1</v>
      </c>
      <c r="B52" s="627" t="s">
        <v>52</v>
      </c>
      <c r="C52" s="521">
        <v>3876642400</v>
      </c>
      <c r="D52" s="686"/>
      <c r="E52" s="686"/>
      <c r="F52" s="686"/>
      <c r="G52" s="686"/>
      <c r="H52" s="741">
        <v>3321082000</v>
      </c>
      <c r="I52" s="525">
        <f>H52/C52*100</f>
        <v>85.66903153099703</v>
      </c>
      <c r="J52" s="741">
        <v>3321082000</v>
      </c>
      <c r="K52" s="166">
        <f>+J52/C52*100</f>
        <v>85.66903153099703</v>
      </c>
      <c r="L52" s="715">
        <v>100</v>
      </c>
      <c r="M52" s="167">
        <f>J52/C52*100</f>
        <v>85.66903153099703</v>
      </c>
      <c r="N52" s="485">
        <f>C52-J52</f>
        <v>555560400</v>
      </c>
      <c r="O52" s="686"/>
    </row>
    <row r="53" spans="1:15" ht="12" customHeight="1">
      <c r="A53" s="489"/>
      <c r="B53" s="627"/>
      <c r="C53" s="521"/>
      <c r="D53" s="551"/>
      <c r="E53" s="686"/>
      <c r="F53" s="686"/>
      <c r="G53" s="551"/>
      <c r="H53" s="741">
        <f>107651400+2500000+11808800+12028000+28887000+14100000+1350000+1250000+1050000+1050000</f>
        <v>181675200</v>
      </c>
      <c r="I53" s="525"/>
      <c r="J53" s="741">
        <f>107651400+2500000+11808800+12028000+28887000+14100000+1350000+1250000+1050000+1050000</f>
        <v>181675200</v>
      </c>
      <c r="K53" s="166"/>
      <c r="L53" s="715"/>
      <c r="M53" s="167"/>
      <c r="N53" s="485"/>
      <c r="O53" s="686"/>
    </row>
    <row r="54" spans="1:15" ht="12" customHeight="1">
      <c r="A54" s="489"/>
      <c r="B54" s="627"/>
      <c r="C54" s="521"/>
      <c r="D54" s="618" t="s">
        <v>111</v>
      </c>
      <c r="E54" s="521">
        <v>89375000</v>
      </c>
      <c r="F54" s="522" t="s">
        <v>114</v>
      </c>
      <c r="G54" s="619" t="s">
        <v>116</v>
      </c>
      <c r="H54" s="521">
        <v>89375000</v>
      </c>
      <c r="I54" s="620">
        <f>H54/E54*100</f>
        <v>100</v>
      </c>
      <c r="J54" s="521">
        <v>89375000</v>
      </c>
      <c r="K54" s="620">
        <f>+H54/E54*100</f>
        <v>100</v>
      </c>
      <c r="L54" s="715">
        <v>100</v>
      </c>
      <c r="M54" s="167">
        <v>100</v>
      </c>
      <c r="N54" s="485"/>
      <c r="O54" s="686"/>
    </row>
    <row r="55" spans="1:15" ht="12" customHeight="1">
      <c r="A55" s="489"/>
      <c r="B55" s="627"/>
      <c r="C55" s="521"/>
      <c r="D55" s="618" t="s">
        <v>112</v>
      </c>
      <c r="E55" s="521">
        <v>198000000</v>
      </c>
      <c r="F55" s="522" t="s">
        <v>115</v>
      </c>
      <c r="G55" s="619" t="s">
        <v>117</v>
      </c>
      <c r="H55" s="521">
        <v>198000000</v>
      </c>
      <c r="I55" s="620">
        <f>H55/E55*100</f>
        <v>100</v>
      </c>
      <c r="J55" s="521">
        <v>198000000</v>
      </c>
      <c r="K55" s="620">
        <f>+H55/E55*100</f>
        <v>100</v>
      </c>
      <c r="L55" s="715">
        <v>100</v>
      </c>
      <c r="M55" s="167">
        <v>100</v>
      </c>
      <c r="N55" s="485"/>
      <c r="O55" s="686"/>
    </row>
    <row r="56" spans="1:15" ht="12" customHeight="1">
      <c r="A56" s="784"/>
      <c r="B56" s="785"/>
      <c r="C56" s="786"/>
      <c r="D56" s="787"/>
      <c r="E56" s="786"/>
      <c r="F56" s="788"/>
      <c r="G56" s="789"/>
      <c r="H56" s="790"/>
      <c r="I56" s="791"/>
      <c r="J56" s="792"/>
      <c r="K56" s="793"/>
      <c r="L56" s="794"/>
      <c r="M56" s="795"/>
      <c r="N56" s="796"/>
      <c r="O56" s="769"/>
    </row>
    <row r="57" spans="1:15" ht="12" customHeight="1">
      <c r="A57" s="843" t="s">
        <v>2</v>
      </c>
      <c r="B57" s="843" t="s">
        <v>3</v>
      </c>
      <c r="C57" s="843" t="s">
        <v>168</v>
      </c>
      <c r="D57" s="846" t="s">
        <v>104</v>
      </c>
      <c r="E57" s="843" t="s">
        <v>5</v>
      </c>
      <c r="F57" s="846" t="s">
        <v>6</v>
      </c>
      <c r="G57" s="851" t="s">
        <v>105</v>
      </c>
      <c r="H57" s="854" t="s">
        <v>7</v>
      </c>
      <c r="I57" s="855"/>
      <c r="J57" s="855"/>
      <c r="K57" s="856"/>
      <c r="L57" s="854" t="s">
        <v>8</v>
      </c>
      <c r="M57" s="856"/>
      <c r="N57" s="836" t="s">
        <v>87</v>
      </c>
      <c r="O57" s="839" t="s">
        <v>9</v>
      </c>
    </row>
    <row r="58" spans="1:15" ht="12" customHeight="1">
      <c r="A58" s="837"/>
      <c r="B58" s="837"/>
      <c r="C58" s="837"/>
      <c r="D58" s="848"/>
      <c r="E58" s="849"/>
      <c r="F58" s="848"/>
      <c r="G58" s="852"/>
      <c r="H58" s="841" t="s">
        <v>10</v>
      </c>
      <c r="I58" s="843" t="s">
        <v>11</v>
      </c>
      <c r="J58" s="843" t="s">
        <v>12</v>
      </c>
      <c r="K58" s="843" t="s">
        <v>11</v>
      </c>
      <c r="L58" s="844" t="s">
        <v>13</v>
      </c>
      <c r="M58" s="846" t="s">
        <v>14</v>
      </c>
      <c r="N58" s="837"/>
      <c r="O58" s="840"/>
    </row>
    <row r="59" spans="1:15" ht="12" customHeight="1">
      <c r="A59" s="838"/>
      <c r="B59" s="838"/>
      <c r="C59" s="838"/>
      <c r="D59" s="847"/>
      <c r="E59" s="850"/>
      <c r="F59" s="847"/>
      <c r="G59" s="853"/>
      <c r="H59" s="842"/>
      <c r="I59" s="838"/>
      <c r="J59" s="838"/>
      <c r="K59" s="838"/>
      <c r="L59" s="845"/>
      <c r="M59" s="847"/>
      <c r="N59" s="838"/>
      <c r="O59" s="840"/>
    </row>
    <row r="60" spans="1:15" ht="12" customHeight="1">
      <c r="A60" s="658">
        <v>1</v>
      </c>
      <c r="B60" s="658">
        <v>2</v>
      </c>
      <c r="C60" s="658">
        <v>3</v>
      </c>
      <c r="D60" s="659"/>
      <c r="E60" s="658">
        <v>4</v>
      </c>
      <c r="F60" s="659">
        <v>5</v>
      </c>
      <c r="G60" s="660"/>
      <c r="H60" s="658">
        <v>6</v>
      </c>
      <c r="I60" s="658">
        <v>7</v>
      </c>
      <c r="J60" s="658">
        <v>8</v>
      </c>
      <c r="K60" s="658">
        <v>9</v>
      </c>
      <c r="L60" s="719">
        <v>10</v>
      </c>
      <c r="M60" s="658">
        <v>11</v>
      </c>
      <c r="N60" s="658">
        <v>12</v>
      </c>
      <c r="O60" s="658">
        <v>13</v>
      </c>
    </row>
    <row r="61" spans="1:15" ht="12" customHeight="1">
      <c r="A61" s="739"/>
      <c r="B61" s="739"/>
      <c r="C61" s="739"/>
      <c r="D61" s="618" t="s">
        <v>113</v>
      </c>
      <c r="E61" s="521">
        <v>108075000</v>
      </c>
      <c r="F61" s="522" t="s">
        <v>114</v>
      </c>
      <c r="G61" s="619" t="s">
        <v>116</v>
      </c>
      <c r="H61" s="521">
        <v>108075000</v>
      </c>
      <c r="I61" s="620">
        <f aca="true" t="shared" si="9" ref="I61:I67">H61/E61*100</f>
        <v>100</v>
      </c>
      <c r="J61" s="521">
        <v>108075000</v>
      </c>
      <c r="K61" s="620">
        <f aca="true" t="shared" si="10" ref="K61:K67">+H61/E61*100</f>
        <v>100</v>
      </c>
      <c r="L61" s="715">
        <v>100</v>
      </c>
      <c r="M61" s="167">
        <v>100</v>
      </c>
      <c r="N61" s="739"/>
      <c r="O61" s="757"/>
    </row>
    <row r="62" spans="1:15" ht="12" customHeight="1">
      <c r="A62" s="489"/>
      <c r="B62" s="627"/>
      <c r="C62" s="521"/>
      <c r="D62" s="622" t="s">
        <v>130</v>
      </c>
      <c r="E62" s="521">
        <v>98200000</v>
      </c>
      <c r="F62" s="623" t="s">
        <v>131</v>
      </c>
      <c r="G62" s="492">
        <v>43556</v>
      </c>
      <c r="H62" s="521">
        <v>98200000</v>
      </c>
      <c r="I62" s="620">
        <f t="shared" si="9"/>
        <v>100</v>
      </c>
      <c r="J62" s="521">
        <v>98200000</v>
      </c>
      <c r="K62" s="620">
        <f t="shared" si="10"/>
        <v>100</v>
      </c>
      <c r="L62" s="715">
        <v>100</v>
      </c>
      <c r="M62" s="167">
        <v>100</v>
      </c>
      <c r="N62" s="485"/>
      <c r="O62" s="686"/>
    </row>
    <row r="63" spans="1:15" ht="12" customHeight="1">
      <c r="A63" s="489"/>
      <c r="B63" s="627"/>
      <c r="C63" s="521"/>
      <c r="D63" s="622" t="s">
        <v>172</v>
      </c>
      <c r="E63" s="521">
        <v>197498000</v>
      </c>
      <c r="F63" s="522" t="s">
        <v>114</v>
      </c>
      <c r="G63" s="492"/>
      <c r="H63" s="521">
        <v>197498000</v>
      </c>
      <c r="I63" s="620">
        <f t="shared" si="9"/>
        <v>100</v>
      </c>
      <c r="J63" s="521">
        <v>197498000</v>
      </c>
      <c r="K63" s="620">
        <f t="shared" si="10"/>
        <v>100</v>
      </c>
      <c r="L63" s="715">
        <v>100</v>
      </c>
      <c r="M63" s="167">
        <v>100</v>
      </c>
      <c r="N63" s="485"/>
      <c r="O63" s="686"/>
    </row>
    <row r="64" spans="1:15" ht="12" customHeight="1">
      <c r="A64" s="489"/>
      <c r="B64" s="627"/>
      <c r="C64" s="521"/>
      <c r="D64" s="622" t="s">
        <v>173</v>
      </c>
      <c r="E64" s="521">
        <v>622203600</v>
      </c>
      <c r="F64" s="624" t="s">
        <v>174</v>
      </c>
      <c r="G64" s="492">
        <v>43738</v>
      </c>
      <c r="H64" s="521">
        <v>622203600</v>
      </c>
      <c r="I64" s="620">
        <f t="shared" si="9"/>
        <v>100</v>
      </c>
      <c r="J64" s="521">
        <v>622203600</v>
      </c>
      <c r="K64" s="620">
        <f t="shared" si="10"/>
        <v>100</v>
      </c>
      <c r="L64" s="715">
        <v>100</v>
      </c>
      <c r="M64" s="167">
        <v>100</v>
      </c>
      <c r="N64" s="485"/>
      <c r="O64" s="686"/>
    </row>
    <row r="65" spans="1:15" ht="12" customHeight="1">
      <c r="A65" s="489"/>
      <c r="B65" s="627"/>
      <c r="C65" s="521"/>
      <c r="D65" s="622" t="s">
        <v>173</v>
      </c>
      <c r="E65" s="521">
        <v>1645913200</v>
      </c>
      <c r="F65" s="624" t="s">
        <v>175</v>
      </c>
      <c r="G65" s="492">
        <v>43738</v>
      </c>
      <c r="H65" s="521">
        <v>1645913200</v>
      </c>
      <c r="I65" s="620">
        <f t="shared" si="9"/>
        <v>100</v>
      </c>
      <c r="J65" s="521">
        <v>1645913200</v>
      </c>
      <c r="K65" s="620">
        <f t="shared" si="10"/>
        <v>100</v>
      </c>
      <c r="L65" s="715">
        <v>100</v>
      </c>
      <c r="M65" s="167">
        <v>100</v>
      </c>
      <c r="N65" s="485"/>
      <c r="O65" s="686"/>
    </row>
    <row r="66" spans="1:15" ht="12" customHeight="1">
      <c r="A66" s="489"/>
      <c r="B66" s="627"/>
      <c r="C66" s="521"/>
      <c r="D66" s="622" t="s">
        <v>184</v>
      </c>
      <c r="E66" s="521">
        <v>79365000</v>
      </c>
      <c r="F66" s="624" t="s">
        <v>185</v>
      </c>
      <c r="G66" s="492">
        <v>43711</v>
      </c>
      <c r="H66" s="521">
        <v>79365000</v>
      </c>
      <c r="I66" s="620">
        <f t="shared" si="9"/>
        <v>100</v>
      </c>
      <c r="J66" s="521">
        <v>79365000</v>
      </c>
      <c r="K66" s="620">
        <f t="shared" si="10"/>
        <v>100</v>
      </c>
      <c r="L66" s="715">
        <v>100</v>
      </c>
      <c r="M66" s="167">
        <v>100</v>
      </c>
      <c r="N66" s="485"/>
      <c r="O66" s="686"/>
    </row>
    <row r="67" spans="1:15" ht="12" customHeight="1">
      <c r="A67" s="489"/>
      <c r="B67" s="627"/>
      <c r="C67" s="521"/>
      <c r="D67" s="622" t="s">
        <v>186</v>
      </c>
      <c r="E67" s="521">
        <v>96602000</v>
      </c>
      <c r="F67" s="522" t="s">
        <v>114</v>
      </c>
      <c r="G67" s="770" t="s">
        <v>187</v>
      </c>
      <c r="H67" s="521">
        <v>96602000</v>
      </c>
      <c r="I67" s="620">
        <f t="shared" si="9"/>
        <v>100</v>
      </c>
      <c r="J67" s="521">
        <v>96602000</v>
      </c>
      <c r="K67" s="620">
        <f t="shared" si="10"/>
        <v>100</v>
      </c>
      <c r="L67" s="715">
        <v>100</v>
      </c>
      <c r="M67" s="167">
        <v>100</v>
      </c>
      <c r="N67" s="485"/>
      <c r="O67" s="686"/>
    </row>
    <row r="68" spans="1:15" ht="12" customHeight="1">
      <c r="A68" s="489"/>
      <c r="B68" s="627"/>
      <c r="C68" s="521"/>
      <c r="D68" s="622"/>
      <c r="E68" s="521"/>
      <c r="F68" s="522"/>
      <c r="G68" s="770"/>
      <c r="H68" s="521"/>
      <c r="I68" s="620"/>
      <c r="J68" s="521"/>
      <c r="K68" s="620"/>
      <c r="L68" s="715"/>
      <c r="M68" s="167"/>
      <c r="N68" s="485"/>
      <c r="O68" s="686"/>
    </row>
    <row r="69" spans="1:15" ht="12" customHeight="1">
      <c r="A69" s="489">
        <v>2</v>
      </c>
      <c r="B69" s="627" t="s">
        <v>53</v>
      </c>
      <c r="C69" s="521">
        <v>1110122000</v>
      </c>
      <c r="D69" s="522"/>
      <c r="E69" s="523"/>
      <c r="F69" s="491"/>
      <c r="G69" s="492"/>
      <c r="H69" s="524">
        <v>1077193671</v>
      </c>
      <c r="I69" s="483">
        <f>+H69/C69*100</f>
        <v>97.0338098875619</v>
      </c>
      <c r="J69" s="524">
        <v>1077193671</v>
      </c>
      <c r="K69" s="166">
        <f>+J69/C69*100</f>
        <v>97.0338098875619</v>
      </c>
      <c r="L69" s="715">
        <v>100</v>
      </c>
      <c r="M69" s="167">
        <f>+J69/C69*100</f>
        <v>97.0338098875619</v>
      </c>
      <c r="N69" s="485">
        <f>C69-J69</f>
        <v>32928329</v>
      </c>
      <c r="O69" s="686"/>
    </row>
    <row r="70" spans="1:15" ht="12" customHeight="1">
      <c r="A70" s="489">
        <v>3</v>
      </c>
      <c r="B70" s="627" t="s">
        <v>54</v>
      </c>
      <c r="C70" s="521">
        <v>381050000</v>
      </c>
      <c r="D70" s="546" t="s">
        <v>107</v>
      </c>
      <c r="E70" s="524">
        <v>48600000</v>
      </c>
      <c r="F70" s="491" t="s">
        <v>108</v>
      </c>
      <c r="G70" s="492">
        <v>43584</v>
      </c>
      <c r="H70" s="524">
        <f>119273588+38375000+9875000+98694000</f>
        <v>266217588</v>
      </c>
      <c r="I70" s="483">
        <f>+H70/C70*100</f>
        <v>69.86421414512532</v>
      </c>
      <c r="J70" s="524">
        <f>119273588+38375000+9875000+98694000</f>
        <v>266217588</v>
      </c>
      <c r="K70" s="166">
        <f>+J70/C70*100</f>
        <v>69.86421414512532</v>
      </c>
      <c r="L70" s="715">
        <v>100</v>
      </c>
      <c r="M70" s="167">
        <f>+J70/C70*100</f>
        <v>69.86421414512532</v>
      </c>
      <c r="N70" s="485">
        <f>C70-J70</f>
        <v>114832412</v>
      </c>
      <c r="O70" s="686"/>
    </row>
    <row r="71" spans="1:15" ht="12" customHeight="1">
      <c r="A71" s="533"/>
      <c r="B71" s="661"/>
      <c r="C71" s="662"/>
      <c r="D71" s="773" t="s">
        <v>190</v>
      </c>
      <c r="E71" s="664">
        <v>98694000</v>
      </c>
      <c r="F71" s="537" t="s">
        <v>188</v>
      </c>
      <c r="G71" s="772" t="s">
        <v>189</v>
      </c>
      <c r="H71" s="664"/>
      <c r="I71" s="771"/>
      <c r="J71" s="664"/>
      <c r="K71" s="535"/>
      <c r="L71" s="715"/>
      <c r="M71" s="542"/>
      <c r="N71" s="485"/>
      <c r="O71" s="686"/>
    </row>
    <row r="72" spans="1:15" ht="12" customHeight="1">
      <c r="A72" s="533"/>
      <c r="B72" s="661"/>
      <c r="C72" s="662"/>
      <c r="D72" s="663"/>
      <c r="E72" s="664"/>
      <c r="F72" s="537"/>
      <c r="G72" s="538"/>
      <c r="H72" s="664"/>
      <c r="I72" s="539"/>
      <c r="J72" s="664"/>
      <c r="K72" s="540"/>
      <c r="L72" s="716"/>
      <c r="M72" s="542"/>
      <c r="N72" s="485"/>
      <c r="O72" s="686"/>
    </row>
    <row r="73" spans="1:15" ht="12" customHeight="1">
      <c r="A73" s="665">
        <v>5</v>
      </c>
      <c r="B73" s="528" t="s">
        <v>56</v>
      </c>
      <c r="C73" s="532">
        <f>SUM(C74:C87)</f>
        <v>1190425000</v>
      </c>
      <c r="D73" s="567"/>
      <c r="E73" s="532">
        <f>E74+E75+E76++E77+E78+E79+E80+E83+E85+E87+E82</f>
        <v>160501000</v>
      </c>
      <c r="F73" s="567"/>
      <c r="G73" s="568"/>
      <c r="H73" s="532">
        <f>SUM(H74:H87)</f>
        <v>1042821874</v>
      </c>
      <c r="I73" s="543">
        <f aca="true" t="shared" si="11" ref="I73:I81">+H73/C73*100</f>
        <v>87.60080425058277</v>
      </c>
      <c r="J73" s="532">
        <f>SUM(J74:J87)</f>
        <v>1042821874</v>
      </c>
      <c r="K73" s="639">
        <f aca="true" t="shared" si="12" ref="K73:K81">+J73/C73*100</f>
        <v>87.60080425058277</v>
      </c>
      <c r="L73" s="545">
        <v>100</v>
      </c>
      <c r="M73" s="545">
        <f>+J73/C73*100</f>
        <v>87.60080425058277</v>
      </c>
      <c r="N73" s="485">
        <f aca="true" t="shared" si="13" ref="N73:N81">C73-J73</f>
        <v>147603126</v>
      </c>
      <c r="O73" s="686"/>
    </row>
    <row r="74" spans="1:15" ht="12" customHeight="1">
      <c r="A74" s="489">
        <v>1</v>
      </c>
      <c r="B74" s="169" t="s">
        <v>57</v>
      </c>
      <c r="C74" s="166">
        <v>350000000</v>
      </c>
      <c r="D74" s="214"/>
      <c r="E74" s="166"/>
      <c r="F74" s="491"/>
      <c r="G74" s="492"/>
      <c r="H74" s="166">
        <v>250438900</v>
      </c>
      <c r="I74" s="483">
        <f t="shared" si="11"/>
        <v>71.55397142857143</v>
      </c>
      <c r="J74" s="166">
        <v>250438900</v>
      </c>
      <c r="K74" s="166">
        <f t="shared" si="12"/>
        <v>71.55397142857143</v>
      </c>
      <c r="L74" s="718">
        <v>100</v>
      </c>
      <c r="M74" s="167">
        <f aca="true" t="shared" si="14" ref="M74:M81">+J74/C74*100</f>
        <v>71.55397142857143</v>
      </c>
      <c r="N74" s="485">
        <f t="shared" si="13"/>
        <v>99561100</v>
      </c>
      <c r="O74" s="686"/>
    </row>
    <row r="75" spans="1:15" ht="12" customHeight="1">
      <c r="A75" s="489">
        <v>2</v>
      </c>
      <c r="B75" s="490" t="s">
        <v>58</v>
      </c>
      <c r="C75" s="166">
        <v>165000000</v>
      </c>
      <c r="D75" s="214"/>
      <c r="E75" s="167"/>
      <c r="F75" s="491"/>
      <c r="G75" s="492"/>
      <c r="H75" s="166">
        <f>122001983+1342421+2100000+32652500+2850000</f>
        <v>160946904</v>
      </c>
      <c r="I75" s="483">
        <f t="shared" si="11"/>
        <v>97.54357818181818</v>
      </c>
      <c r="J75" s="166">
        <f>122001983+1342421+2100000+32652500+2850000</f>
        <v>160946904</v>
      </c>
      <c r="K75" s="166">
        <f t="shared" si="12"/>
        <v>97.54357818181818</v>
      </c>
      <c r="L75" s="718">
        <v>100</v>
      </c>
      <c r="M75" s="167">
        <f t="shared" si="14"/>
        <v>97.54357818181818</v>
      </c>
      <c r="N75" s="485">
        <f t="shared" si="13"/>
        <v>4053096</v>
      </c>
      <c r="O75" s="686"/>
    </row>
    <row r="76" spans="1:15" ht="12" customHeight="1">
      <c r="A76" s="489">
        <v>3</v>
      </c>
      <c r="B76" s="490" t="s">
        <v>59</v>
      </c>
      <c r="C76" s="166">
        <v>50000000</v>
      </c>
      <c r="D76" s="214"/>
      <c r="E76" s="167"/>
      <c r="F76" s="491"/>
      <c r="G76" s="492"/>
      <c r="H76" s="168">
        <f>22900000+1375000+2400000+11450000</f>
        <v>38125000</v>
      </c>
      <c r="I76" s="483">
        <f t="shared" si="11"/>
        <v>76.25</v>
      </c>
      <c r="J76" s="168">
        <f>22900000+1375000+2400000+11450000</f>
        <v>38125000</v>
      </c>
      <c r="K76" s="166">
        <f t="shared" si="12"/>
        <v>76.25</v>
      </c>
      <c r="L76" s="718">
        <v>100</v>
      </c>
      <c r="M76" s="167">
        <f t="shared" si="14"/>
        <v>76.25</v>
      </c>
      <c r="N76" s="485">
        <f t="shared" si="13"/>
        <v>11875000</v>
      </c>
      <c r="O76" s="686"/>
    </row>
    <row r="77" spans="1:15" ht="12" customHeight="1">
      <c r="A77" s="489">
        <v>4</v>
      </c>
      <c r="B77" s="169" t="s">
        <v>78</v>
      </c>
      <c r="C77" s="166">
        <v>80000000</v>
      </c>
      <c r="D77" s="214" t="s">
        <v>110</v>
      </c>
      <c r="E77" s="167">
        <v>11000000</v>
      </c>
      <c r="F77" s="491" t="s">
        <v>109</v>
      </c>
      <c r="G77" s="492">
        <v>43580</v>
      </c>
      <c r="H77" s="168">
        <v>70474900</v>
      </c>
      <c r="I77" s="483">
        <f t="shared" si="11"/>
        <v>88.093625</v>
      </c>
      <c r="J77" s="168">
        <v>70474900</v>
      </c>
      <c r="K77" s="166">
        <f t="shared" si="12"/>
        <v>88.093625</v>
      </c>
      <c r="L77" s="718">
        <v>100</v>
      </c>
      <c r="M77" s="167">
        <f t="shared" si="14"/>
        <v>88.093625</v>
      </c>
      <c r="N77" s="485">
        <f t="shared" si="13"/>
        <v>9525100</v>
      </c>
      <c r="O77" s="686"/>
    </row>
    <row r="78" spans="1:15" ht="12" customHeight="1">
      <c r="A78" s="489">
        <v>5</v>
      </c>
      <c r="B78" s="169" t="s">
        <v>79</v>
      </c>
      <c r="C78" s="166">
        <v>50000000</v>
      </c>
      <c r="D78" s="214"/>
      <c r="E78" s="167"/>
      <c r="F78" s="491"/>
      <c r="G78" s="492"/>
      <c r="H78" s="168">
        <v>40450000</v>
      </c>
      <c r="I78" s="483">
        <f t="shared" si="11"/>
        <v>80.9</v>
      </c>
      <c r="J78" s="168">
        <v>40450000</v>
      </c>
      <c r="K78" s="166">
        <f t="shared" si="12"/>
        <v>80.9</v>
      </c>
      <c r="L78" s="718">
        <v>100</v>
      </c>
      <c r="M78" s="167">
        <f t="shared" si="14"/>
        <v>80.9</v>
      </c>
      <c r="N78" s="485">
        <f t="shared" si="13"/>
        <v>9550000</v>
      </c>
      <c r="O78" s="686"/>
    </row>
    <row r="79" spans="1:15" ht="12" customHeight="1">
      <c r="A79" s="489">
        <v>6</v>
      </c>
      <c r="B79" s="169" t="s">
        <v>60</v>
      </c>
      <c r="C79" s="166">
        <v>50000000</v>
      </c>
      <c r="D79" s="214"/>
      <c r="E79" s="167"/>
      <c r="F79" s="491"/>
      <c r="G79" s="492"/>
      <c r="H79" s="168">
        <f>20860166+1435000+2766631+21332373+1650000</f>
        <v>48044170</v>
      </c>
      <c r="I79" s="483">
        <f t="shared" si="11"/>
        <v>96.08834</v>
      </c>
      <c r="J79" s="168">
        <f>20860166+1435000+2766631+21332373+1650000</f>
        <v>48044170</v>
      </c>
      <c r="K79" s="166">
        <f t="shared" si="12"/>
        <v>96.08834</v>
      </c>
      <c r="L79" s="718">
        <v>100</v>
      </c>
      <c r="M79" s="167">
        <f t="shared" si="14"/>
        <v>96.08834</v>
      </c>
      <c r="N79" s="485">
        <f t="shared" si="13"/>
        <v>1955830</v>
      </c>
      <c r="O79" s="686"/>
    </row>
    <row r="80" spans="1:15" ht="12" customHeight="1">
      <c r="A80" s="493">
        <v>7</v>
      </c>
      <c r="B80" s="494" t="s">
        <v>61</v>
      </c>
      <c r="C80" s="495">
        <v>50000000</v>
      </c>
      <c r="D80" s="496"/>
      <c r="E80" s="497"/>
      <c r="F80" s="498"/>
      <c r="G80" s="499"/>
      <c r="H80" s="500">
        <v>48600000</v>
      </c>
      <c r="I80" s="483">
        <f t="shared" si="11"/>
        <v>97.2</v>
      </c>
      <c r="J80" s="500">
        <v>48600000</v>
      </c>
      <c r="K80" s="166">
        <f t="shared" si="12"/>
        <v>97.2</v>
      </c>
      <c r="L80" s="718">
        <v>100</v>
      </c>
      <c r="M80" s="167">
        <f t="shared" si="14"/>
        <v>97.2</v>
      </c>
      <c r="N80" s="485">
        <f t="shared" si="13"/>
        <v>1400000</v>
      </c>
      <c r="O80" s="686"/>
    </row>
    <row r="81" spans="1:15" ht="12" customHeight="1">
      <c r="A81" s="489">
        <v>8</v>
      </c>
      <c r="B81" s="494" t="s">
        <v>85</v>
      </c>
      <c r="C81" s="495">
        <v>156700000</v>
      </c>
      <c r="D81" s="496"/>
      <c r="E81" s="497"/>
      <c r="F81" s="498"/>
      <c r="G81" s="499"/>
      <c r="H81" s="500">
        <f>149501000+4700000+1350000</f>
        <v>155551000</v>
      </c>
      <c r="I81" s="483">
        <f t="shared" si="11"/>
        <v>99.26675175494576</v>
      </c>
      <c r="J81" s="500">
        <f>149501000+4700000+1350000</f>
        <v>155551000</v>
      </c>
      <c r="K81" s="166">
        <f t="shared" si="12"/>
        <v>99.26675175494576</v>
      </c>
      <c r="L81" s="718">
        <v>100</v>
      </c>
      <c r="M81" s="167">
        <f t="shared" si="14"/>
        <v>99.26675175494576</v>
      </c>
      <c r="N81" s="485">
        <f t="shared" si="13"/>
        <v>1149000</v>
      </c>
      <c r="O81" s="686"/>
    </row>
    <row r="82" spans="1:15" ht="12" customHeight="1">
      <c r="A82" s="493"/>
      <c r="B82" s="494"/>
      <c r="C82" s="495"/>
      <c r="D82" s="501" t="s">
        <v>154</v>
      </c>
      <c r="E82" s="502">
        <v>149501000</v>
      </c>
      <c r="F82" s="503" t="s">
        <v>156</v>
      </c>
      <c r="G82" s="504" t="s">
        <v>155</v>
      </c>
      <c r="H82" s="505"/>
      <c r="I82" s="506"/>
      <c r="J82" s="505"/>
      <c r="K82" s="166"/>
      <c r="L82" s="718"/>
      <c r="M82" s="167"/>
      <c r="N82" s="485"/>
      <c r="O82" s="686"/>
    </row>
    <row r="83" spans="1:15" ht="12" customHeight="1">
      <c r="A83" s="493">
        <v>9</v>
      </c>
      <c r="B83" s="507" t="s">
        <v>80</v>
      </c>
      <c r="C83" s="508">
        <v>140000000</v>
      </c>
      <c r="D83" s="509"/>
      <c r="E83" s="510">
        <v>0</v>
      </c>
      <c r="F83" s="511"/>
      <c r="G83" s="512"/>
      <c r="H83" s="508">
        <v>136866000</v>
      </c>
      <c r="I83" s="525">
        <f>(H83)/C83*100</f>
        <v>97.76142857142858</v>
      </c>
      <c r="J83" s="508">
        <v>136866000</v>
      </c>
      <c r="K83" s="168">
        <f>(J83+J84)/C83*100</f>
        <v>97.76142857142858</v>
      </c>
      <c r="L83" s="718">
        <v>100</v>
      </c>
      <c r="M83" s="167">
        <f>(J83+J84)/C83*100</f>
        <v>97.76142857142858</v>
      </c>
      <c r="N83" s="508">
        <f>C83-J83-J84</f>
        <v>3134000</v>
      </c>
      <c r="O83" s="686"/>
    </row>
    <row r="84" spans="1:15" ht="12" customHeight="1">
      <c r="A84" s="493"/>
      <c r="B84" s="507"/>
      <c r="C84" s="508"/>
      <c r="D84" s="515" t="s">
        <v>140</v>
      </c>
      <c r="E84" s="510">
        <v>85930000</v>
      </c>
      <c r="F84" s="516" t="s">
        <v>141</v>
      </c>
      <c r="G84" s="512">
        <v>43556</v>
      </c>
      <c r="H84" s="510"/>
      <c r="I84" s="483"/>
      <c r="J84" s="510"/>
      <c r="K84" s="166"/>
      <c r="L84" s="718"/>
      <c r="M84" s="167"/>
      <c r="N84" s="508"/>
      <c r="O84" s="686"/>
    </row>
    <row r="85" spans="1:15" ht="12" customHeight="1">
      <c r="A85" s="489">
        <v>10</v>
      </c>
      <c r="B85" s="169" t="s">
        <v>62</v>
      </c>
      <c r="C85" s="166">
        <v>58775000</v>
      </c>
      <c r="D85" s="214"/>
      <c r="E85" s="166"/>
      <c r="F85" s="491"/>
      <c r="G85" s="492"/>
      <c r="H85" s="168">
        <f>14545000+25830000+16750000+1300000</f>
        <v>58425000</v>
      </c>
      <c r="I85" s="483">
        <f aca="true" t="shared" si="15" ref="I85:I93">+H85/C85*100</f>
        <v>99.40450871969375</v>
      </c>
      <c r="J85" s="168">
        <f>14545000+25830000+16750000+1300000</f>
        <v>58425000</v>
      </c>
      <c r="K85" s="166">
        <f aca="true" t="shared" si="16" ref="K85:K93">+J85/C85*100</f>
        <v>99.40450871969375</v>
      </c>
      <c r="L85" s="718">
        <v>100</v>
      </c>
      <c r="M85" s="167">
        <f aca="true" t="shared" si="17" ref="M85:M91">+J85/C85*100</f>
        <v>99.40450871969375</v>
      </c>
      <c r="N85" s="485">
        <f aca="true" t="shared" si="18" ref="N85:N93">C85-J85</f>
        <v>350000</v>
      </c>
      <c r="O85" s="686"/>
    </row>
    <row r="86" spans="1:15" ht="12" customHeight="1">
      <c r="A86" s="493">
        <v>11</v>
      </c>
      <c r="B86" s="169" t="s">
        <v>81</v>
      </c>
      <c r="C86" s="517">
        <v>18950000</v>
      </c>
      <c r="D86" s="518"/>
      <c r="E86" s="166"/>
      <c r="F86" s="491"/>
      <c r="G86" s="492"/>
      <c r="H86" s="168">
        <v>15150000</v>
      </c>
      <c r="I86" s="483">
        <f t="shared" si="15"/>
        <v>79.94722955145119</v>
      </c>
      <c r="J86" s="168">
        <v>15150000</v>
      </c>
      <c r="K86" s="166">
        <f t="shared" si="16"/>
        <v>79.94722955145119</v>
      </c>
      <c r="L86" s="718">
        <v>100</v>
      </c>
      <c r="M86" s="167">
        <f t="shared" si="17"/>
        <v>79.94722955145119</v>
      </c>
      <c r="N86" s="485">
        <f t="shared" si="18"/>
        <v>3800000</v>
      </c>
      <c r="O86" s="686"/>
    </row>
    <row r="87" spans="1:15" ht="12" customHeight="1">
      <c r="A87" s="489">
        <v>12</v>
      </c>
      <c r="B87" s="169" t="s">
        <v>55</v>
      </c>
      <c r="C87" s="517">
        <v>21000000</v>
      </c>
      <c r="D87" s="518"/>
      <c r="E87" s="166"/>
      <c r="F87" s="491"/>
      <c r="G87" s="492"/>
      <c r="H87" s="168">
        <f>12900000+3925000+2925000</f>
        <v>19750000</v>
      </c>
      <c r="I87" s="483">
        <f t="shared" si="15"/>
        <v>94.04761904761905</v>
      </c>
      <c r="J87" s="168">
        <f>12900000+3925000+2925000</f>
        <v>19750000</v>
      </c>
      <c r="K87" s="166">
        <f t="shared" si="16"/>
        <v>94.04761904761905</v>
      </c>
      <c r="L87" s="718">
        <v>100</v>
      </c>
      <c r="M87" s="167">
        <f t="shared" si="17"/>
        <v>94.04761904761905</v>
      </c>
      <c r="N87" s="485">
        <f t="shared" si="18"/>
        <v>1250000</v>
      </c>
      <c r="O87" s="686"/>
    </row>
    <row r="88" spans="1:15" ht="12" customHeight="1">
      <c r="A88" s="527">
        <v>6</v>
      </c>
      <c r="B88" s="528" t="s">
        <v>63</v>
      </c>
      <c r="C88" s="529">
        <f>C89+C90+C91</f>
        <v>386507853</v>
      </c>
      <c r="D88" s="530"/>
      <c r="E88" s="529">
        <f>E89+E90+E91</f>
        <v>0</v>
      </c>
      <c r="F88" s="530"/>
      <c r="G88" s="531"/>
      <c r="H88" s="532">
        <f>SUM(H89:H91)</f>
        <v>381416500</v>
      </c>
      <c r="I88" s="543">
        <f t="shared" si="15"/>
        <v>98.68272974003455</v>
      </c>
      <c r="J88" s="532">
        <f>SUM(J89:J91)</f>
        <v>381416500</v>
      </c>
      <c r="K88" s="639">
        <f t="shared" si="16"/>
        <v>98.68272974003455</v>
      </c>
      <c r="L88" s="718">
        <v>100</v>
      </c>
      <c r="M88" s="545">
        <f t="shared" si="17"/>
        <v>98.68272974003455</v>
      </c>
      <c r="N88" s="670">
        <f t="shared" si="18"/>
        <v>5091353</v>
      </c>
      <c r="O88" s="748"/>
    </row>
    <row r="89" spans="1:15" ht="12" customHeight="1">
      <c r="A89" s="489">
        <v>1</v>
      </c>
      <c r="B89" s="169" t="s">
        <v>64</v>
      </c>
      <c r="C89" s="517">
        <v>50000000</v>
      </c>
      <c r="D89" s="518"/>
      <c r="E89" s="517"/>
      <c r="F89" s="491"/>
      <c r="G89" s="492"/>
      <c r="H89" s="517">
        <f>37223000+3525000+5525000+1900000</f>
        <v>48173000</v>
      </c>
      <c r="I89" s="483">
        <f t="shared" si="15"/>
        <v>96.346</v>
      </c>
      <c r="J89" s="517">
        <f>37223000+3525000+5525000+1900000</f>
        <v>48173000</v>
      </c>
      <c r="K89" s="166">
        <f t="shared" si="16"/>
        <v>96.346</v>
      </c>
      <c r="L89" s="718">
        <v>100</v>
      </c>
      <c r="M89" s="167">
        <f t="shared" si="17"/>
        <v>96.346</v>
      </c>
      <c r="N89" s="485">
        <f t="shared" si="18"/>
        <v>1827000</v>
      </c>
      <c r="O89" s="686"/>
    </row>
    <row r="90" spans="1:15" ht="12" customHeight="1">
      <c r="A90" s="489">
        <v>2</v>
      </c>
      <c r="B90" s="169" t="s">
        <v>65</v>
      </c>
      <c r="C90" s="517">
        <v>35000000</v>
      </c>
      <c r="D90" s="518"/>
      <c r="E90" s="523"/>
      <c r="F90" s="491"/>
      <c r="G90" s="492"/>
      <c r="H90" s="517">
        <f>8946000+20250000+4675000</f>
        <v>33871000</v>
      </c>
      <c r="I90" s="483">
        <f t="shared" si="15"/>
        <v>96.77428571428571</v>
      </c>
      <c r="J90" s="517">
        <f>8946000+20250000+4675000</f>
        <v>33871000</v>
      </c>
      <c r="K90" s="166">
        <f t="shared" si="16"/>
        <v>96.77428571428571</v>
      </c>
      <c r="L90" s="718">
        <v>100</v>
      </c>
      <c r="M90" s="167">
        <f t="shared" si="17"/>
        <v>96.77428571428571</v>
      </c>
      <c r="N90" s="485">
        <f t="shared" si="18"/>
        <v>1129000</v>
      </c>
      <c r="O90" s="686"/>
    </row>
    <row r="91" spans="1:15" ht="12" customHeight="1">
      <c r="A91" s="489">
        <v>3</v>
      </c>
      <c r="B91" s="169" t="s">
        <v>66</v>
      </c>
      <c r="C91" s="166">
        <v>301507853</v>
      </c>
      <c r="D91" s="214"/>
      <c r="E91" s="166"/>
      <c r="F91" s="491"/>
      <c r="G91" s="492"/>
      <c r="H91" s="166">
        <f>236275000+4450000+3750000+45447500+300000+3075000+3825000+2250000</f>
        <v>299372500</v>
      </c>
      <c r="I91" s="483">
        <f t="shared" si="15"/>
        <v>99.2917753289829</v>
      </c>
      <c r="J91" s="166">
        <f>236275000+4450000+3750000+45447500+300000+3075000+3825000+2250000</f>
        <v>299372500</v>
      </c>
      <c r="K91" s="166">
        <f t="shared" si="16"/>
        <v>99.2917753289829</v>
      </c>
      <c r="L91" s="718">
        <v>100</v>
      </c>
      <c r="M91" s="167">
        <f t="shared" si="17"/>
        <v>99.2917753289829</v>
      </c>
      <c r="N91" s="485">
        <f t="shared" si="18"/>
        <v>2135353</v>
      </c>
      <c r="O91" s="686"/>
    </row>
    <row r="92" spans="1:15" ht="12" customHeight="1">
      <c r="A92" s="527">
        <v>7</v>
      </c>
      <c r="B92" s="528" t="s">
        <v>67</v>
      </c>
      <c r="C92" s="532">
        <f>C93+C94</f>
        <v>520000000</v>
      </c>
      <c r="D92" s="567"/>
      <c r="E92" s="532">
        <f>SUM(E93:E102)</f>
        <v>503968000</v>
      </c>
      <c r="F92" s="567"/>
      <c r="G92" s="568"/>
      <c r="H92" s="532">
        <f>SUM(H93+H94)</f>
        <v>513418000</v>
      </c>
      <c r="I92" s="684">
        <f t="shared" si="15"/>
        <v>98.73423076923076</v>
      </c>
      <c r="J92" s="532">
        <f>SUM(J93+J94)</f>
        <v>513418000</v>
      </c>
      <c r="K92" s="552">
        <f t="shared" si="16"/>
        <v>98.73423076923076</v>
      </c>
      <c r="L92" s="545">
        <v>100</v>
      </c>
      <c r="M92" s="545">
        <f>J92/C92*100</f>
        <v>98.73423076923076</v>
      </c>
      <c r="N92" s="485">
        <f t="shared" si="18"/>
        <v>6582000</v>
      </c>
      <c r="O92" s="686"/>
    </row>
    <row r="93" spans="1:15" ht="12" customHeight="1">
      <c r="A93" s="519">
        <v>1</v>
      </c>
      <c r="B93" s="169" t="s">
        <v>68</v>
      </c>
      <c r="C93" s="166">
        <v>100000000</v>
      </c>
      <c r="D93" s="546" t="s">
        <v>129</v>
      </c>
      <c r="E93" s="521">
        <v>98395000</v>
      </c>
      <c r="F93" s="546" t="s">
        <v>128</v>
      </c>
      <c r="G93" s="547" t="s">
        <v>127</v>
      </c>
      <c r="H93" s="166">
        <v>99445000</v>
      </c>
      <c r="I93" s="483">
        <f t="shared" si="15"/>
        <v>99.445</v>
      </c>
      <c r="J93" s="166">
        <v>99445000</v>
      </c>
      <c r="K93" s="166">
        <f t="shared" si="16"/>
        <v>99.445</v>
      </c>
      <c r="L93" s="718">
        <v>100</v>
      </c>
      <c r="M93" s="167">
        <f>+J93/C93*100</f>
        <v>99.445</v>
      </c>
      <c r="N93" s="485">
        <f t="shared" si="18"/>
        <v>555000</v>
      </c>
      <c r="O93" s="686"/>
    </row>
    <row r="94" spans="1:15" ht="12" customHeight="1">
      <c r="A94" s="519">
        <v>2</v>
      </c>
      <c r="B94" s="169" t="s">
        <v>69</v>
      </c>
      <c r="C94" s="166">
        <v>420000000</v>
      </c>
      <c r="D94" s="546"/>
      <c r="E94" s="521"/>
      <c r="F94" s="546"/>
      <c r="G94" s="547"/>
      <c r="H94" s="166">
        <f>SUM(H95+H96+H97+H98+H99+H100+H101+H102)+1050000+1050000+1050000+1050000+1050000+1050000+1050000+1050000</f>
        <v>413973000</v>
      </c>
      <c r="I94" s="483">
        <f>H94/C94*100</f>
        <v>98.565</v>
      </c>
      <c r="J94" s="166">
        <f>SUM(J95+J96+J97+J98+J99+J100+J101+J102)+1050000+1050000+1050000+1050000+1050000+1050000+1050000+1050000</f>
        <v>413973000</v>
      </c>
      <c r="K94" s="166">
        <f>J94/C94*100</f>
        <v>98.565</v>
      </c>
      <c r="L94" s="718">
        <v>100</v>
      </c>
      <c r="M94" s="167">
        <f>+J94/C94*100</f>
        <v>98.565</v>
      </c>
      <c r="N94" s="485">
        <f>C94-(J95+J96+J97+J98+J99+J100+J101+J102)-(8*1050000)</f>
        <v>6027000</v>
      </c>
      <c r="O94" s="774"/>
    </row>
    <row r="95" spans="1:15" ht="12" customHeight="1">
      <c r="A95" s="519"/>
      <c r="B95" s="169"/>
      <c r="C95" s="166"/>
      <c r="D95" s="501" t="s">
        <v>136</v>
      </c>
      <c r="E95" s="166">
        <v>98188000</v>
      </c>
      <c r="F95" s="548" t="s">
        <v>134</v>
      </c>
      <c r="G95" s="492" t="s">
        <v>135</v>
      </c>
      <c r="H95" s="166">
        <v>98188000</v>
      </c>
      <c r="I95" s="725">
        <f>+H95/E95*100</f>
        <v>100</v>
      </c>
      <c r="J95" s="166">
        <v>98188000</v>
      </c>
      <c r="K95" s="725">
        <f>+J95/E95*100</f>
        <v>100</v>
      </c>
      <c r="L95" s="720"/>
      <c r="M95" s="167"/>
      <c r="N95" s="551"/>
      <c r="O95" s="686"/>
    </row>
    <row r="96" spans="1:15" ht="12" customHeight="1">
      <c r="A96" s="519"/>
      <c r="B96" s="169"/>
      <c r="C96" s="166"/>
      <c r="D96" s="501" t="s">
        <v>145</v>
      </c>
      <c r="E96" s="166">
        <v>48230000</v>
      </c>
      <c r="F96" s="548" t="s">
        <v>144</v>
      </c>
      <c r="G96" s="512" t="s">
        <v>143</v>
      </c>
      <c r="H96" s="166">
        <v>48230000</v>
      </c>
      <c r="I96" s="725">
        <f aca="true" t="shared" si="19" ref="I96:I102">+H96/E96*100</f>
        <v>100</v>
      </c>
      <c r="J96" s="166">
        <v>48230000</v>
      </c>
      <c r="K96" s="725">
        <f aca="true" t="shared" si="20" ref="K96:K102">+J96/E96*100</f>
        <v>100</v>
      </c>
      <c r="L96" s="718"/>
      <c r="M96" s="167"/>
      <c r="N96" s="485"/>
      <c r="O96" s="686"/>
    </row>
    <row r="97" spans="1:15" ht="12" customHeight="1">
      <c r="A97" s="519"/>
      <c r="B97" s="169"/>
      <c r="C97" s="166"/>
      <c r="D97" s="501" t="s">
        <v>142</v>
      </c>
      <c r="E97" s="166">
        <v>48150000</v>
      </c>
      <c r="F97" s="548" t="s">
        <v>146</v>
      </c>
      <c r="G97" s="512" t="s">
        <v>143</v>
      </c>
      <c r="H97" s="166">
        <v>48150000</v>
      </c>
      <c r="I97" s="725">
        <f t="shared" si="19"/>
        <v>100</v>
      </c>
      <c r="J97" s="166">
        <v>48150000</v>
      </c>
      <c r="K97" s="725">
        <f t="shared" si="20"/>
        <v>100</v>
      </c>
      <c r="L97" s="718"/>
      <c r="M97" s="167"/>
      <c r="N97" s="485"/>
      <c r="O97" s="686"/>
    </row>
    <row r="98" spans="1:15" ht="12" customHeight="1">
      <c r="A98" s="519"/>
      <c r="B98" s="169"/>
      <c r="C98" s="166"/>
      <c r="D98" s="501" t="s">
        <v>147</v>
      </c>
      <c r="E98" s="166">
        <v>38280000</v>
      </c>
      <c r="F98" s="549" t="s">
        <v>148</v>
      </c>
      <c r="G98" s="512">
        <v>43556</v>
      </c>
      <c r="H98" s="166">
        <v>38280000</v>
      </c>
      <c r="I98" s="725">
        <f t="shared" si="19"/>
        <v>100</v>
      </c>
      <c r="J98" s="166">
        <v>38280000</v>
      </c>
      <c r="K98" s="725">
        <f t="shared" si="20"/>
        <v>100</v>
      </c>
      <c r="L98" s="718"/>
      <c r="M98" s="167"/>
      <c r="N98" s="485"/>
      <c r="O98" s="686"/>
    </row>
    <row r="99" spans="1:15" ht="12" customHeight="1">
      <c r="A99" s="519"/>
      <c r="B99" s="169"/>
      <c r="C99" s="166"/>
      <c r="D99" s="501" t="s">
        <v>149</v>
      </c>
      <c r="E99" s="166">
        <v>48260000</v>
      </c>
      <c r="F99" s="549" t="s">
        <v>148</v>
      </c>
      <c r="G99" s="512">
        <v>43556</v>
      </c>
      <c r="H99" s="166">
        <v>48260000</v>
      </c>
      <c r="I99" s="725">
        <f t="shared" si="19"/>
        <v>100</v>
      </c>
      <c r="J99" s="166">
        <v>48260000</v>
      </c>
      <c r="K99" s="725">
        <f t="shared" si="20"/>
        <v>100</v>
      </c>
      <c r="L99" s="718"/>
      <c r="M99" s="167"/>
      <c r="N99" s="485"/>
      <c r="O99" s="686"/>
    </row>
    <row r="100" spans="1:15" ht="12" customHeight="1">
      <c r="A100" s="519"/>
      <c r="B100" s="169"/>
      <c r="C100" s="166"/>
      <c r="D100" s="501" t="s">
        <v>150</v>
      </c>
      <c r="E100" s="166">
        <v>38170000</v>
      </c>
      <c r="F100" s="549" t="s">
        <v>148</v>
      </c>
      <c r="G100" s="512">
        <v>43556</v>
      </c>
      <c r="H100" s="166">
        <v>38170000</v>
      </c>
      <c r="I100" s="725">
        <f t="shared" si="19"/>
        <v>100</v>
      </c>
      <c r="J100" s="166">
        <v>38170000</v>
      </c>
      <c r="K100" s="725">
        <f t="shared" si="20"/>
        <v>100</v>
      </c>
      <c r="L100" s="718"/>
      <c r="M100" s="167"/>
      <c r="N100" s="485"/>
      <c r="O100" s="686"/>
    </row>
    <row r="101" spans="1:15" ht="12" customHeight="1">
      <c r="A101" s="519"/>
      <c r="B101" s="169"/>
      <c r="C101" s="166"/>
      <c r="D101" s="501" t="s">
        <v>151</v>
      </c>
      <c r="E101" s="166">
        <v>48125000</v>
      </c>
      <c r="F101" s="550" t="s">
        <v>152</v>
      </c>
      <c r="G101" s="512">
        <v>43556</v>
      </c>
      <c r="H101" s="166">
        <v>48125000</v>
      </c>
      <c r="I101" s="725">
        <f t="shared" si="19"/>
        <v>100</v>
      </c>
      <c r="J101" s="166">
        <v>48125000</v>
      </c>
      <c r="K101" s="725">
        <f t="shared" si="20"/>
        <v>100</v>
      </c>
      <c r="L101" s="718"/>
      <c r="M101" s="167"/>
      <c r="N101" s="485"/>
      <c r="O101" s="686"/>
    </row>
    <row r="102" spans="1:15" ht="12" customHeight="1">
      <c r="A102" s="782"/>
      <c r="B102" s="490"/>
      <c r="C102" s="166"/>
      <c r="D102" s="501" t="s">
        <v>153</v>
      </c>
      <c r="E102" s="166">
        <v>38170000</v>
      </c>
      <c r="F102" s="550" t="s">
        <v>152</v>
      </c>
      <c r="G102" s="512">
        <v>43556</v>
      </c>
      <c r="H102" s="166">
        <v>38170000</v>
      </c>
      <c r="I102" s="725">
        <f t="shared" si="19"/>
        <v>100</v>
      </c>
      <c r="J102" s="166">
        <v>38170000</v>
      </c>
      <c r="K102" s="725">
        <f t="shared" si="20"/>
        <v>100</v>
      </c>
      <c r="L102" s="718"/>
      <c r="M102" s="167"/>
      <c r="N102" s="485"/>
      <c r="O102" s="686"/>
    </row>
    <row r="103" spans="1:15" ht="12" customHeight="1">
      <c r="A103" s="783">
        <v>8</v>
      </c>
      <c r="B103" s="638" t="s">
        <v>70</v>
      </c>
      <c r="C103" s="667">
        <f>SUM(C104:C104)</f>
        <v>100000000</v>
      </c>
      <c r="D103" s="668"/>
      <c r="E103" s="667">
        <f>SUM(E104:E104)</f>
        <v>0</v>
      </c>
      <c r="F103" s="668"/>
      <c r="G103" s="669"/>
      <c r="H103" s="639">
        <f>SUM(H104:H104)</f>
        <v>93041083</v>
      </c>
      <c r="I103" s="543">
        <f>+H103/C103*100</f>
        <v>93.041083</v>
      </c>
      <c r="J103" s="639">
        <f>SUM(J104:J104)</f>
        <v>93041083</v>
      </c>
      <c r="K103" s="639">
        <f>+J103/C103*100</f>
        <v>93.041083</v>
      </c>
      <c r="L103" s="718">
        <v>100</v>
      </c>
      <c r="M103" s="545">
        <f>+J103/C103*100</f>
        <v>93.041083</v>
      </c>
      <c r="N103" s="670">
        <f>C103-J103</f>
        <v>6958917</v>
      </c>
      <c r="O103" s="686"/>
    </row>
    <row r="104" spans="1:15" ht="12" customHeight="1">
      <c r="A104" s="475"/>
      <c r="B104" s="742" t="s">
        <v>169</v>
      </c>
      <c r="C104" s="743">
        <v>100000000</v>
      </c>
      <c r="D104" s="744"/>
      <c r="E104" s="167"/>
      <c r="F104" s="491"/>
      <c r="G104" s="492"/>
      <c r="H104" s="745">
        <f>1400000+47496500+39187481+3057102+1900000</f>
        <v>93041083</v>
      </c>
      <c r="I104" s="483">
        <f>+H104/C104*100</f>
        <v>93.041083</v>
      </c>
      <c r="J104" s="745">
        <f>1400000+47496500+39187481+3057102+1900000</f>
        <v>93041083</v>
      </c>
      <c r="K104" s="166">
        <f>+J104/C104*100</f>
        <v>93.041083</v>
      </c>
      <c r="L104" s="718">
        <v>100</v>
      </c>
      <c r="M104" s="167">
        <f>+J104/C104*100</f>
        <v>93.041083</v>
      </c>
      <c r="N104" s="485">
        <f>C104-J104</f>
        <v>6958917</v>
      </c>
      <c r="O104" s="686"/>
    </row>
    <row r="105" spans="1:15" ht="12" customHeight="1" thickBot="1">
      <c r="A105" s="489"/>
      <c r="B105" s="672"/>
      <c r="C105" s="673"/>
      <c r="D105" s="674"/>
      <c r="E105" s="167"/>
      <c r="F105" s="491"/>
      <c r="G105" s="492"/>
      <c r="H105" s="675"/>
      <c r="I105" s="676"/>
      <c r="J105" s="745"/>
      <c r="K105" s="678"/>
      <c r="L105" s="678"/>
      <c r="M105" s="678"/>
      <c r="N105" s="679"/>
      <c r="O105" s="768"/>
    </row>
    <row r="106" spans="1:15" ht="15" thickBot="1">
      <c r="A106" s="671"/>
      <c r="B106" s="103"/>
      <c r="C106" s="609">
        <f>C10+C24</f>
        <v>13112358353</v>
      </c>
      <c r="D106" s="609"/>
      <c r="E106" s="609">
        <f>+E10+E24</f>
        <v>4047776804</v>
      </c>
      <c r="F106" s="609">
        <f>F25+F38+F48+F51+F73+F88+F92+F103</f>
        <v>0</v>
      </c>
      <c r="G106" s="610"/>
      <c r="H106" s="611">
        <f>+H10+H24</f>
        <v>11612330966</v>
      </c>
      <c r="I106" s="608">
        <f>+H106/C106*100</f>
        <v>88.56020140223816</v>
      </c>
      <c r="J106" s="612">
        <f>+J10+J24</f>
        <v>11612330966</v>
      </c>
      <c r="K106" s="607">
        <f>+J106/C106*100</f>
        <v>88.56020140223816</v>
      </c>
      <c r="L106" s="721">
        <v>100</v>
      </c>
      <c r="M106" s="607">
        <f>+J106/C106*100</f>
        <v>88.56020140223816</v>
      </c>
      <c r="N106" s="614">
        <f>N10+N24</f>
        <v>1500027387</v>
      </c>
      <c r="O106" s="606"/>
    </row>
    <row r="107" spans="1:14" ht="12.75">
      <c r="A107" s="126"/>
      <c r="B107" s="135"/>
      <c r="C107" s="136"/>
      <c r="D107" s="208"/>
      <c r="E107" s="60"/>
      <c r="F107" s="207"/>
      <c r="G107" s="244"/>
      <c r="H107" s="44"/>
      <c r="I107" s="767"/>
      <c r="J107" s="1"/>
      <c r="K107" s="117"/>
      <c r="L107" s="722" t="s">
        <v>182</v>
      </c>
      <c r="M107" s="117"/>
      <c r="N107" s="117"/>
    </row>
    <row r="108" spans="1:14" ht="12.75">
      <c r="A108" s="126"/>
      <c r="B108" s="138"/>
      <c r="C108" s="84"/>
      <c r="D108" s="199"/>
      <c r="E108" s="139"/>
      <c r="F108" s="207"/>
      <c r="G108" s="244"/>
      <c r="H108" s="45"/>
      <c r="I108" s="317"/>
      <c r="J108" s="1"/>
      <c r="K108" s="767"/>
      <c r="L108" s="317" t="s">
        <v>191</v>
      </c>
      <c r="M108" s="767"/>
      <c r="N108" s="767"/>
    </row>
    <row r="109" spans="1:14" ht="12.75">
      <c r="A109" s="126"/>
      <c r="B109" s="138"/>
      <c r="C109" s="84"/>
      <c r="D109" s="199"/>
      <c r="E109" s="139"/>
      <c r="F109" s="207"/>
      <c r="G109" s="244"/>
      <c r="H109" s="45"/>
      <c r="I109" s="317"/>
      <c r="J109" s="1"/>
      <c r="K109" s="767"/>
      <c r="L109" s="317"/>
      <c r="M109" s="767"/>
      <c r="N109" s="767"/>
    </row>
    <row r="110" spans="1:14" ht="12.75">
      <c r="A110" s="126"/>
      <c r="B110" s="105" t="s">
        <v>82</v>
      </c>
      <c r="C110" s="106">
        <f>H106/C106*100</f>
        <v>88.56020140223816</v>
      </c>
      <c r="D110" s="222"/>
      <c r="E110" s="60"/>
      <c r="F110" s="208"/>
      <c r="G110" s="224"/>
      <c r="H110" s="44"/>
      <c r="I110" s="767"/>
      <c r="J110" s="1"/>
      <c r="K110" s="767"/>
      <c r="L110" s="317"/>
      <c r="M110" s="767"/>
      <c r="N110" s="767"/>
    </row>
    <row r="111" spans="1:14" ht="12.75">
      <c r="A111" s="126"/>
      <c r="B111" s="105"/>
      <c r="C111" s="106"/>
      <c r="D111" s="222"/>
      <c r="E111" s="60"/>
      <c r="F111" s="208"/>
      <c r="G111" s="224"/>
      <c r="H111" s="44"/>
      <c r="I111" s="767"/>
      <c r="J111" s="1"/>
      <c r="K111" s="767"/>
      <c r="L111" s="723" t="s">
        <v>74</v>
      </c>
      <c r="M111" s="767"/>
      <c r="N111" s="767"/>
    </row>
    <row r="112" spans="1:14" ht="12.75">
      <c r="A112" s="126"/>
      <c r="B112" s="140"/>
      <c r="C112" s="141"/>
      <c r="D112" s="223"/>
      <c r="E112" s="60"/>
      <c r="F112" s="208"/>
      <c r="G112" s="224"/>
      <c r="H112" s="44"/>
      <c r="I112" s="767"/>
      <c r="J112" s="1"/>
      <c r="K112" s="767"/>
      <c r="L112" s="317" t="s">
        <v>75</v>
      </c>
      <c r="M112" s="767"/>
      <c r="N112" s="767"/>
    </row>
    <row r="113" spans="1:14" ht="15.75">
      <c r="A113" s="811" t="s">
        <v>0</v>
      </c>
      <c r="B113" s="811"/>
      <c r="C113" s="811"/>
      <c r="D113" s="811"/>
      <c r="E113" s="811"/>
      <c r="F113" s="811"/>
      <c r="G113" s="811"/>
      <c r="H113" s="811"/>
      <c r="I113" s="811"/>
      <c r="J113" s="811"/>
      <c r="K113" s="811"/>
      <c r="L113" s="811"/>
      <c r="M113" s="811"/>
      <c r="N113" s="811"/>
    </row>
    <row r="114" spans="1:14" ht="12.75">
      <c r="A114" s="812" t="s">
        <v>83</v>
      </c>
      <c r="B114" s="812"/>
      <c r="C114" s="812"/>
      <c r="D114" s="812"/>
      <c r="E114" s="812"/>
      <c r="F114" s="812"/>
      <c r="G114" s="812"/>
      <c r="H114" s="812"/>
      <c r="I114" s="812"/>
      <c r="J114" s="812"/>
      <c r="K114" s="812"/>
      <c r="L114" s="812"/>
      <c r="M114" s="812"/>
      <c r="N114" s="812"/>
    </row>
    <row r="115" spans="1:14" ht="12.75">
      <c r="A115" s="832" t="s">
        <v>77</v>
      </c>
      <c r="B115" s="832"/>
      <c r="C115" s="832"/>
      <c r="D115" s="832"/>
      <c r="E115" s="832"/>
      <c r="F115" s="832"/>
      <c r="G115" s="832"/>
      <c r="H115" s="832"/>
      <c r="I115" s="832"/>
      <c r="J115" s="832"/>
      <c r="K115" s="832"/>
      <c r="L115" s="832"/>
      <c r="M115" s="832"/>
      <c r="N115" s="832"/>
    </row>
    <row r="116" spans="1:14" ht="12.75">
      <c r="A116" s="558" t="s">
        <v>1</v>
      </c>
      <c r="B116" s="558"/>
      <c r="C116" s="59"/>
      <c r="D116" s="188"/>
      <c r="E116" s="59"/>
      <c r="F116" s="188"/>
      <c r="G116" s="225"/>
      <c r="H116" s="59"/>
      <c r="I116" s="59"/>
      <c r="J116" s="59"/>
      <c r="K116" s="59"/>
      <c r="L116" s="709"/>
      <c r="M116" s="59"/>
      <c r="N116" s="59"/>
    </row>
    <row r="117" spans="1:14" ht="12.75">
      <c r="A117" s="833" t="s">
        <v>192</v>
      </c>
      <c r="B117" s="833"/>
      <c r="C117" s="59"/>
      <c r="D117" s="188"/>
      <c r="E117" s="59"/>
      <c r="F117" s="188"/>
      <c r="G117" s="225"/>
      <c r="H117" s="59"/>
      <c r="I117" s="59"/>
      <c r="J117" s="59"/>
      <c r="K117" s="59"/>
      <c r="L117" s="709"/>
      <c r="M117" s="59"/>
      <c r="N117" s="59"/>
    </row>
    <row r="118" spans="1:14" ht="12.75">
      <c r="A118" s="59"/>
      <c r="B118" s="1"/>
      <c r="C118" s="1"/>
      <c r="D118" s="187"/>
      <c r="E118" s="1"/>
      <c r="F118" s="187"/>
      <c r="G118" s="224"/>
      <c r="H118" s="1"/>
      <c r="I118" s="252"/>
      <c r="J118" s="1"/>
      <c r="K118" s="1"/>
      <c r="L118" s="142"/>
      <c r="M118" s="1"/>
      <c r="N118" s="1"/>
    </row>
    <row r="119" spans="1:15" ht="12.75">
      <c r="A119" s="808" t="s">
        <v>2</v>
      </c>
      <c r="B119" s="808" t="s">
        <v>3</v>
      </c>
      <c r="C119" s="808" t="s">
        <v>168</v>
      </c>
      <c r="D119" s="820" t="s">
        <v>104</v>
      </c>
      <c r="E119" s="808" t="s">
        <v>5</v>
      </c>
      <c r="F119" s="820" t="s">
        <v>6</v>
      </c>
      <c r="G119" s="824" t="s">
        <v>105</v>
      </c>
      <c r="H119" s="816" t="s">
        <v>7</v>
      </c>
      <c r="I119" s="817"/>
      <c r="J119" s="817"/>
      <c r="K119" s="818"/>
      <c r="L119" s="816" t="s">
        <v>8</v>
      </c>
      <c r="M119" s="818"/>
      <c r="N119" s="805" t="s">
        <v>87</v>
      </c>
      <c r="O119" s="827" t="s">
        <v>9</v>
      </c>
    </row>
    <row r="120" spans="1:15" ht="12.75">
      <c r="A120" s="806"/>
      <c r="B120" s="806"/>
      <c r="C120" s="806"/>
      <c r="D120" s="821"/>
      <c r="E120" s="814"/>
      <c r="F120" s="821"/>
      <c r="G120" s="825"/>
      <c r="H120" s="809" t="s">
        <v>10</v>
      </c>
      <c r="I120" s="808" t="s">
        <v>11</v>
      </c>
      <c r="J120" s="808" t="s">
        <v>12</v>
      </c>
      <c r="K120" s="808" t="s">
        <v>11</v>
      </c>
      <c r="L120" s="834" t="s">
        <v>13</v>
      </c>
      <c r="M120" s="820" t="s">
        <v>14</v>
      </c>
      <c r="N120" s="806"/>
      <c r="O120" s="828"/>
    </row>
    <row r="121" spans="1:15" ht="12.75">
      <c r="A121" s="807"/>
      <c r="B121" s="807"/>
      <c r="C121" s="807"/>
      <c r="D121" s="822"/>
      <c r="E121" s="815"/>
      <c r="F121" s="822"/>
      <c r="G121" s="826"/>
      <c r="H121" s="810"/>
      <c r="I121" s="807"/>
      <c r="J121" s="807"/>
      <c r="K121" s="807"/>
      <c r="L121" s="835"/>
      <c r="M121" s="822"/>
      <c r="N121" s="807"/>
      <c r="O121" s="828"/>
    </row>
    <row r="122" spans="1:15" ht="12.75">
      <c r="A122" s="2">
        <v>1</v>
      </c>
      <c r="B122" s="2">
        <v>2</v>
      </c>
      <c r="C122" s="2">
        <v>3</v>
      </c>
      <c r="D122" s="189"/>
      <c r="E122" s="2">
        <v>4</v>
      </c>
      <c r="F122" s="189">
        <v>5</v>
      </c>
      <c r="G122" s="226"/>
      <c r="H122" s="2">
        <v>6</v>
      </c>
      <c r="I122" s="2">
        <v>7</v>
      </c>
      <c r="J122" s="2">
        <v>8</v>
      </c>
      <c r="K122" s="2">
        <v>9</v>
      </c>
      <c r="L122" s="710">
        <v>10</v>
      </c>
      <c r="M122" s="2">
        <v>11</v>
      </c>
      <c r="N122" s="2">
        <v>12</v>
      </c>
      <c r="O122" s="2">
        <v>13</v>
      </c>
    </row>
    <row r="123" spans="1:15" ht="12" customHeight="1">
      <c r="A123" s="61" t="s">
        <v>15</v>
      </c>
      <c r="B123" s="62" t="s">
        <v>16</v>
      </c>
      <c r="C123" s="4">
        <f>SUM(C124:C135)</f>
        <v>3388193000</v>
      </c>
      <c r="D123" s="210"/>
      <c r="E123" s="63"/>
      <c r="F123" s="191"/>
      <c r="G123" s="228"/>
      <c r="H123" s="4">
        <f>SUM(H124:H135)</f>
        <v>2663805779</v>
      </c>
      <c r="I123" s="685">
        <f>+H123/C123*100</f>
        <v>78.62024917116587</v>
      </c>
      <c r="J123" s="4">
        <f>SUM(J124:J135)</f>
        <v>2663805779</v>
      </c>
      <c r="K123" s="145">
        <f>+J123/C123*100</f>
        <v>78.62024917116587</v>
      </c>
      <c r="L123" s="711">
        <v>100</v>
      </c>
      <c r="M123" s="64">
        <f>+J123/C123*100</f>
        <v>78.62024917116587</v>
      </c>
      <c r="N123" s="4">
        <f>SUM(N124:N135)</f>
        <v>724387221</v>
      </c>
      <c r="O123" s="749" t="s">
        <v>157</v>
      </c>
    </row>
    <row r="124" spans="1:15" ht="12" customHeight="1">
      <c r="A124" s="63">
        <v>1</v>
      </c>
      <c r="B124" s="47" t="s">
        <v>17</v>
      </c>
      <c r="C124" s="5">
        <v>1903195515</v>
      </c>
      <c r="D124" s="211"/>
      <c r="E124" s="63"/>
      <c r="F124" s="192"/>
      <c r="G124" s="228"/>
      <c r="H124" s="114">
        <v>1479729115</v>
      </c>
      <c r="I124" s="340">
        <f>+H124/C124*100</f>
        <v>77.74971637635454</v>
      </c>
      <c r="J124" s="114">
        <v>1479729115</v>
      </c>
      <c r="K124" s="71">
        <f>+J124/C124*100</f>
        <v>77.74971637635454</v>
      </c>
      <c r="L124" s="712">
        <v>100</v>
      </c>
      <c r="M124" s="37">
        <f>+J124/C124*100</f>
        <v>77.74971637635454</v>
      </c>
      <c r="N124" s="37">
        <f>C124-J124</f>
        <v>423466400</v>
      </c>
      <c r="O124" s="747" t="s">
        <v>157</v>
      </c>
    </row>
    <row r="125" spans="1:15" ht="12" customHeight="1">
      <c r="A125" s="63">
        <v>2</v>
      </c>
      <c r="B125" s="47" t="s">
        <v>18</v>
      </c>
      <c r="C125" s="5">
        <v>195258530</v>
      </c>
      <c r="D125" s="211"/>
      <c r="E125" s="63"/>
      <c r="F125" s="192"/>
      <c r="G125" s="228"/>
      <c r="H125" s="5">
        <v>165867854</v>
      </c>
      <c r="I125" s="340">
        <f aca="true" t="shared" si="21" ref="I125:I135">+H125/C125*100</f>
        <v>84.9478145717885</v>
      </c>
      <c r="J125" s="5">
        <v>165867854</v>
      </c>
      <c r="K125" s="71">
        <f aca="true" t="shared" si="22" ref="K125:K135">+J125/C125*100</f>
        <v>84.9478145717885</v>
      </c>
      <c r="L125" s="712">
        <v>100</v>
      </c>
      <c r="M125" s="37">
        <f aca="true" t="shared" si="23" ref="M125:M135">+J125/C125*100</f>
        <v>84.9478145717885</v>
      </c>
      <c r="N125" s="37">
        <f>C125-J125</f>
        <v>29390676</v>
      </c>
      <c r="O125" s="747" t="s">
        <v>157</v>
      </c>
    </row>
    <row r="126" spans="1:15" ht="12" customHeight="1">
      <c r="A126" s="63">
        <v>3</v>
      </c>
      <c r="B126" s="47" t="s">
        <v>19</v>
      </c>
      <c r="C126" s="5">
        <v>160050000</v>
      </c>
      <c r="D126" s="211"/>
      <c r="E126" s="63"/>
      <c r="F126" s="192"/>
      <c r="G126" s="228"/>
      <c r="H126" s="5">
        <v>136800000</v>
      </c>
      <c r="I126" s="340">
        <f t="shared" si="21"/>
        <v>85.47328959700093</v>
      </c>
      <c r="J126" s="5">
        <v>136800000</v>
      </c>
      <c r="K126" s="71">
        <f t="shared" si="22"/>
        <v>85.47328959700093</v>
      </c>
      <c r="L126" s="712">
        <v>100</v>
      </c>
      <c r="M126" s="37">
        <f t="shared" si="23"/>
        <v>85.47328959700093</v>
      </c>
      <c r="N126" s="37">
        <f>C126-J126</f>
        <v>23250000</v>
      </c>
      <c r="O126" s="747" t="s">
        <v>157</v>
      </c>
    </row>
    <row r="127" spans="1:15" ht="12" customHeight="1">
      <c r="A127" s="63">
        <v>4</v>
      </c>
      <c r="B127" s="47" t="s">
        <v>139</v>
      </c>
      <c r="C127" s="364">
        <v>5100000</v>
      </c>
      <c r="D127" s="211"/>
      <c r="E127" s="63"/>
      <c r="F127" s="192"/>
      <c r="G127" s="228"/>
      <c r="H127" s="5">
        <v>3400000</v>
      </c>
      <c r="I127" s="340">
        <f t="shared" si="21"/>
        <v>66.66666666666666</v>
      </c>
      <c r="J127" s="5">
        <v>3400000</v>
      </c>
      <c r="K127" s="71">
        <f t="shared" si="22"/>
        <v>66.66666666666666</v>
      </c>
      <c r="L127" s="712">
        <v>100</v>
      </c>
      <c r="M127" s="37">
        <f t="shared" si="23"/>
        <v>66.66666666666666</v>
      </c>
      <c r="N127" s="37">
        <f>C127-J127</f>
        <v>1700000</v>
      </c>
      <c r="O127" s="747" t="s">
        <v>157</v>
      </c>
    </row>
    <row r="128" spans="1:15" ht="12" customHeight="1">
      <c r="A128" s="63">
        <v>5</v>
      </c>
      <c r="B128" s="47" t="s">
        <v>20</v>
      </c>
      <c r="C128" s="5">
        <v>58220000</v>
      </c>
      <c r="D128" s="211"/>
      <c r="E128" s="63"/>
      <c r="F128" s="192"/>
      <c r="G128" s="228"/>
      <c r="H128" s="5">
        <v>49310000</v>
      </c>
      <c r="I128" s="340">
        <f t="shared" si="21"/>
        <v>84.69598076262453</v>
      </c>
      <c r="J128" s="5">
        <v>49310000</v>
      </c>
      <c r="K128" s="71">
        <f t="shared" si="22"/>
        <v>84.69598076262453</v>
      </c>
      <c r="L128" s="712">
        <v>100</v>
      </c>
      <c r="M128" s="37">
        <f t="shared" si="23"/>
        <v>84.69598076262453</v>
      </c>
      <c r="N128" s="37">
        <f aca="true" t="shared" si="24" ref="N128:N135">C128-J128</f>
        <v>8910000</v>
      </c>
      <c r="O128" s="747" t="s">
        <v>157</v>
      </c>
    </row>
    <row r="129" spans="1:15" ht="12" customHeight="1">
      <c r="A129" s="63">
        <v>6</v>
      </c>
      <c r="B129" s="47" t="s">
        <v>21</v>
      </c>
      <c r="C129" s="5">
        <v>104791740</v>
      </c>
      <c r="D129" s="211"/>
      <c r="E129" s="63"/>
      <c r="F129" s="192"/>
      <c r="G129" s="228"/>
      <c r="H129" s="5">
        <v>85745280</v>
      </c>
      <c r="I129" s="340">
        <f t="shared" si="21"/>
        <v>81.82446440912233</v>
      </c>
      <c r="J129" s="5">
        <v>85745280</v>
      </c>
      <c r="K129" s="71">
        <f t="shared" si="22"/>
        <v>81.82446440912233</v>
      </c>
      <c r="L129" s="712">
        <v>100</v>
      </c>
      <c r="M129" s="37">
        <f t="shared" si="23"/>
        <v>81.82446440912233</v>
      </c>
      <c r="N129" s="37">
        <f t="shared" si="24"/>
        <v>19046460</v>
      </c>
      <c r="O129" s="747" t="s">
        <v>157</v>
      </c>
    </row>
    <row r="130" spans="1:15" ht="12" customHeight="1">
      <c r="A130" s="63">
        <v>7</v>
      </c>
      <c r="B130" s="47" t="s">
        <v>22</v>
      </c>
      <c r="C130" s="5">
        <v>9937670</v>
      </c>
      <c r="D130" s="211"/>
      <c r="E130" s="63"/>
      <c r="F130" s="192"/>
      <c r="G130" s="228"/>
      <c r="H130" s="5">
        <v>8425090</v>
      </c>
      <c r="I130" s="340">
        <f t="shared" si="21"/>
        <v>84.77932956115468</v>
      </c>
      <c r="J130" s="5">
        <v>8425090</v>
      </c>
      <c r="K130" s="71">
        <f t="shared" si="22"/>
        <v>84.77932956115468</v>
      </c>
      <c r="L130" s="712">
        <v>100</v>
      </c>
      <c r="M130" s="37">
        <f t="shared" si="23"/>
        <v>84.77932956115468</v>
      </c>
      <c r="N130" s="37">
        <f t="shared" si="24"/>
        <v>1512580</v>
      </c>
      <c r="O130" s="747" t="s">
        <v>157</v>
      </c>
    </row>
    <row r="131" spans="1:15" ht="12" customHeight="1">
      <c r="A131" s="63">
        <v>8</v>
      </c>
      <c r="B131" s="47" t="s">
        <v>23</v>
      </c>
      <c r="C131" s="5">
        <v>31249</v>
      </c>
      <c r="D131" s="211"/>
      <c r="E131" s="63"/>
      <c r="F131" s="192"/>
      <c r="G131" s="228"/>
      <c r="H131" s="5">
        <v>26313</v>
      </c>
      <c r="I131" s="340">
        <f t="shared" si="21"/>
        <v>84.2042945374252</v>
      </c>
      <c r="J131" s="5">
        <v>26313</v>
      </c>
      <c r="K131" s="71">
        <f t="shared" si="22"/>
        <v>84.2042945374252</v>
      </c>
      <c r="L131" s="712">
        <v>100</v>
      </c>
      <c r="M131" s="37">
        <f t="shared" si="23"/>
        <v>84.2042945374252</v>
      </c>
      <c r="N131" s="37">
        <f t="shared" si="24"/>
        <v>4936</v>
      </c>
      <c r="O131" s="747" t="s">
        <v>157</v>
      </c>
    </row>
    <row r="132" spans="1:15" ht="12" customHeight="1">
      <c r="A132" s="63">
        <v>9</v>
      </c>
      <c r="B132" s="47" t="s">
        <v>24</v>
      </c>
      <c r="C132" s="5">
        <v>49247899</v>
      </c>
      <c r="D132" s="211"/>
      <c r="E132" s="63"/>
      <c r="F132" s="192"/>
      <c r="G132" s="228"/>
      <c r="H132" s="5">
        <v>40642187</v>
      </c>
      <c r="I132" s="340">
        <f t="shared" si="21"/>
        <v>82.5257276457621</v>
      </c>
      <c r="J132" s="5">
        <v>40642187</v>
      </c>
      <c r="K132" s="71">
        <f t="shared" si="22"/>
        <v>82.5257276457621</v>
      </c>
      <c r="L132" s="712">
        <v>100</v>
      </c>
      <c r="M132" s="37">
        <f t="shared" si="23"/>
        <v>82.5257276457621</v>
      </c>
      <c r="N132" s="37">
        <f t="shared" si="24"/>
        <v>8605712</v>
      </c>
      <c r="O132" s="747" t="s">
        <v>157</v>
      </c>
    </row>
    <row r="133" spans="1:15" ht="12" customHeight="1">
      <c r="A133" s="63">
        <v>10</v>
      </c>
      <c r="B133" s="47" t="s">
        <v>25</v>
      </c>
      <c r="C133" s="5">
        <v>3541854</v>
      </c>
      <c r="D133" s="211"/>
      <c r="E133" s="63"/>
      <c r="F133" s="192"/>
      <c r="G133" s="228"/>
      <c r="H133" s="5">
        <v>2913115</v>
      </c>
      <c r="I133" s="340">
        <f t="shared" si="21"/>
        <v>82.24830837183012</v>
      </c>
      <c r="J133" s="5">
        <v>2913115</v>
      </c>
      <c r="K133" s="71">
        <f t="shared" si="22"/>
        <v>82.24830837183012</v>
      </c>
      <c r="L133" s="712">
        <v>100</v>
      </c>
      <c r="M133" s="37">
        <f t="shared" si="23"/>
        <v>82.24830837183012</v>
      </c>
      <c r="N133" s="37">
        <f t="shared" si="24"/>
        <v>628739</v>
      </c>
      <c r="O133" s="747" t="s">
        <v>157</v>
      </c>
    </row>
    <row r="134" spans="1:15" ht="12" customHeight="1">
      <c r="A134" s="63">
        <v>11</v>
      </c>
      <c r="B134" s="47" t="s">
        <v>26</v>
      </c>
      <c r="C134" s="5">
        <v>10625543</v>
      </c>
      <c r="D134" s="211"/>
      <c r="E134" s="63"/>
      <c r="F134" s="192"/>
      <c r="G134" s="228"/>
      <c r="H134" s="5">
        <v>8739325</v>
      </c>
      <c r="I134" s="340">
        <f t="shared" si="21"/>
        <v>82.24826721796713</v>
      </c>
      <c r="J134" s="5">
        <v>8739325</v>
      </c>
      <c r="K134" s="71">
        <f t="shared" si="22"/>
        <v>82.24826721796713</v>
      </c>
      <c r="L134" s="712">
        <v>100</v>
      </c>
      <c r="M134" s="37">
        <f t="shared" si="23"/>
        <v>82.24826721796713</v>
      </c>
      <c r="N134" s="37">
        <f t="shared" si="24"/>
        <v>1886218</v>
      </c>
      <c r="O134" s="747" t="s">
        <v>157</v>
      </c>
    </row>
    <row r="135" spans="1:15" ht="12" customHeight="1">
      <c r="A135" s="63">
        <v>12</v>
      </c>
      <c r="B135" s="47" t="s">
        <v>27</v>
      </c>
      <c r="C135" s="5">
        <v>888193000</v>
      </c>
      <c r="D135" s="211"/>
      <c r="E135" s="63"/>
      <c r="F135" s="192"/>
      <c r="G135" s="228"/>
      <c r="H135" s="5">
        <v>682207500</v>
      </c>
      <c r="I135" s="340">
        <f t="shared" si="21"/>
        <v>76.80847518501047</v>
      </c>
      <c r="J135" s="5">
        <v>682207500</v>
      </c>
      <c r="K135" s="71">
        <f t="shared" si="22"/>
        <v>76.80847518501047</v>
      </c>
      <c r="L135" s="712">
        <v>100</v>
      </c>
      <c r="M135" s="37">
        <f t="shared" si="23"/>
        <v>76.80847518501047</v>
      </c>
      <c r="N135" s="37">
        <f t="shared" si="24"/>
        <v>205985500</v>
      </c>
      <c r="O135" s="747" t="s">
        <v>157</v>
      </c>
    </row>
    <row r="136" spans="1:15" ht="12" customHeight="1">
      <c r="A136" s="63"/>
      <c r="B136" s="47"/>
      <c r="C136" s="5"/>
      <c r="D136" s="211"/>
      <c r="E136" s="63"/>
      <c r="F136" s="192"/>
      <c r="G136" s="228"/>
      <c r="H136" s="5"/>
      <c r="I136" s="114"/>
      <c r="J136" s="5"/>
      <c r="K136" s="36"/>
      <c r="L136" s="713"/>
      <c r="M136" s="37"/>
      <c r="N136" s="296"/>
      <c r="O136" s="384"/>
    </row>
    <row r="137" spans="1:15" ht="12" customHeight="1">
      <c r="A137" s="61" t="s">
        <v>28</v>
      </c>
      <c r="B137" s="62" t="s">
        <v>29</v>
      </c>
      <c r="C137" s="147">
        <f>C138+C151+C161+C164+C183+C199+C203+C215</f>
        <v>9724165353</v>
      </c>
      <c r="D137" s="559"/>
      <c r="E137" s="147">
        <f>E138+E151+E161+E164+E183+E199+E203+E215</f>
        <v>3773115804</v>
      </c>
      <c r="F137" s="192"/>
      <c r="G137" s="228"/>
      <c r="H137" s="147">
        <f>H138+H151+H161+H164+H183+H199+H203+H215</f>
        <v>6753996510</v>
      </c>
      <c r="I137" s="311">
        <f aca="true" t="shared" si="25" ref="I137:I149">+H137/C137*100</f>
        <v>69.45579661411584</v>
      </c>
      <c r="J137" s="147">
        <f>J138+J151+J161+J164+J183+J199+J203+J215</f>
        <v>6753996510</v>
      </c>
      <c r="K137" s="179">
        <f aca="true" t="shared" si="26" ref="K137:K149">+J137/C137*100</f>
        <v>69.45579661411584</v>
      </c>
      <c r="L137" s="714">
        <v>100</v>
      </c>
      <c r="M137" s="145">
        <f>+J137/C137*100</f>
        <v>69.45579661411584</v>
      </c>
      <c r="N137" s="147">
        <f>N138+N151+N161+N164+N183+N199+N203+N215</f>
        <v>2908338843</v>
      </c>
      <c r="O137" s="384"/>
    </row>
    <row r="138" spans="1:15" ht="12" customHeight="1">
      <c r="A138" s="68">
        <v>1</v>
      </c>
      <c r="B138" s="69" t="s">
        <v>30</v>
      </c>
      <c r="C138" s="147">
        <f>SUM(C139:C149)</f>
        <v>1036961650</v>
      </c>
      <c r="D138" s="559"/>
      <c r="E138" s="147">
        <f>SUM(E139:E149)</f>
        <v>0</v>
      </c>
      <c r="F138" s="194"/>
      <c r="G138" s="230"/>
      <c r="H138" s="64">
        <f>SUM(H139:H149)</f>
        <v>845217043</v>
      </c>
      <c r="I138" s="311">
        <f t="shared" si="25"/>
        <v>81.50899727101769</v>
      </c>
      <c r="J138" s="64">
        <f>SUM(J139:J149)</f>
        <v>845217043</v>
      </c>
      <c r="K138" s="179">
        <f t="shared" si="26"/>
        <v>81.50899727101769</v>
      </c>
      <c r="L138" s="714">
        <v>100</v>
      </c>
      <c r="M138" s="64">
        <f aca="true" t="shared" si="27" ref="M138:M149">+J138/C138*100</f>
        <v>81.50899727101769</v>
      </c>
      <c r="N138" s="64">
        <f>SUM(N139:N149)</f>
        <v>191744607</v>
      </c>
      <c r="O138" s="384"/>
    </row>
    <row r="139" spans="1:15" ht="12" customHeight="1">
      <c r="A139" s="63">
        <v>1</v>
      </c>
      <c r="B139" s="55" t="s">
        <v>31</v>
      </c>
      <c r="C139" s="71">
        <v>6310000</v>
      </c>
      <c r="D139" s="213"/>
      <c r="E139" s="72" t="s">
        <v>32</v>
      </c>
      <c r="F139" s="194" t="s">
        <v>32</v>
      </c>
      <c r="G139" s="230"/>
      <c r="H139" s="185">
        <f>6276000+33000</f>
        <v>6309000</v>
      </c>
      <c r="I139" s="340">
        <f t="shared" si="25"/>
        <v>99.98415213946117</v>
      </c>
      <c r="J139" s="185">
        <f>6276000+33000</f>
        <v>6309000</v>
      </c>
      <c r="K139" s="71">
        <f t="shared" si="26"/>
        <v>99.98415213946117</v>
      </c>
      <c r="L139" s="712">
        <v>100</v>
      </c>
      <c r="M139" s="37">
        <f t="shared" si="27"/>
        <v>99.98415213946117</v>
      </c>
      <c r="N139" s="37">
        <f>C139-J139</f>
        <v>1000</v>
      </c>
      <c r="O139" s="384"/>
    </row>
    <row r="140" spans="1:15" ht="12" customHeight="1">
      <c r="A140" s="489">
        <v>2</v>
      </c>
      <c r="B140" s="169" t="s">
        <v>76</v>
      </c>
      <c r="C140" s="166">
        <v>82000000</v>
      </c>
      <c r="D140" s="214"/>
      <c r="E140" s="167"/>
      <c r="F140" s="196"/>
      <c r="G140" s="232"/>
      <c r="H140" s="168">
        <f>40719206+6925758+3674586+6167499+6877136+5837300</f>
        <v>70201485</v>
      </c>
      <c r="I140" s="483">
        <f t="shared" si="25"/>
        <v>85.61156707317073</v>
      </c>
      <c r="J140" s="168">
        <f>40719206+6925758+3674586+6167499+6877136+5837300</f>
        <v>70201485</v>
      </c>
      <c r="K140" s="166">
        <f t="shared" si="26"/>
        <v>85.61156707317073</v>
      </c>
      <c r="L140" s="715">
        <v>100</v>
      </c>
      <c r="M140" s="167">
        <f t="shared" si="27"/>
        <v>85.61156707317073</v>
      </c>
      <c r="N140" s="167">
        <f aca="true" t="shared" si="28" ref="N140:N153">C140-J140</f>
        <v>11798515</v>
      </c>
      <c r="O140" s="686"/>
    </row>
    <row r="141" spans="1:15" ht="12" customHeight="1">
      <c r="A141" s="489">
        <v>3</v>
      </c>
      <c r="B141" s="165" t="s">
        <v>33</v>
      </c>
      <c r="C141" s="166">
        <v>26635000</v>
      </c>
      <c r="D141" s="214"/>
      <c r="E141" s="167">
        <v>0</v>
      </c>
      <c r="F141" s="196">
        <v>0</v>
      </c>
      <c r="G141" s="232"/>
      <c r="H141" s="168">
        <f>14485000+6075000</f>
        <v>20560000</v>
      </c>
      <c r="I141" s="483">
        <f t="shared" si="25"/>
        <v>77.19166510230899</v>
      </c>
      <c r="J141" s="168">
        <f>14485000+6075000</f>
        <v>20560000</v>
      </c>
      <c r="K141" s="166">
        <f t="shared" si="26"/>
        <v>77.19166510230899</v>
      </c>
      <c r="L141" s="715">
        <v>100</v>
      </c>
      <c r="M141" s="167">
        <f t="shared" si="27"/>
        <v>77.19166510230899</v>
      </c>
      <c r="N141" s="167">
        <f t="shared" si="28"/>
        <v>6075000</v>
      </c>
      <c r="O141" s="686"/>
    </row>
    <row r="142" spans="1:15" ht="12" customHeight="1">
      <c r="A142" s="489">
        <v>4</v>
      </c>
      <c r="B142" s="169" t="s">
        <v>34</v>
      </c>
      <c r="C142" s="166">
        <v>61844350</v>
      </c>
      <c r="D142" s="214"/>
      <c r="E142" s="167">
        <v>0</v>
      </c>
      <c r="F142" s="196">
        <v>0</v>
      </c>
      <c r="G142" s="232"/>
      <c r="H142" s="168">
        <f>34305000+13745800+6844100+6949100</f>
        <v>61844000</v>
      </c>
      <c r="I142" s="483">
        <f t="shared" si="25"/>
        <v>99.99943406309549</v>
      </c>
      <c r="J142" s="168">
        <f>34305000+13745800+6844100+6949100</f>
        <v>61844000</v>
      </c>
      <c r="K142" s="166">
        <f t="shared" si="26"/>
        <v>99.99943406309549</v>
      </c>
      <c r="L142" s="715">
        <v>100</v>
      </c>
      <c r="M142" s="167">
        <f t="shared" si="27"/>
        <v>99.99943406309549</v>
      </c>
      <c r="N142" s="167">
        <f t="shared" si="28"/>
        <v>350</v>
      </c>
      <c r="O142" s="686"/>
    </row>
    <row r="143" spans="1:15" ht="12" customHeight="1">
      <c r="A143" s="489">
        <v>5</v>
      </c>
      <c r="B143" s="169" t="s">
        <v>35</v>
      </c>
      <c r="C143" s="166">
        <v>30676500</v>
      </c>
      <c r="D143" s="214"/>
      <c r="E143" s="167">
        <v>0</v>
      </c>
      <c r="F143" s="196">
        <v>0</v>
      </c>
      <c r="G143" s="232"/>
      <c r="H143" s="168">
        <f>14485300+8850000+567000+1591800+2408100+189900+1965000</f>
        <v>30057100</v>
      </c>
      <c r="I143" s="483">
        <f t="shared" si="25"/>
        <v>97.98086483138559</v>
      </c>
      <c r="J143" s="168">
        <f>14485300+8850000+567000+1591800+2408100+189900+1965000</f>
        <v>30057100</v>
      </c>
      <c r="K143" s="166">
        <f t="shared" si="26"/>
        <v>97.98086483138559</v>
      </c>
      <c r="L143" s="715">
        <v>100</v>
      </c>
      <c r="M143" s="167">
        <f t="shared" si="27"/>
        <v>97.98086483138559</v>
      </c>
      <c r="N143" s="167">
        <f t="shared" si="28"/>
        <v>619400</v>
      </c>
      <c r="O143" s="686"/>
    </row>
    <row r="144" spans="1:15" ht="12" customHeight="1">
      <c r="A144" s="489">
        <v>6</v>
      </c>
      <c r="B144" s="169" t="s">
        <v>36</v>
      </c>
      <c r="C144" s="166">
        <v>8800000</v>
      </c>
      <c r="D144" s="214"/>
      <c r="E144" s="167">
        <v>0</v>
      </c>
      <c r="F144" s="196">
        <v>0</v>
      </c>
      <c r="G144" s="232"/>
      <c r="H144" s="168">
        <f>1995200+2004800+4797800</f>
        <v>8797800</v>
      </c>
      <c r="I144" s="483">
        <f t="shared" si="25"/>
        <v>99.97500000000001</v>
      </c>
      <c r="J144" s="168">
        <f>1995200+2004800+4797800</f>
        <v>8797800</v>
      </c>
      <c r="K144" s="166">
        <f t="shared" si="26"/>
        <v>99.97500000000001</v>
      </c>
      <c r="L144" s="715">
        <v>100</v>
      </c>
      <c r="M144" s="167">
        <f t="shared" si="27"/>
        <v>99.97500000000001</v>
      </c>
      <c r="N144" s="167">
        <f t="shared" si="28"/>
        <v>2200</v>
      </c>
      <c r="O144" s="686"/>
    </row>
    <row r="145" spans="1:15" ht="12" customHeight="1">
      <c r="A145" s="489">
        <v>7</v>
      </c>
      <c r="B145" s="169" t="s">
        <v>37</v>
      </c>
      <c r="C145" s="166">
        <v>13076000</v>
      </c>
      <c r="D145" s="214"/>
      <c r="E145" s="167">
        <v>0</v>
      </c>
      <c r="F145" s="196">
        <v>0</v>
      </c>
      <c r="G145" s="232"/>
      <c r="H145" s="168">
        <f>8761950+4314050</f>
        <v>13076000</v>
      </c>
      <c r="I145" s="483">
        <f t="shared" si="25"/>
        <v>100</v>
      </c>
      <c r="J145" s="168">
        <f>8761950+4314050</f>
        <v>13076000</v>
      </c>
      <c r="K145" s="166">
        <f t="shared" si="26"/>
        <v>100</v>
      </c>
      <c r="L145" s="715">
        <v>100</v>
      </c>
      <c r="M145" s="167">
        <f t="shared" si="27"/>
        <v>100</v>
      </c>
      <c r="N145" s="167">
        <f t="shared" si="28"/>
        <v>0</v>
      </c>
      <c r="O145" s="686"/>
    </row>
    <row r="146" spans="1:15" ht="12" customHeight="1">
      <c r="A146" s="489">
        <v>8</v>
      </c>
      <c r="B146" s="169" t="s">
        <v>38</v>
      </c>
      <c r="C146" s="166">
        <v>7500000</v>
      </c>
      <c r="D146" s="214"/>
      <c r="E146" s="167">
        <v>0</v>
      </c>
      <c r="F146" s="196">
        <v>0</v>
      </c>
      <c r="G146" s="232"/>
      <c r="H146" s="168">
        <f>2180000+3856000+964000</f>
        <v>7000000</v>
      </c>
      <c r="I146" s="483">
        <f t="shared" si="25"/>
        <v>93.33333333333333</v>
      </c>
      <c r="J146" s="168">
        <f>2180000+3856000+964000</f>
        <v>7000000</v>
      </c>
      <c r="K146" s="166">
        <f t="shared" si="26"/>
        <v>93.33333333333333</v>
      </c>
      <c r="L146" s="715">
        <v>100</v>
      </c>
      <c r="M146" s="167">
        <f t="shared" si="27"/>
        <v>93.33333333333333</v>
      </c>
      <c r="N146" s="167">
        <f t="shared" si="28"/>
        <v>500000</v>
      </c>
      <c r="O146" s="686"/>
    </row>
    <row r="147" spans="1:15" ht="12" customHeight="1">
      <c r="A147" s="489">
        <v>9</v>
      </c>
      <c r="B147" s="169" t="s">
        <v>39</v>
      </c>
      <c r="C147" s="166">
        <v>30000000</v>
      </c>
      <c r="D147" s="214"/>
      <c r="E147" s="167">
        <v>0</v>
      </c>
      <c r="F147" s="196">
        <v>0</v>
      </c>
      <c r="G147" s="232"/>
      <c r="H147" s="168">
        <f>18128200+7990000+3880000</f>
        <v>29998200</v>
      </c>
      <c r="I147" s="483">
        <f t="shared" si="25"/>
        <v>99.994</v>
      </c>
      <c r="J147" s="168">
        <f>18128200+7990000+3880000</f>
        <v>29998200</v>
      </c>
      <c r="K147" s="166">
        <f t="shared" si="26"/>
        <v>99.994</v>
      </c>
      <c r="L147" s="715">
        <v>100</v>
      </c>
      <c r="M147" s="167">
        <f t="shared" si="27"/>
        <v>99.994</v>
      </c>
      <c r="N147" s="167">
        <f t="shared" si="28"/>
        <v>1800</v>
      </c>
      <c r="O147" s="686"/>
    </row>
    <row r="148" spans="1:15" ht="12" customHeight="1">
      <c r="A148" s="489">
        <v>10</v>
      </c>
      <c r="B148" s="169" t="s">
        <v>40</v>
      </c>
      <c r="C148" s="166">
        <v>175000000</v>
      </c>
      <c r="D148" s="214"/>
      <c r="E148" s="167">
        <v>0</v>
      </c>
      <c r="F148" s="196">
        <v>0</v>
      </c>
      <c r="G148" s="232"/>
      <c r="H148" s="168">
        <f>91631161+15825000+25233525+5875000+11190000+1050000+12482000</f>
        <v>163286686</v>
      </c>
      <c r="I148" s="483">
        <f t="shared" si="25"/>
        <v>93.30667771428571</v>
      </c>
      <c r="J148" s="168">
        <f>91631161+15825000+25233525+5875000+11190000+1050000+12482000</f>
        <v>163286686</v>
      </c>
      <c r="K148" s="166">
        <f t="shared" si="26"/>
        <v>93.30667771428571</v>
      </c>
      <c r="L148" s="715">
        <v>100</v>
      </c>
      <c r="M148" s="167">
        <f t="shared" si="27"/>
        <v>93.30667771428571</v>
      </c>
      <c r="N148" s="167">
        <f t="shared" si="28"/>
        <v>11713314</v>
      </c>
      <c r="O148" s="686"/>
    </row>
    <row r="149" spans="1:15" ht="12" customHeight="1">
      <c r="A149" s="489">
        <v>11</v>
      </c>
      <c r="B149" s="169" t="s">
        <v>41</v>
      </c>
      <c r="C149" s="166">
        <v>595119800</v>
      </c>
      <c r="D149" s="214"/>
      <c r="E149" s="167">
        <v>0</v>
      </c>
      <c r="F149" s="196">
        <v>0</v>
      </c>
      <c r="G149" s="232"/>
      <c r="H149" s="168">
        <f>385658472+1823500+46604800</f>
        <v>434086772</v>
      </c>
      <c r="I149" s="483">
        <f t="shared" si="25"/>
        <v>72.94107371322546</v>
      </c>
      <c r="J149" s="168">
        <f>385658472+1823500+46604800</f>
        <v>434086772</v>
      </c>
      <c r="K149" s="166">
        <f t="shared" si="26"/>
        <v>72.94107371322546</v>
      </c>
      <c r="L149" s="715">
        <v>100</v>
      </c>
      <c r="M149" s="167">
        <f t="shared" si="27"/>
        <v>72.94107371322546</v>
      </c>
      <c r="N149" s="167">
        <f t="shared" si="28"/>
        <v>161033028</v>
      </c>
      <c r="O149" s="686"/>
    </row>
    <row r="150" spans="1:15" ht="12" customHeight="1">
      <c r="A150" s="635"/>
      <c r="B150" s="636"/>
      <c r="C150" s="166"/>
      <c r="D150" s="214"/>
      <c r="E150" s="167"/>
      <c r="F150" s="196"/>
      <c r="G150" s="232"/>
      <c r="H150" s="168"/>
      <c r="I150" s="620"/>
      <c r="J150" s="168"/>
      <c r="K150" s="540"/>
      <c r="L150" s="716"/>
      <c r="M150" s="167">
        <f>K150</f>
        <v>0</v>
      </c>
      <c r="N150" s="167">
        <f t="shared" si="28"/>
        <v>0</v>
      </c>
      <c r="O150" s="686"/>
    </row>
    <row r="151" spans="1:15" ht="12" customHeight="1">
      <c r="A151" s="637">
        <v>2</v>
      </c>
      <c r="B151" s="638" t="s">
        <v>42</v>
      </c>
      <c r="C151" s="639">
        <f>SUM(C152:C159)</f>
        <v>1049086450</v>
      </c>
      <c r="D151" s="640"/>
      <c r="E151" s="639">
        <f>SUM(E152:E159)</f>
        <v>43582000</v>
      </c>
      <c r="F151" s="641"/>
      <c r="G151" s="642"/>
      <c r="H151" s="639">
        <f>SUM(H152:H159)</f>
        <v>890668620</v>
      </c>
      <c r="I151" s="543">
        <f>+H151/C151*100</f>
        <v>84.89944942097003</v>
      </c>
      <c r="J151" s="639">
        <f>SUM(J152:J159)</f>
        <v>890668620</v>
      </c>
      <c r="K151" s="639">
        <f>+J151/C151*100</f>
        <v>84.89944942097003</v>
      </c>
      <c r="L151" s="545">
        <v>100</v>
      </c>
      <c r="M151" s="545">
        <f>+J151/C151*100</f>
        <v>84.89944942097003</v>
      </c>
      <c r="N151" s="167">
        <f t="shared" si="28"/>
        <v>158417830</v>
      </c>
      <c r="O151" s="686"/>
    </row>
    <row r="152" spans="1:15" ht="12" customHeight="1">
      <c r="A152" s="489">
        <v>1</v>
      </c>
      <c r="B152" s="169" t="s">
        <v>43</v>
      </c>
      <c r="C152" s="166">
        <v>96501600</v>
      </c>
      <c r="D152" s="214"/>
      <c r="E152" s="167"/>
      <c r="F152" s="196"/>
      <c r="G152" s="232"/>
      <c r="H152" s="166">
        <f>54043200+6158400+1484000</f>
        <v>61685600</v>
      </c>
      <c r="I152" s="483">
        <f>+H152/C152*100</f>
        <v>63.92184171039651</v>
      </c>
      <c r="J152" s="166">
        <f>54043200+6158400+1484000</f>
        <v>61685600</v>
      </c>
      <c r="K152" s="166">
        <f>+J152/C152*100</f>
        <v>63.92184171039651</v>
      </c>
      <c r="L152" s="715">
        <v>100</v>
      </c>
      <c r="M152" s="167">
        <f>+J152/C152*100</f>
        <v>63.92184171039651</v>
      </c>
      <c r="N152" s="167">
        <f t="shared" si="28"/>
        <v>34816000</v>
      </c>
      <c r="O152" s="686"/>
    </row>
    <row r="153" spans="1:15" ht="12" customHeight="1">
      <c r="A153" s="489">
        <v>2</v>
      </c>
      <c r="B153" s="169" t="s">
        <v>44</v>
      </c>
      <c r="C153" s="166">
        <v>62611000</v>
      </c>
      <c r="D153" s="643" t="s">
        <v>121</v>
      </c>
      <c r="E153" s="167">
        <v>5808000</v>
      </c>
      <c r="F153" s="196" t="s">
        <v>124</v>
      </c>
      <c r="G153" s="232" t="s">
        <v>125</v>
      </c>
      <c r="H153" s="166">
        <v>44536000</v>
      </c>
      <c r="I153" s="483">
        <f>+H153/C153*100</f>
        <v>71.1312708629474</v>
      </c>
      <c r="J153" s="166">
        <v>44536000</v>
      </c>
      <c r="K153" s="166">
        <f>+J153/C153*100</f>
        <v>71.1312708629474</v>
      </c>
      <c r="L153" s="715">
        <v>100</v>
      </c>
      <c r="M153" s="167">
        <f>+J153/C153*100</f>
        <v>71.1312708629474</v>
      </c>
      <c r="N153" s="167">
        <f t="shared" si="28"/>
        <v>18075000</v>
      </c>
      <c r="O153" s="686"/>
    </row>
    <row r="154" spans="1:15" ht="12" customHeight="1">
      <c r="A154" s="489"/>
      <c r="B154" s="169"/>
      <c r="C154" s="166"/>
      <c r="D154" s="643" t="s">
        <v>122</v>
      </c>
      <c r="E154" s="167">
        <v>15774000</v>
      </c>
      <c r="F154" s="196" t="s">
        <v>124</v>
      </c>
      <c r="G154" s="232" t="s">
        <v>125</v>
      </c>
      <c r="H154" s="166"/>
      <c r="I154" s="620"/>
      <c r="J154" s="166"/>
      <c r="K154" s="540"/>
      <c r="L154" s="167"/>
      <c r="M154" s="167"/>
      <c r="N154" s="167"/>
      <c r="O154" s="686"/>
    </row>
    <row r="155" spans="1:15" ht="12" customHeight="1">
      <c r="A155" s="489"/>
      <c r="B155" s="169"/>
      <c r="C155" s="166"/>
      <c r="D155" s="643" t="s">
        <v>123</v>
      </c>
      <c r="E155" s="167">
        <v>22000000</v>
      </c>
      <c r="F155" s="196" t="s">
        <v>124</v>
      </c>
      <c r="G155" s="232" t="s">
        <v>125</v>
      </c>
      <c r="H155" s="166"/>
      <c r="I155" s="620"/>
      <c r="J155" s="166"/>
      <c r="K155" s="540"/>
      <c r="L155" s="717"/>
      <c r="M155" s="167"/>
      <c r="N155" s="167"/>
      <c r="O155" s="686"/>
    </row>
    <row r="156" spans="1:15" ht="12" customHeight="1">
      <c r="A156" s="489">
        <v>3</v>
      </c>
      <c r="B156" s="169" t="s">
        <v>45</v>
      </c>
      <c r="C156" s="166">
        <v>217537650</v>
      </c>
      <c r="D156" s="643"/>
      <c r="E156" s="167"/>
      <c r="F156" s="196"/>
      <c r="G156" s="232"/>
      <c r="H156" s="166">
        <f>174523050+42944000</f>
        <v>217467050</v>
      </c>
      <c r="I156" s="483">
        <f>+H156/C156*100</f>
        <v>99.96754584781071</v>
      </c>
      <c r="J156" s="166">
        <f>174523050+42944000</f>
        <v>217467050</v>
      </c>
      <c r="K156" s="166">
        <f>+J156/C156*100</f>
        <v>99.96754584781071</v>
      </c>
      <c r="L156" s="715">
        <v>100</v>
      </c>
      <c r="M156" s="167">
        <f>+J156/C156*100</f>
        <v>99.96754584781071</v>
      </c>
      <c r="N156" s="167">
        <f aca="true" t="shared" si="29" ref="N156:N162">C156-J156</f>
        <v>70600</v>
      </c>
      <c r="O156" s="686"/>
    </row>
    <row r="157" spans="1:15" ht="12" customHeight="1">
      <c r="A157" s="489">
        <v>4</v>
      </c>
      <c r="B157" s="169" t="s">
        <v>46</v>
      </c>
      <c r="C157" s="166">
        <v>651786200</v>
      </c>
      <c r="D157" s="214"/>
      <c r="E157" s="167"/>
      <c r="F157" s="196"/>
      <c r="G157" s="232"/>
      <c r="H157" s="168">
        <f>290055301+20511297+388649+121088107+45809816+68477000</f>
        <v>546330170</v>
      </c>
      <c r="I157" s="483">
        <f>+H157/C157*100</f>
        <v>83.82045676941304</v>
      </c>
      <c r="J157" s="168">
        <f>290055301+20511297+388649+121088107+45809816+68477000</f>
        <v>546330170</v>
      </c>
      <c r="K157" s="166">
        <f>+J157/C157*100</f>
        <v>83.82045676941304</v>
      </c>
      <c r="L157" s="715">
        <v>100</v>
      </c>
      <c r="M157" s="167">
        <f>+J157/C157*100</f>
        <v>83.82045676941304</v>
      </c>
      <c r="N157" s="167">
        <f t="shared" si="29"/>
        <v>105456030</v>
      </c>
      <c r="O157" s="686"/>
    </row>
    <row r="158" spans="1:15" ht="12" customHeight="1">
      <c r="A158" s="489">
        <v>5</v>
      </c>
      <c r="B158" s="169" t="s">
        <v>47</v>
      </c>
      <c r="C158" s="166">
        <v>13050000</v>
      </c>
      <c r="D158" s="214"/>
      <c r="E158" s="167">
        <v>0</v>
      </c>
      <c r="F158" s="196">
        <v>0</v>
      </c>
      <c r="G158" s="232"/>
      <c r="H158" s="168">
        <f>3400000+7640000+2010000</f>
        <v>13050000</v>
      </c>
      <c r="I158" s="483">
        <f>+H158/C158*100</f>
        <v>100</v>
      </c>
      <c r="J158" s="168">
        <f>3400000+7640000+2010000</f>
        <v>13050000</v>
      </c>
      <c r="K158" s="166">
        <f>+J158/C158*100</f>
        <v>100</v>
      </c>
      <c r="L158" s="715">
        <v>100</v>
      </c>
      <c r="M158" s="167">
        <f>+J158/C158*100</f>
        <v>100</v>
      </c>
      <c r="N158" s="167">
        <f t="shared" si="29"/>
        <v>0</v>
      </c>
      <c r="O158" s="686"/>
    </row>
    <row r="159" spans="1:15" ht="12" customHeight="1">
      <c r="A159" s="489">
        <v>6</v>
      </c>
      <c r="B159" s="169" t="s">
        <v>48</v>
      </c>
      <c r="C159" s="166">
        <v>7600000</v>
      </c>
      <c r="D159" s="214"/>
      <c r="E159" s="167"/>
      <c r="F159" s="196"/>
      <c r="G159" s="232"/>
      <c r="H159" s="166">
        <v>7599800</v>
      </c>
      <c r="I159" s="483">
        <f>+H159/C159*100</f>
        <v>99.99736842105264</v>
      </c>
      <c r="J159" s="166">
        <v>7599800</v>
      </c>
      <c r="K159" s="166">
        <f>+J159/C159*100</f>
        <v>99.99736842105264</v>
      </c>
      <c r="L159" s="715">
        <v>100</v>
      </c>
      <c r="M159" s="167">
        <f>+J159/C159*100</f>
        <v>99.99736842105264</v>
      </c>
      <c r="N159" s="167">
        <f t="shared" si="29"/>
        <v>200</v>
      </c>
      <c r="O159" s="686"/>
    </row>
    <row r="160" spans="1:15" ht="12" customHeight="1">
      <c r="A160" s="489"/>
      <c r="B160" s="169"/>
      <c r="C160" s="166"/>
      <c r="D160" s="214"/>
      <c r="E160" s="167"/>
      <c r="F160" s="196"/>
      <c r="G160" s="232"/>
      <c r="H160" s="168"/>
      <c r="I160" s="620"/>
      <c r="J160" s="168"/>
      <c r="K160" s="540"/>
      <c r="L160" s="167"/>
      <c r="M160" s="167"/>
      <c r="N160" s="167">
        <f t="shared" si="29"/>
        <v>0</v>
      </c>
      <c r="O160" s="686"/>
    </row>
    <row r="161" spans="1:15" ht="12" customHeight="1">
      <c r="A161" s="637">
        <v>3</v>
      </c>
      <c r="B161" s="638" t="s">
        <v>49</v>
      </c>
      <c r="C161" s="639">
        <f>C162</f>
        <v>73370000</v>
      </c>
      <c r="D161" s="640"/>
      <c r="E161" s="639">
        <f>E162</f>
        <v>57200000</v>
      </c>
      <c r="F161" s="640"/>
      <c r="G161" s="644"/>
      <c r="H161" s="552">
        <f>H162</f>
        <v>73200000</v>
      </c>
      <c r="I161" s="543">
        <f>+H161/C161*100</f>
        <v>99.76829766934715</v>
      </c>
      <c r="J161" s="552">
        <f>J162</f>
        <v>73200000</v>
      </c>
      <c r="K161" s="639">
        <f>+J161/C161*100</f>
        <v>99.76829766934715</v>
      </c>
      <c r="L161" s="545">
        <v>100</v>
      </c>
      <c r="M161" s="545">
        <f>+J161/C161*100</f>
        <v>99.76829766934715</v>
      </c>
      <c r="N161" s="167">
        <f t="shared" si="29"/>
        <v>170000</v>
      </c>
      <c r="O161" s="686"/>
    </row>
    <row r="162" spans="1:15" ht="12" customHeight="1">
      <c r="A162" s="489"/>
      <c r="B162" s="165" t="s">
        <v>50</v>
      </c>
      <c r="C162" s="645">
        <v>73370000</v>
      </c>
      <c r="D162" s="646" t="s">
        <v>118</v>
      </c>
      <c r="E162" s="167">
        <v>57200000</v>
      </c>
      <c r="F162" s="647" t="s">
        <v>119</v>
      </c>
      <c r="G162" s="232" t="s">
        <v>120</v>
      </c>
      <c r="H162" s="648">
        <f>16000000+57200000</f>
        <v>73200000</v>
      </c>
      <c r="I162" s="483">
        <f>+H162/C162*100</f>
        <v>99.76829766934715</v>
      </c>
      <c r="J162" s="648">
        <f>16000000+57200000</f>
        <v>73200000</v>
      </c>
      <c r="K162" s="166">
        <f>+J162/C162*100</f>
        <v>99.76829766934715</v>
      </c>
      <c r="L162" s="715">
        <v>100</v>
      </c>
      <c r="M162" s="167">
        <f>+J162/C162*100</f>
        <v>99.76829766934715</v>
      </c>
      <c r="N162" s="167">
        <f t="shared" si="29"/>
        <v>170000</v>
      </c>
      <c r="O162" s="686"/>
    </row>
    <row r="163" spans="1:15" ht="12" customHeight="1">
      <c r="A163" s="533"/>
      <c r="B163" s="649"/>
      <c r="C163" s="650"/>
      <c r="D163" s="646"/>
      <c r="E163" s="542"/>
      <c r="F163" s="746"/>
      <c r="G163" s="651"/>
      <c r="H163" s="652"/>
      <c r="I163" s="483"/>
      <c r="J163" s="652"/>
      <c r="K163" s="166"/>
      <c r="L163" s="715"/>
      <c r="M163" s="167"/>
      <c r="N163" s="542"/>
      <c r="O163" s="686"/>
    </row>
    <row r="164" spans="1:15" ht="12" customHeight="1">
      <c r="A164" s="527">
        <v>4</v>
      </c>
      <c r="B164" s="653" t="s">
        <v>51</v>
      </c>
      <c r="C164" s="654">
        <f>C165+C180+C181</f>
        <v>5367814400</v>
      </c>
      <c r="D164" s="655"/>
      <c r="E164" s="654">
        <f>SUM(E167:E182)</f>
        <v>3007864804</v>
      </c>
      <c r="F164" s="655"/>
      <c r="G164" s="656"/>
      <c r="H164" s="657">
        <f>SUM(H165+H182+H183)</f>
        <v>4591502259</v>
      </c>
      <c r="I164" s="543">
        <f>+H164/C164*100</f>
        <v>85.53764934570019</v>
      </c>
      <c r="J164" s="657">
        <f>+J165+J182+J183</f>
        <v>4591502259</v>
      </c>
      <c r="K164" s="639">
        <f>+J164/C164*100</f>
        <v>85.53764934570019</v>
      </c>
      <c r="L164" s="718">
        <v>100</v>
      </c>
      <c r="M164" s="545">
        <f>+J164/C164*100</f>
        <v>85.53764934570019</v>
      </c>
      <c r="N164" s="657">
        <f>C164-J164</f>
        <v>776312141</v>
      </c>
      <c r="O164" s="748"/>
    </row>
    <row r="165" spans="1:15" ht="12" customHeight="1">
      <c r="A165" s="489">
        <v>1</v>
      </c>
      <c r="B165" s="627" t="s">
        <v>52</v>
      </c>
      <c r="C165" s="521">
        <v>3876642400</v>
      </c>
      <c r="D165" s="686"/>
      <c r="E165" s="686"/>
      <c r="F165" s="686"/>
      <c r="G165" s="686"/>
      <c r="H165" s="741">
        <f>H167+H168+H174+H175+H176+H177+H178+H166+H179+H180</f>
        <v>3316907000</v>
      </c>
      <c r="I165" s="525">
        <f>H165/C165*100</f>
        <v>85.5613352420641</v>
      </c>
      <c r="J165" s="741">
        <f>J167+J168+J174+J175+J176+J177+J178+J166+J179+J180</f>
        <v>3316907000</v>
      </c>
      <c r="K165" s="166">
        <f>+J165/C165*100</f>
        <v>85.5613352420641</v>
      </c>
      <c r="L165" s="715">
        <v>100</v>
      </c>
      <c r="M165" s="167">
        <f>J165/C165*100</f>
        <v>85.5613352420641</v>
      </c>
      <c r="N165" s="485">
        <f>C165-J165</f>
        <v>559735400</v>
      </c>
      <c r="O165" s="686"/>
    </row>
    <row r="166" spans="1:15" ht="12" customHeight="1">
      <c r="A166" s="489"/>
      <c r="B166" s="627"/>
      <c r="C166" s="521"/>
      <c r="D166" s="551"/>
      <c r="E166" s="686"/>
      <c r="F166" s="686"/>
      <c r="G166" s="551"/>
      <c r="H166" s="741">
        <f>107651400+2500000+11808800+12028000+28887000+14100000+1350000+1250000+1050000+1050000</f>
        <v>181675200</v>
      </c>
      <c r="I166" s="525"/>
      <c r="J166" s="741">
        <f>107651400+2500000+11808800+12028000+28887000+14100000+1350000+1250000+1050000+1050000</f>
        <v>181675200</v>
      </c>
      <c r="K166" s="166"/>
      <c r="L166" s="715"/>
      <c r="M166" s="167"/>
      <c r="N166" s="485"/>
      <c r="O166" s="686"/>
    </row>
    <row r="167" spans="1:15" ht="12" customHeight="1">
      <c r="A167" s="489"/>
      <c r="B167" s="627"/>
      <c r="C167" s="521"/>
      <c r="D167" s="618" t="s">
        <v>111</v>
      </c>
      <c r="E167" s="521">
        <v>89375000</v>
      </c>
      <c r="F167" s="522" t="s">
        <v>114</v>
      </c>
      <c r="G167" s="619" t="s">
        <v>116</v>
      </c>
      <c r="H167" s="521">
        <v>89375000</v>
      </c>
      <c r="I167" s="620">
        <f>H167/E167*100</f>
        <v>100</v>
      </c>
      <c r="J167" s="521">
        <v>89375000</v>
      </c>
      <c r="K167" s="620">
        <f>+H167/E167*100</f>
        <v>100</v>
      </c>
      <c r="L167" s="715">
        <v>100</v>
      </c>
      <c r="M167" s="167">
        <v>100</v>
      </c>
      <c r="N167" s="485"/>
      <c r="O167" s="686"/>
    </row>
    <row r="168" spans="1:15" ht="12" customHeight="1">
      <c r="A168" s="489"/>
      <c r="B168" s="627"/>
      <c r="C168" s="521"/>
      <c r="D168" s="618" t="s">
        <v>112</v>
      </c>
      <c r="E168" s="521">
        <v>198000000</v>
      </c>
      <c r="F168" s="522" t="s">
        <v>115</v>
      </c>
      <c r="G168" s="619" t="s">
        <v>117</v>
      </c>
      <c r="H168" s="521">
        <v>198000000</v>
      </c>
      <c r="I168" s="620">
        <f>H168/E168*100</f>
        <v>100</v>
      </c>
      <c r="J168" s="521">
        <v>198000000</v>
      </c>
      <c r="K168" s="620">
        <f>+H168/E168*100</f>
        <v>100</v>
      </c>
      <c r="L168" s="715">
        <v>100</v>
      </c>
      <c r="M168" s="167">
        <v>100</v>
      </c>
      <c r="N168" s="485"/>
      <c r="O168" s="686"/>
    </row>
    <row r="169" spans="1:15" ht="12" customHeight="1">
      <c r="A169" s="533"/>
      <c r="B169" s="661"/>
      <c r="C169" s="662"/>
      <c r="D169" s="750"/>
      <c r="E169" s="662"/>
      <c r="F169" s="663"/>
      <c r="G169" s="751"/>
      <c r="H169" s="775"/>
      <c r="I169" s="776"/>
      <c r="J169" s="777"/>
      <c r="K169" s="778"/>
      <c r="L169" s="779"/>
      <c r="M169" s="780"/>
      <c r="N169" s="781"/>
      <c r="O169" s="756"/>
    </row>
    <row r="170" spans="1:15" ht="12" customHeight="1">
      <c r="A170" s="533"/>
      <c r="B170" s="661"/>
      <c r="C170" s="662"/>
      <c r="D170" s="750"/>
      <c r="E170" s="662"/>
      <c r="F170" s="663"/>
      <c r="G170" s="751"/>
      <c r="H170" s="857" t="s">
        <v>7</v>
      </c>
      <c r="I170" s="858"/>
      <c r="J170" s="858"/>
      <c r="K170" s="842"/>
      <c r="L170" s="857" t="s">
        <v>8</v>
      </c>
      <c r="M170" s="842"/>
      <c r="N170" s="859" t="s">
        <v>87</v>
      </c>
      <c r="O170" s="756"/>
    </row>
    <row r="171" spans="1:15" ht="12" customHeight="1">
      <c r="A171" s="837" t="s">
        <v>2</v>
      </c>
      <c r="B171" s="837" t="s">
        <v>3</v>
      </c>
      <c r="C171" s="837" t="s">
        <v>168</v>
      </c>
      <c r="D171" s="848" t="s">
        <v>104</v>
      </c>
      <c r="E171" s="837" t="s">
        <v>5</v>
      </c>
      <c r="F171" s="848" t="s">
        <v>6</v>
      </c>
      <c r="G171" s="852" t="s">
        <v>105</v>
      </c>
      <c r="H171" s="841" t="s">
        <v>10</v>
      </c>
      <c r="I171" s="843" t="s">
        <v>11</v>
      </c>
      <c r="J171" s="843" t="s">
        <v>12</v>
      </c>
      <c r="K171" s="843" t="s">
        <v>11</v>
      </c>
      <c r="L171" s="844" t="s">
        <v>13</v>
      </c>
      <c r="M171" s="846" t="s">
        <v>14</v>
      </c>
      <c r="N171" s="837"/>
      <c r="O171" s="860" t="s">
        <v>9</v>
      </c>
    </row>
    <row r="172" spans="1:15" ht="12" customHeight="1">
      <c r="A172" s="837"/>
      <c r="B172" s="837"/>
      <c r="C172" s="837"/>
      <c r="D172" s="848"/>
      <c r="E172" s="849"/>
      <c r="F172" s="848"/>
      <c r="G172" s="852"/>
      <c r="H172" s="842"/>
      <c r="I172" s="838"/>
      <c r="J172" s="838"/>
      <c r="K172" s="838"/>
      <c r="L172" s="845"/>
      <c r="M172" s="847"/>
      <c r="N172" s="838"/>
      <c r="O172" s="840"/>
    </row>
    <row r="173" spans="1:15" ht="12" customHeight="1">
      <c r="A173" s="838"/>
      <c r="B173" s="838"/>
      <c r="C173" s="838"/>
      <c r="D173" s="847"/>
      <c r="E173" s="850"/>
      <c r="F173" s="847"/>
      <c r="G173" s="853"/>
      <c r="H173" s="658">
        <v>6</v>
      </c>
      <c r="I173" s="658">
        <v>7</v>
      </c>
      <c r="J173" s="658">
        <v>8</v>
      </c>
      <c r="K173" s="658">
        <v>9</v>
      </c>
      <c r="L173" s="719">
        <v>10</v>
      </c>
      <c r="M173" s="658">
        <v>11</v>
      </c>
      <c r="N173" s="658">
        <v>12</v>
      </c>
      <c r="O173" s="840"/>
    </row>
    <row r="174" spans="1:15" ht="12" customHeight="1">
      <c r="A174" s="658">
        <v>1</v>
      </c>
      <c r="B174" s="658">
        <v>2</v>
      </c>
      <c r="C174" s="658">
        <v>3</v>
      </c>
      <c r="D174" s="659"/>
      <c r="E174" s="658">
        <v>4</v>
      </c>
      <c r="F174" s="659">
        <v>5</v>
      </c>
      <c r="G174" s="660"/>
      <c r="H174" s="521">
        <v>108075000</v>
      </c>
      <c r="I174" s="620">
        <f aca="true" t="shared" si="30" ref="I174:I180">H174/E174*100</f>
        <v>2701875000</v>
      </c>
      <c r="J174" s="521">
        <v>108075000</v>
      </c>
      <c r="K174" s="620">
        <f aca="true" t="shared" si="31" ref="K174:K180">+H174/E174*100</f>
        <v>2701875000</v>
      </c>
      <c r="L174" s="715">
        <v>100</v>
      </c>
      <c r="M174" s="167">
        <v>100</v>
      </c>
      <c r="N174" s="739"/>
      <c r="O174" s="658">
        <v>13</v>
      </c>
    </row>
    <row r="175" spans="1:15" ht="12" customHeight="1">
      <c r="A175" s="739"/>
      <c r="B175" s="739"/>
      <c r="C175" s="739"/>
      <c r="D175" s="618" t="s">
        <v>113</v>
      </c>
      <c r="E175" s="521">
        <v>108075000</v>
      </c>
      <c r="F175" s="522" t="s">
        <v>114</v>
      </c>
      <c r="G175" s="619" t="s">
        <v>116</v>
      </c>
      <c r="H175" s="521">
        <v>98200000</v>
      </c>
      <c r="I175" s="620">
        <f t="shared" si="30"/>
        <v>90.86282674068934</v>
      </c>
      <c r="J175" s="521">
        <v>98200000</v>
      </c>
      <c r="K175" s="620">
        <f t="shared" si="31"/>
        <v>90.86282674068934</v>
      </c>
      <c r="L175" s="715">
        <v>100</v>
      </c>
      <c r="M175" s="167">
        <v>100</v>
      </c>
      <c r="N175" s="485"/>
      <c r="O175" s="757"/>
    </row>
    <row r="176" spans="1:15" ht="12" customHeight="1">
      <c r="A176" s="489"/>
      <c r="B176" s="627"/>
      <c r="C176" s="521"/>
      <c r="D176" s="622" t="s">
        <v>130</v>
      </c>
      <c r="E176" s="521">
        <v>98200000</v>
      </c>
      <c r="F176" s="623" t="s">
        <v>131</v>
      </c>
      <c r="G176" s="492">
        <v>43556</v>
      </c>
      <c r="H176" s="521">
        <v>197498000</v>
      </c>
      <c r="I176" s="620">
        <f t="shared" si="30"/>
        <v>201.11812627291243</v>
      </c>
      <c r="J176" s="521">
        <v>197498000</v>
      </c>
      <c r="K176" s="620">
        <f t="shared" si="31"/>
        <v>201.11812627291243</v>
      </c>
      <c r="L176" s="715">
        <v>100</v>
      </c>
      <c r="M176" s="167">
        <v>100</v>
      </c>
      <c r="N176" s="485"/>
      <c r="O176" s="686"/>
    </row>
    <row r="177" spans="1:15" ht="12" customHeight="1">
      <c r="A177" s="489"/>
      <c r="B177" s="627"/>
      <c r="C177" s="521"/>
      <c r="D177" s="622" t="s">
        <v>172</v>
      </c>
      <c r="E177" s="521">
        <v>197498000</v>
      </c>
      <c r="F177" s="522" t="s">
        <v>114</v>
      </c>
      <c r="G177" s="492"/>
      <c r="H177" s="521">
        <v>622203600</v>
      </c>
      <c r="I177" s="620">
        <f t="shared" si="30"/>
        <v>315.0429877770914</v>
      </c>
      <c r="J177" s="521">
        <v>622203600</v>
      </c>
      <c r="K177" s="620">
        <f t="shared" si="31"/>
        <v>315.0429877770914</v>
      </c>
      <c r="L177" s="715">
        <v>100</v>
      </c>
      <c r="M177" s="167">
        <v>100</v>
      </c>
      <c r="N177" s="485"/>
      <c r="O177" s="686"/>
    </row>
    <row r="178" spans="1:15" ht="12" customHeight="1">
      <c r="A178" s="489"/>
      <c r="B178" s="627"/>
      <c r="C178" s="521"/>
      <c r="D178" s="622" t="s">
        <v>173</v>
      </c>
      <c r="E178" s="521">
        <v>622203600</v>
      </c>
      <c r="F178" s="624" t="s">
        <v>174</v>
      </c>
      <c r="G178" s="492">
        <v>43738</v>
      </c>
      <c r="H178" s="521">
        <v>1645913200</v>
      </c>
      <c r="I178" s="620">
        <f t="shared" si="30"/>
        <v>264.5296812811755</v>
      </c>
      <c r="J178" s="521">
        <v>1645913200</v>
      </c>
      <c r="K178" s="620">
        <f t="shared" si="31"/>
        <v>264.5296812811755</v>
      </c>
      <c r="L178" s="715">
        <v>100</v>
      </c>
      <c r="M178" s="167">
        <v>100</v>
      </c>
      <c r="N178" s="485"/>
      <c r="O178" s="686"/>
    </row>
    <row r="179" spans="1:15" ht="12" customHeight="1">
      <c r="A179" s="489"/>
      <c r="B179" s="627"/>
      <c r="C179" s="521"/>
      <c r="D179" s="622" t="s">
        <v>173</v>
      </c>
      <c r="E179" s="521">
        <v>1645913200</v>
      </c>
      <c r="F179" s="624" t="s">
        <v>175</v>
      </c>
      <c r="G179" s="492">
        <v>43738</v>
      </c>
      <c r="H179" s="521">
        <v>79365000</v>
      </c>
      <c r="I179" s="620">
        <f t="shared" si="30"/>
        <v>4.821943222765332</v>
      </c>
      <c r="J179" s="521">
        <v>79365000</v>
      </c>
      <c r="K179" s="620">
        <f t="shared" si="31"/>
        <v>4.821943222765332</v>
      </c>
      <c r="L179" s="715">
        <v>100</v>
      </c>
      <c r="M179" s="167">
        <v>100</v>
      </c>
      <c r="N179" s="485"/>
      <c r="O179" s="686"/>
    </row>
    <row r="180" spans="1:15" ht="12" customHeight="1">
      <c r="A180" s="489">
        <v>2</v>
      </c>
      <c r="B180" s="627" t="s">
        <v>53</v>
      </c>
      <c r="C180" s="521">
        <v>1110122000</v>
      </c>
      <c r="D180" s="522"/>
      <c r="E180" s="523"/>
      <c r="F180" s="491"/>
      <c r="G180" s="492"/>
      <c r="H180" s="521">
        <v>96602000</v>
      </c>
      <c r="I180" s="620" t="e">
        <f t="shared" si="30"/>
        <v>#DIV/0!</v>
      </c>
      <c r="J180" s="521">
        <v>96602000</v>
      </c>
      <c r="K180" s="620" t="e">
        <f t="shared" si="31"/>
        <v>#DIV/0!</v>
      </c>
      <c r="L180" s="715">
        <v>100</v>
      </c>
      <c r="M180" s="167">
        <v>100</v>
      </c>
      <c r="N180" s="485"/>
      <c r="O180" s="686"/>
    </row>
    <row r="181" spans="1:15" ht="12" customHeight="1">
      <c r="A181" s="489">
        <v>3</v>
      </c>
      <c r="B181" s="627" t="s">
        <v>54</v>
      </c>
      <c r="C181" s="521">
        <v>381050000</v>
      </c>
      <c r="D181" s="522" t="s">
        <v>107</v>
      </c>
      <c r="E181" s="524">
        <v>48600000</v>
      </c>
      <c r="F181" s="491" t="s">
        <v>108</v>
      </c>
      <c r="G181" s="492">
        <v>43584</v>
      </c>
      <c r="H181" s="521"/>
      <c r="I181" s="620"/>
      <c r="J181" s="521"/>
      <c r="K181" s="620"/>
      <c r="L181" s="715"/>
      <c r="M181" s="167"/>
      <c r="N181" s="485"/>
      <c r="O181" s="686"/>
    </row>
    <row r="182" spans="1:15" ht="12" customHeight="1">
      <c r="A182" s="533"/>
      <c r="B182" s="661"/>
      <c r="C182" s="662"/>
      <c r="D182" s="663"/>
      <c r="E182" s="664"/>
      <c r="F182" s="537"/>
      <c r="G182" s="538"/>
      <c r="H182" s="524">
        <f>604173402+100000000+6406500+91445309+113723460+92629000</f>
        <v>1008377671</v>
      </c>
      <c r="I182" s="483" t="e">
        <f>+H182/C182*100</f>
        <v>#DIV/0!</v>
      </c>
      <c r="J182" s="524">
        <f>604173402+100000000+6406500+91445309+113723460+92629000</f>
        <v>1008377671</v>
      </c>
      <c r="K182" s="166" t="e">
        <f>+J182/C182*100</f>
        <v>#DIV/0!</v>
      </c>
      <c r="L182" s="715">
        <v>100</v>
      </c>
      <c r="M182" s="167" t="e">
        <f>+J182/C182*100</f>
        <v>#DIV/0!</v>
      </c>
      <c r="N182" s="485">
        <f>C182-J182</f>
        <v>-1008377671</v>
      </c>
      <c r="O182" s="686"/>
    </row>
    <row r="183" spans="1:15" ht="12" customHeight="1">
      <c r="A183" s="665">
        <v>5</v>
      </c>
      <c r="B183" s="528" t="s">
        <v>56</v>
      </c>
      <c r="C183" s="532">
        <f>SUM(C184:C197)</f>
        <v>1190425000</v>
      </c>
      <c r="D183" s="567"/>
      <c r="E183" s="532">
        <f>E184+E185+E186++E187+E188+E189+E190+E193+E195+E197+E192</f>
        <v>160501000</v>
      </c>
      <c r="F183" s="567"/>
      <c r="G183" s="568"/>
      <c r="H183" s="524">
        <f>119273588+38375000+9875000+98694000</f>
        <v>266217588</v>
      </c>
      <c r="I183" s="483">
        <f>+H183/C183*100</f>
        <v>22.363239011277486</v>
      </c>
      <c r="J183" s="524">
        <f>119273588+38375000+9875000+98694000</f>
        <v>266217588</v>
      </c>
      <c r="K183" s="166">
        <f>+J183/C183*100</f>
        <v>22.363239011277486</v>
      </c>
      <c r="L183" s="715">
        <v>100</v>
      </c>
      <c r="M183" s="167">
        <f>+J183/C183*100</f>
        <v>22.363239011277486</v>
      </c>
      <c r="N183" s="485">
        <f>C183-J183</f>
        <v>924207412</v>
      </c>
      <c r="O183" s="686"/>
    </row>
    <row r="184" spans="1:15" ht="12" customHeight="1">
      <c r="A184" s="489">
        <v>1</v>
      </c>
      <c r="B184" s="169" t="s">
        <v>57</v>
      </c>
      <c r="C184" s="166">
        <v>350000000</v>
      </c>
      <c r="D184" s="214"/>
      <c r="E184" s="166"/>
      <c r="F184" s="491"/>
      <c r="G184" s="492"/>
      <c r="H184" s="664"/>
      <c r="I184" s="771"/>
      <c r="J184" s="664"/>
      <c r="K184" s="535"/>
      <c r="L184" s="715"/>
      <c r="M184" s="542"/>
      <c r="N184" s="485"/>
      <c r="O184" s="686"/>
    </row>
    <row r="185" spans="1:15" ht="12" customHeight="1">
      <c r="A185" s="489">
        <v>2</v>
      </c>
      <c r="B185" s="490" t="s">
        <v>58</v>
      </c>
      <c r="C185" s="166">
        <v>165000000</v>
      </c>
      <c r="D185" s="214"/>
      <c r="E185" s="167"/>
      <c r="F185" s="491"/>
      <c r="G185" s="492"/>
      <c r="H185" s="664"/>
      <c r="I185" s="539"/>
      <c r="J185" s="664"/>
      <c r="K185" s="540"/>
      <c r="L185" s="716"/>
      <c r="M185" s="542"/>
      <c r="N185" s="485"/>
      <c r="O185" s="686"/>
    </row>
    <row r="186" spans="1:15" ht="12" customHeight="1">
      <c r="A186" s="489">
        <v>3</v>
      </c>
      <c r="B186" s="490" t="s">
        <v>59</v>
      </c>
      <c r="C186" s="166">
        <v>50000000</v>
      </c>
      <c r="D186" s="214"/>
      <c r="E186" s="167"/>
      <c r="F186" s="491"/>
      <c r="G186" s="492"/>
      <c r="H186" s="532">
        <f>SUM(H187:H200)</f>
        <v>1017071874</v>
      </c>
      <c r="I186" s="543">
        <f aca="true" t="shared" si="32" ref="I186:I194">+H186/C186*100</f>
        <v>2034.143748</v>
      </c>
      <c r="J186" s="532">
        <f>SUM(J187:J200)</f>
        <v>1017071874</v>
      </c>
      <c r="K186" s="639">
        <f aca="true" t="shared" si="33" ref="K186:K194">+J186/C186*100</f>
        <v>2034.143748</v>
      </c>
      <c r="L186" s="545">
        <v>100</v>
      </c>
      <c r="M186" s="545">
        <f>+J186/C186*100</f>
        <v>2034.143748</v>
      </c>
      <c r="N186" s="485">
        <f aca="true" t="shared" si="34" ref="N186:N194">C186-J186</f>
        <v>-967071874</v>
      </c>
      <c r="O186" s="686"/>
    </row>
    <row r="187" spans="1:15" ht="12" customHeight="1">
      <c r="A187" s="489">
        <v>4</v>
      </c>
      <c r="B187" s="169" t="s">
        <v>78</v>
      </c>
      <c r="C187" s="166">
        <v>80000000</v>
      </c>
      <c r="D187" s="214" t="s">
        <v>110</v>
      </c>
      <c r="E187" s="167">
        <v>11000000</v>
      </c>
      <c r="F187" s="491" t="s">
        <v>109</v>
      </c>
      <c r="G187" s="492">
        <v>43580</v>
      </c>
      <c r="H187" s="166">
        <f>214048900+11650000+9140000</f>
        <v>234838900</v>
      </c>
      <c r="I187" s="483">
        <f t="shared" si="32"/>
        <v>293.54862499999996</v>
      </c>
      <c r="J187" s="166">
        <f>214048900+11650000+9140000</f>
        <v>234838900</v>
      </c>
      <c r="K187" s="166">
        <f t="shared" si="33"/>
        <v>293.54862499999996</v>
      </c>
      <c r="L187" s="718">
        <v>100</v>
      </c>
      <c r="M187" s="167">
        <f aca="true" t="shared" si="35" ref="M187:M194">+J187/C187*100</f>
        <v>293.54862499999996</v>
      </c>
      <c r="N187" s="485">
        <f t="shared" si="34"/>
        <v>-154838900</v>
      </c>
      <c r="O187" s="686"/>
    </row>
    <row r="188" spans="1:15" ht="12" customHeight="1">
      <c r="A188" s="489">
        <v>5</v>
      </c>
      <c r="B188" s="169" t="s">
        <v>79</v>
      </c>
      <c r="C188" s="166">
        <v>50000000</v>
      </c>
      <c r="D188" s="214"/>
      <c r="E188" s="167"/>
      <c r="F188" s="491"/>
      <c r="G188" s="492"/>
      <c r="H188" s="166">
        <f>122001983+1342421+2100000+32652500+2850000</f>
        <v>160946904</v>
      </c>
      <c r="I188" s="483">
        <f t="shared" si="32"/>
        <v>321.893808</v>
      </c>
      <c r="J188" s="166">
        <f>122001983+1342421+2100000+32652500+2850000</f>
        <v>160946904</v>
      </c>
      <c r="K188" s="166">
        <f t="shared" si="33"/>
        <v>321.893808</v>
      </c>
      <c r="L188" s="718">
        <v>100</v>
      </c>
      <c r="M188" s="167">
        <f t="shared" si="35"/>
        <v>321.893808</v>
      </c>
      <c r="N188" s="485">
        <f t="shared" si="34"/>
        <v>-110946904</v>
      </c>
      <c r="O188" s="686"/>
    </row>
    <row r="189" spans="1:15" ht="12" customHeight="1">
      <c r="A189" s="489">
        <v>6</v>
      </c>
      <c r="B189" s="169" t="s">
        <v>60</v>
      </c>
      <c r="C189" s="166">
        <v>50000000</v>
      </c>
      <c r="D189" s="214"/>
      <c r="E189" s="167"/>
      <c r="F189" s="491"/>
      <c r="G189" s="492"/>
      <c r="H189" s="168">
        <f>22900000+1375000+2400000+11450000</f>
        <v>38125000</v>
      </c>
      <c r="I189" s="483">
        <f t="shared" si="32"/>
        <v>76.25</v>
      </c>
      <c r="J189" s="168">
        <f>22900000+1375000+2400000+11450000</f>
        <v>38125000</v>
      </c>
      <c r="K189" s="166">
        <f t="shared" si="33"/>
        <v>76.25</v>
      </c>
      <c r="L189" s="718">
        <v>100</v>
      </c>
      <c r="M189" s="167">
        <f t="shared" si="35"/>
        <v>76.25</v>
      </c>
      <c r="N189" s="485">
        <f t="shared" si="34"/>
        <v>11875000</v>
      </c>
      <c r="O189" s="686"/>
    </row>
    <row r="190" spans="1:15" ht="12" customHeight="1">
      <c r="A190" s="493">
        <v>7</v>
      </c>
      <c r="B190" s="494" t="s">
        <v>61</v>
      </c>
      <c r="C190" s="495">
        <v>50000000</v>
      </c>
      <c r="D190" s="496"/>
      <c r="E190" s="497"/>
      <c r="F190" s="498"/>
      <c r="G190" s="499"/>
      <c r="H190" s="168">
        <f>29275000+25799900+8675000</f>
        <v>63749900</v>
      </c>
      <c r="I190" s="483">
        <f t="shared" si="32"/>
        <v>127.49980000000001</v>
      </c>
      <c r="J190" s="168">
        <f>29275000+25799900+8675000</f>
        <v>63749900</v>
      </c>
      <c r="K190" s="166">
        <f t="shared" si="33"/>
        <v>127.49980000000001</v>
      </c>
      <c r="L190" s="718">
        <v>100</v>
      </c>
      <c r="M190" s="167">
        <f t="shared" si="35"/>
        <v>127.49980000000001</v>
      </c>
      <c r="N190" s="485">
        <f t="shared" si="34"/>
        <v>-13749900</v>
      </c>
      <c r="O190" s="686"/>
    </row>
    <row r="191" spans="1:15" ht="12" customHeight="1">
      <c r="A191" s="489">
        <v>8</v>
      </c>
      <c r="B191" s="494" t="s">
        <v>85</v>
      </c>
      <c r="C191" s="495">
        <v>156700000</v>
      </c>
      <c r="D191" s="496"/>
      <c r="E191" s="497"/>
      <c r="F191" s="498"/>
      <c r="G191" s="499"/>
      <c r="H191" s="168">
        <f>10775000+4950000+550000+14850000+7900000</f>
        <v>39025000</v>
      </c>
      <c r="I191" s="483">
        <f t="shared" si="32"/>
        <v>24.90427568602425</v>
      </c>
      <c r="J191" s="168">
        <f>10775000+4950000+550000+14850000+7900000</f>
        <v>39025000</v>
      </c>
      <c r="K191" s="166">
        <f t="shared" si="33"/>
        <v>24.90427568602425</v>
      </c>
      <c r="L191" s="718">
        <v>100</v>
      </c>
      <c r="M191" s="167">
        <f t="shared" si="35"/>
        <v>24.90427568602425</v>
      </c>
      <c r="N191" s="485">
        <f t="shared" si="34"/>
        <v>117675000</v>
      </c>
      <c r="O191" s="686"/>
    </row>
    <row r="192" spans="1:15" ht="12" customHeight="1">
      <c r="A192" s="493"/>
      <c r="B192" s="494"/>
      <c r="C192" s="495"/>
      <c r="D192" s="501" t="s">
        <v>154</v>
      </c>
      <c r="E192" s="502">
        <v>149501000</v>
      </c>
      <c r="F192" s="503" t="s">
        <v>156</v>
      </c>
      <c r="G192" s="504" t="s">
        <v>155</v>
      </c>
      <c r="H192" s="168">
        <f>20860166+1435000+2766631+21332373+1650000</f>
        <v>48044170</v>
      </c>
      <c r="I192" s="483" t="e">
        <f t="shared" si="32"/>
        <v>#DIV/0!</v>
      </c>
      <c r="J192" s="168">
        <f>20860166+1435000+2766631+21332373+1650000</f>
        <v>48044170</v>
      </c>
      <c r="K192" s="166" t="e">
        <f t="shared" si="33"/>
        <v>#DIV/0!</v>
      </c>
      <c r="L192" s="718">
        <v>100</v>
      </c>
      <c r="M192" s="167" t="e">
        <f t="shared" si="35"/>
        <v>#DIV/0!</v>
      </c>
      <c r="N192" s="485">
        <f t="shared" si="34"/>
        <v>-48044170</v>
      </c>
      <c r="O192" s="686"/>
    </row>
    <row r="193" spans="1:15" ht="12" customHeight="1">
      <c r="A193" s="493">
        <v>9</v>
      </c>
      <c r="B193" s="507" t="s">
        <v>80</v>
      </c>
      <c r="C193" s="508">
        <v>140000000</v>
      </c>
      <c r="D193" s="509"/>
      <c r="E193" s="510">
        <v>0</v>
      </c>
      <c r="F193" s="511"/>
      <c r="G193" s="512"/>
      <c r="H193" s="500">
        <v>48600000</v>
      </c>
      <c r="I193" s="483">
        <f t="shared" si="32"/>
        <v>34.714285714285715</v>
      </c>
      <c r="J193" s="500">
        <v>48600000</v>
      </c>
      <c r="K193" s="166">
        <f t="shared" si="33"/>
        <v>34.714285714285715</v>
      </c>
      <c r="L193" s="718">
        <v>100</v>
      </c>
      <c r="M193" s="167">
        <f t="shared" si="35"/>
        <v>34.714285714285715</v>
      </c>
      <c r="N193" s="485">
        <f t="shared" si="34"/>
        <v>91400000</v>
      </c>
      <c r="O193" s="686"/>
    </row>
    <row r="194" spans="1:15" ht="12" customHeight="1">
      <c r="A194" s="493"/>
      <c r="B194" s="507"/>
      <c r="C194" s="508"/>
      <c r="D194" s="515" t="s">
        <v>140</v>
      </c>
      <c r="E194" s="510">
        <v>85930000</v>
      </c>
      <c r="F194" s="516" t="s">
        <v>141</v>
      </c>
      <c r="G194" s="512">
        <v>43556</v>
      </c>
      <c r="H194" s="500">
        <f>149501000+4700000+1350000</f>
        <v>155551000</v>
      </c>
      <c r="I194" s="483" t="e">
        <f t="shared" si="32"/>
        <v>#DIV/0!</v>
      </c>
      <c r="J194" s="500">
        <f>149501000+4700000+1350000</f>
        <v>155551000</v>
      </c>
      <c r="K194" s="166" t="e">
        <f t="shared" si="33"/>
        <v>#DIV/0!</v>
      </c>
      <c r="L194" s="718">
        <v>100</v>
      </c>
      <c r="M194" s="167" t="e">
        <f t="shared" si="35"/>
        <v>#DIV/0!</v>
      </c>
      <c r="N194" s="485">
        <f t="shared" si="34"/>
        <v>-155551000</v>
      </c>
      <c r="O194" s="686"/>
    </row>
    <row r="195" spans="1:15" ht="12" customHeight="1">
      <c r="A195" s="489">
        <v>10</v>
      </c>
      <c r="B195" s="169" t="s">
        <v>62</v>
      </c>
      <c r="C195" s="166">
        <v>58775000</v>
      </c>
      <c r="D195" s="214"/>
      <c r="E195" s="166"/>
      <c r="F195" s="491"/>
      <c r="G195" s="492"/>
      <c r="H195" s="505"/>
      <c r="I195" s="506"/>
      <c r="J195" s="505"/>
      <c r="K195" s="166"/>
      <c r="L195" s="718"/>
      <c r="M195" s="167"/>
      <c r="N195" s="485"/>
      <c r="O195" s="686"/>
    </row>
    <row r="196" spans="1:15" ht="12" customHeight="1">
      <c r="A196" s="493">
        <v>11</v>
      </c>
      <c r="B196" s="169" t="s">
        <v>81</v>
      </c>
      <c r="C196" s="517">
        <v>18950000</v>
      </c>
      <c r="D196" s="518"/>
      <c r="E196" s="166"/>
      <c r="F196" s="491"/>
      <c r="G196" s="492"/>
      <c r="H196" s="508">
        <f>108166000+2350000+1050000+23300000</f>
        <v>134866000</v>
      </c>
      <c r="I196" s="525">
        <f>(H196)/C196*100</f>
        <v>711.6939313984169</v>
      </c>
      <c r="J196" s="508">
        <f>108166000+2350000+1050000+23300000</f>
        <v>134866000</v>
      </c>
      <c r="K196" s="168">
        <f>(J196+J197)/C196*100</f>
        <v>711.6939313984169</v>
      </c>
      <c r="L196" s="718">
        <v>100</v>
      </c>
      <c r="M196" s="167">
        <f>(J196+J197)/C196*100</f>
        <v>711.6939313984169</v>
      </c>
      <c r="N196" s="508">
        <f>C196-J196-J197</f>
        <v>-115916000</v>
      </c>
      <c r="O196" s="686"/>
    </row>
    <row r="197" spans="1:15" ht="12" customHeight="1">
      <c r="A197" s="489">
        <v>12</v>
      </c>
      <c r="B197" s="169" t="s">
        <v>55</v>
      </c>
      <c r="C197" s="517">
        <v>21000000</v>
      </c>
      <c r="D197" s="518"/>
      <c r="E197" s="166"/>
      <c r="F197" s="491"/>
      <c r="G197" s="492"/>
      <c r="H197" s="510"/>
      <c r="I197" s="483"/>
      <c r="J197" s="510"/>
      <c r="K197" s="166"/>
      <c r="L197" s="718"/>
      <c r="M197" s="167"/>
      <c r="N197" s="508"/>
      <c r="O197" s="686"/>
    </row>
    <row r="198" spans="1:15" ht="12" customHeight="1">
      <c r="A198" s="519"/>
      <c r="B198" s="520"/>
      <c r="C198" s="521"/>
      <c r="D198" s="522"/>
      <c r="E198" s="523"/>
      <c r="F198" s="491"/>
      <c r="G198" s="492"/>
      <c r="H198" s="168">
        <f>14545000+25830000+16750000+1300000</f>
        <v>58425000</v>
      </c>
      <c r="I198" s="483" t="e">
        <f aca="true" t="shared" si="36" ref="I198:I206">+H198/C198*100</f>
        <v>#DIV/0!</v>
      </c>
      <c r="J198" s="168">
        <f>14545000+25830000+16750000+1300000</f>
        <v>58425000</v>
      </c>
      <c r="K198" s="166" t="e">
        <f aca="true" t="shared" si="37" ref="K198:K206">+J198/C198*100</f>
        <v>#DIV/0!</v>
      </c>
      <c r="L198" s="718">
        <v>100</v>
      </c>
      <c r="M198" s="167" t="e">
        <f aca="true" t="shared" si="38" ref="M198:M204">+J198/C198*100</f>
        <v>#DIV/0!</v>
      </c>
      <c r="N198" s="485">
        <f aca="true" t="shared" si="39" ref="N198:N206">C198-J198</f>
        <v>-58425000</v>
      </c>
      <c r="O198" s="686"/>
    </row>
    <row r="199" spans="1:15" ht="12" customHeight="1">
      <c r="A199" s="527">
        <v>6</v>
      </c>
      <c r="B199" s="528" t="s">
        <v>63</v>
      </c>
      <c r="C199" s="529">
        <f>C200+C201+C202</f>
        <v>386507853</v>
      </c>
      <c r="D199" s="530"/>
      <c r="E199" s="529">
        <f>E200+E201+E202</f>
        <v>0</v>
      </c>
      <c r="F199" s="530"/>
      <c r="G199" s="531"/>
      <c r="H199" s="168">
        <v>15150000</v>
      </c>
      <c r="I199" s="483">
        <f t="shared" si="36"/>
        <v>3.919713372550803</v>
      </c>
      <c r="J199" s="168">
        <v>15150000</v>
      </c>
      <c r="K199" s="166">
        <f t="shared" si="37"/>
        <v>3.919713372550803</v>
      </c>
      <c r="L199" s="718">
        <v>100</v>
      </c>
      <c r="M199" s="167">
        <f t="shared" si="38"/>
        <v>3.919713372550803</v>
      </c>
      <c r="N199" s="485">
        <f t="shared" si="39"/>
        <v>371357853</v>
      </c>
      <c r="O199" s="748"/>
    </row>
    <row r="200" spans="1:15" ht="12" customHeight="1">
      <c r="A200" s="489">
        <v>1</v>
      </c>
      <c r="B200" s="169" t="s">
        <v>64</v>
      </c>
      <c r="C200" s="517">
        <v>50000000</v>
      </c>
      <c r="D200" s="518"/>
      <c r="E200" s="517"/>
      <c r="F200" s="491"/>
      <c r="G200" s="492"/>
      <c r="H200" s="168">
        <f>12900000+3925000+2925000</f>
        <v>19750000</v>
      </c>
      <c r="I200" s="483">
        <f t="shared" si="36"/>
        <v>39.5</v>
      </c>
      <c r="J200" s="168">
        <f>12900000+3925000+2925000</f>
        <v>19750000</v>
      </c>
      <c r="K200" s="166">
        <f t="shared" si="37"/>
        <v>39.5</v>
      </c>
      <c r="L200" s="718">
        <v>100</v>
      </c>
      <c r="M200" s="167">
        <f t="shared" si="38"/>
        <v>39.5</v>
      </c>
      <c r="N200" s="485">
        <f t="shared" si="39"/>
        <v>30250000</v>
      </c>
      <c r="O200" s="686"/>
    </row>
    <row r="201" spans="1:15" ht="12" customHeight="1">
      <c r="A201" s="489">
        <v>2</v>
      </c>
      <c r="B201" s="169" t="s">
        <v>65</v>
      </c>
      <c r="C201" s="517">
        <v>35000000</v>
      </c>
      <c r="D201" s="518"/>
      <c r="E201" s="523"/>
      <c r="F201" s="491"/>
      <c r="G201" s="492"/>
      <c r="H201" s="532">
        <f>SUM(H202:H204)</f>
        <v>381416500</v>
      </c>
      <c r="I201" s="543">
        <f t="shared" si="36"/>
        <v>1089.7614285714285</v>
      </c>
      <c r="J201" s="532">
        <f>SUM(J202:J204)</f>
        <v>381416500</v>
      </c>
      <c r="K201" s="639">
        <f t="shared" si="37"/>
        <v>1089.7614285714285</v>
      </c>
      <c r="L201" s="718">
        <v>100</v>
      </c>
      <c r="M201" s="545">
        <f t="shared" si="38"/>
        <v>1089.7614285714285</v>
      </c>
      <c r="N201" s="670">
        <f t="shared" si="39"/>
        <v>-346416500</v>
      </c>
      <c r="O201" s="686"/>
    </row>
    <row r="202" spans="1:15" ht="12" customHeight="1">
      <c r="A202" s="489">
        <v>3</v>
      </c>
      <c r="B202" s="169" t="s">
        <v>66</v>
      </c>
      <c r="C202" s="166">
        <v>301507853</v>
      </c>
      <c r="D202" s="214"/>
      <c r="E202" s="166"/>
      <c r="F202" s="491"/>
      <c r="G202" s="492"/>
      <c r="H202" s="517">
        <f>37223000+3525000+5525000+1900000</f>
        <v>48173000</v>
      </c>
      <c r="I202" s="483">
        <f t="shared" si="36"/>
        <v>15.977361624474836</v>
      </c>
      <c r="J202" s="517">
        <f>37223000+3525000+5525000+1900000</f>
        <v>48173000</v>
      </c>
      <c r="K202" s="166">
        <f t="shared" si="37"/>
        <v>15.977361624474836</v>
      </c>
      <c r="L202" s="718">
        <v>100</v>
      </c>
      <c r="M202" s="167">
        <f t="shared" si="38"/>
        <v>15.977361624474836</v>
      </c>
      <c r="N202" s="485">
        <f t="shared" si="39"/>
        <v>253334853</v>
      </c>
      <c r="O202" s="686"/>
    </row>
    <row r="203" spans="1:15" ht="12" customHeight="1">
      <c r="A203" s="527">
        <v>7</v>
      </c>
      <c r="B203" s="528" t="s">
        <v>67</v>
      </c>
      <c r="C203" s="532">
        <f>C204+C205</f>
        <v>520000000</v>
      </c>
      <c r="D203" s="567"/>
      <c r="E203" s="532">
        <f>SUM(E204:E213)</f>
        <v>503968000</v>
      </c>
      <c r="F203" s="567"/>
      <c r="G203" s="568"/>
      <c r="H203" s="517">
        <f>8946000+20250000+4675000</f>
        <v>33871000</v>
      </c>
      <c r="I203" s="483">
        <f t="shared" si="36"/>
        <v>6.513653846153847</v>
      </c>
      <c r="J203" s="517">
        <f>8946000+20250000+4675000</f>
        <v>33871000</v>
      </c>
      <c r="K203" s="166">
        <f t="shared" si="37"/>
        <v>6.513653846153847</v>
      </c>
      <c r="L203" s="718">
        <v>100</v>
      </c>
      <c r="M203" s="167">
        <f t="shared" si="38"/>
        <v>6.513653846153847</v>
      </c>
      <c r="N203" s="485">
        <f t="shared" si="39"/>
        <v>486129000</v>
      </c>
      <c r="O203" s="686"/>
    </row>
    <row r="204" spans="1:15" ht="12" customHeight="1">
      <c r="A204" s="519">
        <v>1</v>
      </c>
      <c r="B204" s="169" t="s">
        <v>68</v>
      </c>
      <c r="C204" s="166">
        <v>100000000</v>
      </c>
      <c r="D204" s="546" t="s">
        <v>129</v>
      </c>
      <c r="E204" s="521">
        <v>98395000</v>
      </c>
      <c r="F204" s="546" t="s">
        <v>128</v>
      </c>
      <c r="G204" s="547" t="s">
        <v>127</v>
      </c>
      <c r="H204" s="166">
        <f>236275000+4450000+3750000+45447500+300000+3075000+3825000+2250000</f>
        <v>299372500</v>
      </c>
      <c r="I204" s="483">
        <f t="shared" si="36"/>
        <v>299.3725</v>
      </c>
      <c r="J204" s="166">
        <f>236275000+4450000+3750000+45447500+300000+3075000+3825000+2250000</f>
        <v>299372500</v>
      </c>
      <c r="K204" s="166">
        <f t="shared" si="37"/>
        <v>299.3725</v>
      </c>
      <c r="L204" s="718">
        <v>100</v>
      </c>
      <c r="M204" s="167">
        <f t="shared" si="38"/>
        <v>299.3725</v>
      </c>
      <c r="N204" s="485">
        <f t="shared" si="39"/>
        <v>-199372500</v>
      </c>
      <c r="O204" s="686"/>
    </row>
    <row r="205" spans="1:15" ht="12" customHeight="1">
      <c r="A205" s="519">
        <v>2</v>
      </c>
      <c r="B205" s="169" t="s">
        <v>69</v>
      </c>
      <c r="C205" s="166">
        <v>420000000</v>
      </c>
      <c r="D205" s="546"/>
      <c r="E205" s="521"/>
      <c r="F205" s="546"/>
      <c r="G205" s="547"/>
      <c r="H205" s="532">
        <f>SUM(H206+H207)</f>
        <v>513418000</v>
      </c>
      <c r="I205" s="684">
        <f t="shared" si="36"/>
        <v>122.24238095238096</v>
      </c>
      <c r="J205" s="532">
        <f>SUM(J206+J207)</f>
        <v>513418000</v>
      </c>
      <c r="K205" s="552">
        <f t="shared" si="37"/>
        <v>122.24238095238096</v>
      </c>
      <c r="L205" s="545">
        <v>100</v>
      </c>
      <c r="M205" s="545">
        <f>J205/C205*100</f>
        <v>122.24238095238096</v>
      </c>
      <c r="N205" s="485">
        <f t="shared" si="39"/>
        <v>-93418000</v>
      </c>
      <c r="O205" s="686"/>
    </row>
    <row r="206" spans="1:15" ht="12" customHeight="1">
      <c r="A206" s="519"/>
      <c r="B206" s="169"/>
      <c r="C206" s="166"/>
      <c r="D206" s="501" t="s">
        <v>136</v>
      </c>
      <c r="E206" s="166">
        <v>98188000</v>
      </c>
      <c r="F206" s="548" t="s">
        <v>134</v>
      </c>
      <c r="G206" s="492" t="s">
        <v>135</v>
      </c>
      <c r="H206" s="166">
        <v>99445000</v>
      </c>
      <c r="I206" s="483" t="e">
        <f t="shared" si="36"/>
        <v>#DIV/0!</v>
      </c>
      <c r="J206" s="166">
        <v>99445000</v>
      </c>
      <c r="K206" s="166" t="e">
        <f t="shared" si="37"/>
        <v>#DIV/0!</v>
      </c>
      <c r="L206" s="718">
        <v>100</v>
      </c>
      <c r="M206" s="167" t="e">
        <f>+J206/C206*100</f>
        <v>#DIV/0!</v>
      </c>
      <c r="N206" s="485">
        <f t="shared" si="39"/>
        <v>-99445000</v>
      </c>
      <c r="O206" s="686"/>
    </row>
    <row r="207" spans="1:15" ht="12" customHeight="1">
      <c r="A207" s="519"/>
      <c r="B207" s="169"/>
      <c r="C207" s="166"/>
      <c r="D207" s="501" t="s">
        <v>145</v>
      </c>
      <c r="E207" s="166">
        <v>48230000</v>
      </c>
      <c r="F207" s="548" t="s">
        <v>144</v>
      </c>
      <c r="G207" s="512" t="s">
        <v>143</v>
      </c>
      <c r="H207" s="166">
        <f>SUM(H208+H209+H210+H211+H212+H213+H214+H215)+1050000+1050000+1050000+1050000+1050000+1050000+1050000+1050000</f>
        <v>413973000</v>
      </c>
      <c r="I207" s="483" t="e">
        <f>H207/C207*100</f>
        <v>#DIV/0!</v>
      </c>
      <c r="J207" s="166">
        <f>SUM(J208+J209+J210+J211+J212+J213+J214+J215)+1050000+1050000+1050000+1050000+1050000+1050000+1050000+1050000</f>
        <v>413973000</v>
      </c>
      <c r="K207" s="166" t="e">
        <f>J207/C207*100</f>
        <v>#DIV/0!</v>
      </c>
      <c r="L207" s="718">
        <v>100</v>
      </c>
      <c r="M207" s="167" t="e">
        <f>+J207/C207*100</f>
        <v>#DIV/0!</v>
      </c>
      <c r="N207" s="485">
        <f>C207-(J208+J209+J210+J211+J212+J213+J214+J215)-(8*1050000)</f>
        <v>-413973000</v>
      </c>
      <c r="O207" s="686"/>
    </row>
    <row r="208" spans="1:15" ht="12" customHeight="1">
      <c r="A208" s="519"/>
      <c r="B208" s="169"/>
      <c r="C208" s="166"/>
      <c r="D208" s="501" t="s">
        <v>142</v>
      </c>
      <c r="E208" s="166">
        <v>48150000</v>
      </c>
      <c r="F208" s="548" t="s">
        <v>146</v>
      </c>
      <c r="G208" s="512" t="s">
        <v>143</v>
      </c>
      <c r="H208" s="166">
        <v>98188000</v>
      </c>
      <c r="I208" s="725">
        <f>+H208/E208*100</f>
        <v>203.9210799584631</v>
      </c>
      <c r="J208" s="166">
        <v>98188000</v>
      </c>
      <c r="K208" s="725">
        <f>+J208/E208*100</f>
        <v>203.9210799584631</v>
      </c>
      <c r="L208" s="720"/>
      <c r="M208" s="167"/>
      <c r="N208" s="551"/>
      <c r="O208" s="686"/>
    </row>
    <row r="209" spans="1:15" ht="12" customHeight="1">
      <c r="A209" s="519"/>
      <c r="B209" s="169"/>
      <c r="C209" s="166"/>
      <c r="D209" s="501" t="s">
        <v>147</v>
      </c>
      <c r="E209" s="166">
        <v>38280000</v>
      </c>
      <c r="F209" s="549" t="s">
        <v>148</v>
      </c>
      <c r="G209" s="512">
        <v>43556</v>
      </c>
      <c r="H209" s="166">
        <v>48230000</v>
      </c>
      <c r="I209" s="725">
        <f aca="true" t="shared" si="40" ref="I209:I215">+H209/E209*100</f>
        <v>125.99268547544409</v>
      </c>
      <c r="J209" s="166">
        <v>48230000</v>
      </c>
      <c r="K209" s="725">
        <f aca="true" t="shared" si="41" ref="K209:K215">+J209/E209*100</f>
        <v>125.99268547544409</v>
      </c>
      <c r="L209" s="718"/>
      <c r="M209" s="167"/>
      <c r="N209" s="485"/>
      <c r="O209" s="686"/>
    </row>
    <row r="210" spans="1:15" ht="12" customHeight="1">
      <c r="A210" s="519"/>
      <c r="B210" s="169"/>
      <c r="C210" s="166"/>
      <c r="D210" s="501" t="s">
        <v>149</v>
      </c>
      <c r="E210" s="166">
        <v>48260000</v>
      </c>
      <c r="F210" s="549" t="s">
        <v>148</v>
      </c>
      <c r="G210" s="512">
        <v>43556</v>
      </c>
      <c r="H210" s="166">
        <v>48150000</v>
      </c>
      <c r="I210" s="725">
        <f t="shared" si="40"/>
        <v>99.77206796518855</v>
      </c>
      <c r="J210" s="166">
        <v>48150000</v>
      </c>
      <c r="K210" s="725">
        <f t="shared" si="41"/>
        <v>99.77206796518855</v>
      </c>
      <c r="L210" s="718"/>
      <c r="M210" s="167"/>
      <c r="N210" s="485"/>
      <c r="O210" s="686"/>
    </row>
    <row r="211" spans="1:15" ht="12" customHeight="1">
      <c r="A211" s="519"/>
      <c r="B211" s="169"/>
      <c r="C211" s="166"/>
      <c r="D211" s="501" t="s">
        <v>150</v>
      </c>
      <c r="E211" s="166">
        <v>38170000</v>
      </c>
      <c r="F211" s="549" t="s">
        <v>148</v>
      </c>
      <c r="G211" s="512">
        <v>43556</v>
      </c>
      <c r="H211" s="166">
        <v>38280000</v>
      </c>
      <c r="I211" s="725">
        <f t="shared" si="40"/>
        <v>100.28818443804035</v>
      </c>
      <c r="J211" s="166">
        <v>38280000</v>
      </c>
      <c r="K211" s="725">
        <f t="shared" si="41"/>
        <v>100.28818443804035</v>
      </c>
      <c r="L211" s="718"/>
      <c r="M211" s="167"/>
      <c r="N211" s="485"/>
      <c r="O211" s="686"/>
    </row>
    <row r="212" spans="1:15" ht="12" customHeight="1">
      <c r="A212" s="519"/>
      <c r="B212" s="169"/>
      <c r="C212" s="166"/>
      <c r="D212" s="501" t="s">
        <v>151</v>
      </c>
      <c r="E212" s="166">
        <v>48125000</v>
      </c>
      <c r="F212" s="550" t="s">
        <v>152</v>
      </c>
      <c r="G212" s="512">
        <v>43556</v>
      </c>
      <c r="H212" s="166">
        <v>48260000</v>
      </c>
      <c r="I212" s="725">
        <f t="shared" si="40"/>
        <v>100.28051948051949</v>
      </c>
      <c r="J212" s="166">
        <v>48260000</v>
      </c>
      <c r="K212" s="725">
        <f t="shared" si="41"/>
        <v>100.28051948051949</v>
      </c>
      <c r="L212" s="718"/>
      <c r="M212" s="167"/>
      <c r="N212" s="485"/>
      <c r="O212" s="686"/>
    </row>
    <row r="213" spans="1:15" ht="12" customHeight="1">
      <c r="A213" s="519"/>
      <c r="B213" s="490"/>
      <c r="C213" s="166"/>
      <c r="D213" s="501" t="s">
        <v>153</v>
      </c>
      <c r="E213" s="166">
        <v>38170000</v>
      </c>
      <c r="F213" s="550" t="s">
        <v>152</v>
      </c>
      <c r="G213" s="512">
        <v>43556</v>
      </c>
      <c r="H213" s="166">
        <v>38170000</v>
      </c>
      <c r="I213" s="725">
        <f t="shared" si="40"/>
        <v>100</v>
      </c>
      <c r="J213" s="166">
        <v>38170000</v>
      </c>
      <c r="K213" s="725">
        <f t="shared" si="41"/>
        <v>100</v>
      </c>
      <c r="L213" s="718"/>
      <c r="M213" s="167"/>
      <c r="N213" s="485"/>
      <c r="O213" s="686"/>
    </row>
    <row r="214" spans="1:15" ht="12" customHeight="1">
      <c r="A214" s="384"/>
      <c r="B214" s="490"/>
      <c r="C214" s="166"/>
      <c r="D214" s="166"/>
      <c r="E214" s="523"/>
      <c r="F214" s="491"/>
      <c r="G214" s="492"/>
      <c r="H214" s="166">
        <v>48125000</v>
      </c>
      <c r="I214" s="725" t="e">
        <f t="shared" si="40"/>
        <v>#DIV/0!</v>
      </c>
      <c r="J214" s="166">
        <v>48125000</v>
      </c>
      <c r="K214" s="725" t="e">
        <f t="shared" si="41"/>
        <v>#DIV/0!</v>
      </c>
      <c r="L214" s="718"/>
      <c r="M214" s="167"/>
      <c r="N214" s="485"/>
      <c r="O214" s="686"/>
    </row>
    <row r="215" spans="1:15" ht="12" customHeight="1">
      <c r="A215" s="666">
        <v>8</v>
      </c>
      <c r="B215" s="638" t="s">
        <v>70</v>
      </c>
      <c r="C215" s="667">
        <f>SUM(C216:C216)</f>
        <v>100000000</v>
      </c>
      <c r="D215" s="668"/>
      <c r="E215" s="667">
        <f>SUM(E216:E216)</f>
        <v>0</v>
      </c>
      <c r="F215" s="668"/>
      <c r="G215" s="669"/>
      <c r="H215" s="166">
        <v>38170000</v>
      </c>
      <c r="I215" s="725" t="e">
        <f t="shared" si="40"/>
        <v>#DIV/0!</v>
      </c>
      <c r="J215" s="166">
        <v>38170000</v>
      </c>
      <c r="K215" s="725" t="e">
        <f t="shared" si="41"/>
        <v>#DIV/0!</v>
      </c>
      <c r="L215" s="718"/>
      <c r="M215" s="167"/>
      <c r="N215" s="485"/>
      <c r="O215" s="686"/>
    </row>
    <row r="216" spans="1:15" ht="12" customHeight="1">
      <c r="A216" s="475"/>
      <c r="B216" s="742" t="s">
        <v>169</v>
      </c>
      <c r="C216" s="743">
        <v>100000000</v>
      </c>
      <c r="D216" s="744"/>
      <c r="E216" s="167"/>
      <c r="F216" s="491"/>
      <c r="G216" s="492"/>
      <c r="H216" s="639">
        <f>SUM(H217:H217)</f>
        <v>93041083</v>
      </c>
      <c r="I216" s="543">
        <f>+H216/C216*100</f>
        <v>93.041083</v>
      </c>
      <c r="J216" s="639">
        <f>SUM(J217:J217)</f>
        <v>93041083</v>
      </c>
      <c r="K216" s="639">
        <f>+J216/C216*100</f>
        <v>93.041083</v>
      </c>
      <c r="L216" s="718">
        <v>100</v>
      </c>
      <c r="M216" s="545">
        <f>+J216/C216*100</f>
        <v>93.041083</v>
      </c>
      <c r="N216" s="670">
        <f>C216-J216</f>
        <v>6958917</v>
      </c>
      <c r="O216" s="686"/>
    </row>
    <row r="217" spans="1:15" ht="12" customHeight="1">
      <c r="A217" s="489"/>
      <c r="B217" s="672"/>
      <c r="C217" s="673"/>
      <c r="D217" s="674"/>
      <c r="E217" s="167"/>
      <c r="F217" s="491"/>
      <c r="G217" s="492"/>
      <c r="H217" s="745">
        <f>1400000+47496500+39187481+3057102+1900000</f>
        <v>93041083</v>
      </c>
      <c r="I217" s="483" t="e">
        <f>+H217/C217*100</f>
        <v>#DIV/0!</v>
      </c>
      <c r="J217" s="745">
        <f>1400000+47496500+39187481+3057102+1900000</f>
        <v>93041083</v>
      </c>
      <c r="K217" s="166" t="e">
        <f>+J217/C217*100</f>
        <v>#DIV/0!</v>
      </c>
      <c r="L217" s="718">
        <v>100</v>
      </c>
      <c r="M217" s="167" t="e">
        <f>+J217/C217*100</f>
        <v>#DIV/0!</v>
      </c>
      <c r="N217" s="485">
        <f>C217-J217</f>
        <v>-93041083</v>
      </c>
      <c r="O217" s="768"/>
    </row>
    <row r="218" spans="1:15" ht="13.5" thickBot="1">
      <c r="A218" s="671"/>
      <c r="B218" s="103"/>
      <c r="C218" s="609">
        <f>C123+C137</f>
        <v>13112358353</v>
      </c>
      <c r="D218" s="609"/>
      <c r="E218" s="609">
        <f>+E123+E137</f>
        <v>3773115804</v>
      </c>
      <c r="F218" s="609">
        <f>F138+F151+F161+F164+F183+F199+F203+F215</f>
        <v>0</v>
      </c>
      <c r="G218" s="610"/>
      <c r="H218" s="675"/>
      <c r="I218" s="676"/>
      <c r="J218" s="745"/>
      <c r="K218" s="678"/>
      <c r="L218" s="678"/>
      <c r="M218" s="678"/>
      <c r="N218" s="679"/>
      <c r="O218" s="606"/>
    </row>
    <row r="219" spans="1:14" ht="15" thickBot="1">
      <c r="A219" s="126"/>
      <c r="B219" s="135"/>
      <c r="C219" s="136"/>
      <c r="D219" s="208"/>
      <c r="E219" s="60"/>
      <c r="F219" s="207"/>
      <c r="G219" s="244"/>
      <c r="H219" s="611">
        <f>+H123+H137</f>
        <v>9417802289</v>
      </c>
      <c r="I219" s="608" t="e">
        <f>+H219/C219*100</f>
        <v>#DIV/0!</v>
      </c>
      <c r="J219" s="612">
        <f>+J123+J137</f>
        <v>9417802289</v>
      </c>
      <c r="K219" s="607" t="e">
        <f>+J219/C219*100</f>
        <v>#DIV/0!</v>
      </c>
      <c r="L219" s="721">
        <v>100</v>
      </c>
      <c r="M219" s="607" t="e">
        <f>+J219/C219*100</f>
        <v>#DIV/0!</v>
      </c>
      <c r="N219" s="614">
        <f>N123+N137</f>
        <v>3632726064</v>
      </c>
    </row>
    <row r="220" spans="1:14" ht="12.75">
      <c r="A220" s="126"/>
      <c r="B220" s="138"/>
      <c r="C220" s="84"/>
      <c r="D220" s="199"/>
      <c r="E220" s="139"/>
      <c r="F220" s="207"/>
      <c r="G220" s="244"/>
      <c r="H220" s="45"/>
      <c r="I220" s="317"/>
      <c r="J220" s="1"/>
      <c r="K220" s="767"/>
      <c r="L220" s="317" t="s">
        <v>73</v>
      </c>
      <c r="M220" s="767"/>
      <c r="N220" s="767"/>
    </row>
    <row r="221" spans="1:14" ht="12.75">
      <c r="A221" s="126"/>
      <c r="B221" s="105" t="s">
        <v>82</v>
      </c>
      <c r="C221" s="106">
        <f>H218/C218*100</f>
        <v>0</v>
      </c>
      <c r="D221" s="222"/>
      <c r="E221" s="60"/>
      <c r="F221" s="208"/>
      <c r="G221" s="224"/>
      <c r="H221" s="44"/>
      <c r="I221" s="767"/>
      <c r="J221" s="1"/>
      <c r="K221" s="767"/>
      <c r="L221" s="317" t="s">
        <v>72</v>
      </c>
      <c r="M221" s="767"/>
      <c r="N221" s="767"/>
    </row>
    <row r="222" spans="1:14" ht="12.75">
      <c r="A222" s="126"/>
      <c r="B222" s="140"/>
      <c r="C222" s="141"/>
      <c r="D222" s="223"/>
      <c r="E222" s="60"/>
      <c r="F222" s="208"/>
      <c r="G222" s="224"/>
      <c r="H222" s="44"/>
      <c r="I222" s="767"/>
      <c r="J222" s="1"/>
      <c r="K222" s="767"/>
      <c r="L222" s="317"/>
      <c r="M222" s="767"/>
      <c r="N222" s="767"/>
    </row>
    <row r="223" spans="1:14" ht="12.75">
      <c r="A223" s="126"/>
      <c r="B223" s="128"/>
      <c r="C223" s="84"/>
      <c r="D223" s="199"/>
      <c r="E223" s="60"/>
      <c r="F223" s="207"/>
      <c r="G223" s="244"/>
      <c r="H223" s="46"/>
      <c r="I223" s="767"/>
      <c r="J223" s="108"/>
      <c r="K223" s="108"/>
      <c r="L223" s="723" t="s">
        <v>74</v>
      </c>
      <c r="M223" s="1"/>
      <c r="N223" s="1"/>
    </row>
    <row r="224" spans="1:14" ht="12.75">
      <c r="A224" s="126"/>
      <c r="B224" s="127"/>
      <c r="C224" s="84"/>
      <c r="D224" s="199"/>
      <c r="E224" s="60"/>
      <c r="F224" s="187"/>
      <c r="G224" s="224"/>
      <c r="H224" s="46"/>
      <c r="I224" s="767"/>
      <c r="J224" s="767"/>
      <c r="K224" s="767"/>
      <c r="L224" s="317" t="s">
        <v>75</v>
      </c>
      <c r="M224" s="1"/>
      <c r="N224" s="1"/>
    </row>
    <row r="225" spans="1:14" ht="12.75">
      <c r="A225" s="151"/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724"/>
      <c r="M225" s="151"/>
      <c r="N225" s="151"/>
    </row>
  </sheetData>
  <sheetProtection/>
  <mergeCells count="76">
    <mergeCell ref="O171:O173"/>
    <mergeCell ref="M120:M121"/>
    <mergeCell ref="A171:A173"/>
    <mergeCell ref="B171:B173"/>
    <mergeCell ref="C171:C173"/>
    <mergeCell ref="D171:D173"/>
    <mergeCell ref="E171:E173"/>
    <mergeCell ref="F171:F173"/>
    <mergeCell ref="G171:G173"/>
    <mergeCell ref="G119:G121"/>
    <mergeCell ref="H119:K119"/>
    <mergeCell ref="L119:M119"/>
    <mergeCell ref="N119:N121"/>
    <mergeCell ref="O119:O121"/>
    <mergeCell ref="H120:H121"/>
    <mergeCell ref="I120:I121"/>
    <mergeCell ref="J120:J121"/>
    <mergeCell ref="K120:K121"/>
    <mergeCell ref="L120:L121"/>
    <mergeCell ref="A113:N113"/>
    <mergeCell ref="A114:N114"/>
    <mergeCell ref="A115:N115"/>
    <mergeCell ref="A117:B117"/>
    <mergeCell ref="A119:A121"/>
    <mergeCell ref="B119:B121"/>
    <mergeCell ref="C119:C121"/>
    <mergeCell ref="D119:D121"/>
    <mergeCell ref="E119:E121"/>
    <mergeCell ref="F119:F121"/>
    <mergeCell ref="N57:N59"/>
    <mergeCell ref="O57:O59"/>
    <mergeCell ref="H58:H59"/>
    <mergeCell ref="I58:I59"/>
    <mergeCell ref="J58:J59"/>
    <mergeCell ref="K58:K59"/>
    <mergeCell ref="L58:L59"/>
    <mergeCell ref="M58:M59"/>
    <mergeCell ref="M7:M8"/>
    <mergeCell ref="A57:A59"/>
    <mergeCell ref="B57:B59"/>
    <mergeCell ref="C57:C59"/>
    <mergeCell ref="D57:D59"/>
    <mergeCell ref="E57:E59"/>
    <mergeCell ref="F57:F59"/>
    <mergeCell ref="G57:G59"/>
    <mergeCell ref="H57:K57"/>
    <mergeCell ref="L57:M57"/>
    <mergeCell ref="G6:G8"/>
    <mergeCell ref="H6:K6"/>
    <mergeCell ref="L6:M6"/>
    <mergeCell ref="N6:N8"/>
    <mergeCell ref="O6:O8"/>
    <mergeCell ref="H7:H8"/>
    <mergeCell ref="I7:I8"/>
    <mergeCell ref="J7:J8"/>
    <mergeCell ref="K7:K8"/>
    <mergeCell ref="L7:L8"/>
    <mergeCell ref="A1:N1"/>
    <mergeCell ref="A2:N2"/>
    <mergeCell ref="A3:N3"/>
    <mergeCell ref="A5:B5"/>
    <mergeCell ref="A6:A8"/>
    <mergeCell ref="B6:B8"/>
    <mergeCell ref="C6:C8"/>
    <mergeCell ref="D6:D8"/>
    <mergeCell ref="E6:E8"/>
    <mergeCell ref="F6:F8"/>
    <mergeCell ref="H170:K170"/>
    <mergeCell ref="L170:M170"/>
    <mergeCell ref="N170:N172"/>
    <mergeCell ref="H171:H172"/>
    <mergeCell ref="I171:I172"/>
    <mergeCell ref="J171:J172"/>
    <mergeCell ref="K171:K172"/>
    <mergeCell ref="L171:L172"/>
    <mergeCell ref="M171:M172"/>
  </mergeCells>
  <printOptions horizontalCentered="1"/>
  <pageMargins left="0.7" right="0.7" top="0.75" bottom="0.75" header="0.3" footer="0.3"/>
  <pageSetup orientation="landscape" paperSize="5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16"/>
  <sheetViews>
    <sheetView tabSelected="1" zoomScaleSheetLayoutView="91" zoomScalePageLayoutView="0" workbookViewId="0" topLeftCell="A1">
      <selection activeCell="A3" sqref="A3:N3"/>
    </sheetView>
  </sheetViews>
  <sheetFormatPr defaultColWidth="9.140625" defaultRowHeight="12.75"/>
  <cols>
    <col min="1" max="1" width="4.7109375" style="0" customWidth="1"/>
    <col min="2" max="2" width="43.8515625" style="0" customWidth="1"/>
    <col min="3" max="3" width="14.421875" style="0" customWidth="1"/>
    <col min="4" max="4" width="23.7109375" style="0" customWidth="1"/>
    <col min="5" max="5" width="15.8515625" style="0" customWidth="1"/>
    <col min="6" max="6" width="14.7109375" style="0" customWidth="1"/>
    <col min="7" max="7" width="12.28125" style="0" customWidth="1"/>
    <col min="8" max="8" width="15.57421875" style="0" customWidth="1"/>
    <col min="9" max="9" width="6.00390625" style="0" customWidth="1"/>
    <col min="10" max="10" width="15.28125" style="0" customWidth="1"/>
    <col min="11" max="12" width="5.421875" style="0" customWidth="1"/>
    <col min="13" max="13" width="5.57421875" style="0" customWidth="1"/>
    <col min="14" max="14" width="16.00390625" style="0" customWidth="1"/>
    <col min="15" max="15" width="14.421875" style="0" customWidth="1"/>
    <col min="18" max="18" width="16.421875" style="0" customWidth="1"/>
  </cols>
  <sheetData>
    <row r="1" spans="1:14" ht="15.75">
      <c r="A1" s="811" t="s">
        <v>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</row>
    <row r="2" spans="1:14" ht="12.75">
      <c r="A2" s="812" t="s">
        <v>200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</row>
    <row r="3" spans="1:14" ht="12.75">
      <c r="A3" s="832" t="s">
        <v>77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</row>
    <row r="4" spans="1:14" ht="12.75">
      <c r="A4" s="558" t="s">
        <v>1</v>
      </c>
      <c r="B4" s="558"/>
      <c r="C4" s="59"/>
      <c r="D4" s="188"/>
      <c r="E4" s="59"/>
      <c r="F4" s="188"/>
      <c r="G4" s="225"/>
      <c r="H4" s="59"/>
      <c r="I4" s="59"/>
      <c r="J4" s="59"/>
      <c r="K4" s="59"/>
      <c r="L4" s="709"/>
      <c r="M4" s="59"/>
      <c r="N4" s="59"/>
    </row>
    <row r="5" spans="1:14" ht="12.75">
      <c r="A5" s="833" t="s">
        <v>193</v>
      </c>
      <c r="B5" s="833"/>
      <c r="C5" s="59"/>
      <c r="D5" s="188"/>
      <c r="E5" s="59"/>
      <c r="F5" s="188"/>
      <c r="G5" s="225"/>
      <c r="H5" s="59"/>
      <c r="I5" s="59"/>
      <c r="J5" s="59"/>
      <c r="K5" s="59"/>
      <c r="L5" s="709"/>
      <c r="M5" s="59"/>
      <c r="N5" s="59"/>
    </row>
    <row r="6" spans="1:15" ht="12.75">
      <c r="A6" s="808" t="s">
        <v>2</v>
      </c>
      <c r="B6" s="808" t="s">
        <v>3</v>
      </c>
      <c r="C6" s="808" t="s">
        <v>168</v>
      </c>
      <c r="D6" s="820" t="s">
        <v>104</v>
      </c>
      <c r="E6" s="808" t="s">
        <v>5</v>
      </c>
      <c r="F6" s="820" t="s">
        <v>6</v>
      </c>
      <c r="G6" s="824" t="s">
        <v>105</v>
      </c>
      <c r="H6" s="816" t="s">
        <v>7</v>
      </c>
      <c r="I6" s="817"/>
      <c r="J6" s="817"/>
      <c r="K6" s="818"/>
      <c r="L6" s="816" t="s">
        <v>8</v>
      </c>
      <c r="M6" s="818"/>
      <c r="N6" s="805" t="s">
        <v>87</v>
      </c>
      <c r="O6" s="827" t="s">
        <v>9</v>
      </c>
    </row>
    <row r="7" spans="1:15" ht="12.75">
      <c r="A7" s="806"/>
      <c r="B7" s="806"/>
      <c r="C7" s="806"/>
      <c r="D7" s="821"/>
      <c r="E7" s="814"/>
      <c r="F7" s="821"/>
      <c r="G7" s="825"/>
      <c r="H7" s="809" t="s">
        <v>10</v>
      </c>
      <c r="I7" s="808" t="s">
        <v>11</v>
      </c>
      <c r="J7" s="808" t="s">
        <v>12</v>
      </c>
      <c r="K7" s="808" t="s">
        <v>11</v>
      </c>
      <c r="L7" s="834" t="s">
        <v>13</v>
      </c>
      <c r="M7" s="820" t="s">
        <v>14</v>
      </c>
      <c r="N7" s="806"/>
      <c r="O7" s="828"/>
    </row>
    <row r="8" spans="1:15" ht="12.75">
      <c r="A8" s="807"/>
      <c r="B8" s="807"/>
      <c r="C8" s="807"/>
      <c r="D8" s="822"/>
      <c r="E8" s="815"/>
      <c r="F8" s="822"/>
      <c r="G8" s="826"/>
      <c r="H8" s="810"/>
      <c r="I8" s="807"/>
      <c r="J8" s="807"/>
      <c r="K8" s="807"/>
      <c r="L8" s="835"/>
      <c r="M8" s="822"/>
      <c r="N8" s="807"/>
      <c r="O8" s="828"/>
    </row>
    <row r="9" spans="1:18" ht="12.75">
      <c r="A9" s="2">
        <v>1</v>
      </c>
      <c r="B9" s="2">
        <v>2</v>
      </c>
      <c r="C9" s="2">
        <v>3</v>
      </c>
      <c r="D9" s="189"/>
      <c r="E9" s="2">
        <v>4</v>
      </c>
      <c r="F9" s="189">
        <v>5</v>
      </c>
      <c r="G9" s="226"/>
      <c r="H9" s="2">
        <v>6</v>
      </c>
      <c r="I9" s="2">
        <v>7</v>
      </c>
      <c r="J9" s="2">
        <v>8</v>
      </c>
      <c r="K9" s="2">
        <v>9</v>
      </c>
      <c r="L9" s="710">
        <v>10</v>
      </c>
      <c r="M9" s="2">
        <v>11</v>
      </c>
      <c r="N9" s="2">
        <v>12</v>
      </c>
      <c r="O9" s="2">
        <v>13</v>
      </c>
      <c r="R9" s="804"/>
    </row>
    <row r="10" spans="1:18" ht="12" customHeight="1">
      <c r="A10" s="61" t="s">
        <v>15</v>
      </c>
      <c r="B10" s="62" t="s">
        <v>16</v>
      </c>
      <c r="C10" s="4">
        <f>SUM(C11:C22)</f>
        <v>3388193000</v>
      </c>
      <c r="D10" s="210"/>
      <c r="E10" s="63"/>
      <c r="F10" s="191"/>
      <c r="G10" s="228"/>
      <c r="H10" s="4">
        <f>SUM(H11:H22)</f>
        <v>3195680329</v>
      </c>
      <c r="I10" s="685">
        <f aca="true" t="shared" si="0" ref="I10:I22">+H10/C10*100</f>
        <v>94.31813149368999</v>
      </c>
      <c r="J10" s="4">
        <f>SUM(J11:J22)</f>
        <v>3195680329</v>
      </c>
      <c r="K10" s="145">
        <f aca="true" t="shared" si="1" ref="K10:K22">+J10/C10*100</f>
        <v>94.31813149368999</v>
      </c>
      <c r="L10" s="711">
        <v>100</v>
      </c>
      <c r="M10" s="64">
        <f aca="true" t="shared" si="2" ref="M10:M22">+J10/C10*100</f>
        <v>94.31813149368999</v>
      </c>
      <c r="N10" s="4">
        <f>SUM(N11:N22)</f>
        <v>192512671</v>
      </c>
      <c r="O10" s="749" t="s">
        <v>157</v>
      </c>
      <c r="R10" s="557"/>
    </row>
    <row r="11" spans="1:18" ht="12" customHeight="1">
      <c r="A11" s="63">
        <v>1</v>
      </c>
      <c r="B11" s="47" t="s">
        <v>17</v>
      </c>
      <c r="C11" s="5">
        <v>1903195515</v>
      </c>
      <c r="D11" s="211"/>
      <c r="E11" s="63"/>
      <c r="F11" s="192"/>
      <c r="G11" s="228"/>
      <c r="H11" s="114">
        <f>1608462315+128964600</f>
        <v>1737426915</v>
      </c>
      <c r="I11" s="340">
        <f t="shared" si="0"/>
        <v>91.28998577952197</v>
      </c>
      <c r="J11" s="114">
        <f>1608462315+128964600</f>
        <v>1737426915</v>
      </c>
      <c r="K11" s="71">
        <f t="shared" si="1"/>
        <v>91.28998577952197</v>
      </c>
      <c r="L11" s="712">
        <v>100</v>
      </c>
      <c r="M11" s="37">
        <f t="shared" si="2"/>
        <v>91.28998577952197</v>
      </c>
      <c r="N11" s="37">
        <f aca="true" t="shared" si="3" ref="N11:N22">C11-J11</f>
        <v>165768600</v>
      </c>
      <c r="O11" s="747" t="s">
        <v>157</v>
      </c>
      <c r="R11" s="557"/>
    </row>
    <row r="12" spans="1:18" ht="12" customHeight="1">
      <c r="A12" s="63">
        <v>2</v>
      </c>
      <c r="B12" s="47" t="s">
        <v>18</v>
      </c>
      <c r="C12" s="5">
        <v>195258530</v>
      </c>
      <c r="D12" s="211"/>
      <c r="E12" s="63"/>
      <c r="F12" s="192"/>
      <c r="G12" s="228"/>
      <c r="H12" s="5">
        <f>179860456+14024998</f>
        <v>193885454</v>
      </c>
      <c r="I12" s="340">
        <f t="shared" si="0"/>
        <v>99.29679077272579</v>
      </c>
      <c r="J12" s="5">
        <f>179860456+14024998</f>
        <v>193885454</v>
      </c>
      <c r="K12" s="71">
        <f t="shared" si="1"/>
        <v>99.29679077272579</v>
      </c>
      <c r="L12" s="712">
        <v>100</v>
      </c>
      <c r="M12" s="37">
        <f t="shared" si="2"/>
        <v>99.29679077272579</v>
      </c>
      <c r="N12" s="37">
        <f t="shared" si="3"/>
        <v>1373076</v>
      </c>
      <c r="O12" s="747" t="s">
        <v>157</v>
      </c>
      <c r="R12" s="557"/>
    </row>
    <row r="13" spans="1:18" ht="12" customHeight="1">
      <c r="A13" s="63">
        <v>3</v>
      </c>
      <c r="B13" s="47" t="s">
        <v>19</v>
      </c>
      <c r="C13" s="5">
        <v>160050000</v>
      </c>
      <c r="D13" s="211"/>
      <c r="E13" s="63"/>
      <c r="F13" s="192"/>
      <c r="G13" s="228"/>
      <c r="H13" s="5">
        <f>148425000+11625000</f>
        <v>160050000</v>
      </c>
      <c r="I13" s="340">
        <f t="shared" si="0"/>
        <v>100</v>
      </c>
      <c r="J13" s="5">
        <f>148425000+11625000</f>
        <v>160050000</v>
      </c>
      <c r="K13" s="71">
        <f t="shared" si="1"/>
        <v>100</v>
      </c>
      <c r="L13" s="712">
        <v>100</v>
      </c>
      <c r="M13" s="37">
        <f t="shared" si="2"/>
        <v>100</v>
      </c>
      <c r="N13" s="37">
        <f t="shared" si="3"/>
        <v>0</v>
      </c>
      <c r="O13" s="747" t="s">
        <v>157</v>
      </c>
      <c r="R13" s="557"/>
    </row>
    <row r="14" spans="1:18" ht="12" customHeight="1">
      <c r="A14" s="63">
        <v>4</v>
      </c>
      <c r="B14" s="47" t="s">
        <v>139</v>
      </c>
      <c r="C14" s="364">
        <v>5100000</v>
      </c>
      <c r="D14" s="211"/>
      <c r="E14" s="63"/>
      <c r="F14" s="192"/>
      <c r="G14" s="228"/>
      <c r="H14" s="5">
        <f>4250000+850000</f>
        <v>5100000</v>
      </c>
      <c r="I14" s="340">
        <f t="shared" si="0"/>
        <v>100</v>
      </c>
      <c r="J14" s="5">
        <f>4250000+850000</f>
        <v>5100000</v>
      </c>
      <c r="K14" s="71">
        <f t="shared" si="1"/>
        <v>100</v>
      </c>
      <c r="L14" s="712">
        <v>100</v>
      </c>
      <c r="M14" s="37">
        <f t="shared" si="2"/>
        <v>100</v>
      </c>
      <c r="N14" s="37">
        <f t="shared" si="3"/>
        <v>0</v>
      </c>
      <c r="O14" s="747" t="s">
        <v>157</v>
      </c>
      <c r="R14" s="557"/>
    </row>
    <row r="15" spans="1:18" ht="12" customHeight="1">
      <c r="A15" s="63">
        <v>5</v>
      </c>
      <c r="B15" s="47" t="s">
        <v>20</v>
      </c>
      <c r="C15" s="5">
        <v>58220000</v>
      </c>
      <c r="D15" s="211"/>
      <c r="E15" s="63"/>
      <c r="F15" s="192"/>
      <c r="G15" s="228"/>
      <c r="H15" s="5">
        <f>53765000+4455000</f>
        <v>58220000</v>
      </c>
      <c r="I15" s="340">
        <f t="shared" si="0"/>
        <v>100</v>
      </c>
      <c r="J15" s="5">
        <f>53765000+4455000</f>
        <v>58220000</v>
      </c>
      <c r="K15" s="71">
        <f t="shared" si="1"/>
        <v>100</v>
      </c>
      <c r="L15" s="712">
        <v>100</v>
      </c>
      <c r="M15" s="37">
        <f t="shared" si="2"/>
        <v>100</v>
      </c>
      <c r="N15" s="37">
        <f t="shared" si="3"/>
        <v>0</v>
      </c>
      <c r="O15" s="747" t="s">
        <v>157</v>
      </c>
      <c r="R15" s="557"/>
    </row>
    <row r="16" spans="1:18" ht="12" customHeight="1">
      <c r="A16" s="63">
        <v>6</v>
      </c>
      <c r="B16" s="47" t="s">
        <v>21</v>
      </c>
      <c r="C16" s="5">
        <v>104791740</v>
      </c>
      <c r="D16" s="211"/>
      <c r="E16" s="63"/>
      <c r="F16" s="192"/>
      <c r="G16" s="228"/>
      <c r="H16" s="5">
        <f>95015040+9269760</f>
        <v>104284800</v>
      </c>
      <c r="I16" s="340">
        <f t="shared" si="0"/>
        <v>99.5162404975812</v>
      </c>
      <c r="J16" s="5">
        <f>95015040+9269760</f>
        <v>104284800</v>
      </c>
      <c r="K16" s="71">
        <f t="shared" si="1"/>
        <v>99.5162404975812</v>
      </c>
      <c r="L16" s="712">
        <v>100</v>
      </c>
      <c r="M16" s="37">
        <f t="shared" si="2"/>
        <v>99.5162404975812</v>
      </c>
      <c r="N16" s="37">
        <f t="shared" si="3"/>
        <v>506940</v>
      </c>
      <c r="O16" s="747" t="s">
        <v>157</v>
      </c>
      <c r="R16" s="557"/>
    </row>
    <row r="17" spans="1:18" ht="12" customHeight="1">
      <c r="A17" s="63">
        <v>7</v>
      </c>
      <c r="B17" s="47" t="s">
        <v>22</v>
      </c>
      <c r="C17" s="5">
        <v>9937670</v>
      </c>
      <c r="D17" s="211"/>
      <c r="E17" s="63"/>
      <c r="F17" s="192"/>
      <c r="G17" s="228"/>
      <c r="H17" s="5">
        <f>8698173+273083</f>
        <v>8971256</v>
      </c>
      <c r="I17" s="340">
        <f t="shared" si="0"/>
        <v>90.27524560586133</v>
      </c>
      <c r="J17" s="5">
        <f>8698173+273083</f>
        <v>8971256</v>
      </c>
      <c r="K17" s="71">
        <f t="shared" si="1"/>
        <v>90.27524560586133</v>
      </c>
      <c r="L17" s="712">
        <v>100</v>
      </c>
      <c r="M17" s="37">
        <f t="shared" si="2"/>
        <v>90.27524560586133</v>
      </c>
      <c r="N17" s="37">
        <f t="shared" si="3"/>
        <v>966414</v>
      </c>
      <c r="O17" s="747" t="s">
        <v>157</v>
      </c>
      <c r="R17" s="557"/>
    </row>
    <row r="18" spans="1:18" ht="12" customHeight="1">
      <c r="A18" s="63">
        <v>8</v>
      </c>
      <c r="B18" s="47" t="s">
        <v>23</v>
      </c>
      <c r="C18" s="5">
        <v>31249</v>
      </c>
      <c r="D18" s="211"/>
      <c r="E18" s="63"/>
      <c r="F18" s="192"/>
      <c r="G18" s="228"/>
      <c r="H18" s="5">
        <f>28659+2329</f>
        <v>30988</v>
      </c>
      <c r="I18" s="340">
        <f t="shared" si="0"/>
        <v>99.16477327274474</v>
      </c>
      <c r="J18" s="5">
        <f>28659+2329</f>
        <v>30988</v>
      </c>
      <c r="K18" s="71">
        <f t="shared" si="1"/>
        <v>99.16477327274474</v>
      </c>
      <c r="L18" s="712">
        <v>100</v>
      </c>
      <c r="M18" s="37">
        <f t="shared" si="2"/>
        <v>99.16477327274474</v>
      </c>
      <c r="N18" s="37">
        <f t="shared" si="3"/>
        <v>261</v>
      </c>
      <c r="O18" s="747" t="s">
        <v>157</v>
      </c>
      <c r="R18" s="557"/>
    </row>
    <row r="19" spans="1:18" ht="12" customHeight="1">
      <c r="A19" s="63">
        <v>9</v>
      </c>
      <c r="B19" s="47" t="s">
        <v>24</v>
      </c>
      <c r="C19" s="5">
        <v>49247899</v>
      </c>
      <c r="D19" s="211"/>
      <c r="E19" s="63"/>
      <c r="F19" s="192"/>
      <c r="G19" s="228"/>
      <c r="H19" s="5">
        <f>44923960+4289688</f>
        <v>49213648</v>
      </c>
      <c r="I19" s="340">
        <f t="shared" si="0"/>
        <v>99.93045185541824</v>
      </c>
      <c r="J19" s="5">
        <f>44923960+4289688</f>
        <v>49213648</v>
      </c>
      <c r="K19" s="71">
        <f t="shared" si="1"/>
        <v>99.93045185541824</v>
      </c>
      <c r="L19" s="712">
        <v>100</v>
      </c>
      <c r="M19" s="37">
        <f t="shared" si="2"/>
        <v>99.93045185541824</v>
      </c>
      <c r="N19" s="37">
        <f t="shared" si="3"/>
        <v>34251</v>
      </c>
      <c r="O19" s="747" t="s">
        <v>157</v>
      </c>
      <c r="R19" s="557"/>
    </row>
    <row r="20" spans="1:18" ht="12" customHeight="1">
      <c r="A20" s="63">
        <v>10</v>
      </c>
      <c r="B20" s="47" t="s">
        <v>25</v>
      </c>
      <c r="C20" s="5">
        <v>3541854</v>
      </c>
      <c r="D20" s="211"/>
      <c r="E20" s="63"/>
      <c r="F20" s="192"/>
      <c r="G20" s="228"/>
      <c r="H20" s="5">
        <f>3211253+298693</f>
        <v>3509946</v>
      </c>
      <c r="I20" s="340">
        <f t="shared" si="0"/>
        <v>99.0991158867644</v>
      </c>
      <c r="J20" s="5">
        <f>3211253+298693</f>
        <v>3509946</v>
      </c>
      <c r="K20" s="71">
        <f t="shared" si="1"/>
        <v>99.0991158867644</v>
      </c>
      <c r="L20" s="712">
        <v>100</v>
      </c>
      <c r="M20" s="37">
        <f t="shared" si="2"/>
        <v>99.0991158867644</v>
      </c>
      <c r="N20" s="37">
        <f t="shared" si="3"/>
        <v>31908</v>
      </c>
      <c r="O20" s="747" t="s">
        <v>157</v>
      </c>
      <c r="R20" s="557"/>
    </row>
    <row r="21" spans="1:18" ht="12" customHeight="1">
      <c r="A21" s="63">
        <v>11</v>
      </c>
      <c r="B21" s="47" t="s">
        <v>26</v>
      </c>
      <c r="C21" s="5">
        <v>10625543</v>
      </c>
      <c r="D21" s="211"/>
      <c r="E21" s="63"/>
      <c r="F21" s="192"/>
      <c r="G21" s="228"/>
      <c r="H21" s="5">
        <f>9633741+896081</f>
        <v>10529822</v>
      </c>
      <c r="I21" s="340">
        <f t="shared" si="0"/>
        <v>99.09914250970515</v>
      </c>
      <c r="J21" s="5">
        <f>9633741+896081</f>
        <v>10529822</v>
      </c>
      <c r="K21" s="71">
        <f t="shared" si="1"/>
        <v>99.09914250970515</v>
      </c>
      <c r="L21" s="712">
        <v>100</v>
      </c>
      <c r="M21" s="37">
        <f t="shared" si="2"/>
        <v>99.09914250970515</v>
      </c>
      <c r="N21" s="37">
        <f t="shared" si="3"/>
        <v>95721</v>
      </c>
      <c r="O21" s="747" t="s">
        <v>157</v>
      </c>
      <c r="R21" s="557"/>
    </row>
    <row r="22" spans="1:18" ht="12" customHeight="1">
      <c r="A22" s="63">
        <v>12</v>
      </c>
      <c r="B22" s="47" t="s">
        <v>27</v>
      </c>
      <c r="C22" s="5">
        <v>888193000</v>
      </c>
      <c r="D22" s="211"/>
      <c r="E22" s="63"/>
      <c r="F22" s="192"/>
      <c r="G22" s="228"/>
      <c r="H22" s="5">
        <f>682207500+182250000</f>
        <v>864457500</v>
      </c>
      <c r="I22" s="340">
        <f t="shared" si="0"/>
        <v>97.32766414506757</v>
      </c>
      <c r="J22" s="5">
        <f>682207500+182250000</f>
        <v>864457500</v>
      </c>
      <c r="K22" s="71">
        <f t="shared" si="1"/>
        <v>97.32766414506757</v>
      </c>
      <c r="L22" s="712">
        <v>100</v>
      </c>
      <c r="M22" s="37">
        <f t="shared" si="2"/>
        <v>97.32766414506757</v>
      </c>
      <c r="N22" s="37">
        <f t="shared" si="3"/>
        <v>23735500</v>
      </c>
      <c r="O22" s="747" t="s">
        <v>157</v>
      </c>
      <c r="R22" s="557"/>
    </row>
    <row r="23" spans="1:18" ht="12" customHeight="1">
      <c r="A23" s="63"/>
      <c r="B23" s="47"/>
      <c r="C23" s="5"/>
      <c r="D23" s="211"/>
      <c r="E23" s="63"/>
      <c r="F23" s="192"/>
      <c r="G23" s="228"/>
      <c r="H23" s="5"/>
      <c r="I23" s="114"/>
      <c r="J23" s="5"/>
      <c r="K23" s="36"/>
      <c r="L23" s="713"/>
      <c r="M23" s="37"/>
      <c r="N23" s="296"/>
      <c r="O23" s="384"/>
      <c r="R23" s="557"/>
    </row>
    <row r="24" spans="1:18" ht="12" customHeight="1">
      <c r="A24" s="61" t="s">
        <v>28</v>
      </c>
      <c r="B24" s="62" t="s">
        <v>29</v>
      </c>
      <c r="C24" s="147">
        <f>C25+C38+C48+C51+C74+C90+C94+C105</f>
        <v>9724165353</v>
      </c>
      <c r="D24" s="559"/>
      <c r="E24" s="147">
        <f>E25+E38+E48+E51+E74+E90+E94+E105</f>
        <v>4246436804</v>
      </c>
      <c r="F24" s="192"/>
      <c r="G24" s="228"/>
      <c r="H24" s="147">
        <f>H25+H38+H48+H51+H74+H90+H94+H105</f>
        <v>9323295556</v>
      </c>
      <c r="I24" s="311">
        <f aca="true" t="shared" si="4" ref="I24:I36">+H24/C24*100</f>
        <v>95.87759172692051</v>
      </c>
      <c r="J24" s="147">
        <f>J25+J38+J48+J51+J74+J90+J94+J105</f>
        <v>9323295556</v>
      </c>
      <c r="K24" s="179">
        <f aca="true" t="shared" si="5" ref="K24:K36">+J24/C24*100</f>
        <v>95.87759172692051</v>
      </c>
      <c r="L24" s="714">
        <v>100</v>
      </c>
      <c r="M24" s="145">
        <f>+J24/C24*100</f>
        <v>95.87759172692051</v>
      </c>
      <c r="N24" s="147">
        <f>N25+N38+N48+N51+N74+N90+N94+N105</f>
        <v>400869797</v>
      </c>
      <c r="O24" s="384"/>
      <c r="R24" s="557"/>
    </row>
    <row r="25" spans="1:18" ht="12" customHeight="1">
      <c r="A25" s="68">
        <v>1</v>
      </c>
      <c r="B25" s="69" t="s">
        <v>30</v>
      </c>
      <c r="C25" s="147">
        <f>SUM(C26:C36)</f>
        <v>1036961650</v>
      </c>
      <c r="D25" s="559"/>
      <c r="E25" s="147">
        <f>SUM(E26:E36)</f>
        <v>0</v>
      </c>
      <c r="F25" s="194"/>
      <c r="G25" s="230"/>
      <c r="H25" s="64">
        <f>SUM(H26:H36)</f>
        <v>1016128724</v>
      </c>
      <c r="I25" s="311">
        <f t="shared" si="4"/>
        <v>97.9909646610364</v>
      </c>
      <c r="J25" s="64">
        <f>SUM(J26:J36)</f>
        <v>1016128724</v>
      </c>
      <c r="K25" s="179">
        <f t="shared" si="5"/>
        <v>97.9909646610364</v>
      </c>
      <c r="L25" s="714">
        <v>100</v>
      </c>
      <c r="M25" s="64">
        <f aca="true" t="shared" si="6" ref="M25:M36">+J25/C25*100</f>
        <v>97.9909646610364</v>
      </c>
      <c r="N25" s="64">
        <f>SUM(N26:N36)</f>
        <v>20832926</v>
      </c>
      <c r="O25" s="384"/>
      <c r="R25" s="557"/>
    </row>
    <row r="26" spans="1:18" ht="12" customHeight="1">
      <c r="A26" s="63">
        <v>1</v>
      </c>
      <c r="B26" s="55" t="s">
        <v>31</v>
      </c>
      <c r="C26" s="71">
        <v>6310000</v>
      </c>
      <c r="D26" s="213"/>
      <c r="E26" s="72" t="s">
        <v>32</v>
      </c>
      <c r="F26" s="194" t="s">
        <v>32</v>
      </c>
      <c r="G26" s="230"/>
      <c r="H26" s="185">
        <f>6276000+33000</f>
        <v>6309000</v>
      </c>
      <c r="I26" s="340">
        <f t="shared" si="4"/>
        <v>99.98415213946117</v>
      </c>
      <c r="J26" s="185">
        <f>6276000+33000</f>
        <v>6309000</v>
      </c>
      <c r="K26" s="71">
        <f t="shared" si="5"/>
        <v>99.98415213946117</v>
      </c>
      <c r="L26" s="712">
        <v>100</v>
      </c>
      <c r="M26" s="37">
        <f t="shared" si="6"/>
        <v>99.98415213946117</v>
      </c>
      <c r="N26" s="37">
        <f>C26-J26</f>
        <v>1000</v>
      </c>
      <c r="O26" s="384"/>
      <c r="R26" s="557"/>
    </row>
    <row r="27" spans="1:18" ht="12" customHeight="1">
      <c r="A27" s="489">
        <v>2</v>
      </c>
      <c r="B27" s="169" t="s">
        <v>76</v>
      </c>
      <c r="C27" s="166">
        <v>82000000</v>
      </c>
      <c r="D27" s="214"/>
      <c r="E27" s="167"/>
      <c r="F27" s="196"/>
      <c r="G27" s="232"/>
      <c r="H27" s="168">
        <f>75731858+4016716</f>
        <v>79748574</v>
      </c>
      <c r="I27" s="483">
        <f t="shared" si="4"/>
        <v>97.25435853658536</v>
      </c>
      <c r="J27" s="168">
        <f>75731858+4016716</f>
        <v>79748574</v>
      </c>
      <c r="K27" s="166">
        <f t="shared" si="5"/>
        <v>97.25435853658536</v>
      </c>
      <c r="L27" s="715">
        <v>100</v>
      </c>
      <c r="M27" s="167">
        <f t="shared" si="6"/>
        <v>97.25435853658536</v>
      </c>
      <c r="N27" s="167">
        <f aca="true" t="shared" si="7" ref="N27:N40">C27-J27</f>
        <v>2251426</v>
      </c>
      <c r="O27" s="686"/>
      <c r="R27" s="557"/>
    </row>
    <row r="28" spans="1:18" ht="12" customHeight="1">
      <c r="A28" s="489">
        <v>3</v>
      </c>
      <c r="B28" s="165" t="s">
        <v>33</v>
      </c>
      <c r="C28" s="166">
        <v>26635000</v>
      </c>
      <c r="D28" s="214"/>
      <c r="E28" s="167">
        <v>0</v>
      </c>
      <c r="F28" s="196">
        <v>0</v>
      </c>
      <c r="G28" s="232"/>
      <c r="H28" s="168">
        <f>14485000+6075000+6075000</f>
        <v>26635000</v>
      </c>
      <c r="I28" s="483">
        <f t="shared" si="4"/>
        <v>100</v>
      </c>
      <c r="J28" s="168">
        <f>14485000+6075000+6075000</f>
        <v>26635000</v>
      </c>
      <c r="K28" s="166">
        <f t="shared" si="5"/>
        <v>100</v>
      </c>
      <c r="L28" s="715">
        <v>100</v>
      </c>
      <c r="M28" s="167">
        <f t="shared" si="6"/>
        <v>100</v>
      </c>
      <c r="N28" s="167">
        <f t="shared" si="7"/>
        <v>0</v>
      </c>
      <c r="O28" s="686"/>
      <c r="R28" s="557"/>
    </row>
    <row r="29" spans="1:18" ht="12" customHeight="1">
      <c r="A29" s="489">
        <v>4</v>
      </c>
      <c r="B29" s="169" t="s">
        <v>34</v>
      </c>
      <c r="C29" s="166">
        <v>61844350</v>
      </c>
      <c r="D29" s="214"/>
      <c r="E29" s="167">
        <v>0</v>
      </c>
      <c r="F29" s="196">
        <v>0</v>
      </c>
      <c r="G29" s="232"/>
      <c r="H29" s="168">
        <f>34305000+13745800+6844100+6949100</f>
        <v>61844000</v>
      </c>
      <c r="I29" s="483">
        <f t="shared" si="4"/>
        <v>99.99943406309549</v>
      </c>
      <c r="J29" s="168">
        <f>34305000+13745800+6844100+6949100</f>
        <v>61844000</v>
      </c>
      <c r="K29" s="166">
        <f t="shared" si="5"/>
        <v>99.99943406309549</v>
      </c>
      <c r="L29" s="715">
        <v>100</v>
      </c>
      <c r="M29" s="167">
        <f t="shared" si="6"/>
        <v>99.99943406309549</v>
      </c>
      <c r="N29" s="167">
        <f t="shared" si="7"/>
        <v>350</v>
      </c>
      <c r="O29" s="686"/>
      <c r="R29" s="557"/>
    </row>
    <row r="30" spans="1:18" ht="12" customHeight="1">
      <c r="A30" s="489">
        <v>5</v>
      </c>
      <c r="B30" s="169" t="s">
        <v>35</v>
      </c>
      <c r="C30" s="166">
        <v>30676500</v>
      </c>
      <c r="D30" s="214"/>
      <c r="E30" s="167">
        <v>0</v>
      </c>
      <c r="F30" s="196">
        <v>0</v>
      </c>
      <c r="G30" s="232"/>
      <c r="H30" s="168">
        <f>14485300+8850000+567000+1591800+2408100+189900+1965000+619200</f>
        <v>30676300</v>
      </c>
      <c r="I30" s="483">
        <f t="shared" si="4"/>
        <v>99.99934803514091</v>
      </c>
      <c r="J30" s="168">
        <f>14485300+8850000+567000+1591800+2408100+189900+1965000+619200</f>
        <v>30676300</v>
      </c>
      <c r="K30" s="166">
        <f t="shared" si="5"/>
        <v>99.99934803514091</v>
      </c>
      <c r="L30" s="715">
        <v>100</v>
      </c>
      <c r="M30" s="167">
        <f t="shared" si="6"/>
        <v>99.99934803514091</v>
      </c>
      <c r="N30" s="167">
        <f t="shared" si="7"/>
        <v>200</v>
      </c>
      <c r="O30" s="686"/>
      <c r="R30" s="557"/>
    </row>
    <row r="31" spans="1:18" ht="12" customHeight="1">
      <c r="A31" s="489">
        <v>6</v>
      </c>
      <c r="B31" s="169" t="s">
        <v>36</v>
      </c>
      <c r="C31" s="166">
        <v>8800000</v>
      </c>
      <c r="D31" s="214"/>
      <c r="E31" s="167">
        <v>0</v>
      </c>
      <c r="F31" s="196">
        <v>0</v>
      </c>
      <c r="G31" s="232"/>
      <c r="H31" s="168">
        <f>1995200+2004800+4797800</f>
        <v>8797800</v>
      </c>
      <c r="I31" s="483">
        <f t="shared" si="4"/>
        <v>99.97500000000001</v>
      </c>
      <c r="J31" s="168">
        <f>1995200+2004800+4797800</f>
        <v>8797800</v>
      </c>
      <c r="K31" s="166">
        <f t="shared" si="5"/>
        <v>99.97500000000001</v>
      </c>
      <c r="L31" s="715">
        <v>100</v>
      </c>
      <c r="M31" s="167">
        <f t="shared" si="6"/>
        <v>99.97500000000001</v>
      </c>
      <c r="N31" s="167">
        <f t="shared" si="7"/>
        <v>2200</v>
      </c>
      <c r="O31" s="686"/>
      <c r="R31" s="557"/>
    </row>
    <row r="32" spans="1:18" ht="12" customHeight="1">
      <c r="A32" s="489">
        <v>7</v>
      </c>
      <c r="B32" s="169" t="s">
        <v>37</v>
      </c>
      <c r="C32" s="166">
        <v>13076000</v>
      </c>
      <c r="D32" s="214"/>
      <c r="E32" s="167">
        <v>0</v>
      </c>
      <c r="F32" s="196">
        <v>0</v>
      </c>
      <c r="G32" s="232"/>
      <c r="H32" s="168">
        <f>8761950+4314050</f>
        <v>13076000</v>
      </c>
      <c r="I32" s="483">
        <f t="shared" si="4"/>
        <v>100</v>
      </c>
      <c r="J32" s="168">
        <f>8761950+4314050</f>
        <v>13076000</v>
      </c>
      <c r="K32" s="166">
        <f t="shared" si="5"/>
        <v>100</v>
      </c>
      <c r="L32" s="715">
        <v>100</v>
      </c>
      <c r="M32" s="167">
        <f t="shared" si="6"/>
        <v>100</v>
      </c>
      <c r="N32" s="167">
        <f t="shared" si="7"/>
        <v>0</v>
      </c>
      <c r="O32" s="686"/>
      <c r="R32" s="557"/>
    </row>
    <row r="33" spans="1:18" ht="12" customHeight="1">
      <c r="A33" s="489">
        <v>8</v>
      </c>
      <c r="B33" s="169" t="s">
        <v>38</v>
      </c>
      <c r="C33" s="166">
        <v>7500000</v>
      </c>
      <c r="D33" s="214"/>
      <c r="E33" s="167">
        <v>0</v>
      </c>
      <c r="F33" s="196">
        <v>0</v>
      </c>
      <c r="G33" s="232"/>
      <c r="H33" s="168">
        <f>7000000+499000</f>
        <v>7499000</v>
      </c>
      <c r="I33" s="483">
        <f t="shared" si="4"/>
        <v>99.98666666666666</v>
      </c>
      <c r="J33" s="168">
        <f>7000000+499000</f>
        <v>7499000</v>
      </c>
      <c r="K33" s="166">
        <f t="shared" si="5"/>
        <v>99.98666666666666</v>
      </c>
      <c r="L33" s="715">
        <v>100</v>
      </c>
      <c r="M33" s="167">
        <f t="shared" si="6"/>
        <v>99.98666666666666</v>
      </c>
      <c r="N33" s="167">
        <f t="shared" si="7"/>
        <v>1000</v>
      </c>
      <c r="O33" s="686"/>
      <c r="R33" s="804"/>
    </row>
    <row r="34" spans="1:18" ht="12" customHeight="1">
      <c r="A34" s="489">
        <v>9</v>
      </c>
      <c r="B34" s="169" t="s">
        <v>39</v>
      </c>
      <c r="C34" s="166">
        <v>30000000</v>
      </c>
      <c r="D34" s="214"/>
      <c r="E34" s="167">
        <v>0</v>
      </c>
      <c r="F34" s="196">
        <v>0</v>
      </c>
      <c r="G34" s="232"/>
      <c r="H34" s="168">
        <f>18128200+7990000+3880000</f>
        <v>29998200</v>
      </c>
      <c r="I34" s="483">
        <f t="shared" si="4"/>
        <v>99.994</v>
      </c>
      <c r="J34" s="168">
        <f>18128200+7990000+3880000</f>
        <v>29998200</v>
      </c>
      <c r="K34" s="166">
        <f t="shared" si="5"/>
        <v>99.994</v>
      </c>
      <c r="L34" s="715">
        <v>100</v>
      </c>
      <c r="M34" s="167">
        <f t="shared" si="6"/>
        <v>99.994</v>
      </c>
      <c r="N34" s="167">
        <f t="shared" si="7"/>
        <v>1800</v>
      </c>
      <c r="O34" s="686"/>
      <c r="R34" s="557"/>
    </row>
    <row r="35" spans="1:18" ht="12" customHeight="1">
      <c r="A35" s="489">
        <v>10</v>
      </c>
      <c r="B35" s="169" t="s">
        <v>40</v>
      </c>
      <c r="C35" s="166">
        <v>175000000</v>
      </c>
      <c r="D35" s="214"/>
      <c r="E35" s="167">
        <v>0</v>
      </c>
      <c r="F35" s="196">
        <v>0</v>
      </c>
      <c r="G35" s="232"/>
      <c r="H35" s="168">
        <f>167636686+6882800+400000</f>
        <v>174919486</v>
      </c>
      <c r="I35" s="483">
        <f t="shared" si="4"/>
        <v>99.953992</v>
      </c>
      <c r="J35" s="168">
        <f>167636686+6882800+400000</f>
        <v>174919486</v>
      </c>
      <c r="K35" s="166">
        <f t="shared" si="5"/>
        <v>99.953992</v>
      </c>
      <c r="L35" s="715">
        <v>100</v>
      </c>
      <c r="M35" s="167">
        <f t="shared" si="6"/>
        <v>99.953992</v>
      </c>
      <c r="N35" s="167">
        <f t="shared" si="7"/>
        <v>80514</v>
      </c>
      <c r="O35" s="686"/>
      <c r="R35" s="804"/>
    </row>
    <row r="36" spans="1:15" ht="12" customHeight="1">
      <c r="A36" s="489">
        <v>11</v>
      </c>
      <c r="B36" s="169" t="s">
        <v>41</v>
      </c>
      <c r="C36" s="166">
        <v>595119800</v>
      </c>
      <c r="D36" s="214"/>
      <c r="E36" s="167">
        <v>0</v>
      </c>
      <c r="F36" s="196">
        <v>0</v>
      </c>
      <c r="G36" s="232"/>
      <c r="H36" s="168">
        <v>576625364</v>
      </c>
      <c r="I36" s="483">
        <f t="shared" si="4"/>
        <v>96.89231714353984</v>
      </c>
      <c r="J36" s="168">
        <v>576625364</v>
      </c>
      <c r="K36" s="166">
        <f t="shared" si="5"/>
        <v>96.89231714353984</v>
      </c>
      <c r="L36" s="715">
        <v>100</v>
      </c>
      <c r="M36" s="167">
        <f t="shared" si="6"/>
        <v>96.89231714353984</v>
      </c>
      <c r="N36" s="167">
        <f t="shared" si="7"/>
        <v>18494436</v>
      </c>
      <c r="O36" s="686"/>
    </row>
    <row r="37" spans="1:15" ht="12" customHeight="1">
      <c r="A37" s="635"/>
      <c r="B37" s="636"/>
      <c r="C37" s="166"/>
      <c r="D37" s="214"/>
      <c r="E37" s="167"/>
      <c r="F37" s="196"/>
      <c r="G37" s="232"/>
      <c r="H37" s="168"/>
      <c r="I37" s="620"/>
      <c r="J37" s="168"/>
      <c r="K37" s="540"/>
      <c r="L37" s="716"/>
      <c r="M37" s="167">
        <f>K37</f>
        <v>0</v>
      </c>
      <c r="N37" s="167">
        <f t="shared" si="7"/>
        <v>0</v>
      </c>
      <c r="O37" s="686"/>
    </row>
    <row r="38" spans="1:15" ht="12" customHeight="1">
      <c r="A38" s="637">
        <v>2</v>
      </c>
      <c r="B38" s="638" t="s">
        <v>42</v>
      </c>
      <c r="C38" s="639">
        <f>SUM(C39:C46)</f>
        <v>1049086450</v>
      </c>
      <c r="D38" s="640"/>
      <c r="E38" s="639">
        <f>SUM(E39:E46)</f>
        <v>43582000</v>
      </c>
      <c r="F38" s="641"/>
      <c r="G38" s="642"/>
      <c r="H38" s="639">
        <f>SUM(H39:H46)</f>
        <v>1048684616</v>
      </c>
      <c r="I38" s="543">
        <f>+H38/C38*100</f>
        <v>99.96169676960369</v>
      </c>
      <c r="J38" s="639">
        <f>SUM(J39:J46)</f>
        <v>1048684616</v>
      </c>
      <c r="K38" s="639">
        <f>+J38/C38*100</f>
        <v>99.96169676960369</v>
      </c>
      <c r="L38" s="545">
        <v>100</v>
      </c>
      <c r="M38" s="545">
        <f>+J38/C38*100</f>
        <v>99.96169676960369</v>
      </c>
      <c r="N38" s="167">
        <f t="shared" si="7"/>
        <v>401834</v>
      </c>
      <c r="O38" s="686"/>
    </row>
    <row r="39" spans="1:15" ht="12" customHeight="1">
      <c r="A39" s="489">
        <v>1</v>
      </c>
      <c r="B39" s="169" t="s">
        <v>43</v>
      </c>
      <c r="C39" s="166">
        <v>96501600</v>
      </c>
      <c r="D39" s="214"/>
      <c r="E39" s="167"/>
      <c r="F39" s="196"/>
      <c r="G39" s="232"/>
      <c r="H39" s="166">
        <v>96332600</v>
      </c>
      <c r="I39" s="483">
        <f>+H39/C39*100</f>
        <v>99.82487336997521</v>
      </c>
      <c r="J39" s="166">
        <v>96332600</v>
      </c>
      <c r="K39" s="166">
        <f>+J39/C39*100</f>
        <v>99.82487336997521</v>
      </c>
      <c r="L39" s="715">
        <v>100</v>
      </c>
      <c r="M39" s="167">
        <f>+J39/C39*100</f>
        <v>99.82487336997521</v>
      </c>
      <c r="N39" s="167">
        <f t="shared" si="7"/>
        <v>169000</v>
      </c>
      <c r="O39" s="686"/>
    </row>
    <row r="40" spans="1:15" ht="12" customHeight="1">
      <c r="A40" s="489">
        <v>2</v>
      </c>
      <c r="B40" s="169" t="s">
        <v>44</v>
      </c>
      <c r="C40" s="166">
        <v>62611000</v>
      </c>
      <c r="D40" s="643" t="s">
        <v>121</v>
      </c>
      <c r="E40" s="167">
        <v>5808000</v>
      </c>
      <c r="F40" s="196" t="s">
        <v>124</v>
      </c>
      <c r="G40" s="232" t="s">
        <v>125</v>
      </c>
      <c r="H40" s="166">
        <v>62611000</v>
      </c>
      <c r="I40" s="483">
        <f>+H40/C40*100</f>
        <v>100</v>
      </c>
      <c r="J40" s="166">
        <v>62611000</v>
      </c>
      <c r="K40" s="166">
        <f>+J40/C40*100</f>
        <v>100</v>
      </c>
      <c r="L40" s="715">
        <v>100</v>
      </c>
      <c r="M40" s="167">
        <f>+J40/C40*100</f>
        <v>100</v>
      </c>
      <c r="N40" s="167">
        <f t="shared" si="7"/>
        <v>0</v>
      </c>
      <c r="O40" s="686"/>
    </row>
    <row r="41" spans="1:15" ht="12" customHeight="1">
      <c r="A41" s="489"/>
      <c r="B41" s="169"/>
      <c r="C41" s="166"/>
      <c r="D41" s="643" t="s">
        <v>122</v>
      </c>
      <c r="E41" s="167">
        <v>15774000</v>
      </c>
      <c r="F41" s="196" t="s">
        <v>124</v>
      </c>
      <c r="G41" s="232" t="s">
        <v>125</v>
      </c>
      <c r="H41" s="166"/>
      <c r="I41" s="620"/>
      <c r="J41" s="166"/>
      <c r="K41" s="540"/>
      <c r="L41" s="167"/>
      <c r="M41" s="167"/>
      <c r="N41" s="167"/>
      <c r="O41" s="686"/>
    </row>
    <row r="42" spans="1:15" ht="12" customHeight="1">
      <c r="A42" s="489"/>
      <c r="B42" s="169"/>
      <c r="C42" s="166"/>
      <c r="D42" s="643" t="s">
        <v>123</v>
      </c>
      <c r="E42" s="167">
        <v>22000000</v>
      </c>
      <c r="F42" s="196" t="s">
        <v>124</v>
      </c>
      <c r="G42" s="232" t="s">
        <v>125</v>
      </c>
      <c r="H42" s="166"/>
      <c r="I42" s="620"/>
      <c r="J42" s="166"/>
      <c r="K42" s="540"/>
      <c r="L42" s="717"/>
      <c r="M42" s="167"/>
      <c r="N42" s="167"/>
      <c r="O42" s="686"/>
    </row>
    <row r="43" spans="1:15" ht="12" customHeight="1">
      <c r="A43" s="489">
        <v>3</v>
      </c>
      <c r="B43" s="169" t="s">
        <v>45</v>
      </c>
      <c r="C43" s="166">
        <v>217537650</v>
      </c>
      <c r="D43" s="643"/>
      <c r="E43" s="167"/>
      <c r="F43" s="196"/>
      <c r="G43" s="232"/>
      <c r="H43" s="166">
        <f>174523050+42944000</f>
        <v>217467050</v>
      </c>
      <c r="I43" s="483">
        <f>+H43/C43*100</f>
        <v>99.96754584781071</v>
      </c>
      <c r="J43" s="166">
        <f>174523050+42944000</f>
        <v>217467050</v>
      </c>
      <c r="K43" s="166">
        <f>+J43/C43*100</f>
        <v>99.96754584781071</v>
      </c>
      <c r="L43" s="715">
        <v>100</v>
      </c>
      <c r="M43" s="167">
        <f>+J43/C43*100</f>
        <v>99.96754584781071</v>
      </c>
      <c r="N43" s="167">
        <f aca="true" t="shared" si="8" ref="N43:N49">C43-J43</f>
        <v>70600</v>
      </c>
      <c r="O43" s="686"/>
    </row>
    <row r="44" spans="1:15" ht="12" customHeight="1">
      <c r="A44" s="489">
        <v>4</v>
      </c>
      <c r="B44" s="169" t="s">
        <v>46</v>
      </c>
      <c r="C44" s="166">
        <v>651786200</v>
      </c>
      <c r="D44" s="214"/>
      <c r="E44" s="167"/>
      <c r="F44" s="196"/>
      <c r="G44" s="232"/>
      <c r="H44" s="168">
        <f>650678591+945575</f>
        <v>651624166</v>
      </c>
      <c r="I44" s="483">
        <f>+H44/C44*100</f>
        <v>99.97514000756689</v>
      </c>
      <c r="J44" s="168">
        <f>650678591+945575</f>
        <v>651624166</v>
      </c>
      <c r="K44" s="166">
        <f>+J44/C44*100</f>
        <v>99.97514000756689</v>
      </c>
      <c r="L44" s="715">
        <v>100</v>
      </c>
      <c r="M44" s="167">
        <f>+J44/C44*100</f>
        <v>99.97514000756689</v>
      </c>
      <c r="N44" s="167">
        <f t="shared" si="8"/>
        <v>162034</v>
      </c>
      <c r="O44" s="686"/>
    </row>
    <row r="45" spans="1:15" ht="12" customHeight="1">
      <c r="A45" s="489">
        <v>5</v>
      </c>
      <c r="B45" s="169" t="s">
        <v>47</v>
      </c>
      <c r="C45" s="166">
        <v>13050000</v>
      </c>
      <c r="D45" s="214"/>
      <c r="E45" s="167">
        <v>0</v>
      </c>
      <c r="F45" s="196">
        <v>0</v>
      </c>
      <c r="G45" s="232"/>
      <c r="H45" s="168">
        <f>3400000+7640000+2010000</f>
        <v>13050000</v>
      </c>
      <c r="I45" s="483">
        <f>+H45/C45*100</f>
        <v>100</v>
      </c>
      <c r="J45" s="168">
        <f>3400000+7640000+2010000</f>
        <v>13050000</v>
      </c>
      <c r="K45" s="166">
        <f>+J45/C45*100</f>
        <v>100</v>
      </c>
      <c r="L45" s="715">
        <v>100</v>
      </c>
      <c r="M45" s="167">
        <f>+J45/C45*100</f>
        <v>100</v>
      </c>
      <c r="N45" s="167">
        <f t="shared" si="8"/>
        <v>0</v>
      </c>
      <c r="O45" s="686"/>
    </row>
    <row r="46" spans="1:15" ht="12" customHeight="1">
      <c r="A46" s="489">
        <v>6</v>
      </c>
      <c r="B46" s="169" t="s">
        <v>48</v>
      </c>
      <c r="C46" s="166">
        <v>7600000</v>
      </c>
      <c r="D46" s="214"/>
      <c r="E46" s="167"/>
      <c r="F46" s="196"/>
      <c r="G46" s="232"/>
      <c r="H46" s="166">
        <v>7599800</v>
      </c>
      <c r="I46" s="483">
        <f>+H46/C46*100</f>
        <v>99.99736842105264</v>
      </c>
      <c r="J46" s="166">
        <v>7599800</v>
      </c>
      <c r="K46" s="166">
        <f>+J46/C46*100</f>
        <v>99.99736842105264</v>
      </c>
      <c r="L46" s="715">
        <v>100</v>
      </c>
      <c r="M46" s="167">
        <f>+J46/C46*100</f>
        <v>99.99736842105264</v>
      </c>
      <c r="N46" s="167">
        <f t="shared" si="8"/>
        <v>200</v>
      </c>
      <c r="O46" s="686"/>
    </row>
    <row r="47" spans="1:15" ht="12" customHeight="1">
      <c r="A47" s="489"/>
      <c r="B47" s="169"/>
      <c r="C47" s="166"/>
      <c r="D47" s="214"/>
      <c r="E47" s="167"/>
      <c r="F47" s="196"/>
      <c r="G47" s="232"/>
      <c r="H47" s="168"/>
      <c r="I47" s="620"/>
      <c r="J47" s="168"/>
      <c r="K47" s="540"/>
      <c r="L47" s="167"/>
      <c r="M47" s="167"/>
      <c r="N47" s="167">
        <f t="shared" si="8"/>
        <v>0</v>
      </c>
      <c r="O47" s="686"/>
    </row>
    <row r="48" spans="1:15" ht="12" customHeight="1">
      <c r="A48" s="637">
        <v>3</v>
      </c>
      <c r="B48" s="638" t="s">
        <v>49</v>
      </c>
      <c r="C48" s="639">
        <f>C49</f>
        <v>73370000</v>
      </c>
      <c r="D48" s="640"/>
      <c r="E48" s="639">
        <f>E49</f>
        <v>57200000</v>
      </c>
      <c r="F48" s="640"/>
      <c r="G48" s="644"/>
      <c r="H48" s="552">
        <f>H49</f>
        <v>73200000</v>
      </c>
      <c r="I48" s="543">
        <f>+H48/C48*100</f>
        <v>99.76829766934715</v>
      </c>
      <c r="J48" s="552">
        <f>J49</f>
        <v>73200000</v>
      </c>
      <c r="K48" s="639">
        <f>+J48/C48*100</f>
        <v>99.76829766934715</v>
      </c>
      <c r="L48" s="545">
        <v>100</v>
      </c>
      <c r="M48" s="545">
        <f>+J48/C48*100</f>
        <v>99.76829766934715</v>
      </c>
      <c r="N48" s="167">
        <f t="shared" si="8"/>
        <v>170000</v>
      </c>
      <c r="O48" s="686"/>
    </row>
    <row r="49" spans="1:15" ht="12" customHeight="1">
      <c r="A49" s="489"/>
      <c r="B49" s="165" t="s">
        <v>50</v>
      </c>
      <c r="C49" s="645">
        <v>73370000</v>
      </c>
      <c r="D49" s="646" t="s">
        <v>118</v>
      </c>
      <c r="E49" s="167">
        <v>57200000</v>
      </c>
      <c r="F49" s="647" t="s">
        <v>119</v>
      </c>
      <c r="G49" s="232" t="s">
        <v>120</v>
      </c>
      <c r="H49" s="648">
        <f>16000000+57200000</f>
        <v>73200000</v>
      </c>
      <c r="I49" s="483">
        <f>+H49/C49*100</f>
        <v>99.76829766934715</v>
      </c>
      <c r="J49" s="648">
        <f>16000000+57200000</f>
        <v>73200000</v>
      </c>
      <c r="K49" s="166">
        <f>+J49/C49*100</f>
        <v>99.76829766934715</v>
      </c>
      <c r="L49" s="715">
        <v>100</v>
      </c>
      <c r="M49" s="167">
        <f>+J49/C49*100</f>
        <v>99.76829766934715</v>
      </c>
      <c r="N49" s="167">
        <f t="shared" si="8"/>
        <v>170000</v>
      </c>
      <c r="O49" s="686"/>
    </row>
    <row r="50" spans="1:15" ht="12" customHeight="1">
      <c r="A50" s="533"/>
      <c r="B50" s="649"/>
      <c r="C50" s="650"/>
      <c r="D50" s="646"/>
      <c r="E50" s="542"/>
      <c r="F50" s="746"/>
      <c r="G50" s="651"/>
      <c r="H50" s="652"/>
      <c r="I50" s="483"/>
      <c r="J50" s="652"/>
      <c r="K50" s="166"/>
      <c r="L50" s="715"/>
      <c r="M50" s="167"/>
      <c r="N50" s="542"/>
      <c r="O50" s="686"/>
    </row>
    <row r="51" spans="1:15" ht="12" customHeight="1">
      <c r="A51" s="527">
        <v>4</v>
      </c>
      <c r="B51" s="653" t="s">
        <v>51</v>
      </c>
      <c r="C51" s="654">
        <f>C52+C69+C70</f>
        <v>5367814400</v>
      </c>
      <c r="D51" s="655"/>
      <c r="E51" s="654">
        <f>SUM(E54:E72)</f>
        <v>3481185804</v>
      </c>
      <c r="F51" s="655"/>
      <c r="G51" s="656"/>
      <c r="H51" s="657">
        <f>SUM(H52+H69+H70)</f>
        <v>5019984759</v>
      </c>
      <c r="I51" s="543">
        <f>+H51/C51*100</f>
        <v>93.52008815729546</v>
      </c>
      <c r="J51" s="657">
        <f>+J52+J69+J70</f>
        <v>5019984759</v>
      </c>
      <c r="K51" s="639">
        <f>+J51/C51*100</f>
        <v>93.52008815729546</v>
      </c>
      <c r="L51" s="718">
        <v>100</v>
      </c>
      <c r="M51" s="545">
        <f>+J51/C51*100</f>
        <v>93.52008815729546</v>
      </c>
      <c r="N51" s="657">
        <f>C51-J51</f>
        <v>347829641</v>
      </c>
      <c r="O51" s="748"/>
    </row>
    <row r="52" spans="1:15" ht="12" customHeight="1">
      <c r="A52" s="489">
        <v>1</v>
      </c>
      <c r="B52" s="627" t="s">
        <v>52</v>
      </c>
      <c r="C52" s="521">
        <v>3876642400</v>
      </c>
      <c r="D52" s="686"/>
      <c r="E52" s="686"/>
      <c r="F52" s="686"/>
      <c r="G52" s="686"/>
      <c r="H52" s="741">
        <f>3321082000+1050000+1050000+1050000+11250000+99330000+97405000</f>
        <v>3532217000</v>
      </c>
      <c r="I52" s="525">
        <f>H52/C52*100</f>
        <v>91.1153682888058</v>
      </c>
      <c r="J52" s="741">
        <f>3321082000+1050000+1050000+1050000+11250000+99330000+97405000</f>
        <v>3532217000</v>
      </c>
      <c r="K52" s="166">
        <f>+J52/C52*100</f>
        <v>91.1153682888058</v>
      </c>
      <c r="L52" s="715">
        <v>100</v>
      </c>
      <c r="M52" s="167">
        <f>J52/C52*100</f>
        <v>91.1153682888058</v>
      </c>
      <c r="N52" s="485">
        <f>C52-J52</f>
        <v>344425400</v>
      </c>
      <c r="O52" s="686"/>
    </row>
    <row r="53" spans="1:15" ht="12" customHeight="1">
      <c r="A53" s="489"/>
      <c r="B53" s="627"/>
      <c r="C53" s="521"/>
      <c r="D53" s="551"/>
      <c r="E53" s="686"/>
      <c r="F53" s="686"/>
      <c r="G53" s="551"/>
      <c r="H53" s="741">
        <f>107651400+2500000+11808800+12028000+28887000+14100000+1350000+1250000+1050000+1050000</f>
        <v>181675200</v>
      </c>
      <c r="I53" s="525"/>
      <c r="J53" s="741">
        <f>107651400+2500000+11808800+12028000+28887000+14100000+1350000+1250000+1050000+1050000</f>
        <v>181675200</v>
      </c>
      <c r="K53" s="166"/>
      <c r="L53" s="715"/>
      <c r="M53" s="167"/>
      <c r="N53" s="485"/>
      <c r="O53" s="686"/>
    </row>
    <row r="54" spans="1:15" ht="12" customHeight="1">
      <c r="A54" s="489"/>
      <c r="B54" s="627"/>
      <c r="C54" s="521"/>
      <c r="D54" s="618" t="s">
        <v>111</v>
      </c>
      <c r="E54" s="521">
        <v>89375000</v>
      </c>
      <c r="F54" s="522" t="s">
        <v>114</v>
      </c>
      <c r="G54" s="619" t="s">
        <v>116</v>
      </c>
      <c r="H54" s="521">
        <v>89375000</v>
      </c>
      <c r="I54" s="620">
        <f>H54/E54*100</f>
        <v>100</v>
      </c>
      <c r="J54" s="521">
        <v>89375000</v>
      </c>
      <c r="K54" s="620">
        <f>+H54/E54*100</f>
        <v>100</v>
      </c>
      <c r="L54" s="715">
        <v>100</v>
      </c>
      <c r="M54" s="167">
        <v>100</v>
      </c>
      <c r="N54" s="485"/>
      <c r="O54" s="686"/>
    </row>
    <row r="55" spans="1:15" ht="12" customHeight="1">
      <c r="A55" s="489"/>
      <c r="B55" s="627"/>
      <c r="C55" s="521"/>
      <c r="D55" s="618" t="s">
        <v>112</v>
      </c>
      <c r="E55" s="521">
        <v>198000000</v>
      </c>
      <c r="F55" s="522" t="s">
        <v>115</v>
      </c>
      <c r="G55" s="619" t="s">
        <v>117</v>
      </c>
      <c r="H55" s="521">
        <v>198000000</v>
      </c>
      <c r="I55" s="620">
        <f>H55/E55*100</f>
        <v>100</v>
      </c>
      <c r="J55" s="521">
        <v>198000000</v>
      </c>
      <c r="K55" s="620">
        <f>+H55/E55*100</f>
        <v>100</v>
      </c>
      <c r="L55" s="715">
        <v>100</v>
      </c>
      <c r="M55" s="167">
        <v>100</v>
      </c>
      <c r="N55" s="485"/>
      <c r="O55" s="686"/>
    </row>
    <row r="56" spans="1:15" ht="12" customHeight="1">
      <c r="A56" s="784"/>
      <c r="B56" s="785"/>
      <c r="C56" s="786"/>
      <c r="D56" s="787"/>
      <c r="E56" s="786"/>
      <c r="F56" s="788"/>
      <c r="G56" s="789"/>
      <c r="H56" s="790"/>
      <c r="I56" s="791"/>
      <c r="J56" s="792"/>
      <c r="K56" s="793"/>
      <c r="L56" s="794"/>
      <c r="M56" s="795"/>
      <c r="N56" s="796"/>
      <c r="O56" s="798"/>
    </row>
    <row r="57" spans="1:15" ht="12" customHeight="1">
      <c r="A57" s="843" t="s">
        <v>2</v>
      </c>
      <c r="B57" s="843" t="s">
        <v>3</v>
      </c>
      <c r="C57" s="843" t="s">
        <v>168</v>
      </c>
      <c r="D57" s="846" t="s">
        <v>104</v>
      </c>
      <c r="E57" s="843" t="s">
        <v>5</v>
      </c>
      <c r="F57" s="846" t="s">
        <v>6</v>
      </c>
      <c r="G57" s="851" t="s">
        <v>105</v>
      </c>
      <c r="H57" s="854" t="s">
        <v>7</v>
      </c>
      <c r="I57" s="855"/>
      <c r="J57" s="855"/>
      <c r="K57" s="856"/>
      <c r="L57" s="854" t="s">
        <v>8</v>
      </c>
      <c r="M57" s="856"/>
      <c r="N57" s="836" t="s">
        <v>87</v>
      </c>
      <c r="O57" s="839" t="s">
        <v>9</v>
      </c>
    </row>
    <row r="58" spans="1:15" ht="12" customHeight="1">
      <c r="A58" s="837"/>
      <c r="B58" s="837"/>
      <c r="C58" s="837"/>
      <c r="D58" s="848"/>
      <c r="E58" s="849"/>
      <c r="F58" s="848"/>
      <c r="G58" s="852"/>
      <c r="H58" s="841" t="s">
        <v>10</v>
      </c>
      <c r="I58" s="843" t="s">
        <v>11</v>
      </c>
      <c r="J58" s="843" t="s">
        <v>12</v>
      </c>
      <c r="K58" s="843" t="s">
        <v>11</v>
      </c>
      <c r="L58" s="844" t="s">
        <v>13</v>
      </c>
      <c r="M58" s="846" t="s">
        <v>14</v>
      </c>
      <c r="N58" s="837"/>
      <c r="O58" s="840"/>
    </row>
    <row r="59" spans="1:15" ht="12" customHeight="1">
      <c r="A59" s="838"/>
      <c r="B59" s="838"/>
      <c r="C59" s="838"/>
      <c r="D59" s="847"/>
      <c r="E59" s="850"/>
      <c r="F59" s="847"/>
      <c r="G59" s="853"/>
      <c r="H59" s="842"/>
      <c r="I59" s="838"/>
      <c r="J59" s="838"/>
      <c r="K59" s="838"/>
      <c r="L59" s="845"/>
      <c r="M59" s="847"/>
      <c r="N59" s="838"/>
      <c r="O59" s="840"/>
    </row>
    <row r="60" spans="1:15" ht="12" customHeight="1">
      <c r="A60" s="658">
        <v>1</v>
      </c>
      <c r="B60" s="658">
        <v>2</v>
      </c>
      <c r="C60" s="658">
        <v>3</v>
      </c>
      <c r="D60" s="659"/>
      <c r="E60" s="658">
        <v>4</v>
      </c>
      <c r="F60" s="659">
        <v>5</v>
      </c>
      <c r="G60" s="660"/>
      <c r="H60" s="658">
        <v>6</v>
      </c>
      <c r="I60" s="658">
        <v>7</v>
      </c>
      <c r="J60" s="658">
        <v>8</v>
      </c>
      <c r="K60" s="658">
        <v>9</v>
      </c>
      <c r="L60" s="719">
        <v>10</v>
      </c>
      <c r="M60" s="658">
        <v>11</v>
      </c>
      <c r="N60" s="658">
        <v>12</v>
      </c>
      <c r="O60" s="658">
        <v>13</v>
      </c>
    </row>
    <row r="61" spans="1:15" ht="12" customHeight="1">
      <c r="A61" s="739"/>
      <c r="B61" s="739"/>
      <c r="C61" s="739"/>
      <c r="D61" s="618" t="s">
        <v>113</v>
      </c>
      <c r="E61" s="521">
        <v>108075000</v>
      </c>
      <c r="F61" s="522" t="s">
        <v>114</v>
      </c>
      <c r="G61" s="619" t="s">
        <v>116</v>
      </c>
      <c r="H61" s="521">
        <v>108075000</v>
      </c>
      <c r="I61" s="620">
        <f aca="true" t="shared" si="9" ref="I61:I68">H61/E61*100</f>
        <v>100</v>
      </c>
      <c r="J61" s="521">
        <v>108075000</v>
      </c>
      <c r="K61" s="620">
        <f aca="true" t="shared" si="10" ref="K61:K67">+H61/E61*100</f>
        <v>100</v>
      </c>
      <c r="L61" s="715">
        <v>100</v>
      </c>
      <c r="M61" s="167">
        <v>100</v>
      </c>
      <c r="N61" s="739"/>
      <c r="O61" s="757"/>
    </row>
    <row r="62" spans="1:15" ht="12" customHeight="1">
      <c r="A62" s="489"/>
      <c r="B62" s="627"/>
      <c r="C62" s="521"/>
      <c r="D62" s="622" t="s">
        <v>130</v>
      </c>
      <c r="E62" s="521">
        <v>98200000</v>
      </c>
      <c r="F62" s="623" t="s">
        <v>131</v>
      </c>
      <c r="G62" s="492">
        <v>43556</v>
      </c>
      <c r="H62" s="521">
        <v>98200000</v>
      </c>
      <c r="I62" s="620">
        <f t="shared" si="9"/>
        <v>100</v>
      </c>
      <c r="J62" s="521">
        <v>98200000</v>
      </c>
      <c r="K62" s="620">
        <f t="shared" si="10"/>
        <v>100</v>
      </c>
      <c r="L62" s="715">
        <v>100</v>
      </c>
      <c r="M62" s="167">
        <v>100</v>
      </c>
      <c r="N62" s="485"/>
      <c r="O62" s="686"/>
    </row>
    <row r="63" spans="1:15" ht="12" customHeight="1">
      <c r="A63" s="489"/>
      <c r="B63" s="627"/>
      <c r="C63" s="521"/>
      <c r="D63" s="622" t="s">
        <v>172</v>
      </c>
      <c r="E63" s="521">
        <v>197498000</v>
      </c>
      <c r="F63" s="522" t="s">
        <v>114</v>
      </c>
      <c r="G63" s="492"/>
      <c r="H63" s="521">
        <v>197498000</v>
      </c>
      <c r="I63" s="620">
        <f t="shared" si="9"/>
        <v>100</v>
      </c>
      <c r="J63" s="521">
        <v>197498000</v>
      </c>
      <c r="K63" s="620">
        <f t="shared" si="10"/>
        <v>100</v>
      </c>
      <c r="L63" s="715">
        <v>100</v>
      </c>
      <c r="M63" s="167">
        <v>100</v>
      </c>
      <c r="N63" s="485"/>
      <c r="O63" s="686"/>
    </row>
    <row r="64" spans="1:15" ht="12" customHeight="1">
      <c r="A64" s="489"/>
      <c r="B64" s="627"/>
      <c r="C64" s="521"/>
      <c r="D64" s="622" t="s">
        <v>173</v>
      </c>
      <c r="E64" s="521">
        <v>622203600</v>
      </c>
      <c r="F64" s="624" t="s">
        <v>174</v>
      </c>
      <c r="G64" s="492">
        <v>43738</v>
      </c>
      <c r="H64" s="521">
        <v>622203600</v>
      </c>
      <c r="I64" s="620">
        <f t="shared" si="9"/>
        <v>100</v>
      </c>
      <c r="J64" s="521">
        <v>622203600</v>
      </c>
      <c r="K64" s="620">
        <f t="shared" si="10"/>
        <v>100</v>
      </c>
      <c r="L64" s="715">
        <v>100</v>
      </c>
      <c r="M64" s="167">
        <v>100</v>
      </c>
      <c r="N64" s="485"/>
      <c r="O64" s="686"/>
    </row>
    <row r="65" spans="1:15" ht="12" customHeight="1">
      <c r="A65" s="489"/>
      <c r="B65" s="627"/>
      <c r="C65" s="521"/>
      <c r="D65" s="622" t="s">
        <v>173</v>
      </c>
      <c r="E65" s="521">
        <v>1645913200</v>
      </c>
      <c r="F65" s="624" t="s">
        <v>175</v>
      </c>
      <c r="G65" s="492">
        <v>43738</v>
      </c>
      <c r="H65" s="521">
        <v>1645913200</v>
      </c>
      <c r="I65" s="620">
        <f t="shared" si="9"/>
        <v>100</v>
      </c>
      <c r="J65" s="521">
        <v>1645913200</v>
      </c>
      <c r="K65" s="620">
        <f t="shared" si="10"/>
        <v>100</v>
      </c>
      <c r="L65" s="715">
        <v>100</v>
      </c>
      <c r="M65" s="167">
        <v>100</v>
      </c>
      <c r="N65" s="485"/>
      <c r="O65" s="686"/>
    </row>
    <row r="66" spans="1:15" ht="12" customHeight="1">
      <c r="A66" s="489"/>
      <c r="B66" s="627"/>
      <c r="C66" s="521"/>
      <c r="D66" s="622" t="s">
        <v>184</v>
      </c>
      <c r="E66" s="521">
        <v>79365000</v>
      </c>
      <c r="F66" s="624" t="s">
        <v>185</v>
      </c>
      <c r="G66" s="492">
        <v>43711</v>
      </c>
      <c r="H66" s="521">
        <v>79365000</v>
      </c>
      <c r="I66" s="620">
        <f t="shared" si="9"/>
        <v>100</v>
      </c>
      <c r="J66" s="521">
        <v>79365000</v>
      </c>
      <c r="K66" s="620">
        <f t="shared" si="10"/>
        <v>100</v>
      </c>
      <c r="L66" s="715">
        <v>100</v>
      </c>
      <c r="M66" s="167">
        <v>100</v>
      </c>
      <c r="N66" s="485"/>
      <c r="O66" s="686"/>
    </row>
    <row r="67" spans="1:15" ht="12" customHeight="1">
      <c r="A67" s="489"/>
      <c r="B67" s="627"/>
      <c r="C67" s="521"/>
      <c r="D67" s="622" t="s">
        <v>186</v>
      </c>
      <c r="E67" s="521">
        <v>96602000</v>
      </c>
      <c r="F67" s="522" t="s">
        <v>114</v>
      </c>
      <c r="G67" s="770" t="s">
        <v>187</v>
      </c>
      <c r="H67" s="521">
        <v>96602000</v>
      </c>
      <c r="I67" s="620">
        <f t="shared" si="9"/>
        <v>100</v>
      </c>
      <c r="J67" s="521">
        <v>96602000</v>
      </c>
      <c r="K67" s="620">
        <f t="shared" si="10"/>
        <v>100</v>
      </c>
      <c r="L67" s="715">
        <v>100</v>
      </c>
      <c r="M67" s="167">
        <v>100</v>
      </c>
      <c r="N67" s="485"/>
      <c r="O67" s="686"/>
    </row>
    <row r="68" spans="1:15" ht="12" customHeight="1">
      <c r="A68" s="489"/>
      <c r="B68" s="627"/>
      <c r="C68" s="521"/>
      <c r="D68" s="622" t="s">
        <v>198</v>
      </c>
      <c r="E68" s="521">
        <v>99330000</v>
      </c>
      <c r="F68" s="522" t="s">
        <v>195</v>
      </c>
      <c r="G68" s="802" t="s">
        <v>196</v>
      </c>
      <c r="H68" s="521">
        <v>99330000</v>
      </c>
      <c r="I68" s="620">
        <f t="shared" si="9"/>
        <v>100</v>
      </c>
      <c r="J68" s="521">
        <v>99330000</v>
      </c>
      <c r="K68" s="620">
        <f>+H68/E68*100</f>
        <v>100</v>
      </c>
      <c r="L68" s="715">
        <v>100</v>
      </c>
      <c r="M68" s="167">
        <v>100</v>
      </c>
      <c r="N68" s="485"/>
      <c r="O68" s="686"/>
    </row>
    <row r="69" spans="1:15" ht="12" customHeight="1">
      <c r="A69" s="489">
        <v>2</v>
      </c>
      <c r="B69" s="627" t="s">
        <v>53</v>
      </c>
      <c r="C69" s="521">
        <v>1110122000</v>
      </c>
      <c r="D69" s="522"/>
      <c r="E69" s="523"/>
      <c r="F69" s="491"/>
      <c r="G69" s="492"/>
      <c r="H69" s="524">
        <f>1077193671+32156500</f>
        <v>1109350171</v>
      </c>
      <c r="I69" s="483">
        <f>+H69/C69*100</f>
        <v>99.93047349750748</v>
      </c>
      <c r="J69" s="524">
        <f>1077193671+32156500</f>
        <v>1109350171</v>
      </c>
      <c r="K69" s="166">
        <f>+J69/C69*100</f>
        <v>99.93047349750748</v>
      </c>
      <c r="L69" s="715">
        <v>100</v>
      </c>
      <c r="M69" s="167">
        <f>+J69/C69*100</f>
        <v>99.93047349750748</v>
      </c>
      <c r="N69" s="485">
        <f>C69-J69</f>
        <v>771829</v>
      </c>
      <c r="O69" s="686"/>
    </row>
    <row r="70" spans="1:15" ht="12" customHeight="1">
      <c r="A70" s="489">
        <v>3</v>
      </c>
      <c r="B70" s="627" t="s">
        <v>54</v>
      </c>
      <c r="C70" s="521">
        <v>381050000</v>
      </c>
      <c r="D70" s="546" t="s">
        <v>107</v>
      </c>
      <c r="E70" s="524">
        <v>48600000</v>
      </c>
      <c r="F70" s="491" t="s">
        <v>108</v>
      </c>
      <c r="G70" s="492">
        <v>43584</v>
      </c>
      <c r="H70" s="524">
        <f>119273588+38375000+9875000+98694000+10770000+2100000+99330000</f>
        <v>378417588</v>
      </c>
      <c r="I70" s="483">
        <f>+H70/C70*100</f>
        <v>99.30916887547566</v>
      </c>
      <c r="J70" s="524">
        <f>119273588+38375000+9875000+98694000+10770000+2100000+99330000</f>
        <v>378417588</v>
      </c>
      <c r="K70" s="166">
        <f>+J70/C70*100</f>
        <v>99.30916887547566</v>
      </c>
      <c r="L70" s="715">
        <v>100</v>
      </c>
      <c r="M70" s="167">
        <f>+J70/C70*100</f>
        <v>99.30916887547566</v>
      </c>
      <c r="N70" s="485">
        <f>C70-J70</f>
        <v>2632412</v>
      </c>
      <c r="O70" s="686"/>
    </row>
    <row r="71" spans="1:15" ht="12" customHeight="1">
      <c r="A71" s="533"/>
      <c r="B71" s="661"/>
      <c r="C71" s="662"/>
      <c r="D71" s="773" t="s">
        <v>190</v>
      </c>
      <c r="E71" s="664">
        <v>98694000</v>
      </c>
      <c r="F71" s="537" t="s">
        <v>188</v>
      </c>
      <c r="G71" s="772" t="s">
        <v>189</v>
      </c>
      <c r="H71" s="664"/>
      <c r="I71" s="771"/>
      <c r="J71" s="664"/>
      <c r="K71" s="535"/>
      <c r="L71" s="715"/>
      <c r="M71" s="542"/>
      <c r="N71" s="485"/>
      <c r="O71" s="686"/>
    </row>
    <row r="72" spans="1:15" ht="12" customHeight="1">
      <c r="A72" s="533"/>
      <c r="B72" s="661"/>
      <c r="C72" s="662"/>
      <c r="D72" s="773" t="s">
        <v>199</v>
      </c>
      <c r="E72" s="521">
        <v>99330000</v>
      </c>
      <c r="F72" s="522" t="s">
        <v>114</v>
      </c>
      <c r="G72" s="802" t="s">
        <v>197</v>
      </c>
      <c r="H72" s="521"/>
      <c r="I72" s="620"/>
      <c r="J72" s="521"/>
      <c r="K72" s="620"/>
      <c r="L72" s="715"/>
      <c r="M72" s="167"/>
      <c r="N72" s="485"/>
      <c r="O72" s="686"/>
    </row>
    <row r="73" spans="1:15" ht="12" customHeight="1">
      <c r="A73" s="533"/>
      <c r="B73" s="661"/>
      <c r="C73" s="662"/>
      <c r="D73" s="773"/>
      <c r="E73" s="662"/>
      <c r="F73" s="663"/>
      <c r="G73" s="803"/>
      <c r="H73" s="662"/>
      <c r="I73" s="620"/>
      <c r="J73" s="662"/>
      <c r="K73" s="620"/>
      <c r="L73" s="715"/>
      <c r="M73" s="167"/>
      <c r="N73" s="485"/>
      <c r="O73" s="686"/>
    </row>
    <row r="74" spans="1:15" ht="12" customHeight="1">
      <c r="A74" s="665">
        <v>5</v>
      </c>
      <c r="B74" s="528" t="s">
        <v>56</v>
      </c>
      <c r="C74" s="532">
        <f>SUM(C75:C88)</f>
        <v>1190425000</v>
      </c>
      <c r="D74" s="567"/>
      <c r="E74" s="532">
        <f>E75+E76+E77++E78+E79+E80+E81+E84+E86+E88+E83</f>
        <v>160501000</v>
      </c>
      <c r="F74" s="567"/>
      <c r="G74" s="568"/>
      <c r="H74" s="532">
        <f>SUM(H75:H88)</f>
        <v>1172171874</v>
      </c>
      <c r="I74" s="543">
        <f aca="true" t="shared" si="11" ref="I74:I82">+H74/C74*100</f>
        <v>98.46667148287376</v>
      </c>
      <c r="J74" s="532">
        <f>SUM(J75:J88)</f>
        <v>1172171874</v>
      </c>
      <c r="K74" s="639">
        <f aca="true" t="shared" si="12" ref="K74:K82">+J74/C74*100</f>
        <v>98.46667148287376</v>
      </c>
      <c r="L74" s="545">
        <v>100</v>
      </c>
      <c r="M74" s="545">
        <f>+J74/C74*100</f>
        <v>98.46667148287376</v>
      </c>
      <c r="N74" s="485">
        <f aca="true" t="shared" si="13" ref="N74:N82">C74-J74</f>
        <v>18253126</v>
      </c>
      <c r="O74" s="686"/>
    </row>
    <row r="75" spans="1:15" ht="12" customHeight="1">
      <c r="A75" s="489">
        <v>1</v>
      </c>
      <c r="B75" s="169" t="s">
        <v>57</v>
      </c>
      <c r="C75" s="166">
        <v>350000000</v>
      </c>
      <c r="D75" s="214"/>
      <c r="E75" s="166"/>
      <c r="F75" s="491"/>
      <c r="G75" s="492"/>
      <c r="H75" s="166">
        <f>250438900+93375000+1050000</f>
        <v>344863900</v>
      </c>
      <c r="I75" s="483">
        <f t="shared" si="11"/>
        <v>98.53254285714286</v>
      </c>
      <c r="J75" s="166">
        <f>250438900+93375000+1050000</f>
        <v>344863900</v>
      </c>
      <c r="K75" s="166">
        <f t="shared" si="12"/>
        <v>98.53254285714286</v>
      </c>
      <c r="L75" s="718">
        <v>100</v>
      </c>
      <c r="M75" s="167">
        <f aca="true" t="shared" si="14" ref="M75:M82">+J75/C75*100</f>
        <v>98.53254285714286</v>
      </c>
      <c r="N75" s="485">
        <f t="shared" si="13"/>
        <v>5136100</v>
      </c>
      <c r="O75" s="686"/>
    </row>
    <row r="76" spans="1:15" ht="12" customHeight="1">
      <c r="A76" s="489">
        <v>2</v>
      </c>
      <c r="B76" s="490" t="s">
        <v>58</v>
      </c>
      <c r="C76" s="166">
        <v>165000000</v>
      </c>
      <c r="D76" s="214"/>
      <c r="E76" s="167"/>
      <c r="F76" s="491"/>
      <c r="G76" s="492"/>
      <c r="H76" s="166">
        <f>122001983+1342421+2100000+32652500+2850000+1625000</f>
        <v>162571904</v>
      </c>
      <c r="I76" s="483">
        <f t="shared" si="11"/>
        <v>98.52842666666668</v>
      </c>
      <c r="J76" s="166">
        <f>122001983+1342421+2100000+32652500+2850000+1625000</f>
        <v>162571904</v>
      </c>
      <c r="K76" s="166">
        <f t="shared" si="12"/>
        <v>98.52842666666668</v>
      </c>
      <c r="L76" s="718">
        <v>100</v>
      </c>
      <c r="M76" s="167">
        <f t="shared" si="14"/>
        <v>98.52842666666668</v>
      </c>
      <c r="N76" s="485">
        <f t="shared" si="13"/>
        <v>2428096</v>
      </c>
      <c r="O76" s="686"/>
    </row>
    <row r="77" spans="1:15" ht="12" customHeight="1">
      <c r="A77" s="489">
        <v>3</v>
      </c>
      <c r="B77" s="490" t="s">
        <v>59</v>
      </c>
      <c r="C77" s="166">
        <v>50000000</v>
      </c>
      <c r="D77" s="214"/>
      <c r="E77" s="167"/>
      <c r="F77" s="491"/>
      <c r="G77" s="492"/>
      <c r="H77" s="168">
        <f>22900000+1375000+2400000+11450000+11700000</f>
        <v>49825000</v>
      </c>
      <c r="I77" s="483">
        <f t="shared" si="11"/>
        <v>99.65</v>
      </c>
      <c r="J77" s="168">
        <f>22900000+1375000+2400000+11450000+11700000</f>
        <v>49825000</v>
      </c>
      <c r="K77" s="166">
        <f t="shared" si="12"/>
        <v>99.65</v>
      </c>
      <c r="L77" s="718">
        <v>100</v>
      </c>
      <c r="M77" s="167">
        <f t="shared" si="14"/>
        <v>99.65</v>
      </c>
      <c r="N77" s="485">
        <f t="shared" si="13"/>
        <v>175000</v>
      </c>
      <c r="O77" s="686"/>
    </row>
    <row r="78" spans="1:15" ht="12" customHeight="1">
      <c r="A78" s="489">
        <v>4</v>
      </c>
      <c r="B78" s="169" t="s">
        <v>78</v>
      </c>
      <c r="C78" s="166">
        <v>80000000</v>
      </c>
      <c r="D78" s="214" t="s">
        <v>110</v>
      </c>
      <c r="E78" s="167">
        <v>11000000</v>
      </c>
      <c r="F78" s="491" t="s">
        <v>109</v>
      </c>
      <c r="G78" s="492">
        <v>43580</v>
      </c>
      <c r="H78" s="168">
        <f>70474900+9525000</f>
        <v>79999900</v>
      </c>
      <c r="I78" s="483">
        <f t="shared" si="11"/>
        <v>99.999875</v>
      </c>
      <c r="J78" s="168">
        <f>70474900+9525000</f>
        <v>79999900</v>
      </c>
      <c r="K78" s="166">
        <f t="shared" si="12"/>
        <v>99.999875</v>
      </c>
      <c r="L78" s="718">
        <v>100</v>
      </c>
      <c r="M78" s="167">
        <f t="shared" si="14"/>
        <v>99.999875</v>
      </c>
      <c r="N78" s="485">
        <f t="shared" si="13"/>
        <v>100</v>
      </c>
      <c r="O78" s="686"/>
    </row>
    <row r="79" spans="1:15" ht="12" customHeight="1">
      <c r="A79" s="489">
        <v>5</v>
      </c>
      <c r="B79" s="169" t="s">
        <v>79</v>
      </c>
      <c r="C79" s="166">
        <v>50000000</v>
      </c>
      <c r="D79" s="214"/>
      <c r="E79" s="167"/>
      <c r="F79" s="491"/>
      <c r="G79" s="492"/>
      <c r="H79" s="168">
        <f>40450000+6100000</f>
        <v>46550000</v>
      </c>
      <c r="I79" s="483">
        <f t="shared" si="11"/>
        <v>93.10000000000001</v>
      </c>
      <c r="J79" s="168">
        <f>40450000+6100000</f>
        <v>46550000</v>
      </c>
      <c r="K79" s="166">
        <f t="shared" si="12"/>
        <v>93.10000000000001</v>
      </c>
      <c r="L79" s="718">
        <v>100</v>
      </c>
      <c r="M79" s="167">
        <f t="shared" si="14"/>
        <v>93.10000000000001</v>
      </c>
      <c r="N79" s="485">
        <f t="shared" si="13"/>
        <v>3450000</v>
      </c>
      <c r="O79" s="686"/>
    </row>
    <row r="80" spans="1:15" ht="12" customHeight="1">
      <c r="A80" s="489">
        <v>6</v>
      </c>
      <c r="B80" s="169" t="s">
        <v>60</v>
      </c>
      <c r="C80" s="166">
        <v>50000000</v>
      </c>
      <c r="D80" s="214"/>
      <c r="E80" s="167"/>
      <c r="F80" s="491"/>
      <c r="G80" s="492"/>
      <c r="H80" s="168">
        <f>20860166+1435000+2766631+21332373+1650000+1100000</f>
        <v>49144170</v>
      </c>
      <c r="I80" s="483">
        <f t="shared" si="11"/>
        <v>98.28833999999999</v>
      </c>
      <c r="J80" s="168">
        <f>20860166+1435000+2766631+21332373+1650000+1100000</f>
        <v>49144170</v>
      </c>
      <c r="K80" s="166">
        <f t="shared" si="12"/>
        <v>98.28833999999999</v>
      </c>
      <c r="L80" s="718">
        <v>100</v>
      </c>
      <c r="M80" s="167">
        <f t="shared" si="14"/>
        <v>98.28833999999999</v>
      </c>
      <c r="N80" s="485">
        <f t="shared" si="13"/>
        <v>855830</v>
      </c>
      <c r="O80" s="686"/>
    </row>
    <row r="81" spans="1:15" ht="12" customHeight="1">
      <c r="A81" s="493">
        <v>7</v>
      </c>
      <c r="B81" s="494" t="s">
        <v>61</v>
      </c>
      <c r="C81" s="495">
        <v>50000000</v>
      </c>
      <c r="D81" s="496"/>
      <c r="E81" s="497"/>
      <c r="F81" s="498"/>
      <c r="G81" s="499"/>
      <c r="H81" s="500">
        <v>48600000</v>
      </c>
      <c r="I81" s="483">
        <f t="shared" si="11"/>
        <v>97.2</v>
      </c>
      <c r="J81" s="500">
        <v>48600000</v>
      </c>
      <c r="K81" s="166">
        <f t="shared" si="12"/>
        <v>97.2</v>
      </c>
      <c r="L81" s="718">
        <v>100</v>
      </c>
      <c r="M81" s="167">
        <f t="shared" si="14"/>
        <v>97.2</v>
      </c>
      <c r="N81" s="485">
        <f t="shared" si="13"/>
        <v>1400000</v>
      </c>
      <c r="O81" s="686"/>
    </row>
    <row r="82" spans="1:15" ht="12" customHeight="1">
      <c r="A82" s="489">
        <v>8</v>
      </c>
      <c r="B82" s="494" t="s">
        <v>85</v>
      </c>
      <c r="C82" s="495">
        <v>156700000</v>
      </c>
      <c r="D82" s="496"/>
      <c r="E82" s="497"/>
      <c r="F82" s="498"/>
      <c r="G82" s="499"/>
      <c r="H82" s="500">
        <f>149501000+4700000+1350000+300000</f>
        <v>155851000</v>
      </c>
      <c r="I82" s="483">
        <f t="shared" si="11"/>
        <v>99.45820038289726</v>
      </c>
      <c r="J82" s="500">
        <f>149501000+4700000+1350000+300000</f>
        <v>155851000</v>
      </c>
      <c r="K82" s="166">
        <f t="shared" si="12"/>
        <v>99.45820038289726</v>
      </c>
      <c r="L82" s="718">
        <v>100</v>
      </c>
      <c r="M82" s="167">
        <f t="shared" si="14"/>
        <v>99.45820038289726</v>
      </c>
      <c r="N82" s="485">
        <f t="shared" si="13"/>
        <v>849000</v>
      </c>
      <c r="O82" s="686"/>
    </row>
    <row r="83" spans="1:15" ht="12" customHeight="1">
      <c r="A83" s="493"/>
      <c r="B83" s="494"/>
      <c r="C83" s="495"/>
      <c r="D83" s="501" t="s">
        <v>154</v>
      </c>
      <c r="E83" s="502">
        <v>149501000</v>
      </c>
      <c r="F83" s="503" t="s">
        <v>156</v>
      </c>
      <c r="G83" s="504" t="s">
        <v>155</v>
      </c>
      <c r="H83" s="505"/>
      <c r="I83" s="506"/>
      <c r="J83" s="505"/>
      <c r="K83" s="166"/>
      <c r="L83" s="718"/>
      <c r="M83" s="167"/>
      <c r="N83" s="485"/>
      <c r="O83" s="686"/>
    </row>
    <row r="84" spans="1:15" ht="12" customHeight="1">
      <c r="A84" s="493">
        <v>9</v>
      </c>
      <c r="B84" s="507" t="s">
        <v>80</v>
      </c>
      <c r="C84" s="508">
        <v>140000000</v>
      </c>
      <c r="D84" s="509"/>
      <c r="E84" s="510">
        <v>0</v>
      </c>
      <c r="F84" s="511"/>
      <c r="G84" s="512"/>
      <c r="H84" s="508">
        <f>136866000+2225000</f>
        <v>139091000</v>
      </c>
      <c r="I84" s="525">
        <f>(H84)/C84*100</f>
        <v>99.35071428571428</v>
      </c>
      <c r="J84" s="508">
        <f>136866000+2225000</f>
        <v>139091000</v>
      </c>
      <c r="K84" s="168">
        <f>(J84+J85)/C84*100</f>
        <v>99.35071428571428</v>
      </c>
      <c r="L84" s="718">
        <v>100</v>
      </c>
      <c r="M84" s="167">
        <f>(J84+J85)/C84*100</f>
        <v>99.35071428571428</v>
      </c>
      <c r="N84" s="508">
        <f>C84-J84-J85</f>
        <v>909000</v>
      </c>
      <c r="O84" s="686"/>
    </row>
    <row r="85" spans="1:15" ht="18" customHeight="1">
      <c r="A85" s="493"/>
      <c r="B85" s="507"/>
      <c r="C85" s="508"/>
      <c r="D85" s="515" t="s">
        <v>140</v>
      </c>
      <c r="E85" s="510">
        <v>85930000</v>
      </c>
      <c r="F85" s="516" t="s">
        <v>141</v>
      </c>
      <c r="G85" s="512">
        <v>43556</v>
      </c>
      <c r="H85" s="510"/>
      <c r="I85" s="483"/>
      <c r="J85" s="510"/>
      <c r="K85" s="166"/>
      <c r="L85" s="718"/>
      <c r="M85" s="167"/>
      <c r="N85" s="508"/>
      <c r="O85" s="686"/>
    </row>
    <row r="86" spans="1:15" ht="12" customHeight="1">
      <c r="A86" s="489">
        <v>10</v>
      </c>
      <c r="B86" s="169" t="s">
        <v>62</v>
      </c>
      <c r="C86" s="166">
        <v>58775000</v>
      </c>
      <c r="D86" s="214"/>
      <c r="E86" s="166"/>
      <c r="F86" s="491"/>
      <c r="G86" s="492"/>
      <c r="H86" s="168">
        <f>14545000+25830000+16750000+1300000+300000</f>
        <v>58725000</v>
      </c>
      <c r="I86" s="483">
        <f aca="true" t="shared" si="15" ref="I86:I95">+H86/C86*100</f>
        <v>99.91492981709911</v>
      </c>
      <c r="J86" s="168">
        <f>14545000+25830000+16750000+1300000+300000</f>
        <v>58725000</v>
      </c>
      <c r="K86" s="166">
        <f aca="true" t="shared" si="16" ref="K86:K95">+J86/C86*100</f>
        <v>99.91492981709911</v>
      </c>
      <c r="L86" s="718">
        <v>100</v>
      </c>
      <c r="M86" s="167">
        <f aca="true" t="shared" si="17" ref="M86:M93">+J86/C86*100</f>
        <v>99.91492981709911</v>
      </c>
      <c r="N86" s="485">
        <f aca="true" t="shared" si="18" ref="N86:N95">C86-J86</f>
        <v>50000</v>
      </c>
      <c r="O86" s="686"/>
    </row>
    <row r="87" spans="1:15" ht="12" customHeight="1">
      <c r="A87" s="493">
        <v>11</v>
      </c>
      <c r="B87" s="169" t="s">
        <v>81</v>
      </c>
      <c r="C87" s="517">
        <v>18950000</v>
      </c>
      <c r="D87" s="518"/>
      <c r="E87" s="166"/>
      <c r="F87" s="491"/>
      <c r="G87" s="492"/>
      <c r="H87" s="168">
        <f>15150000+800000</f>
        <v>15950000</v>
      </c>
      <c r="I87" s="483">
        <f t="shared" si="15"/>
        <v>84.1688654353562</v>
      </c>
      <c r="J87" s="168">
        <f>15150000+800000</f>
        <v>15950000</v>
      </c>
      <c r="K87" s="166">
        <f t="shared" si="16"/>
        <v>84.1688654353562</v>
      </c>
      <c r="L87" s="718">
        <v>100</v>
      </c>
      <c r="M87" s="167">
        <f t="shared" si="17"/>
        <v>84.1688654353562</v>
      </c>
      <c r="N87" s="485">
        <f t="shared" si="18"/>
        <v>3000000</v>
      </c>
      <c r="O87" s="686"/>
    </row>
    <row r="88" spans="1:15" ht="12" customHeight="1">
      <c r="A88" s="489">
        <v>12</v>
      </c>
      <c r="B88" s="169" t="s">
        <v>55</v>
      </c>
      <c r="C88" s="517">
        <v>21000000</v>
      </c>
      <c r="D88" s="518"/>
      <c r="E88" s="166"/>
      <c r="F88" s="491"/>
      <c r="G88" s="492"/>
      <c r="H88" s="168">
        <f>12900000+3925000+2925000+1250000</f>
        <v>21000000</v>
      </c>
      <c r="I88" s="483">
        <f t="shared" si="15"/>
        <v>100</v>
      </c>
      <c r="J88" s="168">
        <f>12900000+3925000+2925000+1250000</f>
        <v>21000000</v>
      </c>
      <c r="K88" s="166">
        <f t="shared" si="16"/>
        <v>100</v>
      </c>
      <c r="L88" s="718">
        <v>100</v>
      </c>
      <c r="M88" s="167">
        <f t="shared" si="17"/>
        <v>100</v>
      </c>
      <c r="N88" s="485">
        <f t="shared" si="18"/>
        <v>0</v>
      </c>
      <c r="O88" s="686"/>
    </row>
    <row r="89" spans="1:15" ht="12" customHeight="1">
      <c r="A89" s="533"/>
      <c r="B89" s="534"/>
      <c r="C89" s="800"/>
      <c r="D89" s="801"/>
      <c r="E89" s="535"/>
      <c r="F89" s="537"/>
      <c r="G89" s="538"/>
      <c r="H89" s="540"/>
      <c r="I89" s="483"/>
      <c r="J89" s="540"/>
      <c r="K89" s="166"/>
      <c r="L89" s="718"/>
      <c r="M89" s="167"/>
      <c r="N89" s="485"/>
      <c r="O89" s="686"/>
    </row>
    <row r="90" spans="1:15" ht="12" customHeight="1">
      <c r="A90" s="527">
        <v>6</v>
      </c>
      <c r="B90" s="528" t="s">
        <v>63</v>
      </c>
      <c r="C90" s="529">
        <f>C91+C92+C93</f>
        <v>386507853</v>
      </c>
      <c r="D90" s="530"/>
      <c r="E90" s="529">
        <f>E91+E92+E93</f>
        <v>0</v>
      </c>
      <c r="F90" s="530"/>
      <c r="G90" s="531"/>
      <c r="H90" s="532">
        <f>SUM(H91:H93)</f>
        <v>382966500</v>
      </c>
      <c r="I90" s="543">
        <f t="shared" si="15"/>
        <v>99.08375652072456</v>
      </c>
      <c r="J90" s="532">
        <f>SUM(J91:J93)</f>
        <v>382966500</v>
      </c>
      <c r="K90" s="639">
        <f t="shared" si="16"/>
        <v>99.08375652072456</v>
      </c>
      <c r="L90" s="718">
        <v>100</v>
      </c>
      <c r="M90" s="545">
        <f t="shared" si="17"/>
        <v>99.08375652072456</v>
      </c>
      <c r="N90" s="670">
        <f t="shared" si="18"/>
        <v>3541353</v>
      </c>
      <c r="O90" s="748"/>
    </row>
    <row r="91" spans="1:15" ht="12" customHeight="1">
      <c r="A91" s="489">
        <v>1</v>
      </c>
      <c r="B91" s="169" t="s">
        <v>64</v>
      </c>
      <c r="C91" s="517">
        <v>50000000</v>
      </c>
      <c r="D91" s="518"/>
      <c r="E91" s="517"/>
      <c r="F91" s="491"/>
      <c r="G91" s="492"/>
      <c r="H91" s="517">
        <f>37223000+3525000+5525000+1900000+550000</f>
        <v>48723000</v>
      </c>
      <c r="I91" s="483">
        <f t="shared" si="15"/>
        <v>97.446</v>
      </c>
      <c r="J91" s="517">
        <f>37223000+3525000+5525000+1900000+550000</f>
        <v>48723000</v>
      </c>
      <c r="K91" s="166">
        <f t="shared" si="16"/>
        <v>97.446</v>
      </c>
      <c r="L91" s="718">
        <v>100</v>
      </c>
      <c r="M91" s="167">
        <f t="shared" si="17"/>
        <v>97.446</v>
      </c>
      <c r="N91" s="485">
        <f t="shared" si="18"/>
        <v>1277000</v>
      </c>
      <c r="O91" s="686"/>
    </row>
    <row r="92" spans="1:15" ht="12" customHeight="1">
      <c r="A92" s="489">
        <v>2</v>
      </c>
      <c r="B92" s="169" t="s">
        <v>65</v>
      </c>
      <c r="C92" s="517">
        <v>35000000</v>
      </c>
      <c r="D92" s="518"/>
      <c r="E92" s="523"/>
      <c r="F92" s="491"/>
      <c r="G92" s="492"/>
      <c r="H92" s="517">
        <f>8946000+20250000+4675000</f>
        <v>33871000</v>
      </c>
      <c r="I92" s="483">
        <f t="shared" si="15"/>
        <v>96.77428571428571</v>
      </c>
      <c r="J92" s="517">
        <f>8946000+20250000+4675000</f>
        <v>33871000</v>
      </c>
      <c r="K92" s="166">
        <f t="shared" si="16"/>
        <v>96.77428571428571</v>
      </c>
      <c r="L92" s="718">
        <v>100</v>
      </c>
      <c r="M92" s="167">
        <f t="shared" si="17"/>
        <v>96.77428571428571</v>
      </c>
      <c r="N92" s="485">
        <f t="shared" si="18"/>
        <v>1129000</v>
      </c>
      <c r="O92" s="686"/>
    </row>
    <row r="93" spans="1:15" ht="12" customHeight="1">
      <c r="A93" s="489">
        <v>3</v>
      </c>
      <c r="B93" s="169" t="s">
        <v>66</v>
      </c>
      <c r="C93" s="166">
        <v>301507853</v>
      </c>
      <c r="D93" s="214"/>
      <c r="E93" s="166"/>
      <c r="F93" s="491"/>
      <c r="G93" s="492"/>
      <c r="H93" s="166">
        <f>236275000+4450000+3750000+45447500+300000+3075000+3825000+2250000+1000000</f>
        <v>300372500</v>
      </c>
      <c r="I93" s="483">
        <f t="shared" si="15"/>
        <v>99.62344164879845</v>
      </c>
      <c r="J93" s="166">
        <f>236275000+4450000+3750000+45447500+300000+3075000+3825000+2250000+1000000</f>
        <v>300372500</v>
      </c>
      <c r="K93" s="166">
        <f t="shared" si="16"/>
        <v>99.62344164879845</v>
      </c>
      <c r="L93" s="718">
        <v>100</v>
      </c>
      <c r="M93" s="167">
        <f t="shared" si="17"/>
        <v>99.62344164879845</v>
      </c>
      <c r="N93" s="485">
        <f t="shared" si="18"/>
        <v>1135353</v>
      </c>
      <c r="O93" s="686"/>
    </row>
    <row r="94" spans="1:15" ht="12" customHeight="1">
      <c r="A94" s="527">
        <v>7</v>
      </c>
      <c r="B94" s="528" t="s">
        <v>67</v>
      </c>
      <c r="C94" s="532">
        <f>C95+C96</f>
        <v>520000000</v>
      </c>
      <c r="D94" s="567"/>
      <c r="E94" s="532">
        <f>SUM(E95:E104)</f>
        <v>503968000</v>
      </c>
      <c r="F94" s="567"/>
      <c r="G94" s="568"/>
      <c r="H94" s="532">
        <f>SUM(H95+H96)</f>
        <v>513418000</v>
      </c>
      <c r="I94" s="684">
        <f t="shared" si="15"/>
        <v>98.73423076923076</v>
      </c>
      <c r="J94" s="532">
        <f>SUM(J95+J96)</f>
        <v>513418000</v>
      </c>
      <c r="K94" s="552">
        <f t="shared" si="16"/>
        <v>98.73423076923076</v>
      </c>
      <c r="L94" s="545">
        <v>100</v>
      </c>
      <c r="M94" s="545">
        <f>J94/C94*100</f>
        <v>98.73423076923076</v>
      </c>
      <c r="N94" s="485">
        <f t="shared" si="18"/>
        <v>6582000</v>
      </c>
      <c r="O94" s="686"/>
    </row>
    <row r="95" spans="1:15" ht="12" customHeight="1">
      <c r="A95" s="519">
        <v>1</v>
      </c>
      <c r="B95" s="169" t="s">
        <v>68</v>
      </c>
      <c r="C95" s="166">
        <v>100000000</v>
      </c>
      <c r="D95" s="546" t="s">
        <v>129</v>
      </c>
      <c r="E95" s="521">
        <v>98395000</v>
      </c>
      <c r="F95" s="546" t="s">
        <v>128</v>
      </c>
      <c r="G95" s="547" t="s">
        <v>127</v>
      </c>
      <c r="H95" s="166">
        <v>99445000</v>
      </c>
      <c r="I95" s="483">
        <f t="shared" si="15"/>
        <v>99.445</v>
      </c>
      <c r="J95" s="166">
        <v>99445000</v>
      </c>
      <c r="K95" s="166">
        <f t="shared" si="16"/>
        <v>99.445</v>
      </c>
      <c r="L95" s="718">
        <v>100</v>
      </c>
      <c r="M95" s="167">
        <f>+J95/C95*100</f>
        <v>99.445</v>
      </c>
      <c r="N95" s="485">
        <f t="shared" si="18"/>
        <v>555000</v>
      </c>
      <c r="O95" s="686"/>
    </row>
    <row r="96" spans="1:15" ht="12" customHeight="1">
      <c r="A96" s="519">
        <v>2</v>
      </c>
      <c r="B96" s="169" t="s">
        <v>69</v>
      </c>
      <c r="C96" s="166">
        <v>420000000</v>
      </c>
      <c r="D96" s="546"/>
      <c r="E96" s="521"/>
      <c r="F96" s="546"/>
      <c r="G96" s="547"/>
      <c r="H96" s="166">
        <f>SUM(H97+H98+H99+H100+H101+H102+H103+H104)+1050000+1050000+1050000+1050000+1050000+1050000+1050000+1050000</f>
        <v>413973000</v>
      </c>
      <c r="I96" s="483">
        <f>H96/C96*100</f>
        <v>98.565</v>
      </c>
      <c r="J96" s="166">
        <f>SUM(J97+J98+J99+J100+J101+J102+J103+J104)+1050000+1050000+1050000+1050000+1050000+1050000+1050000+1050000</f>
        <v>413973000</v>
      </c>
      <c r="K96" s="166">
        <f>J96/C96*100</f>
        <v>98.565</v>
      </c>
      <c r="L96" s="718">
        <v>100</v>
      </c>
      <c r="M96" s="167">
        <f>+J96/C96*100</f>
        <v>98.565</v>
      </c>
      <c r="N96" s="485">
        <f>C96-(J97+J98+J99+J100+J101+J102+J103+J104)-(8*1050000)</f>
        <v>6027000</v>
      </c>
      <c r="O96" s="774"/>
    </row>
    <row r="97" spans="1:15" ht="12" customHeight="1">
      <c r="A97" s="519"/>
      <c r="B97" s="169"/>
      <c r="C97" s="166"/>
      <c r="D97" s="501" t="s">
        <v>136</v>
      </c>
      <c r="E97" s="166">
        <v>98188000</v>
      </c>
      <c r="F97" s="548" t="s">
        <v>134</v>
      </c>
      <c r="G97" s="492" t="s">
        <v>135</v>
      </c>
      <c r="H97" s="166">
        <v>98188000</v>
      </c>
      <c r="I97" s="725">
        <f>+H97/E97*100</f>
        <v>100</v>
      </c>
      <c r="J97" s="166">
        <v>98188000</v>
      </c>
      <c r="K97" s="725">
        <f>+J97/E97*100</f>
        <v>100</v>
      </c>
      <c r="L97" s="720"/>
      <c r="M97" s="167"/>
      <c r="N97" s="551"/>
      <c r="O97" s="686"/>
    </row>
    <row r="98" spans="1:15" ht="12" customHeight="1">
      <c r="A98" s="519"/>
      <c r="B98" s="169"/>
      <c r="C98" s="166"/>
      <c r="D98" s="501" t="s">
        <v>145</v>
      </c>
      <c r="E98" s="166">
        <v>48230000</v>
      </c>
      <c r="F98" s="548" t="s">
        <v>144</v>
      </c>
      <c r="G98" s="512" t="s">
        <v>143</v>
      </c>
      <c r="H98" s="166">
        <v>48230000</v>
      </c>
      <c r="I98" s="725">
        <f aca="true" t="shared" si="19" ref="I98:I104">+H98/E98*100</f>
        <v>100</v>
      </c>
      <c r="J98" s="166">
        <v>48230000</v>
      </c>
      <c r="K98" s="725">
        <f aca="true" t="shared" si="20" ref="K98:K104">+J98/E98*100</f>
        <v>100</v>
      </c>
      <c r="L98" s="718"/>
      <c r="M98" s="167"/>
      <c r="N98" s="485"/>
      <c r="O98" s="686"/>
    </row>
    <row r="99" spans="1:15" ht="12" customHeight="1">
      <c r="A99" s="519"/>
      <c r="B99" s="169"/>
      <c r="C99" s="166"/>
      <c r="D99" s="501" t="s">
        <v>142</v>
      </c>
      <c r="E99" s="166">
        <v>48150000</v>
      </c>
      <c r="F99" s="548" t="s">
        <v>146</v>
      </c>
      <c r="G99" s="512" t="s">
        <v>143</v>
      </c>
      <c r="H99" s="166">
        <v>48150000</v>
      </c>
      <c r="I99" s="725">
        <f t="shared" si="19"/>
        <v>100</v>
      </c>
      <c r="J99" s="166">
        <v>48150000</v>
      </c>
      <c r="K99" s="725">
        <f t="shared" si="20"/>
        <v>100</v>
      </c>
      <c r="L99" s="718"/>
      <c r="M99" s="167"/>
      <c r="N99" s="485"/>
      <c r="O99" s="686"/>
    </row>
    <row r="100" spans="1:15" ht="12" customHeight="1">
      <c r="A100" s="519"/>
      <c r="B100" s="169"/>
      <c r="C100" s="166"/>
      <c r="D100" s="501" t="s">
        <v>147</v>
      </c>
      <c r="E100" s="166">
        <v>38280000</v>
      </c>
      <c r="F100" s="549" t="s">
        <v>148</v>
      </c>
      <c r="G100" s="512">
        <v>43556</v>
      </c>
      <c r="H100" s="166">
        <v>38280000</v>
      </c>
      <c r="I100" s="725">
        <f t="shared" si="19"/>
        <v>100</v>
      </c>
      <c r="J100" s="166">
        <v>38280000</v>
      </c>
      <c r="K100" s="725">
        <f t="shared" si="20"/>
        <v>100</v>
      </c>
      <c r="L100" s="718"/>
      <c r="M100" s="167"/>
      <c r="N100" s="485"/>
      <c r="O100" s="686"/>
    </row>
    <row r="101" spans="1:15" ht="12" customHeight="1">
      <c r="A101" s="519"/>
      <c r="B101" s="169"/>
      <c r="C101" s="166"/>
      <c r="D101" s="501" t="s">
        <v>149</v>
      </c>
      <c r="E101" s="166">
        <v>48260000</v>
      </c>
      <c r="F101" s="549" t="s">
        <v>148</v>
      </c>
      <c r="G101" s="512">
        <v>43556</v>
      </c>
      <c r="H101" s="166">
        <v>48260000</v>
      </c>
      <c r="I101" s="725">
        <f t="shared" si="19"/>
        <v>100</v>
      </c>
      <c r="J101" s="166">
        <v>48260000</v>
      </c>
      <c r="K101" s="725">
        <f t="shared" si="20"/>
        <v>100</v>
      </c>
      <c r="L101" s="718"/>
      <c r="M101" s="167"/>
      <c r="N101" s="485"/>
      <c r="O101" s="686"/>
    </row>
    <row r="102" spans="1:15" ht="12" customHeight="1">
      <c r="A102" s="519"/>
      <c r="B102" s="169"/>
      <c r="C102" s="166"/>
      <c r="D102" s="501" t="s">
        <v>150</v>
      </c>
      <c r="E102" s="166">
        <v>38170000</v>
      </c>
      <c r="F102" s="549" t="s">
        <v>148</v>
      </c>
      <c r="G102" s="512">
        <v>43556</v>
      </c>
      <c r="H102" s="166">
        <v>38170000</v>
      </c>
      <c r="I102" s="725">
        <f t="shared" si="19"/>
        <v>100</v>
      </c>
      <c r="J102" s="166">
        <v>38170000</v>
      </c>
      <c r="K102" s="725">
        <f t="shared" si="20"/>
        <v>100</v>
      </c>
      <c r="L102" s="718"/>
      <c r="M102" s="167"/>
      <c r="N102" s="485"/>
      <c r="O102" s="686"/>
    </row>
    <row r="103" spans="1:15" ht="12" customHeight="1">
      <c r="A103" s="519"/>
      <c r="B103" s="169"/>
      <c r="C103" s="166"/>
      <c r="D103" s="501" t="s">
        <v>151</v>
      </c>
      <c r="E103" s="166">
        <v>48125000</v>
      </c>
      <c r="F103" s="550" t="s">
        <v>152</v>
      </c>
      <c r="G103" s="512">
        <v>43556</v>
      </c>
      <c r="H103" s="166">
        <v>48125000</v>
      </c>
      <c r="I103" s="725">
        <f t="shared" si="19"/>
        <v>100</v>
      </c>
      <c r="J103" s="166">
        <v>48125000</v>
      </c>
      <c r="K103" s="725">
        <f t="shared" si="20"/>
        <v>100</v>
      </c>
      <c r="L103" s="718"/>
      <c r="M103" s="167"/>
      <c r="N103" s="485"/>
      <c r="O103" s="686"/>
    </row>
    <row r="104" spans="1:15" ht="12" customHeight="1">
      <c r="A104" s="782"/>
      <c r="B104" s="490"/>
      <c r="C104" s="166"/>
      <c r="D104" s="501" t="s">
        <v>153</v>
      </c>
      <c r="E104" s="166">
        <v>38170000</v>
      </c>
      <c r="F104" s="550" t="s">
        <v>152</v>
      </c>
      <c r="G104" s="512">
        <v>43556</v>
      </c>
      <c r="H104" s="166">
        <v>38170000</v>
      </c>
      <c r="I104" s="725">
        <f t="shared" si="19"/>
        <v>100</v>
      </c>
      <c r="J104" s="166">
        <v>38170000</v>
      </c>
      <c r="K104" s="725">
        <f t="shared" si="20"/>
        <v>100</v>
      </c>
      <c r="L104" s="718"/>
      <c r="M104" s="167"/>
      <c r="N104" s="485"/>
      <c r="O104" s="686"/>
    </row>
    <row r="105" spans="1:15" ht="12" customHeight="1">
      <c r="A105" s="783">
        <v>8</v>
      </c>
      <c r="B105" s="638" t="s">
        <v>70</v>
      </c>
      <c r="C105" s="667">
        <f>SUM(C106:C106)</f>
        <v>100000000</v>
      </c>
      <c r="D105" s="668"/>
      <c r="E105" s="667">
        <f>SUM(E106:E106)</f>
        <v>0</v>
      </c>
      <c r="F105" s="668"/>
      <c r="G105" s="669"/>
      <c r="H105" s="639">
        <f>SUM(H106:H106)</f>
        <v>96741083</v>
      </c>
      <c r="I105" s="543">
        <f>+H105/C105*100</f>
        <v>96.741083</v>
      </c>
      <c r="J105" s="639">
        <f>SUM(J106:J106)</f>
        <v>96741083</v>
      </c>
      <c r="K105" s="639">
        <f>+J105/C105*100</f>
        <v>96.741083</v>
      </c>
      <c r="L105" s="718">
        <v>100</v>
      </c>
      <c r="M105" s="545">
        <f>+J105/C105*100</f>
        <v>96.741083</v>
      </c>
      <c r="N105" s="670">
        <f>C105-J105</f>
        <v>3258917</v>
      </c>
      <c r="O105" s="686"/>
    </row>
    <row r="106" spans="1:15" ht="12" customHeight="1">
      <c r="A106" s="475"/>
      <c r="B106" s="742" t="s">
        <v>169</v>
      </c>
      <c r="C106" s="743">
        <v>100000000</v>
      </c>
      <c r="D106" s="744"/>
      <c r="E106" s="167"/>
      <c r="F106" s="491"/>
      <c r="G106" s="492"/>
      <c r="H106" s="745">
        <f>1400000+47496500+39187481+3057102+1900000+3700000</f>
        <v>96741083</v>
      </c>
      <c r="I106" s="483">
        <f>+H106/C106*100</f>
        <v>96.741083</v>
      </c>
      <c r="J106" s="745">
        <f>1400000+47496500+39187481+3057102+1900000+3700000</f>
        <v>96741083</v>
      </c>
      <c r="K106" s="166">
        <f>+J106/C106*100</f>
        <v>96.741083</v>
      </c>
      <c r="L106" s="718">
        <v>100</v>
      </c>
      <c r="M106" s="167">
        <f>+J106/C106*100</f>
        <v>96.741083</v>
      </c>
      <c r="N106" s="485">
        <f>C106-J106</f>
        <v>3258917</v>
      </c>
      <c r="O106" s="686"/>
    </row>
    <row r="107" spans="1:15" ht="12" customHeight="1" thickBot="1">
      <c r="A107" s="489"/>
      <c r="B107" s="672"/>
      <c r="C107" s="673"/>
      <c r="D107" s="674"/>
      <c r="E107" s="167"/>
      <c r="F107" s="491"/>
      <c r="G107" s="492"/>
      <c r="H107" s="675"/>
      <c r="I107" s="676"/>
      <c r="J107" s="745"/>
      <c r="K107" s="678"/>
      <c r="L107" s="678"/>
      <c r="M107" s="678"/>
      <c r="N107" s="679"/>
      <c r="O107" s="798"/>
    </row>
    <row r="108" spans="1:15" ht="15" thickBot="1">
      <c r="A108" s="671"/>
      <c r="B108" s="103"/>
      <c r="C108" s="609">
        <f>C10+C24</f>
        <v>13112358353</v>
      </c>
      <c r="D108" s="609"/>
      <c r="E108" s="609">
        <f>+E10+E24</f>
        <v>4246436804</v>
      </c>
      <c r="F108" s="609">
        <f>F25+F38+F48+F51+F74+F90+F94+F105</f>
        <v>0</v>
      </c>
      <c r="G108" s="610"/>
      <c r="H108" s="611">
        <f>+H10+H24</f>
        <v>12518975885</v>
      </c>
      <c r="I108" s="608">
        <f>+H108/C108*100</f>
        <v>95.47463200726024</v>
      </c>
      <c r="J108" s="612">
        <f>+J10+J24</f>
        <v>12518975885</v>
      </c>
      <c r="K108" s="607">
        <f>+J108/C108*100</f>
        <v>95.47463200726024</v>
      </c>
      <c r="L108" s="721">
        <v>100</v>
      </c>
      <c r="M108" s="607">
        <f>+J108/C108*100</f>
        <v>95.47463200726024</v>
      </c>
      <c r="N108" s="614">
        <f>N10+N24</f>
        <v>593382468</v>
      </c>
      <c r="O108" s="606"/>
    </row>
    <row r="109" spans="1:14" ht="12.75">
      <c r="A109" s="126"/>
      <c r="B109" s="135"/>
      <c r="C109" s="136"/>
      <c r="D109" s="208"/>
      <c r="E109" s="60"/>
      <c r="F109" s="207"/>
      <c r="G109" s="244"/>
      <c r="H109" s="44"/>
      <c r="I109" s="797"/>
      <c r="J109" s="1"/>
      <c r="K109" s="117"/>
      <c r="L109" s="722" t="s">
        <v>194</v>
      </c>
      <c r="M109" s="117"/>
      <c r="N109" s="117"/>
    </row>
    <row r="110" spans="1:14" ht="12.75">
      <c r="A110" s="126"/>
      <c r="B110" s="138"/>
      <c r="C110" s="84"/>
      <c r="D110" s="199"/>
      <c r="E110" s="139"/>
      <c r="F110" s="207"/>
      <c r="G110" s="244"/>
      <c r="H110" s="45"/>
      <c r="I110" s="317"/>
      <c r="J110" s="1"/>
      <c r="K110" s="797"/>
      <c r="L110" s="317" t="s">
        <v>191</v>
      </c>
      <c r="M110" s="797"/>
      <c r="N110" s="797"/>
    </row>
    <row r="111" spans="1:14" ht="12.75">
      <c r="A111" s="126"/>
      <c r="B111" s="138"/>
      <c r="C111" s="84"/>
      <c r="D111" s="199"/>
      <c r="E111" s="139"/>
      <c r="F111" s="207"/>
      <c r="G111" s="244"/>
      <c r="H111" s="45"/>
      <c r="I111" s="317"/>
      <c r="J111" s="1"/>
      <c r="K111" s="799"/>
      <c r="L111" s="317"/>
      <c r="M111" s="799"/>
      <c r="N111" s="799"/>
    </row>
    <row r="112" spans="1:14" ht="12.75">
      <c r="A112" s="126"/>
      <c r="B112" s="138"/>
      <c r="C112" s="84"/>
      <c r="D112" s="199"/>
      <c r="E112" s="139"/>
      <c r="F112" s="207"/>
      <c r="G112" s="244"/>
      <c r="H112" s="45"/>
      <c r="I112" s="317"/>
      <c r="J112" s="1"/>
      <c r="K112" s="799"/>
      <c r="L112" s="317"/>
      <c r="M112" s="799"/>
      <c r="N112" s="799"/>
    </row>
    <row r="113" spans="1:14" ht="12.75">
      <c r="A113" s="126"/>
      <c r="B113" s="138"/>
      <c r="C113" s="84"/>
      <c r="D113" s="199"/>
      <c r="E113" s="139"/>
      <c r="F113" s="207"/>
      <c r="G113" s="244"/>
      <c r="H113" s="45"/>
      <c r="I113" s="317"/>
      <c r="J113" s="1"/>
      <c r="K113" s="799"/>
      <c r="L113" s="723" t="s">
        <v>74</v>
      </c>
      <c r="M113" s="799"/>
      <c r="N113" s="799"/>
    </row>
    <row r="114" spans="1:14" ht="12.75">
      <c r="A114" s="126"/>
      <c r="B114" s="105" t="s">
        <v>82</v>
      </c>
      <c r="C114" s="106">
        <f>H108/C108*100</f>
        <v>95.47463200726024</v>
      </c>
      <c r="D114" s="222"/>
      <c r="E114" s="60"/>
      <c r="F114" s="208"/>
      <c r="G114" s="224"/>
      <c r="H114" s="44"/>
      <c r="I114" s="797"/>
      <c r="J114" s="1"/>
      <c r="K114" s="799"/>
      <c r="L114" s="317" t="s">
        <v>75</v>
      </c>
      <c r="M114" s="799"/>
      <c r="N114" s="799"/>
    </row>
    <row r="115" spans="1:14" ht="12.75">
      <c r="A115" s="126"/>
      <c r="B115" s="105"/>
      <c r="C115" s="106"/>
      <c r="D115" s="222"/>
      <c r="E115" s="60"/>
      <c r="F115" s="208"/>
      <c r="G115" s="224"/>
      <c r="H115" s="44"/>
      <c r="I115" s="797"/>
      <c r="J115" s="1"/>
      <c r="K115" s="797"/>
      <c r="L115" s="723"/>
      <c r="M115" s="797"/>
      <c r="N115" s="797"/>
    </row>
    <row r="116" spans="1:14" ht="12.75">
      <c r="A116" s="126"/>
      <c r="B116" s="140"/>
      <c r="C116" s="141"/>
      <c r="D116" s="223"/>
      <c r="E116" s="60"/>
      <c r="F116" s="208"/>
      <c r="G116" s="224"/>
      <c r="H116" s="44"/>
      <c r="I116" s="797"/>
      <c r="J116" s="1"/>
      <c r="K116" s="797"/>
      <c r="L116" s="317" t="s">
        <v>75</v>
      </c>
      <c r="M116" s="797"/>
      <c r="N116" s="797"/>
    </row>
    <row r="123" ht="12.75" customHeight="1"/>
    <row r="124" ht="12.75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</sheetData>
  <sheetProtection/>
  <mergeCells count="38">
    <mergeCell ref="N57:N59"/>
    <mergeCell ref="O57:O59"/>
    <mergeCell ref="H58:H59"/>
    <mergeCell ref="I58:I59"/>
    <mergeCell ref="J58:J59"/>
    <mergeCell ref="K58:K59"/>
    <mergeCell ref="L58:L59"/>
    <mergeCell ref="M58:M59"/>
    <mergeCell ref="M7:M8"/>
    <mergeCell ref="A57:A59"/>
    <mergeCell ref="B57:B59"/>
    <mergeCell ref="C57:C59"/>
    <mergeCell ref="D57:D59"/>
    <mergeCell ref="E57:E59"/>
    <mergeCell ref="F57:F59"/>
    <mergeCell ref="G57:G59"/>
    <mergeCell ref="H57:K57"/>
    <mergeCell ref="L57:M57"/>
    <mergeCell ref="G6:G8"/>
    <mergeCell ref="H6:K6"/>
    <mergeCell ref="L6:M6"/>
    <mergeCell ref="N6:N8"/>
    <mergeCell ref="O6:O8"/>
    <mergeCell ref="H7:H8"/>
    <mergeCell ref="I7:I8"/>
    <mergeCell ref="J7:J8"/>
    <mergeCell ref="K7:K8"/>
    <mergeCell ref="L7:L8"/>
    <mergeCell ref="A1:N1"/>
    <mergeCell ref="A2:N2"/>
    <mergeCell ref="A3:N3"/>
    <mergeCell ref="A5:B5"/>
    <mergeCell ref="A6:A8"/>
    <mergeCell ref="B6:B8"/>
    <mergeCell ref="C6:C8"/>
    <mergeCell ref="D6:D8"/>
    <mergeCell ref="E6:E8"/>
    <mergeCell ref="F6:F8"/>
  </mergeCells>
  <printOptions horizontalCentered="1"/>
  <pageMargins left="0.4330708661417323" right="0.4330708661417323" top="0.7480314960629921" bottom="0.7480314960629921" header="0.31496062992125984" footer="0.31496062992125984"/>
  <pageSetup orientation="landscape" paperSize="5" scale="70" r:id="rId1"/>
  <rowBreaks count="2" manualBreakCount="2">
    <brk id="56" max="17" man="1"/>
    <brk id="11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12"/>
  <sheetViews>
    <sheetView zoomScalePageLayoutView="0" workbookViewId="0" topLeftCell="A1">
      <selection activeCell="F271" sqref="F271"/>
    </sheetView>
  </sheetViews>
  <sheetFormatPr defaultColWidth="9.140625" defaultRowHeight="12.75"/>
  <cols>
    <col min="1" max="1" width="4.00390625" style="1" customWidth="1"/>
    <col min="2" max="2" width="63.421875" style="1" customWidth="1"/>
    <col min="3" max="3" width="15.8515625" style="1" customWidth="1"/>
    <col min="4" max="4" width="14.7109375" style="1" customWidth="1"/>
    <col min="5" max="5" width="18.7109375" style="1" customWidth="1"/>
    <col min="6" max="6" width="15.00390625" style="1" customWidth="1"/>
    <col min="7" max="7" width="6.28125" style="1" customWidth="1"/>
    <col min="8" max="8" width="14.7109375" style="1" customWidth="1"/>
    <col min="9" max="9" width="7.8515625" style="1" customWidth="1"/>
    <col min="10" max="10" width="6.8515625" style="1" customWidth="1"/>
    <col min="11" max="11" width="5.8515625" style="1" customWidth="1"/>
    <col min="12" max="12" width="14.7109375" style="1" customWidth="1"/>
    <col min="13" max="13" width="5.8515625" style="1" customWidth="1"/>
    <col min="14" max="14" width="10.28125" style="1" customWidth="1"/>
    <col min="15" max="16" width="15.00390625" style="1" bestFit="1" customWidth="1"/>
    <col min="17" max="17" width="10.00390625" style="1" bestFit="1" customWidth="1"/>
    <col min="18" max="16384" width="9.140625" style="1" customWidth="1"/>
  </cols>
  <sheetData>
    <row r="1" spans="1:14" ht="15.75">
      <c r="A1" s="811" t="s">
        <v>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150"/>
    </row>
    <row r="2" spans="1:14" ht="12.75">
      <c r="A2" s="812" t="s">
        <v>83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151"/>
    </row>
    <row r="3" spans="1:14" ht="12.75">
      <c r="A3" s="813" t="s">
        <v>77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164"/>
    </row>
    <row r="4" spans="1:14" ht="12.75">
      <c r="A4" s="60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2.75">
      <c r="A5" s="144" t="s">
        <v>100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ht="12.75">
      <c r="A6" s="60"/>
    </row>
    <row r="7" spans="1:14" ht="12.75">
      <c r="A7" s="808" t="s">
        <v>2</v>
      </c>
      <c r="B7" s="808" t="s">
        <v>3</v>
      </c>
      <c r="C7" s="808" t="s">
        <v>4</v>
      </c>
      <c r="D7" s="808" t="s">
        <v>5</v>
      </c>
      <c r="E7" s="808" t="s">
        <v>6</v>
      </c>
      <c r="F7" s="816" t="s">
        <v>7</v>
      </c>
      <c r="G7" s="817"/>
      <c r="H7" s="817"/>
      <c r="I7" s="818"/>
      <c r="J7" s="816" t="s">
        <v>8</v>
      </c>
      <c r="K7" s="818"/>
      <c r="L7" s="805" t="s">
        <v>87</v>
      </c>
      <c r="M7" s="808" t="s">
        <v>9</v>
      </c>
      <c r="N7" s="155"/>
    </row>
    <row r="8" spans="1:14" ht="12.75">
      <c r="A8" s="806"/>
      <c r="B8" s="806"/>
      <c r="C8" s="806"/>
      <c r="D8" s="814"/>
      <c r="E8" s="806"/>
      <c r="F8" s="809" t="s">
        <v>10</v>
      </c>
      <c r="G8" s="808" t="s">
        <v>11</v>
      </c>
      <c r="H8" s="808" t="s">
        <v>12</v>
      </c>
      <c r="I8" s="808" t="s">
        <v>11</v>
      </c>
      <c r="J8" s="808" t="s">
        <v>13</v>
      </c>
      <c r="K8" s="808" t="s">
        <v>14</v>
      </c>
      <c r="L8" s="806"/>
      <c r="M8" s="806"/>
      <c r="N8" s="155"/>
    </row>
    <row r="9" spans="1:14" ht="12.75">
      <c r="A9" s="807"/>
      <c r="B9" s="807"/>
      <c r="C9" s="807"/>
      <c r="D9" s="815"/>
      <c r="E9" s="807"/>
      <c r="F9" s="810"/>
      <c r="G9" s="807"/>
      <c r="H9" s="807"/>
      <c r="I9" s="807"/>
      <c r="J9" s="807"/>
      <c r="K9" s="807"/>
      <c r="L9" s="807"/>
      <c r="M9" s="807"/>
      <c r="N9" s="155"/>
    </row>
    <row r="10" spans="1:14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156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56"/>
    </row>
    <row r="12" spans="1:14" ht="12.75">
      <c r="A12" s="61" t="s">
        <v>15</v>
      </c>
      <c r="B12" s="62" t="s">
        <v>16</v>
      </c>
      <c r="C12" s="4">
        <f>SUM(C13:C23)</f>
        <v>2320392000</v>
      </c>
      <c r="D12" s="63"/>
      <c r="E12" s="114"/>
      <c r="F12" s="4">
        <f>SUM(F13:F23)</f>
        <v>399221204</v>
      </c>
      <c r="G12" s="64">
        <f>SUM(F12/C12*100)</f>
        <v>17.204903481825482</v>
      </c>
      <c r="H12" s="4">
        <f>SUM(H13:H23)</f>
        <v>399221204</v>
      </c>
      <c r="I12" s="145">
        <f>SUM(H12/C12*100)</f>
        <v>17.204903481825482</v>
      </c>
      <c r="J12" s="64">
        <v>3</v>
      </c>
      <c r="K12" s="64">
        <f>(K13+K14+K15+K16+K17+K18+K19+K20+K21+K22+K23)/11</f>
        <v>17.752495284937705</v>
      </c>
      <c r="L12" s="4">
        <f>SUM(L13:L23)</f>
        <v>1921170796</v>
      </c>
      <c r="M12" s="63"/>
      <c r="N12" s="148"/>
    </row>
    <row r="13" spans="1:15" ht="12.75">
      <c r="A13" s="66">
        <v>1</v>
      </c>
      <c r="B13" s="47" t="s">
        <v>17</v>
      </c>
      <c r="C13" s="5">
        <v>1209000000</v>
      </c>
      <c r="D13" s="63"/>
      <c r="E13" s="63"/>
      <c r="F13" s="114">
        <v>291964100</v>
      </c>
      <c r="G13" s="37">
        <f>SUM(F13/C13*100)</f>
        <v>24.149222497932175</v>
      </c>
      <c r="H13" s="114">
        <v>291964100</v>
      </c>
      <c r="I13" s="145">
        <f aca="true" t="shared" si="0" ref="I13:I19">SUM(H13/C13*100)</f>
        <v>24.149222497932175</v>
      </c>
      <c r="J13" s="37">
        <v>3</v>
      </c>
      <c r="K13" s="37">
        <f>I13</f>
        <v>24.149222497932175</v>
      </c>
      <c r="L13" s="37">
        <f>C13-H13</f>
        <v>917035900</v>
      </c>
      <c r="M13" s="63"/>
      <c r="N13" s="148"/>
      <c r="O13" s="1">
        <f>648845000/2320392000</f>
        <v>0.27962732159048986</v>
      </c>
    </row>
    <row r="14" spans="1:14" ht="12.75">
      <c r="A14" s="66">
        <v>2</v>
      </c>
      <c r="B14" s="47" t="s">
        <v>18</v>
      </c>
      <c r="C14" s="5">
        <v>132000000</v>
      </c>
      <c r="D14" s="63"/>
      <c r="E14" s="63"/>
      <c r="F14" s="5">
        <v>32363252</v>
      </c>
      <c r="G14" s="37">
        <f>SUM(F14/C14*100)</f>
        <v>24.51761515151515</v>
      </c>
      <c r="H14" s="5">
        <v>32363252</v>
      </c>
      <c r="I14" s="145">
        <f t="shared" si="0"/>
        <v>24.51761515151515</v>
      </c>
      <c r="J14" s="37">
        <v>3</v>
      </c>
      <c r="K14" s="37">
        <f aca="true" t="shared" si="1" ref="K14:K23">I14</f>
        <v>24.51761515151515</v>
      </c>
      <c r="L14" s="37">
        <f aca="true" t="shared" si="2" ref="L14:L23">C14-H14</f>
        <v>99636748</v>
      </c>
      <c r="M14" s="63"/>
      <c r="N14" s="148"/>
    </row>
    <row r="15" spans="1:14" ht="12.75">
      <c r="A15" s="66">
        <v>3</v>
      </c>
      <c r="B15" s="47" t="s">
        <v>19</v>
      </c>
      <c r="C15" s="5">
        <v>165000000</v>
      </c>
      <c r="D15" s="63"/>
      <c r="E15" s="63"/>
      <c r="F15" s="5">
        <v>34875000</v>
      </c>
      <c r="G15" s="37">
        <f aca="true" t="shared" si="3" ref="G15:G23">SUM(F15/C15*100)</f>
        <v>21.136363636363637</v>
      </c>
      <c r="H15" s="5">
        <v>34875000</v>
      </c>
      <c r="I15" s="145">
        <f t="shared" si="0"/>
        <v>21.136363636363637</v>
      </c>
      <c r="J15" s="37">
        <v>3</v>
      </c>
      <c r="K15" s="37">
        <f t="shared" si="1"/>
        <v>21.136363636363637</v>
      </c>
      <c r="L15" s="37">
        <f t="shared" si="2"/>
        <v>130125000</v>
      </c>
      <c r="M15" s="63"/>
      <c r="N15" s="148"/>
    </row>
    <row r="16" spans="1:14" ht="12.75">
      <c r="A16" s="66">
        <v>4</v>
      </c>
      <c r="B16" s="47" t="s">
        <v>20</v>
      </c>
      <c r="C16" s="5">
        <v>23000000</v>
      </c>
      <c r="D16" s="63"/>
      <c r="E16" s="63"/>
      <c r="F16" s="5">
        <v>7365000</v>
      </c>
      <c r="G16" s="37">
        <f t="shared" si="3"/>
        <v>32.02173913043478</v>
      </c>
      <c r="H16" s="5">
        <v>7365000</v>
      </c>
      <c r="I16" s="145">
        <f t="shared" si="0"/>
        <v>32.02173913043478</v>
      </c>
      <c r="J16" s="37">
        <v>3</v>
      </c>
      <c r="K16" s="37">
        <f t="shared" si="1"/>
        <v>32.02173913043478</v>
      </c>
      <c r="L16" s="37">
        <f t="shared" si="2"/>
        <v>15635000</v>
      </c>
      <c r="M16" s="63"/>
      <c r="N16" s="148"/>
    </row>
    <row r="17" spans="1:14" ht="12.75">
      <c r="A17" s="66">
        <v>5</v>
      </c>
      <c r="B17" s="47" t="s">
        <v>21</v>
      </c>
      <c r="C17" s="5">
        <v>64000000</v>
      </c>
      <c r="D17" s="63"/>
      <c r="E17" s="63"/>
      <c r="F17" s="5">
        <v>19553400</v>
      </c>
      <c r="G17" s="37">
        <f t="shared" si="3"/>
        <v>30.5521875</v>
      </c>
      <c r="H17" s="5">
        <v>19553400</v>
      </c>
      <c r="I17" s="145">
        <f t="shared" si="0"/>
        <v>30.5521875</v>
      </c>
      <c r="J17" s="37">
        <v>3</v>
      </c>
      <c r="K17" s="37">
        <f t="shared" si="1"/>
        <v>30.5521875</v>
      </c>
      <c r="L17" s="37">
        <f t="shared" si="2"/>
        <v>44446600</v>
      </c>
      <c r="M17" s="63"/>
      <c r="N17" s="148"/>
    </row>
    <row r="18" spans="1:14" ht="12.75">
      <c r="A18" s="66">
        <v>6</v>
      </c>
      <c r="B18" s="47" t="s">
        <v>22</v>
      </c>
      <c r="C18" s="5">
        <v>10045000</v>
      </c>
      <c r="D18" s="63"/>
      <c r="E18" s="63"/>
      <c r="F18" s="5">
        <v>562607</v>
      </c>
      <c r="G18" s="37">
        <f t="shared" si="3"/>
        <v>5.600866102538577</v>
      </c>
      <c r="H18" s="5">
        <v>562607</v>
      </c>
      <c r="I18" s="145">
        <f t="shared" si="0"/>
        <v>5.600866102538577</v>
      </c>
      <c r="J18" s="37">
        <v>3</v>
      </c>
      <c r="K18" s="37">
        <f t="shared" si="1"/>
        <v>5.600866102538577</v>
      </c>
      <c r="L18" s="37">
        <f t="shared" si="2"/>
        <v>9482393</v>
      </c>
      <c r="M18" s="63"/>
      <c r="N18" s="148"/>
    </row>
    <row r="19" spans="1:14" ht="12.75">
      <c r="A19" s="66">
        <v>7</v>
      </c>
      <c r="B19" s="47" t="s">
        <v>23</v>
      </c>
      <c r="C19" s="5">
        <v>157000</v>
      </c>
      <c r="D19" s="63"/>
      <c r="E19" s="63"/>
      <c r="F19" s="5">
        <v>5182</v>
      </c>
      <c r="G19" s="37">
        <f t="shared" si="3"/>
        <v>3.300636942675159</v>
      </c>
      <c r="H19" s="5">
        <v>5182</v>
      </c>
      <c r="I19" s="145">
        <f t="shared" si="0"/>
        <v>3.300636942675159</v>
      </c>
      <c r="J19" s="37">
        <v>3</v>
      </c>
      <c r="K19" s="149">
        <f t="shared" si="1"/>
        <v>3.300636942675159</v>
      </c>
      <c r="L19" s="37">
        <f t="shared" si="2"/>
        <v>151818</v>
      </c>
      <c r="M19" s="63"/>
      <c r="N19" s="148"/>
    </row>
    <row r="20" spans="1:14" ht="12.75">
      <c r="A20" s="66">
        <v>8</v>
      </c>
      <c r="B20" s="47" t="s">
        <v>24</v>
      </c>
      <c r="C20" s="5">
        <v>35000000</v>
      </c>
      <c r="D20" s="63"/>
      <c r="E20" s="63"/>
      <c r="F20" s="5">
        <v>9729821</v>
      </c>
      <c r="G20" s="37">
        <f t="shared" si="3"/>
        <v>27.799488571428572</v>
      </c>
      <c r="H20" s="5">
        <v>9729821</v>
      </c>
      <c r="I20" s="36">
        <f>SUM(H21/C20*100)</f>
        <v>2.002017142857143</v>
      </c>
      <c r="J20" s="37">
        <v>3</v>
      </c>
      <c r="K20" s="37">
        <f t="shared" si="1"/>
        <v>2.002017142857143</v>
      </c>
      <c r="L20" s="37">
        <f t="shared" si="2"/>
        <v>25270179</v>
      </c>
      <c r="M20" s="63"/>
      <c r="N20" s="148"/>
    </row>
    <row r="21" spans="1:14" ht="12.75">
      <c r="A21" s="66">
        <v>9</v>
      </c>
      <c r="B21" s="47" t="s">
        <v>25</v>
      </c>
      <c r="C21" s="5">
        <v>4305000</v>
      </c>
      <c r="D21" s="63"/>
      <c r="E21" s="63"/>
      <c r="F21" s="5">
        <v>700706</v>
      </c>
      <c r="G21" s="37">
        <f t="shared" si="3"/>
        <v>16.27656213704994</v>
      </c>
      <c r="H21" s="5">
        <v>700706</v>
      </c>
      <c r="I21" s="36">
        <f>SUM(H21/C21*100)</f>
        <v>16.27656213704994</v>
      </c>
      <c r="J21" s="37">
        <v>3</v>
      </c>
      <c r="K21" s="37">
        <f t="shared" si="1"/>
        <v>16.27656213704994</v>
      </c>
      <c r="L21" s="37">
        <f t="shared" si="2"/>
        <v>3604294</v>
      </c>
      <c r="M21" s="63"/>
      <c r="N21" s="148"/>
    </row>
    <row r="22" spans="1:14" ht="12.75">
      <c r="A22" s="66">
        <v>10</v>
      </c>
      <c r="B22" s="47" t="s">
        <v>26</v>
      </c>
      <c r="C22" s="5">
        <v>5885000</v>
      </c>
      <c r="D22" s="63"/>
      <c r="E22" s="63"/>
      <c r="F22" s="5">
        <v>2102136</v>
      </c>
      <c r="G22" s="37">
        <f t="shared" si="3"/>
        <v>35.72023789294818</v>
      </c>
      <c r="H22" s="5">
        <v>2102136</v>
      </c>
      <c r="I22" s="36">
        <f>SUM(H22/C22*100)</f>
        <v>35.72023789294818</v>
      </c>
      <c r="J22" s="37">
        <v>3</v>
      </c>
      <c r="K22" s="37">
        <f t="shared" si="1"/>
        <v>35.72023789294818</v>
      </c>
      <c r="L22" s="37">
        <f t="shared" si="2"/>
        <v>3782864</v>
      </c>
      <c r="M22" s="63"/>
      <c r="N22" s="148"/>
    </row>
    <row r="23" spans="1:14" ht="12.75">
      <c r="A23" s="66">
        <v>11</v>
      </c>
      <c r="B23" s="47" t="s">
        <v>27</v>
      </c>
      <c r="C23" s="5">
        <v>672000000</v>
      </c>
      <c r="D23" s="63"/>
      <c r="E23" s="63"/>
      <c r="F23" s="5"/>
      <c r="G23" s="37">
        <f t="shared" si="3"/>
        <v>0</v>
      </c>
      <c r="H23" s="5">
        <v>0</v>
      </c>
      <c r="I23" s="36">
        <f>SUM(H23/C23*100)</f>
        <v>0</v>
      </c>
      <c r="J23" s="37">
        <v>3</v>
      </c>
      <c r="K23" s="37">
        <f t="shared" si="1"/>
        <v>0</v>
      </c>
      <c r="L23" s="37">
        <f t="shared" si="2"/>
        <v>672000000</v>
      </c>
      <c r="M23" s="63"/>
      <c r="N23" s="148"/>
    </row>
    <row r="24" spans="1:16" ht="12.75">
      <c r="A24" s="66"/>
      <c r="B24" s="47"/>
      <c r="C24" s="5"/>
      <c r="D24" s="63"/>
      <c r="E24" s="63"/>
      <c r="F24" s="5"/>
      <c r="G24" s="37"/>
      <c r="H24" s="5"/>
      <c r="I24" s="36"/>
      <c r="J24" s="37"/>
      <c r="K24" s="37"/>
      <c r="L24" s="37"/>
      <c r="M24" s="63"/>
      <c r="N24" s="148"/>
      <c r="P24" s="120"/>
    </row>
    <row r="25" spans="1:14" ht="12.75">
      <c r="A25" s="61" t="s">
        <v>28</v>
      </c>
      <c r="B25" s="62" t="s">
        <v>29</v>
      </c>
      <c r="C25" s="67">
        <f>C26+C39+C47+C60+C65+C79+C84+C88</f>
        <v>9196607500</v>
      </c>
      <c r="D25" s="67">
        <f>D26+D39+D47+D60+D65+D79+D84+D88</f>
        <v>0</v>
      </c>
      <c r="E25" s="63"/>
      <c r="F25" s="67">
        <f>F26+F39+F47+F60+F65+F79+F84+F88</f>
        <v>907277525</v>
      </c>
      <c r="G25" s="6">
        <f aca="true" t="shared" si="4" ref="G25:G37">SUM(F25/C25*100)</f>
        <v>9.865350076101432</v>
      </c>
      <c r="H25" s="67">
        <f>H26+H39+H47+H60+H65+H79+H84+H88</f>
        <v>907277525</v>
      </c>
      <c r="I25" s="8">
        <f>SUM(H25/C25*100)</f>
        <v>9.865350076101432</v>
      </c>
      <c r="J25" s="6">
        <f>(J26+J39+J47+J60+J65+J79+J84+J88)/8</f>
        <v>16.34375</v>
      </c>
      <c r="K25" s="6">
        <f>(K26+K39+K47+K60+K65+K79+K84+K88)/8</f>
        <v>19.3436001856625</v>
      </c>
      <c r="L25" s="67">
        <f>L26+L39+L47+L60+L65+L79+L84+L88</f>
        <v>8289329975</v>
      </c>
      <c r="M25" s="63"/>
      <c r="N25" s="148"/>
    </row>
    <row r="26" spans="1:15" ht="12.75">
      <c r="A26" s="68">
        <v>1</v>
      </c>
      <c r="B26" s="69" t="s">
        <v>30</v>
      </c>
      <c r="C26" s="67">
        <f>SUM(C27:C37)</f>
        <v>1362525500</v>
      </c>
      <c r="D26" s="67">
        <f>SUM(D27:D37)</f>
        <v>0</v>
      </c>
      <c r="E26" s="70"/>
      <c r="F26" s="6">
        <f>SUM(F27:F37)</f>
        <v>262224146</v>
      </c>
      <c r="G26" s="6">
        <f t="shared" si="4"/>
        <v>19.245448690685055</v>
      </c>
      <c r="H26" s="6">
        <f>SUM(H27:H37)</f>
        <v>262224146</v>
      </c>
      <c r="I26" s="8">
        <f aca="true" t="shared" si="5" ref="I26:I37">SUM(H26/C26*100)</f>
        <v>19.245448690685055</v>
      </c>
      <c r="J26" s="64">
        <v>3</v>
      </c>
      <c r="K26" s="64">
        <f>(K27+K28+K29+K30+K31+K32+K33+K34+K35+K36+K37)/11</f>
        <v>32.5996712544132</v>
      </c>
      <c r="L26" s="6">
        <f>SUM(L27:L37)</f>
        <v>1100301354</v>
      </c>
      <c r="M26" s="56"/>
      <c r="N26" s="86"/>
      <c r="O26" s="153">
        <f>388296000/1362525500</f>
        <v>0.2849825562897722</v>
      </c>
    </row>
    <row r="27" spans="1:15" ht="12.75">
      <c r="A27" s="55">
        <v>1</v>
      </c>
      <c r="B27" s="55" t="s">
        <v>31</v>
      </c>
      <c r="C27" s="71">
        <v>6310000</v>
      </c>
      <c r="D27" s="72" t="s">
        <v>32</v>
      </c>
      <c r="E27" s="72" t="s">
        <v>32</v>
      </c>
      <c r="F27" s="71">
        <v>1800000</v>
      </c>
      <c r="G27" s="37">
        <f t="shared" si="4"/>
        <v>28.526148969889064</v>
      </c>
      <c r="H27" s="71">
        <v>1800000</v>
      </c>
      <c r="I27" s="36">
        <f t="shared" si="5"/>
        <v>28.526148969889064</v>
      </c>
      <c r="J27" s="37">
        <v>3</v>
      </c>
      <c r="K27" s="37">
        <f aca="true" t="shared" si="6" ref="K27:K42">I27</f>
        <v>28.526148969889064</v>
      </c>
      <c r="L27" s="37">
        <f>C27-H27</f>
        <v>4510000</v>
      </c>
      <c r="M27" s="37"/>
      <c r="N27" s="146"/>
      <c r="O27" s="121">
        <f>1800000/6310000</f>
        <v>0.28526148969889065</v>
      </c>
    </row>
    <row r="28" spans="1:17" ht="12.75">
      <c r="A28" s="55">
        <v>2</v>
      </c>
      <c r="B28" s="73" t="s">
        <v>76</v>
      </c>
      <c r="C28" s="71">
        <v>60000000</v>
      </c>
      <c r="D28" s="37"/>
      <c r="E28" s="37"/>
      <c r="F28" s="7">
        <v>14934979</v>
      </c>
      <c r="G28" s="37">
        <f t="shared" si="4"/>
        <v>24.891631666666665</v>
      </c>
      <c r="H28" s="7">
        <v>14934979</v>
      </c>
      <c r="I28" s="36">
        <f t="shared" si="5"/>
        <v>24.891631666666665</v>
      </c>
      <c r="J28" s="37">
        <v>4</v>
      </c>
      <c r="K28" s="37">
        <f t="shared" si="6"/>
        <v>24.891631666666665</v>
      </c>
      <c r="L28" s="37">
        <f aca="true" t="shared" si="7" ref="L28:L48">C28-H28</f>
        <v>45065021</v>
      </c>
      <c r="M28" s="37"/>
      <c r="N28" s="146"/>
      <c r="O28" s="121">
        <f>22500000/60000000</f>
        <v>0.375</v>
      </c>
      <c r="Q28" s="121"/>
    </row>
    <row r="29" spans="1:15" ht="12.75">
      <c r="A29" s="55">
        <v>3</v>
      </c>
      <c r="B29" s="55" t="s">
        <v>33</v>
      </c>
      <c r="C29" s="71">
        <v>31435000</v>
      </c>
      <c r="D29" s="37">
        <v>0</v>
      </c>
      <c r="E29" s="37">
        <v>0</v>
      </c>
      <c r="F29" s="7">
        <v>7409400</v>
      </c>
      <c r="G29" s="37">
        <f t="shared" si="4"/>
        <v>23.570542389056783</v>
      </c>
      <c r="H29" s="7">
        <v>7409400</v>
      </c>
      <c r="I29" s="36">
        <f t="shared" si="5"/>
        <v>23.570542389056783</v>
      </c>
      <c r="J29" s="37">
        <v>3</v>
      </c>
      <c r="K29" s="37">
        <f t="shared" si="6"/>
        <v>23.570542389056783</v>
      </c>
      <c r="L29" s="37">
        <f t="shared" si="7"/>
        <v>24025600</v>
      </c>
      <c r="M29" s="37"/>
      <c r="N29" s="146"/>
      <c r="O29" s="121">
        <f>8610000/31435000</f>
        <v>0.27389852075711785</v>
      </c>
    </row>
    <row r="30" spans="1:15" ht="12.75">
      <c r="A30" s="55">
        <v>4</v>
      </c>
      <c r="B30" s="73" t="s">
        <v>34</v>
      </c>
      <c r="C30" s="71">
        <v>55000000</v>
      </c>
      <c r="D30" s="37">
        <v>0</v>
      </c>
      <c r="E30" s="37">
        <v>0</v>
      </c>
      <c r="F30" s="7">
        <v>18305000</v>
      </c>
      <c r="G30" s="37">
        <f t="shared" si="4"/>
        <v>33.28181818181818</v>
      </c>
      <c r="H30" s="7">
        <v>18305000</v>
      </c>
      <c r="I30" s="36">
        <f t="shared" si="5"/>
        <v>33.28181818181818</v>
      </c>
      <c r="J30" s="37">
        <v>4</v>
      </c>
      <c r="K30" s="37">
        <f t="shared" si="6"/>
        <v>33.28181818181818</v>
      </c>
      <c r="L30" s="37">
        <f t="shared" si="7"/>
        <v>36695000</v>
      </c>
      <c r="M30" s="37"/>
      <c r="N30" s="146"/>
      <c r="O30" s="121">
        <f>20583000/55000000</f>
        <v>0.37423636363636364</v>
      </c>
    </row>
    <row r="31" spans="1:15" ht="12.75">
      <c r="A31" s="55">
        <v>5</v>
      </c>
      <c r="B31" s="73" t="s">
        <v>35</v>
      </c>
      <c r="C31" s="71">
        <v>26676500</v>
      </c>
      <c r="D31" s="37">
        <v>0</v>
      </c>
      <c r="E31" s="37">
        <v>0</v>
      </c>
      <c r="F31" s="7">
        <v>7118000</v>
      </c>
      <c r="G31" s="37">
        <f t="shared" si="4"/>
        <v>26.682660768841487</v>
      </c>
      <c r="H31" s="7">
        <v>7118000</v>
      </c>
      <c r="I31" s="36">
        <f t="shared" si="5"/>
        <v>26.682660768841487</v>
      </c>
      <c r="J31" s="37">
        <v>3</v>
      </c>
      <c r="K31" s="37">
        <f t="shared" si="6"/>
        <v>26.682660768841487</v>
      </c>
      <c r="L31" s="37">
        <f t="shared" si="7"/>
        <v>19558500</v>
      </c>
      <c r="M31" s="37"/>
      <c r="N31" s="146"/>
      <c r="O31" s="121">
        <f>7232000/26676500</f>
        <v>0.27110003186325043</v>
      </c>
    </row>
    <row r="32" spans="1:15" ht="12.75">
      <c r="A32" s="55">
        <v>6</v>
      </c>
      <c r="B32" s="73" t="s">
        <v>36</v>
      </c>
      <c r="C32" s="71">
        <v>4000000</v>
      </c>
      <c r="D32" s="37">
        <v>0</v>
      </c>
      <c r="E32" s="37">
        <v>0</v>
      </c>
      <c r="F32" s="7">
        <v>1995200</v>
      </c>
      <c r="G32" s="37">
        <f t="shared" si="4"/>
        <v>49.88</v>
      </c>
      <c r="H32" s="7">
        <v>1995200</v>
      </c>
      <c r="I32" s="36">
        <f t="shared" si="5"/>
        <v>49.88</v>
      </c>
      <c r="J32" s="37">
        <v>5</v>
      </c>
      <c r="K32" s="37">
        <f t="shared" si="6"/>
        <v>49.88</v>
      </c>
      <c r="L32" s="37">
        <f t="shared" si="7"/>
        <v>2004800</v>
      </c>
      <c r="M32" s="37"/>
      <c r="N32" s="146"/>
      <c r="O32" s="121">
        <f>2000000/4000000</f>
        <v>0.5</v>
      </c>
    </row>
    <row r="33" spans="1:15" ht="12.75">
      <c r="A33" s="55">
        <v>7</v>
      </c>
      <c r="B33" s="73" t="s">
        <v>37</v>
      </c>
      <c r="C33" s="71">
        <v>13076000</v>
      </c>
      <c r="D33" s="37">
        <v>0</v>
      </c>
      <c r="E33" s="37">
        <v>0</v>
      </c>
      <c r="F33" s="7">
        <v>8761950</v>
      </c>
      <c r="G33" s="37">
        <f t="shared" si="4"/>
        <v>67.00787702661364</v>
      </c>
      <c r="H33" s="7">
        <v>8761950</v>
      </c>
      <c r="I33" s="36">
        <f t="shared" si="5"/>
        <v>67.00787702661364</v>
      </c>
      <c r="J33" s="37">
        <v>7</v>
      </c>
      <c r="K33" s="37">
        <f t="shared" si="6"/>
        <v>67.00787702661364</v>
      </c>
      <c r="L33" s="37">
        <f t="shared" si="7"/>
        <v>4314050</v>
      </c>
      <c r="M33" s="37"/>
      <c r="N33" s="146"/>
      <c r="O33" s="121">
        <f>9000000/13076000</f>
        <v>0.6882838788620373</v>
      </c>
    </row>
    <row r="34" spans="1:15" ht="12.75">
      <c r="A34" s="55">
        <v>8</v>
      </c>
      <c r="B34" s="73" t="s">
        <v>38</v>
      </c>
      <c r="C34" s="71">
        <v>7500000</v>
      </c>
      <c r="D34" s="37">
        <v>0</v>
      </c>
      <c r="E34" s="37">
        <v>0</v>
      </c>
      <c r="F34" s="7">
        <v>2180000</v>
      </c>
      <c r="G34" s="37">
        <f t="shared" si="4"/>
        <v>29.06666666666667</v>
      </c>
      <c r="H34" s="7">
        <v>2180000</v>
      </c>
      <c r="I34" s="36">
        <f t="shared" si="5"/>
        <v>29.06666666666667</v>
      </c>
      <c r="J34" s="37">
        <v>4</v>
      </c>
      <c r="K34" s="37">
        <f t="shared" si="6"/>
        <v>29.06666666666667</v>
      </c>
      <c r="L34" s="37">
        <f t="shared" si="7"/>
        <v>5320000</v>
      </c>
      <c r="M34" s="37"/>
      <c r="N34" s="146"/>
      <c r="O34" s="121">
        <f>2625000/7500000</f>
        <v>0.35</v>
      </c>
    </row>
    <row r="35" spans="1:15" ht="12.75">
      <c r="A35" s="55">
        <v>9</v>
      </c>
      <c r="B35" s="73" t="s">
        <v>39</v>
      </c>
      <c r="C35" s="71">
        <v>30000000</v>
      </c>
      <c r="D35" s="37">
        <v>0</v>
      </c>
      <c r="E35" s="37">
        <v>0</v>
      </c>
      <c r="F35" s="7">
        <v>10515700</v>
      </c>
      <c r="G35" s="37">
        <f t="shared" si="4"/>
        <v>35.05233333333334</v>
      </c>
      <c r="H35" s="7">
        <v>10515700</v>
      </c>
      <c r="I35" s="36">
        <f t="shared" si="5"/>
        <v>35.05233333333334</v>
      </c>
      <c r="J35" s="37">
        <v>4</v>
      </c>
      <c r="K35" s="37">
        <f t="shared" si="6"/>
        <v>35.05233333333334</v>
      </c>
      <c r="L35" s="37">
        <f t="shared" si="7"/>
        <v>19484300</v>
      </c>
      <c r="M35" s="37"/>
      <c r="N35" s="146"/>
      <c r="O35" s="121">
        <f>10520000/30000000</f>
        <v>0.3506666666666667</v>
      </c>
    </row>
    <row r="36" spans="1:15" ht="12.75">
      <c r="A36" s="55">
        <v>10</v>
      </c>
      <c r="B36" s="73" t="s">
        <v>40</v>
      </c>
      <c r="C36" s="71">
        <v>200000000</v>
      </c>
      <c r="D36" s="37">
        <v>0</v>
      </c>
      <c r="E36" s="37">
        <v>0</v>
      </c>
      <c r="F36" s="7">
        <v>51643661</v>
      </c>
      <c r="G36" s="37">
        <f t="shared" si="4"/>
        <v>25.821830499999997</v>
      </c>
      <c r="H36" s="7">
        <v>51643661</v>
      </c>
      <c r="I36" s="36">
        <f t="shared" si="5"/>
        <v>25.821830499999997</v>
      </c>
      <c r="J36" s="37">
        <v>4</v>
      </c>
      <c r="K36" s="37">
        <f t="shared" si="6"/>
        <v>25.821830499999997</v>
      </c>
      <c r="L36" s="37">
        <f t="shared" si="7"/>
        <v>148356339</v>
      </c>
      <c r="M36" s="37"/>
      <c r="N36" s="146"/>
      <c r="O36" s="121">
        <f>70000000/200000000</f>
        <v>0.35</v>
      </c>
    </row>
    <row r="37" spans="1:15" ht="12.75">
      <c r="A37" s="55">
        <v>11</v>
      </c>
      <c r="B37" s="73" t="s">
        <v>41</v>
      </c>
      <c r="C37" s="71">
        <v>928528000</v>
      </c>
      <c r="D37" s="37">
        <v>0</v>
      </c>
      <c r="E37" s="37">
        <v>0</v>
      </c>
      <c r="F37" s="7">
        <v>137560256</v>
      </c>
      <c r="G37" s="37">
        <f t="shared" si="4"/>
        <v>14.814874295659367</v>
      </c>
      <c r="H37" s="7">
        <v>137560256</v>
      </c>
      <c r="I37" s="36">
        <f t="shared" si="5"/>
        <v>14.814874295659367</v>
      </c>
      <c r="J37" s="37">
        <v>3</v>
      </c>
      <c r="K37" s="37">
        <f t="shared" si="6"/>
        <v>14.814874295659367</v>
      </c>
      <c r="L37" s="37">
        <f t="shared" si="7"/>
        <v>790967744</v>
      </c>
      <c r="M37" s="37"/>
      <c r="N37" s="146"/>
      <c r="O37" s="121">
        <f>233426000/928528000</f>
        <v>0.2513936036393087</v>
      </c>
    </row>
    <row r="38" spans="1:14" ht="12.75">
      <c r="A38" s="74"/>
      <c r="B38" s="75"/>
      <c r="C38" s="71"/>
      <c r="D38" s="37"/>
      <c r="E38" s="37"/>
      <c r="F38" s="7"/>
      <c r="G38" s="37"/>
      <c r="H38" s="7"/>
      <c r="I38" s="36"/>
      <c r="J38" s="37"/>
      <c r="K38" s="37">
        <f t="shared" si="6"/>
        <v>0</v>
      </c>
      <c r="L38" s="37">
        <f t="shared" si="7"/>
        <v>0</v>
      </c>
      <c r="M38" s="37"/>
      <c r="N38" s="146"/>
    </row>
    <row r="39" spans="1:15" ht="12.75">
      <c r="A39" s="62">
        <v>2</v>
      </c>
      <c r="B39" s="69" t="s">
        <v>42</v>
      </c>
      <c r="C39" s="39">
        <f>C40+C41+C42+C43+C44+C45</f>
        <v>761012000</v>
      </c>
      <c r="D39" s="39">
        <f>SUM(D40:D45)</f>
        <v>0</v>
      </c>
      <c r="E39" s="6"/>
      <c r="F39" s="39">
        <f>F40+F41+F42+F43+F44+F45</f>
        <v>287163579</v>
      </c>
      <c r="G39" s="6">
        <f aca="true" t="shared" si="8" ref="G39:G45">SUM(F39/C39*100)</f>
        <v>37.73443506804098</v>
      </c>
      <c r="H39" s="39">
        <f>H40+H41+H42+H43+H44+H45</f>
        <v>287163579</v>
      </c>
      <c r="I39" s="30">
        <f aca="true" t="shared" si="9" ref="I39:I45">SUM(H39/C39*100)</f>
        <v>37.73443506804098</v>
      </c>
      <c r="J39" s="147">
        <f>SUM(J40:J45)/6</f>
        <v>7.333333333333333</v>
      </c>
      <c r="K39" s="39">
        <f>(K40+K41+K42+K43+K44+K45)/6</f>
        <v>56.84795981904449</v>
      </c>
      <c r="L39" s="37">
        <f t="shared" si="7"/>
        <v>473848421</v>
      </c>
      <c r="M39" s="6"/>
      <c r="N39" s="128"/>
      <c r="O39" s="121"/>
    </row>
    <row r="40" spans="1:15" ht="12.75">
      <c r="A40" s="66">
        <v>1</v>
      </c>
      <c r="B40" s="73" t="s">
        <v>43</v>
      </c>
      <c r="C40" s="71">
        <v>85000000</v>
      </c>
      <c r="D40" s="37"/>
      <c r="E40" s="37"/>
      <c r="F40" s="71">
        <v>47359600</v>
      </c>
      <c r="G40" s="37">
        <f t="shared" si="8"/>
        <v>55.717176470588235</v>
      </c>
      <c r="H40" s="71">
        <v>47359600</v>
      </c>
      <c r="I40" s="36">
        <f t="shared" si="9"/>
        <v>55.717176470588235</v>
      </c>
      <c r="J40" s="37">
        <v>9</v>
      </c>
      <c r="K40" s="37">
        <f t="shared" si="6"/>
        <v>55.717176470588235</v>
      </c>
      <c r="L40" s="37">
        <f t="shared" si="7"/>
        <v>37640400</v>
      </c>
      <c r="M40" s="37"/>
      <c r="N40" s="146"/>
      <c r="O40" s="121">
        <f>83250000/85000000</f>
        <v>0.9794117647058823</v>
      </c>
    </row>
    <row r="41" spans="1:15" ht="12.75">
      <c r="A41" s="66">
        <v>2</v>
      </c>
      <c r="B41" s="73" t="s">
        <v>44</v>
      </c>
      <c r="C41" s="71">
        <v>45000000</v>
      </c>
      <c r="D41" s="37"/>
      <c r="E41" s="37"/>
      <c r="F41" s="71">
        <v>44536000</v>
      </c>
      <c r="G41" s="37">
        <f t="shared" si="8"/>
        <v>98.96888888888888</v>
      </c>
      <c r="H41" s="71">
        <v>44536000</v>
      </c>
      <c r="I41" s="36">
        <f t="shared" si="9"/>
        <v>98.96888888888888</v>
      </c>
      <c r="J41" s="37">
        <v>10</v>
      </c>
      <c r="K41" s="37">
        <f t="shared" si="6"/>
        <v>98.96888888888888</v>
      </c>
      <c r="L41" s="37">
        <f t="shared" si="7"/>
        <v>464000</v>
      </c>
      <c r="M41" s="37"/>
      <c r="N41" s="146"/>
      <c r="O41" s="121">
        <f>45000000/45000000</f>
        <v>1</v>
      </c>
    </row>
    <row r="42" spans="1:15" ht="12.75">
      <c r="A42" s="66">
        <v>3</v>
      </c>
      <c r="B42" s="73" t="s">
        <v>45</v>
      </c>
      <c r="C42" s="71">
        <v>239382000</v>
      </c>
      <c r="D42" s="37"/>
      <c r="E42" s="37"/>
      <c r="F42" s="71">
        <v>72071800</v>
      </c>
      <c r="G42" s="37">
        <f t="shared" si="8"/>
        <v>30.107443333249783</v>
      </c>
      <c r="H42" s="71">
        <v>72071800</v>
      </c>
      <c r="I42" s="36">
        <f t="shared" si="9"/>
        <v>30.107443333249783</v>
      </c>
      <c r="J42" s="37">
        <v>7</v>
      </c>
      <c r="K42" s="37">
        <f t="shared" si="6"/>
        <v>30.107443333249783</v>
      </c>
      <c r="L42" s="37">
        <f t="shared" si="7"/>
        <v>167310200</v>
      </c>
      <c r="M42" s="37"/>
      <c r="N42" s="146"/>
      <c r="O42" s="121">
        <f>170000000/239382000</f>
        <v>0.7101620004845811</v>
      </c>
    </row>
    <row r="43" spans="1:15" ht="12.75">
      <c r="A43" s="66">
        <v>4</v>
      </c>
      <c r="B43" s="73" t="s">
        <v>46</v>
      </c>
      <c r="C43" s="71">
        <v>370980000</v>
      </c>
      <c r="D43" s="37"/>
      <c r="E43" s="37"/>
      <c r="F43" s="7">
        <v>112196379</v>
      </c>
      <c r="G43" s="37">
        <f t="shared" si="8"/>
        <v>30.24324195374414</v>
      </c>
      <c r="H43" s="7">
        <v>112196379</v>
      </c>
      <c r="I43" s="36">
        <f t="shared" si="9"/>
        <v>30.24324195374414</v>
      </c>
      <c r="J43" s="37">
        <v>3</v>
      </c>
      <c r="K43" s="37">
        <f>I43</f>
        <v>30.24324195374414</v>
      </c>
      <c r="L43" s="37">
        <f t="shared" si="7"/>
        <v>258783621</v>
      </c>
      <c r="M43" s="37"/>
      <c r="N43" s="146"/>
      <c r="O43" s="121">
        <f>113757000/370980000</f>
        <v>0.3066391719230147</v>
      </c>
    </row>
    <row r="44" spans="1:15" ht="12.75">
      <c r="A44" s="66">
        <v>5</v>
      </c>
      <c r="B44" s="73" t="s">
        <v>47</v>
      </c>
      <c r="C44" s="71">
        <v>13050000</v>
      </c>
      <c r="D44" s="37">
        <v>0</v>
      </c>
      <c r="E44" s="37">
        <v>0</v>
      </c>
      <c r="F44" s="7">
        <v>3400000</v>
      </c>
      <c r="G44" s="37">
        <f t="shared" si="8"/>
        <v>26.053639846743295</v>
      </c>
      <c r="H44" s="7">
        <v>3400000</v>
      </c>
      <c r="I44" s="36">
        <f t="shared" si="9"/>
        <v>26.053639846743295</v>
      </c>
      <c r="J44" s="37">
        <v>5</v>
      </c>
      <c r="K44" s="37">
        <f>I44</f>
        <v>26.053639846743295</v>
      </c>
      <c r="L44" s="37">
        <f t="shared" si="7"/>
        <v>9650000</v>
      </c>
      <c r="M44" s="37"/>
      <c r="N44" s="146"/>
      <c r="O44" s="121">
        <f>6000000/13050000</f>
        <v>0.45977011494252873</v>
      </c>
    </row>
    <row r="45" spans="1:15" ht="12.75">
      <c r="A45" s="66">
        <v>6</v>
      </c>
      <c r="B45" s="73" t="s">
        <v>48</v>
      </c>
      <c r="C45" s="71">
        <v>7600000</v>
      </c>
      <c r="D45" s="37"/>
      <c r="E45" s="37"/>
      <c r="F45" s="71">
        <v>7599800</v>
      </c>
      <c r="G45" s="37">
        <f t="shared" si="8"/>
        <v>99.99736842105264</v>
      </c>
      <c r="H45" s="71">
        <v>7599800</v>
      </c>
      <c r="I45" s="36">
        <f t="shared" si="9"/>
        <v>99.99736842105264</v>
      </c>
      <c r="J45" s="37">
        <v>10</v>
      </c>
      <c r="K45" s="37">
        <f>I45</f>
        <v>99.99736842105264</v>
      </c>
      <c r="L45" s="37">
        <f t="shared" si="7"/>
        <v>200</v>
      </c>
      <c r="M45" s="37"/>
      <c r="N45" s="146"/>
      <c r="O45" s="121">
        <f>7600000/7600000</f>
        <v>1</v>
      </c>
    </row>
    <row r="46" spans="1:14" ht="12.75">
      <c r="A46" s="66"/>
      <c r="B46" s="73"/>
      <c r="C46" s="71"/>
      <c r="D46" s="37"/>
      <c r="E46" s="37"/>
      <c r="F46" s="7"/>
      <c r="G46" s="37"/>
      <c r="H46" s="7"/>
      <c r="I46" s="36"/>
      <c r="J46" s="37"/>
      <c r="K46" s="37"/>
      <c r="L46" s="37">
        <f t="shared" si="7"/>
        <v>0</v>
      </c>
      <c r="M46" s="37"/>
      <c r="N46" s="146"/>
    </row>
    <row r="47" spans="1:14" ht="12.75">
      <c r="A47" s="62">
        <v>3</v>
      </c>
      <c r="B47" s="69" t="s">
        <v>49</v>
      </c>
      <c r="C47" s="39">
        <f>C48</f>
        <v>74570000</v>
      </c>
      <c r="D47" s="39">
        <f>D48</f>
        <v>0</v>
      </c>
      <c r="E47" s="39">
        <f>E48</f>
        <v>0</v>
      </c>
      <c r="F47" s="8">
        <f>F48</f>
        <v>16000000</v>
      </c>
      <c r="G47" s="6">
        <f>SUM(F47/C47*100)</f>
        <v>21.456349738500737</v>
      </c>
      <c r="H47" s="8">
        <f>H48</f>
        <v>16000000</v>
      </c>
      <c r="I47" s="65">
        <f>SUM(H47/C47*100)</f>
        <v>21.456349738500737</v>
      </c>
      <c r="J47" s="64">
        <v>100</v>
      </c>
      <c r="K47" s="8">
        <f>K48/1</f>
        <v>21.456349738500737</v>
      </c>
      <c r="L47" s="37">
        <f t="shared" si="7"/>
        <v>58570000</v>
      </c>
      <c r="M47" s="6"/>
      <c r="N47" s="128"/>
    </row>
    <row r="48" spans="1:15" ht="12.75">
      <c r="A48" s="55"/>
      <c r="B48" s="76" t="s">
        <v>50</v>
      </c>
      <c r="C48" s="9">
        <v>74570000</v>
      </c>
      <c r="D48" s="37">
        <v>0</v>
      </c>
      <c r="E48" s="37">
        <v>0</v>
      </c>
      <c r="F48" s="10">
        <v>16000000</v>
      </c>
      <c r="G48" s="37">
        <f>SUM(F48/C48*100)</f>
        <v>21.456349738500737</v>
      </c>
      <c r="H48" s="10">
        <v>16000000</v>
      </c>
      <c r="I48" s="36">
        <f>SUM(H48/C48*100)</f>
        <v>21.456349738500737</v>
      </c>
      <c r="J48" s="37">
        <v>100</v>
      </c>
      <c r="K48" s="37">
        <f>I48</f>
        <v>21.456349738500737</v>
      </c>
      <c r="L48" s="37">
        <f t="shared" si="7"/>
        <v>58570000</v>
      </c>
      <c r="M48" s="56"/>
      <c r="N48" s="86"/>
      <c r="O48" s="142">
        <f>C48/74570000</f>
        <v>1</v>
      </c>
    </row>
    <row r="49" spans="2:14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57"/>
    </row>
    <row r="50" spans="1:14" ht="12.75">
      <c r="A50" s="77"/>
      <c r="B50" s="12"/>
      <c r="C50" s="78"/>
      <c r="D50" s="79"/>
      <c r="E50" s="79"/>
      <c r="F50" s="13"/>
      <c r="G50" s="14"/>
      <c r="H50" s="13"/>
      <c r="I50" s="14"/>
      <c r="J50" s="80"/>
      <c r="K50" s="80"/>
      <c r="L50" s="80"/>
      <c r="M50" s="81"/>
      <c r="N50" s="86"/>
    </row>
    <row r="51" spans="1:14" ht="12.75">
      <c r="A51" s="82"/>
      <c r="B51" s="15"/>
      <c r="C51" s="83"/>
      <c r="D51" s="84"/>
      <c r="E51" s="84"/>
      <c r="F51" s="16"/>
      <c r="G51" s="17"/>
      <c r="H51" s="16"/>
      <c r="I51" s="17"/>
      <c r="J51" s="85"/>
      <c r="K51" s="85"/>
      <c r="L51" s="85"/>
      <c r="M51" s="86"/>
      <c r="N51" s="86"/>
    </row>
    <row r="52" spans="1:14" ht="12.75">
      <c r="A52" s="82"/>
      <c r="B52" s="15"/>
      <c r="C52" s="83"/>
      <c r="D52" s="84"/>
      <c r="E52" s="84"/>
      <c r="F52" s="16"/>
      <c r="G52" s="17"/>
      <c r="H52" s="16"/>
      <c r="I52" s="17"/>
      <c r="J52" s="85"/>
      <c r="K52" s="85"/>
      <c r="L52" s="85"/>
      <c r="M52" s="86"/>
      <c r="N52" s="86"/>
    </row>
    <row r="53" spans="1:14" ht="12.75">
      <c r="A53" s="82"/>
      <c r="B53" s="15"/>
      <c r="C53" s="83"/>
      <c r="D53" s="84"/>
      <c r="E53" s="84"/>
      <c r="F53" s="16"/>
      <c r="G53" s="17"/>
      <c r="H53" s="16"/>
      <c r="I53" s="17"/>
      <c r="J53" s="85"/>
      <c r="K53" s="85"/>
      <c r="L53" s="85"/>
      <c r="M53" s="86"/>
      <c r="N53" s="86"/>
    </row>
    <row r="54" spans="1:14" ht="12.75">
      <c r="A54" s="87"/>
      <c r="B54" s="18"/>
      <c r="C54" s="88"/>
      <c r="D54" s="89"/>
      <c r="E54" s="89"/>
      <c r="F54" s="19"/>
      <c r="G54" s="20"/>
      <c r="H54" s="19"/>
      <c r="I54" s="20"/>
      <c r="J54" s="90"/>
      <c r="K54" s="90"/>
      <c r="L54" s="90"/>
      <c r="M54" s="91"/>
      <c r="N54" s="86"/>
    </row>
    <row r="55" spans="1:14" ht="12.75">
      <c r="A55" s="808" t="s">
        <v>2</v>
      </c>
      <c r="B55" s="808" t="s">
        <v>3</v>
      </c>
      <c r="C55" s="808" t="s">
        <v>4</v>
      </c>
      <c r="D55" s="808" t="s">
        <v>5</v>
      </c>
      <c r="E55" s="808" t="s">
        <v>6</v>
      </c>
      <c r="F55" s="816" t="s">
        <v>7</v>
      </c>
      <c r="G55" s="817"/>
      <c r="H55" s="817"/>
      <c r="I55" s="818"/>
      <c r="J55" s="816" t="s">
        <v>8</v>
      </c>
      <c r="K55" s="818"/>
      <c r="L55" s="805" t="s">
        <v>87</v>
      </c>
      <c r="M55" s="808" t="s">
        <v>9</v>
      </c>
      <c r="N55" s="155"/>
    </row>
    <row r="56" spans="1:14" ht="12.75">
      <c r="A56" s="806"/>
      <c r="B56" s="806"/>
      <c r="C56" s="806"/>
      <c r="D56" s="814"/>
      <c r="E56" s="806"/>
      <c r="F56" s="809" t="s">
        <v>10</v>
      </c>
      <c r="G56" s="808" t="s">
        <v>11</v>
      </c>
      <c r="H56" s="808" t="s">
        <v>12</v>
      </c>
      <c r="I56" s="808" t="s">
        <v>11</v>
      </c>
      <c r="J56" s="808" t="s">
        <v>13</v>
      </c>
      <c r="K56" s="808" t="s">
        <v>14</v>
      </c>
      <c r="L56" s="806"/>
      <c r="M56" s="806"/>
      <c r="N56" s="155"/>
    </row>
    <row r="57" spans="1:14" ht="12.75">
      <c r="A57" s="807"/>
      <c r="B57" s="807"/>
      <c r="C57" s="807"/>
      <c r="D57" s="815"/>
      <c r="E57" s="807"/>
      <c r="F57" s="810"/>
      <c r="G57" s="807"/>
      <c r="H57" s="807"/>
      <c r="I57" s="807"/>
      <c r="J57" s="807"/>
      <c r="K57" s="807"/>
      <c r="L57" s="807"/>
      <c r="M57" s="807"/>
      <c r="N57" s="155"/>
    </row>
    <row r="58" spans="1:14" ht="12.75">
      <c r="A58" s="2">
        <v>1</v>
      </c>
      <c r="B58" s="2">
        <v>2</v>
      </c>
      <c r="C58" s="2">
        <v>3</v>
      </c>
      <c r="D58" s="2">
        <v>4</v>
      </c>
      <c r="E58" s="2">
        <v>5</v>
      </c>
      <c r="F58" s="2">
        <v>6</v>
      </c>
      <c r="G58" s="2">
        <v>7</v>
      </c>
      <c r="H58" s="2">
        <v>8</v>
      </c>
      <c r="I58" s="2">
        <v>9</v>
      </c>
      <c r="J58" s="2">
        <v>10</v>
      </c>
      <c r="K58" s="2">
        <v>11</v>
      </c>
      <c r="L58" s="2"/>
      <c r="M58" s="2">
        <v>12</v>
      </c>
      <c r="N58" s="156"/>
    </row>
    <row r="59" spans="1:14" ht="12.75">
      <c r="A59" s="55"/>
      <c r="B59" s="21"/>
      <c r="C59" s="22"/>
      <c r="D59" s="32"/>
      <c r="E59" s="32"/>
      <c r="F59" s="23"/>
      <c r="G59" s="32"/>
      <c r="H59" s="23"/>
      <c r="I59" s="57"/>
      <c r="J59" s="56"/>
      <c r="K59" s="56"/>
      <c r="L59" s="95"/>
      <c r="M59" s="92"/>
      <c r="N59" s="86"/>
    </row>
    <row r="60" spans="1:14" ht="12.75">
      <c r="A60" s="93">
        <v>4</v>
      </c>
      <c r="B60" s="24" t="s">
        <v>51</v>
      </c>
      <c r="C60" s="25">
        <f>C61+C62+C63</f>
        <v>4830000000</v>
      </c>
      <c r="D60" s="25">
        <f>D61+D62+D63</f>
        <v>0</v>
      </c>
      <c r="E60" s="25"/>
      <c r="F60" s="25">
        <f>F61+F62+F63</f>
        <v>130860500</v>
      </c>
      <c r="G60" s="6">
        <f>SUM(F60/C60*100)</f>
        <v>2.709327122153209</v>
      </c>
      <c r="H60" s="25">
        <f>H61+H62+H63</f>
        <v>130860500</v>
      </c>
      <c r="I60" s="8">
        <f>SUM(H60/C60*100)</f>
        <v>2.709327122153209</v>
      </c>
      <c r="J60" s="25">
        <f>(J61+J62+J63)/3</f>
        <v>1.3333333333333333</v>
      </c>
      <c r="K60" s="25">
        <f>(K61+K62+K63)/4</f>
        <v>4.33504465648855</v>
      </c>
      <c r="L60" s="154">
        <f>C60-H60</f>
        <v>4699139500</v>
      </c>
      <c r="M60" s="56"/>
      <c r="N60" s="86"/>
    </row>
    <row r="61" spans="1:15" ht="12.75">
      <c r="A61" s="55">
        <v>1</v>
      </c>
      <c r="B61" s="21" t="s">
        <v>52</v>
      </c>
      <c r="C61" s="22">
        <v>3930000000</v>
      </c>
      <c r="D61" s="22"/>
      <c r="E61" s="22"/>
      <c r="F61" s="22">
        <v>1000000</v>
      </c>
      <c r="G61" s="32">
        <f>SUM(F61/C61*100)</f>
        <v>0.02544529262086514</v>
      </c>
      <c r="H61" s="22">
        <v>1000000</v>
      </c>
      <c r="I61" s="57">
        <f>SUM(H61/C61*100)</f>
        <v>0.02544529262086514</v>
      </c>
      <c r="J61" s="37">
        <v>1</v>
      </c>
      <c r="K61" s="32">
        <f>I61</f>
        <v>0.02544529262086514</v>
      </c>
      <c r="L61" s="154">
        <f aca="true" t="shared" si="10" ref="L61:L89">C61-H61</f>
        <v>3929000000</v>
      </c>
      <c r="M61" s="56"/>
      <c r="N61" s="86"/>
      <c r="O61" s="121">
        <f>70000000/3930000000</f>
        <v>0.017811704834605598</v>
      </c>
    </row>
    <row r="62" spans="1:15" ht="12.75">
      <c r="A62" s="55">
        <v>2</v>
      </c>
      <c r="B62" s="21" t="s">
        <v>53</v>
      </c>
      <c r="C62" s="22">
        <v>750000000</v>
      </c>
      <c r="D62" s="32"/>
      <c r="E62" s="32"/>
      <c r="F62" s="26">
        <v>129860500</v>
      </c>
      <c r="G62" s="32">
        <f>SUM(F62/C62*100)</f>
        <v>17.314733333333333</v>
      </c>
      <c r="H62" s="26">
        <v>129860500</v>
      </c>
      <c r="I62" s="57">
        <f>SUM(H62/C62*100)</f>
        <v>17.314733333333333</v>
      </c>
      <c r="J62" s="32">
        <v>3</v>
      </c>
      <c r="K62" s="32">
        <f>I62</f>
        <v>17.314733333333333</v>
      </c>
      <c r="L62" s="154">
        <f t="shared" si="10"/>
        <v>620139500</v>
      </c>
      <c r="M62" s="37"/>
      <c r="N62" s="146"/>
      <c r="O62" s="121">
        <f>188976000/750000000</f>
        <v>0.251968</v>
      </c>
    </row>
    <row r="63" spans="1:15" ht="12.75">
      <c r="A63" s="55">
        <v>3</v>
      </c>
      <c r="B63" s="21" t="s">
        <v>54</v>
      </c>
      <c r="C63" s="22">
        <v>150000000</v>
      </c>
      <c r="D63" s="32"/>
      <c r="E63" s="32"/>
      <c r="F63" s="26"/>
      <c r="G63" s="32">
        <f>SUM(F63/C63*100)</f>
        <v>0</v>
      </c>
      <c r="H63" s="26"/>
      <c r="I63" s="57">
        <f>SUM(H63/C63*100)</f>
        <v>0</v>
      </c>
      <c r="J63" s="32">
        <v>0</v>
      </c>
      <c r="K63" s="32">
        <f>I63</f>
        <v>0</v>
      </c>
      <c r="L63" s="154">
        <f t="shared" si="10"/>
        <v>150000000</v>
      </c>
      <c r="M63" s="56"/>
      <c r="N63" s="86"/>
      <c r="O63" s="1">
        <f>0/150000000</f>
        <v>0</v>
      </c>
    </row>
    <row r="64" spans="1:14" ht="12.75">
      <c r="A64" s="94"/>
      <c r="B64" s="27"/>
      <c r="C64" s="28"/>
      <c r="D64" s="33"/>
      <c r="E64" s="33"/>
      <c r="F64" s="29"/>
      <c r="G64" s="33"/>
      <c r="H64" s="29"/>
      <c r="I64" s="57"/>
      <c r="J64" s="95"/>
      <c r="K64" s="95"/>
      <c r="L64" s="154">
        <f t="shared" si="10"/>
        <v>0</v>
      </c>
      <c r="M64" s="95"/>
      <c r="N64" s="86"/>
    </row>
    <row r="65" spans="1:15" ht="12.75">
      <c r="A65" s="96">
        <v>5</v>
      </c>
      <c r="B65" s="97" t="s">
        <v>56</v>
      </c>
      <c r="C65" s="48">
        <f>SUM(C66:C77)</f>
        <v>1208500000</v>
      </c>
      <c r="D65" s="48">
        <f>D66+D67+D68+D71+D72+D74+D75+D77</f>
        <v>0</v>
      </c>
      <c r="E65" s="48"/>
      <c r="F65" s="48">
        <f>H66+H67+H68+H69+H70+F71+F72+F74+F75+F76+F77</f>
        <v>100035300</v>
      </c>
      <c r="G65" s="31">
        <f>SUM(F65/C65*100)</f>
        <v>8.27764170459247</v>
      </c>
      <c r="H65" s="48">
        <f>SUM(H66:H77)</f>
        <v>100035300</v>
      </c>
      <c r="I65" s="30">
        <f>SUM(H65/C65*100)</f>
        <v>8.27764170459247</v>
      </c>
      <c r="J65" s="48">
        <f>SUM(J66+J67+J68+J69+J70+J71+J72+J74+J75+J76+J77)/12</f>
        <v>2.5833333333333335</v>
      </c>
      <c r="K65" s="48">
        <f>(K66+K67+K68+K69+K70+K71+K72+K74+K75+K76+K77)/11</f>
        <v>10.102393663911846</v>
      </c>
      <c r="L65" s="154">
        <f t="shared" si="10"/>
        <v>1108464700</v>
      </c>
      <c r="M65" s="95"/>
      <c r="N65" s="86"/>
      <c r="O65" s="121"/>
    </row>
    <row r="66" spans="1:15" ht="12.75">
      <c r="A66" s="55">
        <v>1</v>
      </c>
      <c r="B66" s="73" t="s">
        <v>57</v>
      </c>
      <c r="C66" s="71">
        <v>350000000</v>
      </c>
      <c r="D66" s="71"/>
      <c r="E66" s="32"/>
      <c r="F66" s="71">
        <v>47900300</v>
      </c>
      <c r="G66" s="32">
        <f>SUM(H66/C66*100)</f>
        <v>13.6858</v>
      </c>
      <c r="H66" s="71">
        <v>47900300</v>
      </c>
      <c r="I66" s="36">
        <f>SUM(H66/C66*100)</f>
        <v>13.6858</v>
      </c>
      <c r="J66" s="37">
        <v>3</v>
      </c>
      <c r="K66" s="33">
        <f aca="true" t="shared" si="11" ref="K66:K72">I66</f>
        <v>13.6858</v>
      </c>
      <c r="L66" s="154">
        <f>C66-H66</f>
        <v>302099700</v>
      </c>
      <c r="M66" s="56"/>
      <c r="N66" s="86"/>
      <c r="O66" s="121">
        <f>110650000/350000000</f>
        <v>0.31614285714285717</v>
      </c>
    </row>
    <row r="67" spans="1:15" ht="12.75">
      <c r="A67" s="55">
        <v>2</v>
      </c>
      <c r="B67" s="98" t="s">
        <v>58</v>
      </c>
      <c r="C67" s="71">
        <v>165000000</v>
      </c>
      <c r="D67" s="37"/>
      <c r="E67" s="32"/>
      <c r="F67" s="71">
        <v>19310000</v>
      </c>
      <c r="G67" s="32">
        <f>SUM(H67/C67*100)</f>
        <v>11.703030303030303</v>
      </c>
      <c r="H67" s="71">
        <v>19310000</v>
      </c>
      <c r="I67" s="36">
        <f aca="true" t="shared" si="12" ref="I67:I77">SUM(H67/C67*100)</f>
        <v>11.703030303030303</v>
      </c>
      <c r="J67" s="32">
        <v>2</v>
      </c>
      <c r="K67" s="33">
        <f t="shared" si="11"/>
        <v>11.703030303030303</v>
      </c>
      <c r="L67" s="154">
        <f aca="true" t="shared" si="13" ref="L67:L77">C67-H67</f>
        <v>145690000</v>
      </c>
      <c r="M67" s="56"/>
      <c r="N67" s="86"/>
      <c r="O67" s="121">
        <f>34800000/165000000</f>
        <v>0.2109090909090909</v>
      </c>
    </row>
    <row r="68" spans="1:15" ht="12.75">
      <c r="A68" s="55">
        <v>3</v>
      </c>
      <c r="B68" s="98" t="s">
        <v>59</v>
      </c>
      <c r="C68" s="71">
        <v>50000000</v>
      </c>
      <c r="D68" s="37"/>
      <c r="E68" s="32"/>
      <c r="F68" s="7">
        <v>11250000</v>
      </c>
      <c r="G68" s="32">
        <f>SUM(H68/C68*100)</f>
        <v>22.5</v>
      </c>
      <c r="H68" s="7">
        <v>11250000</v>
      </c>
      <c r="I68" s="36">
        <f t="shared" si="12"/>
        <v>22.5</v>
      </c>
      <c r="J68" s="32">
        <v>3</v>
      </c>
      <c r="K68" s="33">
        <f t="shared" si="11"/>
        <v>22.5</v>
      </c>
      <c r="L68" s="154">
        <f t="shared" si="13"/>
        <v>38750000</v>
      </c>
      <c r="M68" s="56"/>
      <c r="N68" s="86"/>
      <c r="O68" s="121">
        <f>12725000/50000000</f>
        <v>0.2545</v>
      </c>
    </row>
    <row r="69" spans="1:15" ht="12.75">
      <c r="A69" s="55">
        <v>4</v>
      </c>
      <c r="B69" s="73" t="s">
        <v>78</v>
      </c>
      <c r="C69" s="71">
        <v>80000000</v>
      </c>
      <c r="D69" s="37"/>
      <c r="E69" s="32"/>
      <c r="F69" s="7">
        <v>9950000</v>
      </c>
      <c r="G69" s="32">
        <f>SUM(H69/C69*100)</f>
        <v>12.4375</v>
      </c>
      <c r="H69" s="7">
        <v>9950000</v>
      </c>
      <c r="I69" s="36">
        <f t="shared" si="12"/>
        <v>12.4375</v>
      </c>
      <c r="J69" s="32">
        <v>3</v>
      </c>
      <c r="K69" s="33">
        <f t="shared" si="11"/>
        <v>12.4375</v>
      </c>
      <c r="L69" s="154">
        <f t="shared" si="13"/>
        <v>70050000</v>
      </c>
      <c r="M69" s="56"/>
      <c r="N69" s="86"/>
      <c r="O69" s="121">
        <f>21000000/80000000</f>
        <v>0.2625</v>
      </c>
    </row>
    <row r="70" spans="1:15" ht="12.75">
      <c r="A70" s="55">
        <v>5</v>
      </c>
      <c r="B70" s="73" t="s">
        <v>79</v>
      </c>
      <c r="C70" s="71">
        <v>50000000</v>
      </c>
      <c r="D70" s="37"/>
      <c r="E70" s="32"/>
      <c r="F70" s="7">
        <v>1650000</v>
      </c>
      <c r="G70" s="32">
        <f>SUM(H70/C70*100)</f>
        <v>3.3000000000000003</v>
      </c>
      <c r="H70" s="7">
        <v>1650000</v>
      </c>
      <c r="I70" s="36">
        <f t="shared" si="12"/>
        <v>3.3000000000000003</v>
      </c>
      <c r="J70" s="32">
        <v>2</v>
      </c>
      <c r="K70" s="33">
        <f t="shared" si="11"/>
        <v>3.3000000000000003</v>
      </c>
      <c r="L70" s="154">
        <f t="shared" si="13"/>
        <v>48350000</v>
      </c>
      <c r="M70" s="56"/>
      <c r="N70" s="86"/>
      <c r="O70" s="121">
        <f>11000000/50000000</f>
        <v>0.22</v>
      </c>
    </row>
    <row r="71" spans="1:15" ht="12.75">
      <c r="A71" s="55">
        <v>6</v>
      </c>
      <c r="B71" s="73" t="s">
        <v>60</v>
      </c>
      <c r="C71" s="71">
        <v>50000000</v>
      </c>
      <c r="D71" s="37"/>
      <c r="E71" s="32"/>
      <c r="F71" s="7"/>
      <c r="G71" s="32">
        <f>SUM(F71/C71*100)</f>
        <v>0</v>
      </c>
      <c r="H71" s="7"/>
      <c r="I71" s="36">
        <f t="shared" si="12"/>
        <v>0</v>
      </c>
      <c r="J71" s="32">
        <v>0</v>
      </c>
      <c r="K71" s="33">
        <f t="shared" si="11"/>
        <v>0</v>
      </c>
      <c r="L71" s="154">
        <f t="shared" si="13"/>
        <v>50000000</v>
      </c>
      <c r="M71" s="56"/>
      <c r="N71" s="86"/>
      <c r="O71" s="121">
        <f>0/50000000</f>
        <v>0</v>
      </c>
    </row>
    <row r="72" spans="1:15" ht="12.75">
      <c r="A72" s="76">
        <v>7</v>
      </c>
      <c r="B72" s="122" t="s">
        <v>61</v>
      </c>
      <c r="C72" s="123">
        <v>50000000</v>
      </c>
      <c r="D72" s="115"/>
      <c r="E72" s="109"/>
      <c r="F72" s="124"/>
      <c r="G72" s="109">
        <f>SUM(F72/C72*100)</f>
        <v>0</v>
      </c>
      <c r="H72" s="124"/>
      <c r="I72" s="36">
        <f t="shared" si="12"/>
        <v>0</v>
      </c>
      <c r="J72" s="109">
        <v>10</v>
      </c>
      <c r="K72" s="109">
        <f t="shared" si="11"/>
        <v>0</v>
      </c>
      <c r="L72" s="154">
        <f t="shared" si="13"/>
        <v>50000000</v>
      </c>
      <c r="M72" s="110"/>
      <c r="N72" s="86"/>
      <c r="O72" s="121">
        <f>50000000/50000000</f>
        <v>1</v>
      </c>
    </row>
    <row r="73" spans="1:15" ht="12.75">
      <c r="A73" s="55">
        <v>8</v>
      </c>
      <c r="B73" s="122" t="s">
        <v>85</v>
      </c>
      <c r="C73" s="123">
        <v>156700000</v>
      </c>
      <c r="D73" s="115"/>
      <c r="E73" s="109"/>
      <c r="F73" s="124"/>
      <c r="G73" s="109"/>
      <c r="H73" s="124"/>
      <c r="I73" s="36">
        <f t="shared" si="12"/>
        <v>0</v>
      </c>
      <c r="J73" s="109">
        <v>0</v>
      </c>
      <c r="K73" s="109"/>
      <c r="L73" s="154">
        <f t="shared" si="13"/>
        <v>156700000</v>
      </c>
      <c r="M73" s="110"/>
      <c r="N73" s="86"/>
      <c r="O73" s="121">
        <f>0/156700000</f>
        <v>0</v>
      </c>
    </row>
    <row r="74" spans="1:15" ht="25.5">
      <c r="A74" s="76">
        <v>9</v>
      </c>
      <c r="B74" s="73" t="s">
        <v>80</v>
      </c>
      <c r="C74" s="71">
        <v>140000000</v>
      </c>
      <c r="D74" s="37"/>
      <c r="E74" s="32"/>
      <c r="F74" s="71"/>
      <c r="G74" s="32">
        <f>SUM(F74/C74*100)</f>
        <v>0</v>
      </c>
      <c r="H74" s="71"/>
      <c r="I74" s="36">
        <f t="shared" si="12"/>
        <v>0</v>
      </c>
      <c r="J74" s="32">
        <v>0</v>
      </c>
      <c r="K74" s="32">
        <f>I74</f>
        <v>0</v>
      </c>
      <c r="L74" s="154">
        <f t="shared" si="13"/>
        <v>140000000</v>
      </c>
      <c r="M74" s="56"/>
      <c r="N74" s="86"/>
      <c r="O74" s="121">
        <f>0/140000000</f>
        <v>0</v>
      </c>
    </row>
    <row r="75" spans="1:15" ht="12.75">
      <c r="A75" s="55">
        <v>10</v>
      </c>
      <c r="B75" s="73" t="s">
        <v>62</v>
      </c>
      <c r="C75" s="71">
        <v>68300000</v>
      </c>
      <c r="D75" s="71"/>
      <c r="E75" s="32"/>
      <c r="F75" s="7"/>
      <c r="G75" s="32">
        <f>SUM(F75/C75*100)</f>
        <v>0</v>
      </c>
      <c r="H75" s="7"/>
      <c r="I75" s="36">
        <f t="shared" si="12"/>
        <v>0</v>
      </c>
      <c r="J75" s="32">
        <v>0</v>
      </c>
      <c r="K75" s="49">
        <f>I75</f>
        <v>0</v>
      </c>
      <c r="L75" s="154">
        <f t="shared" si="13"/>
        <v>68300000</v>
      </c>
      <c r="M75" s="56"/>
      <c r="N75" s="86"/>
      <c r="O75" s="121">
        <f>0/68300000</f>
        <v>0</v>
      </c>
    </row>
    <row r="76" spans="1:15" ht="12.75">
      <c r="A76" s="76">
        <v>11</v>
      </c>
      <c r="B76" s="73" t="s">
        <v>81</v>
      </c>
      <c r="C76" s="38">
        <v>27500000</v>
      </c>
      <c r="D76" s="71"/>
      <c r="E76" s="32"/>
      <c r="F76" s="7">
        <v>0</v>
      </c>
      <c r="G76" s="32">
        <v>0</v>
      </c>
      <c r="H76" s="7">
        <v>0</v>
      </c>
      <c r="I76" s="36">
        <f t="shared" si="12"/>
        <v>0</v>
      </c>
      <c r="J76" s="32">
        <v>3</v>
      </c>
      <c r="K76" s="32">
        <f>I76</f>
        <v>0</v>
      </c>
      <c r="L76" s="154">
        <f t="shared" si="13"/>
        <v>27500000</v>
      </c>
      <c r="M76" s="56"/>
      <c r="N76" s="86"/>
      <c r="O76" s="121">
        <f>8402000/27500000</f>
        <v>0.3055272727272727</v>
      </c>
    </row>
    <row r="77" spans="1:15" ht="12.75">
      <c r="A77" s="55">
        <v>12</v>
      </c>
      <c r="B77" s="73" t="s">
        <v>55</v>
      </c>
      <c r="C77" s="38">
        <v>21000000</v>
      </c>
      <c r="D77" s="71"/>
      <c r="E77" s="32"/>
      <c r="F77" s="7">
        <v>9975000</v>
      </c>
      <c r="G77" s="32">
        <v>0</v>
      </c>
      <c r="H77" s="7">
        <v>9975000</v>
      </c>
      <c r="I77" s="36">
        <f t="shared" si="12"/>
        <v>47.5</v>
      </c>
      <c r="J77" s="32">
        <v>5</v>
      </c>
      <c r="K77" s="32">
        <f>I77</f>
        <v>47.5</v>
      </c>
      <c r="L77" s="154">
        <f t="shared" si="13"/>
        <v>11025000</v>
      </c>
      <c r="M77" s="56"/>
      <c r="N77" s="86"/>
      <c r="O77" s="121">
        <f>10075000/21000000</f>
        <v>0.4797619047619048</v>
      </c>
    </row>
    <row r="78" spans="1:14" ht="12.75">
      <c r="A78" s="100"/>
      <c r="B78" s="125"/>
      <c r="C78" s="22"/>
      <c r="D78" s="32"/>
      <c r="E78" s="32"/>
      <c r="F78" s="23"/>
      <c r="G78" s="34"/>
      <c r="H78" s="23"/>
      <c r="I78" s="34"/>
      <c r="J78" s="8"/>
      <c r="K78" s="8"/>
      <c r="L78" s="154">
        <f t="shared" si="10"/>
        <v>0</v>
      </c>
      <c r="M78" s="56"/>
      <c r="N78" s="86"/>
    </row>
    <row r="79" spans="1:14" ht="12.75">
      <c r="A79" s="111">
        <v>6</v>
      </c>
      <c r="B79" s="97" t="s">
        <v>63</v>
      </c>
      <c r="C79" s="48">
        <f>C80+C81+C82</f>
        <v>340000000</v>
      </c>
      <c r="D79" s="48">
        <f>D80+D81+D82</f>
        <v>0</v>
      </c>
      <c r="E79" s="48"/>
      <c r="F79" s="48">
        <f>F80+F81+F82</f>
        <v>110994000</v>
      </c>
      <c r="G79" s="30">
        <f>F79/C79*100</f>
        <v>32.64529411764706</v>
      </c>
      <c r="H79" s="48">
        <f>H80+H81+H82</f>
        <v>110994000</v>
      </c>
      <c r="I79" s="30">
        <f>SUM(H79/C79*100)</f>
        <v>32.64529411764706</v>
      </c>
      <c r="J79" s="48">
        <f>(J80+J81+J82)/3</f>
        <v>9</v>
      </c>
      <c r="K79" s="48">
        <f>(K80+K81+K82)/4</f>
        <v>29.40738235294118</v>
      </c>
      <c r="L79" s="154">
        <f t="shared" si="10"/>
        <v>229006000</v>
      </c>
      <c r="M79" s="95"/>
      <c r="N79" s="86"/>
    </row>
    <row r="80" spans="1:15" ht="12.75">
      <c r="A80" s="55">
        <v>1</v>
      </c>
      <c r="B80" s="73" t="s">
        <v>64</v>
      </c>
      <c r="C80" s="38">
        <v>50000000</v>
      </c>
      <c r="D80" s="38"/>
      <c r="E80" s="32"/>
      <c r="F80" s="38">
        <v>32373000</v>
      </c>
      <c r="G80" s="32">
        <f>SUM(F80/C80*100)</f>
        <v>64.74600000000001</v>
      </c>
      <c r="H80" s="38">
        <v>32373000</v>
      </c>
      <c r="I80" s="36">
        <f>SUM(H80/C80*100)</f>
        <v>64.74600000000001</v>
      </c>
      <c r="J80" s="35">
        <v>8</v>
      </c>
      <c r="K80" s="33">
        <f>I80</f>
        <v>64.74600000000001</v>
      </c>
      <c r="L80" s="154">
        <f t="shared" si="10"/>
        <v>17627000</v>
      </c>
      <c r="M80" s="56"/>
      <c r="N80" s="86"/>
      <c r="O80" s="121">
        <f>38648000/50000000</f>
        <v>0.77296</v>
      </c>
    </row>
    <row r="81" spans="1:15" ht="12.75">
      <c r="A81" s="55">
        <v>2</v>
      </c>
      <c r="B81" s="73" t="s">
        <v>65</v>
      </c>
      <c r="C81" s="38">
        <v>35000000</v>
      </c>
      <c r="D81" s="32"/>
      <c r="E81" s="32"/>
      <c r="F81" s="38">
        <v>8946000</v>
      </c>
      <c r="G81" s="32">
        <f>SUM(F81/C81*100)</f>
        <v>25.56</v>
      </c>
      <c r="H81" s="38">
        <v>8946000</v>
      </c>
      <c r="I81" s="50">
        <f>SUM(H81/C81*100)</f>
        <v>25.56</v>
      </c>
      <c r="J81" s="35">
        <v>9</v>
      </c>
      <c r="K81" s="33">
        <f>I81</f>
        <v>25.56</v>
      </c>
      <c r="L81" s="154">
        <f t="shared" si="10"/>
        <v>26054000</v>
      </c>
      <c r="M81" s="56"/>
      <c r="N81" s="86"/>
      <c r="O81" s="121">
        <f>30325000/35000000</f>
        <v>0.8664285714285714</v>
      </c>
    </row>
    <row r="82" spans="1:15" ht="12.75">
      <c r="A82" s="55">
        <v>3</v>
      </c>
      <c r="B82" s="73" t="s">
        <v>66</v>
      </c>
      <c r="C82" s="71">
        <v>255000000</v>
      </c>
      <c r="D82" s="71"/>
      <c r="E82" s="99"/>
      <c r="F82" s="71">
        <v>69675000</v>
      </c>
      <c r="G82" s="32">
        <f>SUM(F82/C82*100)</f>
        <v>27.323529411764707</v>
      </c>
      <c r="H82" s="71">
        <v>69675000</v>
      </c>
      <c r="I82" s="36">
        <f>SUM(H82/C82*100)</f>
        <v>27.323529411764707</v>
      </c>
      <c r="J82" s="112">
        <v>10</v>
      </c>
      <c r="K82" s="33">
        <f>I82</f>
        <v>27.323529411764707</v>
      </c>
      <c r="L82" s="154">
        <f t="shared" si="10"/>
        <v>185325000</v>
      </c>
      <c r="M82" s="56"/>
      <c r="N82" s="86"/>
      <c r="O82" s="121">
        <f>240950000/255000000</f>
        <v>0.9449019607843138</v>
      </c>
    </row>
    <row r="83" spans="1:14" ht="12.75">
      <c r="A83" s="94"/>
      <c r="B83" s="132"/>
      <c r="C83" s="133"/>
      <c r="D83" s="133"/>
      <c r="E83" s="134"/>
      <c r="F83" s="133"/>
      <c r="G83" s="33"/>
      <c r="H83" s="133"/>
      <c r="I83" s="36"/>
      <c r="J83" s="58"/>
      <c r="K83" s="33"/>
      <c r="L83" s="154">
        <f t="shared" si="10"/>
        <v>0</v>
      </c>
      <c r="M83" s="95"/>
      <c r="N83" s="86"/>
    </row>
    <row r="84" spans="1:14" ht="12.75">
      <c r="A84" s="111">
        <v>7</v>
      </c>
      <c r="B84" s="97" t="s">
        <v>67</v>
      </c>
      <c r="C84" s="48">
        <f>C85+C86</f>
        <v>520000000</v>
      </c>
      <c r="D84" s="48">
        <f>D85+D86</f>
        <v>0</v>
      </c>
      <c r="E84" s="48"/>
      <c r="F84" s="48">
        <f>F85+F86</f>
        <v>0</v>
      </c>
      <c r="G84" s="30">
        <f>F84/C84*100</f>
        <v>0</v>
      </c>
      <c r="H84" s="48">
        <f>H85+H86</f>
        <v>0</v>
      </c>
      <c r="I84" s="30">
        <f>H84/C84*100</f>
        <v>0</v>
      </c>
      <c r="J84" s="48">
        <f>(J85+J86)/2</f>
        <v>7.5</v>
      </c>
      <c r="K84" s="48">
        <f>(K85+K86)/2</f>
        <v>0</v>
      </c>
      <c r="L84" s="154">
        <f t="shared" si="10"/>
        <v>520000000</v>
      </c>
      <c r="M84" s="95"/>
      <c r="N84" s="86"/>
    </row>
    <row r="85" spans="1:15" ht="12.75">
      <c r="A85" s="100">
        <v>1</v>
      </c>
      <c r="B85" s="73" t="s">
        <v>68</v>
      </c>
      <c r="C85" s="71">
        <v>100000000</v>
      </c>
      <c r="D85" s="71"/>
      <c r="E85" s="32"/>
      <c r="F85" s="71"/>
      <c r="G85" s="34">
        <f>F85/C85*100</f>
        <v>0</v>
      </c>
      <c r="H85" s="71"/>
      <c r="I85" s="34">
        <f>H85/C85*100</f>
        <v>0</v>
      </c>
      <c r="J85" s="34">
        <v>10</v>
      </c>
      <c r="K85" s="34">
        <f>I85</f>
        <v>0</v>
      </c>
      <c r="L85" s="154">
        <f t="shared" si="10"/>
        <v>100000000</v>
      </c>
      <c r="M85" s="37"/>
      <c r="N85" s="146"/>
      <c r="O85" s="143">
        <f>100000000/100000000</f>
        <v>1</v>
      </c>
    </row>
    <row r="86" spans="1:15" ht="12.75">
      <c r="A86" s="100">
        <v>2</v>
      </c>
      <c r="B86" s="73" t="s">
        <v>69</v>
      </c>
      <c r="C86" s="71">
        <v>420000000</v>
      </c>
      <c r="D86" s="71"/>
      <c r="E86" s="32"/>
      <c r="F86" s="71"/>
      <c r="G86" s="34">
        <f>F86/C86*100</f>
        <v>0</v>
      </c>
      <c r="H86" s="71"/>
      <c r="I86" s="34">
        <f>H86/C86*100</f>
        <v>0</v>
      </c>
      <c r="J86" s="34">
        <v>5</v>
      </c>
      <c r="K86" s="34">
        <f>I86</f>
        <v>0</v>
      </c>
      <c r="L86" s="154">
        <f t="shared" si="10"/>
        <v>420000000</v>
      </c>
      <c r="M86" s="56"/>
      <c r="N86" s="86"/>
      <c r="O86" s="121">
        <f>198600000/420000000</f>
        <v>0.47285714285714286</v>
      </c>
    </row>
    <row r="87" spans="1:14" ht="12.75">
      <c r="A87" s="100"/>
      <c r="B87" s="98"/>
      <c r="C87" s="71"/>
      <c r="D87" s="32"/>
      <c r="E87" s="32"/>
      <c r="F87" s="7"/>
      <c r="G87" s="34"/>
      <c r="H87" s="7"/>
      <c r="I87" s="34"/>
      <c r="J87" s="34"/>
      <c r="K87" s="8"/>
      <c r="L87" s="154">
        <f t="shared" si="10"/>
        <v>0</v>
      </c>
      <c r="M87" s="56"/>
      <c r="N87" s="86"/>
    </row>
    <row r="88" spans="1:14" ht="12.75">
      <c r="A88" s="93">
        <v>8</v>
      </c>
      <c r="B88" s="69" t="s">
        <v>70</v>
      </c>
      <c r="C88" s="39">
        <f>SUM(C89:C89)</f>
        <v>100000000</v>
      </c>
      <c r="D88" s="39">
        <f>SUM(D89:D89)</f>
        <v>0</v>
      </c>
      <c r="E88" s="39"/>
      <c r="F88" s="39">
        <f>SUM(F89:F89)</f>
        <v>0</v>
      </c>
      <c r="G88" s="8">
        <f>F88/C88*100</f>
        <v>0</v>
      </c>
      <c r="H88" s="39">
        <f>SUM(H89:H89)</f>
        <v>0</v>
      </c>
      <c r="I88" s="8">
        <f>H88/C88*100</f>
        <v>0</v>
      </c>
      <c r="J88" s="8">
        <f>J89</f>
        <v>0</v>
      </c>
      <c r="K88" s="8">
        <v>0</v>
      </c>
      <c r="L88" s="154">
        <f t="shared" si="10"/>
        <v>100000000</v>
      </c>
      <c r="M88" s="56"/>
      <c r="N88" s="86"/>
    </row>
    <row r="89" spans="1:15" ht="12.75">
      <c r="A89" s="101"/>
      <c r="B89" s="52" t="s">
        <v>71</v>
      </c>
      <c r="C89" s="53">
        <v>100000000</v>
      </c>
      <c r="D89" s="51"/>
      <c r="E89" s="49"/>
      <c r="F89" s="54"/>
      <c r="G89" s="113">
        <f>F89/C89*100</f>
        <v>0</v>
      </c>
      <c r="H89" s="54">
        <v>0</v>
      </c>
      <c r="I89" s="113">
        <f>H89/C89*100</f>
        <v>0</v>
      </c>
      <c r="J89" s="113">
        <v>0</v>
      </c>
      <c r="K89" s="113">
        <f>I89</f>
        <v>0</v>
      </c>
      <c r="L89" s="154">
        <f t="shared" si="10"/>
        <v>100000000</v>
      </c>
      <c r="M89" s="56"/>
      <c r="N89" s="86"/>
      <c r="O89" s="142">
        <f>0/100000000</f>
        <v>0</v>
      </c>
    </row>
    <row r="90" spans="1:14" ht="12.75">
      <c r="A90" s="55"/>
      <c r="B90" s="40"/>
      <c r="C90" s="41"/>
      <c r="D90" s="37"/>
      <c r="E90" s="32"/>
      <c r="F90" s="42"/>
      <c r="G90" s="34"/>
      <c r="H90" s="42"/>
      <c r="I90" s="34"/>
      <c r="J90" s="34"/>
      <c r="K90" s="34"/>
      <c r="L90" s="34"/>
      <c r="M90" s="56"/>
      <c r="N90" s="86"/>
    </row>
    <row r="91" spans="1:14" ht="12.75">
      <c r="A91" s="102"/>
      <c r="B91" s="103"/>
      <c r="C91" s="43">
        <f>C12+C25</f>
        <v>11516999500</v>
      </c>
      <c r="D91" s="43">
        <f>+D12+D25</f>
        <v>0</v>
      </c>
      <c r="E91" s="43">
        <f>E26+E39+E47+E60+E65+E79+E84+E88</f>
        <v>0</v>
      </c>
      <c r="F91" s="43">
        <f>+F12+F25</f>
        <v>1306498729</v>
      </c>
      <c r="G91" s="118">
        <f>SUM(F91/C91*100)</f>
        <v>11.344089482681666</v>
      </c>
      <c r="H91" s="43">
        <f>+H12+H25</f>
        <v>1306498729</v>
      </c>
      <c r="I91" s="119">
        <f>SUM(H91/C91*100)</f>
        <v>11.344089482681666</v>
      </c>
      <c r="J91" s="43">
        <f>+(J12+J25)/2</f>
        <v>9.671875</v>
      </c>
      <c r="K91" s="43">
        <f>+(K12+K25)/2</f>
        <v>18.548047735300102</v>
      </c>
      <c r="L91" s="43">
        <f>L12+L25</f>
        <v>10210500771</v>
      </c>
      <c r="M91" s="104"/>
      <c r="N91" s="131"/>
    </row>
    <row r="92" spans="1:14" ht="12.75">
      <c r="A92" s="126"/>
      <c r="B92" s="127"/>
      <c r="C92" s="128"/>
      <c r="D92" s="128"/>
      <c r="E92" s="128"/>
      <c r="F92" s="128"/>
      <c r="G92" s="129"/>
      <c r="H92" s="128"/>
      <c r="I92" s="130"/>
      <c r="J92" s="128"/>
      <c r="K92" s="128"/>
      <c r="L92" s="128"/>
      <c r="M92" s="131"/>
      <c r="N92" s="131"/>
    </row>
    <row r="93" spans="1:14" ht="12.75">
      <c r="A93" s="126"/>
      <c r="B93" s="127"/>
      <c r="C93" s="128"/>
      <c r="D93" s="128"/>
      <c r="E93" s="128"/>
      <c r="F93" s="128"/>
      <c r="G93" s="129"/>
      <c r="H93" s="128"/>
      <c r="I93" s="130"/>
      <c r="J93" s="128"/>
      <c r="K93" s="128"/>
      <c r="L93" s="128"/>
      <c r="M93" s="131"/>
      <c r="N93" s="131"/>
    </row>
    <row r="94" spans="1:14" ht="12.75">
      <c r="A94" s="127"/>
      <c r="B94" s="135"/>
      <c r="C94" s="136"/>
      <c r="D94" s="60"/>
      <c r="E94" s="137"/>
      <c r="F94" s="44"/>
      <c r="G94" s="46"/>
      <c r="I94" s="117"/>
      <c r="J94" s="117" t="s">
        <v>86</v>
      </c>
      <c r="K94" s="117"/>
      <c r="L94" s="117"/>
      <c r="M94" s="117"/>
      <c r="N94" s="117"/>
    </row>
    <row r="95" spans="1:14" ht="12.75">
      <c r="A95" s="127"/>
      <c r="B95" s="138"/>
      <c r="C95" s="84"/>
      <c r="D95" s="139"/>
      <c r="E95" s="137"/>
      <c r="F95" s="45"/>
      <c r="G95" s="44"/>
      <c r="I95" s="107"/>
      <c r="J95" s="107" t="s">
        <v>73</v>
      </c>
      <c r="K95" s="107"/>
      <c r="L95" s="107"/>
      <c r="M95" s="107"/>
      <c r="N95" s="107"/>
    </row>
    <row r="96" spans="1:14" ht="12.75">
      <c r="A96" s="127"/>
      <c r="B96" s="105" t="s">
        <v>82</v>
      </c>
      <c r="C96" s="106">
        <f>F91/C91*100</f>
        <v>11.344089482681666</v>
      </c>
      <c r="D96" s="60"/>
      <c r="E96" s="136"/>
      <c r="F96" s="44"/>
      <c r="G96" s="46"/>
      <c r="I96" s="107"/>
      <c r="J96" s="107" t="s">
        <v>72</v>
      </c>
      <c r="K96" s="107"/>
      <c r="L96" s="107"/>
      <c r="M96" s="107"/>
      <c r="N96" s="107"/>
    </row>
    <row r="97" spans="1:14" ht="12.75">
      <c r="A97" s="127"/>
      <c r="B97" s="140"/>
      <c r="C97" s="141"/>
      <c r="D97" s="60"/>
      <c r="E97" s="136"/>
      <c r="F97" s="44"/>
      <c r="G97" s="46"/>
      <c r="I97" s="107"/>
      <c r="J97" s="107"/>
      <c r="K97" s="107"/>
      <c r="L97" s="107"/>
      <c r="M97" s="107"/>
      <c r="N97" s="107"/>
    </row>
    <row r="98" spans="1:14" ht="12.75">
      <c r="A98" s="127"/>
      <c r="B98" s="140"/>
      <c r="C98" s="141"/>
      <c r="D98" s="60"/>
      <c r="E98" s="136"/>
      <c r="F98" s="44"/>
      <c r="G98" s="46"/>
      <c r="I98" s="107"/>
      <c r="J98" s="107"/>
      <c r="K98" s="107"/>
      <c r="L98" s="107"/>
      <c r="M98" s="107"/>
      <c r="N98" s="107"/>
    </row>
    <row r="99" spans="1:14" ht="12.75">
      <c r="A99" s="127"/>
      <c r="B99" s="128"/>
      <c r="C99" s="84"/>
      <c r="D99" s="60"/>
      <c r="E99" s="137"/>
      <c r="F99" s="46"/>
      <c r="G99" s="46"/>
      <c r="H99" s="108"/>
      <c r="I99" s="108"/>
      <c r="J99" s="108" t="s">
        <v>74</v>
      </c>
      <c r="M99" s="108"/>
      <c r="N99" s="108"/>
    </row>
    <row r="100" spans="1:14" ht="12.75">
      <c r="A100" s="127"/>
      <c r="B100" s="127"/>
      <c r="C100" s="84"/>
      <c r="D100" s="60"/>
      <c r="E100" s="60"/>
      <c r="F100" s="46"/>
      <c r="G100" s="46"/>
      <c r="H100" s="107"/>
      <c r="I100" s="107"/>
      <c r="J100" s="107" t="s">
        <v>75</v>
      </c>
      <c r="M100" s="107"/>
      <c r="N100" s="107"/>
    </row>
    <row r="106" spans="1:13" ht="15.75">
      <c r="A106" s="811" t="s">
        <v>0</v>
      </c>
      <c r="B106" s="811"/>
      <c r="C106" s="811"/>
      <c r="D106" s="811"/>
      <c r="E106" s="811"/>
      <c r="F106" s="811"/>
      <c r="G106" s="811"/>
      <c r="H106" s="811"/>
      <c r="I106" s="811"/>
      <c r="J106" s="811"/>
      <c r="K106" s="811"/>
      <c r="L106" s="811"/>
      <c r="M106" s="811"/>
    </row>
    <row r="107" spans="1:13" ht="12.75">
      <c r="A107" s="812" t="s">
        <v>83</v>
      </c>
      <c r="B107" s="812"/>
      <c r="C107" s="812"/>
      <c r="D107" s="812"/>
      <c r="E107" s="812"/>
      <c r="F107" s="812"/>
      <c r="G107" s="812"/>
      <c r="H107" s="812"/>
      <c r="I107" s="812"/>
      <c r="J107" s="812"/>
      <c r="K107" s="812"/>
      <c r="L107" s="812"/>
      <c r="M107" s="812"/>
    </row>
    <row r="108" spans="1:13" ht="12.75">
      <c r="A108" s="813" t="s">
        <v>77</v>
      </c>
      <c r="B108" s="813"/>
      <c r="C108" s="813"/>
      <c r="D108" s="813"/>
      <c r="E108" s="813"/>
      <c r="F108" s="813"/>
      <c r="G108" s="813"/>
      <c r="H108" s="813"/>
      <c r="I108" s="813"/>
      <c r="J108" s="813"/>
      <c r="K108" s="813"/>
      <c r="L108" s="813"/>
      <c r="M108" s="813"/>
    </row>
    <row r="109" spans="1:13" ht="12.75">
      <c r="A109" s="60" t="s">
        <v>1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ht="12.75">
      <c r="A110" s="144" t="s">
        <v>88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ht="12.75">
      <c r="A111" s="60"/>
    </row>
    <row r="112" spans="1:13" ht="12.75">
      <c r="A112" s="808" t="s">
        <v>2</v>
      </c>
      <c r="B112" s="808" t="s">
        <v>3</v>
      </c>
      <c r="C112" s="808" t="s">
        <v>4</v>
      </c>
      <c r="D112" s="808" t="s">
        <v>5</v>
      </c>
      <c r="E112" s="808" t="s">
        <v>6</v>
      </c>
      <c r="F112" s="816" t="s">
        <v>7</v>
      </c>
      <c r="G112" s="817"/>
      <c r="H112" s="817"/>
      <c r="I112" s="818"/>
      <c r="J112" s="816" t="s">
        <v>8</v>
      </c>
      <c r="K112" s="818"/>
      <c r="L112" s="805" t="s">
        <v>87</v>
      </c>
      <c r="M112" s="808" t="s">
        <v>9</v>
      </c>
    </row>
    <row r="113" spans="1:13" ht="12.75" customHeight="1">
      <c r="A113" s="806"/>
      <c r="B113" s="806"/>
      <c r="C113" s="806"/>
      <c r="D113" s="814"/>
      <c r="E113" s="806"/>
      <c r="F113" s="809" t="s">
        <v>10</v>
      </c>
      <c r="G113" s="808" t="s">
        <v>11</v>
      </c>
      <c r="H113" s="808" t="s">
        <v>12</v>
      </c>
      <c r="I113" s="808" t="s">
        <v>11</v>
      </c>
      <c r="J113" s="808" t="s">
        <v>13</v>
      </c>
      <c r="K113" s="808" t="s">
        <v>14</v>
      </c>
      <c r="L113" s="806"/>
      <c r="M113" s="806"/>
    </row>
    <row r="114" spans="1:13" ht="12.75" customHeight="1">
      <c r="A114" s="807"/>
      <c r="B114" s="807"/>
      <c r="C114" s="807"/>
      <c r="D114" s="815"/>
      <c r="E114" s="807"/>
      <c r="F114" s="810"/>
      <c r="G114" s="807"/>
      <c r="H114" s="807"/>
      <c r="I114" s="807"/>
      <c r="J114" s="807"/>
      <c r="K114" s="807"/>
      <c r="L114" s="807"/>
      <c r="M114" s="807"/>
    </row>
    <row r="115" spans="1:13" ht="12.75">
      <c r="A115" s="2">
        <v>1</v>
      </c>
      <c r="B115" s="2">
        <v>2</v>
      </c>
      <c r="C115" s="2">
        <v>3</v>
      </c>
      <c r="D115" s="2">
        <v>4</v>
      </c>
      <c r="E115" s="2">
        <v>5</v>
      </c>
      <c r="F115" s="2">
        <v>6</v>
      </c>
      <c r="G115" s="2">
        <v>7</v>
      </c>
      <c r="H115" s="2">
        <v>8</v>
      </c>
      <c r="I115" s="2">
        <v>9</v>
      </c>
      <c r="J115" s="2">
        <v>10</v>
      </c>
      <c r="K115" s="2">
        <v>11</v>
      </c>
      <c r="L115" s="2">
        <v>12</v>
      </c>
      <c r="M115" s="2">
        <v>13</v>
      </c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61" t="s">
        <v>15</v>
      </c>
      <c r="B117" s="62" t="s">
        <v>16</v>
      </c>
      <c r="C117" s="4">
        <f>SUM(C118:C128)</f>
        <v>2320392000</v>
      </c>
      <c r="D117" s="63"/>
      <c r="E117" s="114"/>
      <c r="F117" s="4">
        <f>SUM(F118:F128)</f>
        <v>224742690</v>
      </c>
      <c r="G117" s="64">
        <f>SUM(F117/C117*100)</f>
        <v>9.685548390099603</v>
      </c>
      <c r="H117" s="4">
        <f>SUM(H118:H128)</f>
        <v>224742690</v>
      </c>
      <c r="I117" s="145">
        <f>SUM(H117/C117*100)</f>
        <v>9.685548390099603</v>
      </c>
      <c r="J117" s="64">
        <v>3</v>
      </c>
      <c r="K117" s="64">
        <f>(K118+K119+K120+K121+K122+K123+K124+K125+K126+K127+K128)/11</f>
        <v>9.36630932839617</v>
      </c>
      <c r="L117" s="4">
        <f>SUM(L118:L128)</f>
        <v>2095649310</v>
      </c>
      <c r="M117" s="63"/>
    </row>
    <row r="118" spans="1:13" ht="12.75">
      <c r="A118" s="66">
        <v>1</v>
      </c>
      <c r="B118" s="47" t="s">
        <v>17</v>
      </c>
      <c r="C118" s="5">
        <v>1209000000</v>
      </c>
      <c r="D118" s="63"/>
      <c r="E118" s="63"/>
      <c r="F118" s="114">
        <v>164019000</v>
      </c>
      <c r="G118" s="37">
        <f>SUM(F118/C118*100)</f>
        <v>13.56650124069479</v>
      </c>
      <c r="H118" s="114">
        <v>164019000</v>
      </c>
      <c r="I118" s="7">
        <f aca="true" t="shared" si="14" ref="I118:I124">SUM(H118/C118*100)</f>
        <v>13.56650124069479</v>
      </c>
      <c r="J118" s="37">
        <v>3</v>
      </c>
      <c r="K118" s="37">
        <f>I118</f>
        <v>13.56650124069479</v>
      </c>
      <c r="L118" s="37">
        <f>C118-H118</f>
        <v>1044981000</v>
      </c>
      <c r="M118" s="63"/>
    </row>
    <row r="119" spans="1:13" ht="12.75">
      <c r="A119" s="66">
        <v>2</v>
      </c>
      <c r="B119" s="47" t="s">
        <v>18</v>
      </c>
      <c r="C119" s="5">
        <v>132000000</v>
      </c>
      <c r="D119" s="63"/>
      <c r="E119" s="63"/>
      <c r="F119" s="5">
        <v>17773620</v>
      </c>
      <c r="G119" s="37">
        <f>SUM(F119/C119*100)</f>
        <v>13.464863636363637</v>
      </c>
      <c r="H119" s="5">
        <v>17773620</v>
      </c>
      <c r="I119" s="7">
        <f t="shared" si="14"/>
        <v>13.464863636363637</v>
      </c>
      <c r="J119" s="37">
        <v>3</v>
      </c>
      <c r="K119" s="37">
        <f aca="true" t="shared" si="15" ref="K119:K128">I119</f>
        <v>13.464863636363637</v>
      </c>
      <c r="L119" s="37">
        <f aca="true" t="shared" si="16" ref="L119:L128">C119-H119</f>
        <v>114226380</v>
      </c>
      <c r="M119" s="63"/>
    </row>
    <row r="120" spans="1:13" ht="12.75">
      <c r="A120" s="66">
        <v>3</v>
      </c>
      <c r="B120" s="47" t="s">
        <v>19</v>
      </c>
      <c r="C120" s="5">
        <v>165000000</v>
      </c>
      <c r="D120" s="63"/>
      <c r="E120" s="63"/>
      <c r="F120" s="5">
        <v>23250000</v>
      </c>
      <c r="G120" s="37">
        <f aca="true" t="shared" si="17" ref="G120:G128">SUM(F120/C120*100)</f>
        <v>14.09090909090909</v>
      </c>
      <c r="H120" s="5">
        <v>23250000</v>
      </c>
      <c r="I120" s="7">
        <f t="shared" si="14"/>
        <v>14.09090909090909</v>
      </c>
      <c r="J120" s="37">
        <v>3</v>
      </c>
      <c r="K120" s="37">
        <f t="shared" si="15"/>
        <v>14.09090909090909</v>
      </c>
      <c r="L120" s="37">
        <f t="shared" si="16"/>
        <v>141750000</v>
      </c>
      <c r="M120" s="63"/>
    </row>
    <row r="121" spans="1:13" ht="12.75">
      <c r="A121" s="66">
        <v>4</v>
      </c>
      <c r="B121" s="47" t="s">
        <v>20</v>
      </c>
      <c r="C121" s="5">
        <v>23000000</v>
      </c>
      <c r="D121" s="63"/>
      <c r="E121" s="63"/>
      <c r="F121" s="5">
        <v>2540000</v>
      </c>
      <c r="G121" s="37">
        <f t="shared" si="17"/>
        <v>11.043478260869566</v>
      </c>
      <c r="H121" s="5">
        <v>2540000</v>
      </c>
      <c r="I121" s="7">
        <f t="shared" si="14"/>
        <v>11.043478260869566</v>
      </c>
      <c r="J121" s="37">
        <v>3</v>
      </c>
      <c r="K121" s="37">
        <f t="shared" si="15"/>
        <v>11.043478260869566</v>
      </c>
      <c r="L121" s="37">
        <f t="shared" si="16"/>
        <v>20460000</v>
      </c>
      <c r="M121" s="63"/>
    </row>
    <row r="122" spans="1:13" ht="12.75">
      <c r="A122" s="66">
        <v>5</v>
      </c>
      <c r="B122" s="47" t="s">
        <v>21</v>
      </c>
      <c r="C122" s="5">
        <v>64000000</v>
      </c>
      <c r="D122" s="63"/>
      <c r="E122" s="63"/>
      <c r="F122" s="5">
        <v>9776700</v>
      </c>
      <c r="G122" s="37">
        <f t="shared" si="17"/>
        <v>15.27609375</v>
      </c>
      <c r="H122" s="5">
        <v>9776700</v>
      </c>
      <c r="I122" s="7">
        <f t="shared" si="14"/>
        <v>15.27609375</v>
      </c>
      <c r="J122" s="37">
        <v>3</v>
      </c>
      <c r="K122" s="37">
        <f t="shared" si="15"/>
        <v>15.27609375</v>
      </c>
      <c r="L122" s="37">
        <f t="shared" si="16"/>
        <v>54223300</v>
      </c>
      <c r="M122" s="63"/>
    </row>
    <row r="123" spans="1:13" ht="12.75">
      <c r="A123" s="66">
        <v>6</v>
      </c>
      <c r="B123" s="47" t="s">
        <v>22</v>
      </c>
      <c r="C123" s="5">
        <v>10045000</v>
      </c>
      <c r="D123" s="63"/>
      <c r="E123" s="63"/>
      <c r="F123" s="5">
        <v>352276</v>
      </c>
      <c r="G123" s="37">
        <f t="shared" si="17"/>
        <v>3.5069785963165754</v>
      </c>
      <c r="H123" s="5">
        <v>352276</v>
      </c>
      <c r="I123" s="7">
        <f t="shared" si="14"/>
        <v>3.5069785963165754</v>
      </c>
      <c r="J123" s="37">
        <v>3</v>
      </c>
      <c r="K123" s="37">
        <f t="shared" si="15"/>
        <v>3.5069785963165754</v>
      </c>
      <c r="L123" s="37">
        <f t="shared" si="16"/>
        <v>9692724</v>
      </c>
      <c r="M123" s="63"/>
    </row>
    <row r="124" spans="1:13" ht="12.75">
      <c r="A124" s="66">
        <v>7</v>
      </c>
      <c r="B124" s="47" t="s">
        <v>23</v>
      </c>
      <c r="C124" s="5">
        <v>157000</v>
      </c>
      <c r="D124" s="63"/>
      <c r="E124" s="63"/>
      <c r="F124" s="5">
        <v>2740</v>
      </c>
      <c r="G124" s="37">
        <f t="shared" si="17"/>
        <v>1.7452229299363058</v>
      </c>
      <c r="H124" s="5">
        <v>2740</v>
      </c>
      <c r="I124" s="7">
        <f t="shared" si="14"/>
        <v>1.7452229299363058</v>
      </c>
      <c r="J124" s="37">
        <v>3</v>
      </c>
      <c r="K124" s="37">
        <f>I124</f>
        <v>1.7452229299363058</v>
      </c>
      <c r="L124" s="37">
        <f t="shared" si="16"/>
        <v>154260</v>
      </c>
      <c r="M124" s="63"/>
    </row>
    <row r="125" spans="1:13" ht="12.75">
      <c r="A125" s="66">
        <v>8</v>
      </c>
      <c r="B125" s="47" t="s">
        <v>24</v>
      </c>
      <c r="C125" s="5">
        <v>35000000</v>
      </c>
      <c r="D125" s="63"/>
      <c r="E125" s="63"/>
      <c r="F125" s="5">
        <v>5453779</v>
      </c>
      <c r="G125" s="37">
        <f t="shared" si="17"/>
        <v>15.582225714285713</v>
      </c>
      <c r="H125" s="5">
        <v>5453779</v>
      </c>
      <c r="I125" s="36">
        <f>SUM(H126/C125*100)</f>
        <v>1.1246914285714287</v>
      </c>
      <c r="J125" s="37">
        <v>3</v>
      </c>
      <c r="K125" s="37">
        <f t="shared" si="15"/>
        <v>1.1246914285714287</v>
      </c>
      <c r="L125" s="37">
        <f t="shared" si="16"/>
        <v>29546221</v>
      </c>
      <c r="M125" s="63"/>
    </row>
    <row r="126" spans="1:13" ht="12.75">
      <c r="A126" s="66">
        <v>9</v>
      </c>
      <c r="B126" s="47" t="s">
        <v>25</v>
      </c>
      <c r="C126" s="5">
        <v>4305000</v>
      </c>
      <c r="D126" s="63"/>
      <c r="E126" s="63"/>
      <c r="F126" s="5">
        <v>393642</v>
      </c>
      <c r="G126" s="37">
        <f t="shared" si="17"/>
        <v>9.14383275261324</v>
      </c>
      <c r="H126" s="5">
        <v>393642</v>
      </c>
      <c r="I126" s="36">
        <f>SUM(H126/C126*100)</f>
        <v>9.14383275261324</v>
      </c>
      <c r="J126" s="37">
        <v>3</v>
      </c>
      <c r="K126" s="37">
        <f t="shared" si="15"/>
        <v>9.14383275261324</v>
      </c>
      <c r="L126" s="37">
        <f t="shared" si="16"/>
        <v>3911358</v>
      </c>
      <c r="M126" s="63"/>
    </row>
    <row r="127" spans="1:13" ht="12.75">
      <c r="A127" s="66">
        <v>10</v>
      </c>
      <c r="B127" s="47" t="s">
        <v>26</v>
      </c>
      <c r="C127" s="5">
        <v>5885000</v>
      </c>
      <c r="D127" s="63"/>
      <c r="E127" s="63"/>
      <c r="F127" s="5">
        <v>1180933</v>
      </c>
      <c r="G127" s="37">
        <f t="shared" si="17"/>
        <v>20.066830926083263</v>
      </c>
      <c r="H127" s="5">
        <v>1180933</v>
      </c>
      <c r="I127" s="36">
        <f>SUM(H127/C127*100)</f>
        <v>20.066830926083263</v>
      </c>
      <c r="J127" s="37">
        <v>3</v>
      </c>
      <c r="K127" s="37">
        <f t="shared" si="15"/>
        <v>20.066830926083263</v>
      </c>
      <c r="L127" s="37">
        <f t="shared" si="16"/>
        <v>4704067</v>
      </c>
      <c r="M127" s="63"/>
    </row>
    <row r="128" spans="1:13" ht="12.75">
      <c r="A128" s="66">
        <v>11</v>
      </c>
      <c r="B128" s="47" t="s">
        <v>27</v>
      </c>
      <c r="C128" s="5">
        <v>672000000</v>
      </c>
      <c r="D128" s="63"/>
      <c r="E128" s="63"/>
      <c r="F128" s="5"/>
      <c r="G128" s="37">
        <f t="shared" si="17"/>
        <v>0</v>
      </c>
      <c r="H128" s="5">
        <v>0</v>
      </c>
      <c r="I128" s="36">
        <f>SUM(H128/C128*100)</f>
        <v>0</v>
      </c>
      <c r="J128" s="37">
        <v>3</v>
      </c>
      <c r="K128" s="37">
        <f t="shared" si="15"/>
        <v>0</v>
      </c>
      <c r="L128" s="37">
        <f t="shared" si="16"/>
        <v>672000000</v>
      </c>
      <c r="M128" s="63"/>
    </row>
    <row r="129" spans="1:13" ht="12.75">
      <c r="A129" s="66"/>
      <c r="B129" s="47"/>
      <c r="C129" s="5"/>
      <c r="D129" s="63"/>
      <c r="E129" s="63"/>
      <c r="F129" s="5"/>
      <c r="G129" s="37"/>
      <c r="H129" s="5"/>
      <c r="I129" s="36"/>
      <c r="J129" s="37"/>
      <c r="K129" s="37"/>
      <c r="L129" s="37"/>
      <c r="M129" s="63"/>
    </row>
    <row r="130" spans="1:13" ht="12.75">
      <c r="A130" s="61" t="s">
        <v>28</v>
      </c>
      <c r="B130" s="62" t="s">
        <v>29</v>
      </c>
      <c r="C130" s="67">
        <f>C131+C144+C152+C165+C170+C184+C189+C193</f>
        <v>9196607500</v>
      </c>
      <c r="D130" s="67">
        <f>D131+D144+D152+D165+D170+D184+D189+D193</f>
        <v>0</v>
      </c>
      <c r="E130" s="63"/>
      <c r="F130" s="67">
        <f>F131+F144+F152+F165+F170+F184+F189+F193</f>
        <v>35654656</v>
      </c>
      <c r="G130" s="6">
        <f aca="true" t="shared" si="18" ref="G130:G142">SUM(F130/C130*100)</f>
        <v>0.3876935706998477</v>
      </c>
      <c r="H130" s="67">
        <f>H131+H144+H152+H165+H170+H184+H189+H193</f>
        <v>262180815</v>
      </c>
      <c r="I130" s="8">
        <f>SUM(H130/C130*100)</f>
        <v>2.8508427156426976</v>
      </c>
      <c r="J130" s="6">
        <f>(J131+J144+J152+J165+J170+J184+J189+J193)/8</f>
        <v>16.34375</v>
      </c>
      <c r="K130" s="6">
        <f>(K131+K144+K152+K165+K170+K184+K189+K193)/8</f>
        <v>2.774546680699065</v>
      </c>
      <c r="L130" s="67">
        <f>L131+L144+L152+L165+L170+L184+L189+L193</f>
        <v>8934426685</v>
      </c>
      <c r="M130" s="63"/>
    </row>
    <row r="131" spans="1:13" ht="12.75">
      <c r="A131" s="68">
        <v>1</v>
      </c>
      <c r="B131" s="69" t="s">
        <v>30</v>
      </c>
      <c r="C131" s="67">
        <f>SUM(C132:C142)</f>
        <v>1362525500</v>
      </c>
      <c r="D131" s="67">
        <f>SUM(D132:D142)</f>
        <v>0</v>
      </c>
      <c r="E131" s="70"/>
      <c r="F131" s="6">
        <f>SUM(F132:F142)</f>
        <v>35654656</v>
      </c>
      <c r="G131" s="6">
        <f t="shared" si="18"/>
        <v>2.616806511144195</v>
      </c>
      <c r="H131" s="6">
        <f>SUM(H132:H142)</f>
        <v>82648315</v>
      </c>
      <c r="I131" s="8">
        <f aca="true" t="shared" si="19" ref="I131:I142">SUM(H131/C131*100)</f>
        <v>6.0658178507484815</v>
      </c>
      <c r="J131" s="64">
        <v>3</v>
      </c>
      <c r="K131" s="64">
        <f>(K132+K133+K134+K135+K136+K137+K138+K139+K140+K141+K142)/11</f>
        <v>10.699079315712122</v>
      </c>
      <c r="L131" s="6">
        <f>SUM(L132:L142)</f>
        <v>1279877185</v>
      </c>
      <c r="M131" s="56"/>
    </row>
    <row r="132" spans="1:13" ht="12.75">
      <c r="A132" s="55">
        <v>1</v>
      </c>
      <c r="B132" s="55" t="s">
        <v>31</v>
      </c>
      <c r="C132" s="71">
        <v>6310000</v>
      </c>
      <c r="D132" s="72" t="s">
        <v>32</v>
      </c>
      <c r="E132" s="72" t="s">
        <v>32</v>
      </c>
      <c r="F132" s="71"/>
      <c r="G132" s="37">
        <f t="shared" si="18"/>
        <v>0</v>
      </c>
      <c r="H132" s="71"/>
      <c r="I132" s="36">
        <f t="shared" si="19"/>
        <v>0</v>
      </c>
      <c r="J132" s="37">
        <v>3</v>
      </c>
      <c r="K132" s="37">
        <f aca="true" t="shared" si="20" ref="K132:K143">I132</f>
        <v>0</v>
      </c>
      <c r="L132" s="37">
        <f>C132-H132</f>
        <v>6310000</v>
      </c>
      <c r="M132" s="37"/>
    </row>
    <row r="133" spans="1:13" ht="12.75">
      <c r="A133" s="55">
        <v>2</v>
      </c>
      <c r="B133" s="73" t="s">
        <v>76</v>
      </c>
      <c r="C133" s="71">
        <v>60000000</v>
      </c>
      <c r="D133" s="37"/>
      <c r="E133" s="37"/>
      <c r="F133" s="7"/>
      <c r="G133" s="37">
        <f t="shared" si="18"/>
        <v>0</v>
      </c>
      <c r="H133" s="71">
        <v>13089325</v>
      </c>
      <c r="I133" s="36">
        <f t="shared" si="19"/>
        <v>21.815541666666665</v>
      </c>
      <c r="J133" s="37">
        <v>4</v>
      </c>
      <c r="K133" s="37">
        <f t="shared" si="20"/>
        <v>21.815541666666665</v>
      </c>
      <c r="L133" s="37">
        <f aca="true" t="shared" si="21" ref="L133:L153">C133-H133</f>
        <v>46910675</v>
      </c>
      <c r="M133" s="37"/>
    </row>
    <row r="134" spans="1:13" ht="12.75">
      <c r="A134" s="55">
        <v>3</v>
      </c>
      <c r="B134" s="55" t="s">
        <v>33</v>
      </c>
      <c r="C134" s="71">
        <v>31435000</v>
      </c>
      <c r="D134" s="37">
        <v>0</v>
      </c>
      <c r="E134" s="37">
        <v>0</v>
      </c>
      <c r="F134" s="7"/>
      <c r="G134" s="37">
        <f t="shared" si="18"/>
        <v>0</v>
      </c>
      <c r="H134" s="7"/>
      <c r="I134" s="36">
        <f t="shared" si="19"/>
        <v>0</v>
      </c>
      <c r="J134" s="37">
        <v>3</v>
      </c>
      <c r="K134" s="37">
        <f t="shared" si="20"/>
        <v>0</v>
      </c>
      <c r="L134" s="37">
        <f t="shared" si="21"/>
        <v>31435000</v>
      </c>
      <c r="M134" s="37"/>
    </row>
    <row r="135" spans="1:13" ht="12.75">
      <c r="A135" s="55">
        <v>4</v>
      </c>
      <c r="B135" s="73" t="s">
        <v>34</v>
      </c>
      <c r="C135" s="71">
        <v>55000000</v>
      </c>
      <c r="D135" s="37">
        <v>0</v>
      </c>
      <c r="E135" s="37">
        <v>0</v>
      </c>
      <c r="F135" s="7"/>
      <c r="G135" s="37">
        <f t="shared" si="18"/>
        <v>0</v>
      </c>
      <c r="H135" s="7">
        <v>12505000</v>
      </c>
      <c r="I135" s="36">
        <f t="shared" si="19"/>
        <v>22.736363636363635</v>
      </c>
      <c r="J135" s="37">
        <v>4</v>
      </c>
      <c r="K135" s="37">
        <f t="shared" si="20"/>
        <v>22.736363636363635</v>
      </c>
      <c r="L135" s="37">
        <f t="shared" si="21"/>
        <v>42495000</v>
      </c>
      <c r="M135" s="37"/>
    </row>
    <row r="136" spans="1:13" ht="12.75">
      <c r="A136" s="55">
        <v>5</v>
      </c>
      <c r="B136" s="73" t="s">
        <v>35</v>
      </c>
      <c r="C136" s="71">
        <v>26676500</v>
      </c>
      <c r="D136" s="37">
        <v>0</v>
      </c>
      <c r="E136" s="37">
        <v>0</v>
      </c>
      <c r="F136" s="7"/>
      <c r="G136" s="37">
        <f t="shared" si="18"/>
        <v>0</v>
      </c>
      <c r="H136" s="7">
        <v>5799900</v>
      </c>
      <c r="I136" s="36">
        <f t="shared" si="19"/>
        <v>21.74160778213034</v>
      </c>
      <c r="J136" s="37">
        <v>3</v>
      </c>
      <c r="K136" s="37">
        <f t="shared" si="20"/>
        <v>21.74160778213034</v>
      </c>
      <c r="L136" s="37">
        <f t="shared" si="21"/>
        <v>20876600</v>
      </c>
      <c r="M136" s="37"/>
    </row>
    <row r="137" spans="1:13" ht="12.75">
      <c r="A137" s="55">
        <v>6</v>
      </c>
      <c r="B137" s="73" t="s">
        <v>36</v>
      </c>
      <c r="C137" s="71">
        <v>4000000</v>
      </c>
      <c r="D137" s="37">
        <v>0</v>
      </c>
      <c r="E137" s="37">
        <v>0</v>
      </c>
      <c r="F137" s="7"/>
      <c r="G137" s="37">
        <f t="shared" si="18"/>
        <v>0</v>
      </c>
      <c r="H137" s="7"/>
      <c r="I137" s="36">
        <f t="shared" si="19"/>
        <v>0</v>
      </c>
      <c r="J137" s="37">
        <v>5</v>
      </c>
      <c r="K137" s="37">
        <f t="shared" si="20"/>
        <v>0</v>
      </c>
      <c r="L137" s="37">
        <f t="shared" si="21"/>
        <v>4000000</v>
      </c>
      <c r="M137" s="37"/>
    </row>
    <row r="138" spans="1:13" ht="12.75">
      <c r="A138" s="55">
        <v>7</v>
      </c>
      <c r="B138" s="73" t="s">
        <v>37</v>
      </c>
      <c r="C138" s="71">
        <v>13076000</v>
      </c>
      <c r="D138" s="37">
        <v>0</v>
      </c>
      <c r="E138" s="37">
        <v>0</v>
      </c>
      <c r="F138" s="7"/>
      <c r="G138" s="37">
        <f t="shared" si="18"/>
        <v>0</v>
      </c>
      <c r="H138" s="7">
        <v>5562250</v>
      </c>
      <c r="I138" s="36">
        <f t="shared" si="19"/>
        <v>42.53785561333741</v>
      </c>
      <c r="J138" s="37">
        <v>7</v>
      </c>
      <c r="K138" s="37">
        <f t="shared" si="20"/>
        <v>42.53785561333741</v>
      </c>
      <c r="L138" s="37">
        <f t="shared" si="21"/>
        <v>7513750</v>
      </c>
      <c r="M138" s="37"/>
    </row>
    <row r="139" spans="1:13" ht="12.75">
      <c r="A139" s="55">
        <v>8</v>
      </c>
      <c r="B139" s="73" t="s">
        <v>38</v>
      </c>
      <c r="C139" s="71">
        <v>7500000</v>
      </c>
      <c r="D139" s="37">
        <v>0</v>
      </c>
      <c r="E139" s="37">
        <v>0</v>
      </c>
      <c r="F139" s="7"/>
      <c r="G139" s="37">
        <f t="shared" si="18"/>
        <v>0</v>
      </c>
      <c r="H139" s="7"/>
      <c r="I139" s="36">
        <f t="shared" si="19"/>
        <v>0</v>
      </c>
      <c r="J139" s="37">
        <v>4</v>
      </c>
      <c r="K139" s="37">
        <f t="shared" si="20"/>
        <v>0</v>
      </c>
      <c r="L139" s="37">
        <f t="shared" si="21"/>
        <v>7500000</v>
      </c>
      <c r="M139" s="37"/>
    </row>
    <row r="140" spans="1:13" ht="12.75">
      <c r="A140" s="55">
        <v>9</v>
      </c>
      <c r="B140" s="73" t="s">
        <v>39</v>
      </c>
      <c r="C140" s="71">
        <v>30000000</v>
      </c>
      <c r="D140" s="37">
        <v>0</v>
      </c>
      <c r="E140" s="37">
        <v>0</v>
      </c>
      <c r="F140" s="7"/>
      <c r="G140" s="37">
        <f t="shared" si="18"/>
        <v>0</v>
      </c>
      <c r="H140" s="7"/>
      <c r="I140" s="36">
        <f t="shared" si="19"/>
        <v>0</v>
      </c>
      <c r="J140" s="37">
        <v>4</v>
      </c>
      <c r="K140" s="37">
        <f t="shared" si="20"/>
        <v>0</v>
      </c>
      <c r="L140" s="37">
        <f t="shared" si="21"/>
        <v>30000000</v>
      </c>
      <c r="M140" s="37"/>
    </row>
    <row r="141" spans="1:13" ht="12.75">
      <c r="A141" s="55">
        <v>10</v>
      </c>
      <c r="B141" s="73" t="s">
        <v>40</v>
      </c>
      <c r="C141" s="71">
        <v>200000000</v>
      </c>
      <c r="D141" s="37">
        <v>0</v>
      </c>
      <c r="E141" s="37">
        <v>0</v>
      </c>
      <c r="F141" s="7"/>
      <c r="G141" s="37">
        <f t="shared" si="18"/>
        <v>0</v>
      </c>
      <c r="H141" s="7">
        <v>10037184</v>
      </c>
      <c r="I141" s="36">
        <f t="shared" si="19"/>
        <v>5.018592</v>
      </c>
      <c r="J141" s="37">
        <v>4</v>
      </c>
      <c r="K141" s="37">
        <f t="shared" si="20"/>
        <v>5.018592</v>
      </c>
      <c r="L141" s="37">
        <f t="shared" si="21"/>
        <v>189962816</v>
      </c>
      <c r="M141" s="37"/>
    </row>
    <row r="142" spans="1:13" ht="12.75">
      <c r="A142" s="55">
        <v>11</v>
      </c>
      <c r="B142" s="73" t="s">
        <v>41</v>
      </c>
      <c r="C142" s="71">
        <v>928528000</v>
      </c>
      <c r="D142" s="37">
        <v>0</v>
      </c>
      <c r="E142" s="37">
        <v>0</v>
      </c>
      <c r="F142" s="7">
        <v>35654656</v>
      </c>
      <c r="G142" s="37">
        <f t="shared" si="18"/>
        <v>3.8399117743352917</v>
      </c>
      <c r="H142" s="7">
        <v>35654656</v>
      </c>
      <c r="I142" s="36">
        <f t="shared" si="19"/>
        <v>3.8399117743352917</v>
      </c>
      <c r="J142" s="37">
        <v>3</v>
      </c>
      <c r="K142" s="37">
        <f t="shared" si="20"/>
        <v>3.8399117743352917</v>
      </c>
      <c r="L142" s="37">
        <f t="shared" si="21"/>
        <v>892873344</v>
      </c>
      <c r="M142" s="37"/>
    </row>
    <row r="143" spans="1:13" ht="12.75">
      <c r="A143" s="74"/>
      <c r="B143" s="75"/>
      <c r="C143" s="71"/>
      <c r="D143" s="37"/>
      <c r="E143" s="37"/>
      <c r="F143" s="7"/>
      <c r="G143" s="37"/>
      <c r="H143" s="7"/>
      <c r="I143" s="36"/>
      <c r="J143" s="37"/>
      <c r="K143" s="37">
        <f t="shared" si="20"/>
        <v>0</v>
      </c>
      <c r="L143" s="37">
        <f t="shared" si="21"/>
        <v>0</v>
      </c>
      <c r="M143" s="37"/>
    </row>
    <row r="144" spans="1:13" ht="12.75">
      <c r="A144" s="62">
        <v>2</v>
      </c>
      <c r="B144" s="69" t="s">
        <v>42</v>
      </c>
      <c r="C144" s="39">
        <f>C145+C146+C147+C148+C149+C150</f>
        <v>761012000</v>
      </c>
      <c r="D144" s="39">
        <f>SUM(D145:D150)</f>
        <v>0</v>
      </c>
      <c r="E144" s="6"/>
      <c r="F144" s="39">
        <f>F145+F146+F147+F148+F149+F150</f>
        <v>0</v>
      </c>
      <c r="G144" s="6">
        <f aca="true" t="shared" si="22" ref="G144:G150">SUM(F144/C144*100)</f>
        <v>0</v>
      </c>
      <c r="H144" s="39">
        <f>H145+H146+H147+H148+H149+H150</f>
        <v>60400000</v>
      </c>
      <c r="I144" s="30">
        <f aca="true" t="shared" si="23" ref="I144:I150">SUM(H144/C144*100)</f>
        <v>7.936799945335947</v>
      </c>
      <c r="J144" s="147">
        <f>SUM(J145:J150)/6</f>
        <v>7.333333333333333</v>
      </c>
      <c r="K144" s="39">
        <f>(K145+K146+K147+K148+K149+K150)/6</f>
        <v>2.7135335238197924</v>
      </c>
      <c r="L144" s="37">
        <f t="shared" si="21"/>
        <v>700612000</v>
      </c>
      <c r="M144" s="6"/>
    </row>
    <row r="145" spans="1:13" ht="12.75">
      <c r="A145" s="66">
        <v>1</v>
      </c>
      <c r="B145" s="73" t="s">
        <v>43</v>
      </c>
      <c r="C145" s="71">
        <v>85000000</v>
      </c>
      <c r="D145" s="37"/>
      <c r="E145" s="37"/>
      <c r="F145" s="71"/>
      <c r="G145" s="37">
        <f t="shared" si="22"/>
        <v>0</v>
      </c>
      <c r="H145" s="71"/>
      <c r="I145" s="36">
        <f t="shared" si="23"/>
        <v>0</v>
      </c>
      <c r="J145" s="37">
        <v>9</v>
      </c>
      <c r="K145" s="37">
        <f aca="true" t="shared" si="24" ref="K145:K150">I145</f>
        <v>0</v>
      </c>
      <c r="L145" s="37">
        <f t="shared" si="21"/>
        <v>85000000</v>
      </c>
      <c r="M145" s="37"/>
    </row>
    <row r="146" spans="1:13" ht="12.75">
      <c r="A146" s="66">
        <v>2</v>
      </c>
      <c r="B146" s="73" t="s">
        <v>44</v>
      </c>
      <c r="C146" s="71">
        <v>45000000</v>
      </c>
      <c r="D146" s="37"/>
      <c r="E146" s="37"/>
      <c r="F146" s="71"/>
      <c r="G146" s="37">
        <f t="shared" si="22"/>
        <v>0</v>
      </c>
      <c r="H146" s="71"/>
      <c r="I146" s="36">
        <f t="shared" si="23"/>
        <v>0</v>
      </c>
      <c r="J146" s="37">
        <v>10</v>
      </c>
      <c r="K146" s="37">
        <f t="shared" si="24"/>
        <v>0</v>
      </c>
      <c r="L146" s="37">
        <f t="shared" si="21"/>
        <v>45000000</v>
      </c>
      <c r="M146" s="37"/>
    </row>
    <row r="147" spans="1:13" ht="12.75">
      <c r="A147" s="66">
        <v>3</v>
      </c>
      <c r="B147" s="73" t="s">
        <v>45</v>
      </c>
      <c r="C147" s="71">
        <v>239382000</v>
      </c>
      <c r="D147" s="37"/>
      <c r="E147" s="37"/>
      <c r="F147" s="71"/>
      <c r="G147" s="37">
        <f t="shared" si="22"/>
        <v>0</v>
      </c>
      <c r="H147" s="71"/>
      <c r="I147" s="36">
        <f t="shared" si="23"/>
        <v>0</v>
      </c>
      <c r="J147" s="37">
        <v>7</v>
      </c>
      <c r="K147" s="37">
        <f t="shared" si="24"/>
        <v>0</v>
      </c>
      <c r="L147" s="37">
        <f t="shared" si="21"/>
        <v>239382000</v>
      </c>
      <c r="M147" s="37"/>
    </row>
    <row r="148" spans="1:13" ht="12.75">
      <c r="A148" s="66">
        <v>4</v>
      </c>
      <c r="B148" s="73" t="s">
        <v>46</v>
      </c>
      <c r="C148" s="71">
        <v>370980000</v>
      </c>
      <c r="D148" s="37"/>
      <c r="E148" s="37"/>
      <c r="F148" s="7"/>
      <c r="G148" s="37">
        <f t="shared" si="22"/>
        <v>0</v>
      </c>
      <c r="H148" s="7">
        <v>60400000</v>
      </c>
      <c r="I148" s="36">
        <f t="shared" si="23"/>
        <v>16.281201142918754</v>
      </c>
      <c r="J148" s="37">
        <v>3</v>
      </c>
      <c r="K148" s="37">
        <f t="shared" si="24"/>
        <v>16.281201142918754</v>
      </c>
      <c r="L148" s="37">
        <f t="shared" si="21"/>
        <v>310580000</v>
      </c>
      <c r="M148" s="37"/>
    </row>
    <row r="149" spans="1:13" ht="12.75">
      <c r="A149" s="66">
        <v>5</v>
      </c>
      <c r="B149" s="73" t="s">
        <v>47</v>
      </c>
      <c r="C149" s="71">
        <v>13050000</v>
      </c>
      <c r="D149" s="37">
        <v>0</v>
      </c>
      <c r="E149" s="37">
        <v>0</v>
      </c>
      <c r="F149" s="7"/>
      <c r="G149" s="37">
        <f t="shared" si="22"/>
        <v>0</v>
      </c>
      <c r="H149" s="7"/>
      <c r="I149" s="36">
        <f t="shared" si="23"/>
        <v>0</v>
      </c>
      <c r="J149" s="37">
        <v>5</v>
      </c>
      <c r="K149" s="37">
        <f t="shared" si="24"/>
        <v>0</v>
      </c>
      <c r="L149" s="37">
        <f t="shared" si="21"/>
        <v>13050000</v>
      </c>
      <c r="M149" s="37"/>
    </row>
    <row r="150" spans="1:13" ht="12.75">
      <c r="A150" s="66">
        <v>6</v>
      </c>
      <c r="B150" s="73" t="s">
        <v>48</v>
      </c>
      <c r="C150" s="71">
        <v>7600000</v>
      </c>
      <c r="D150" s="37"/>
      <c r="E150" s="37"/>
      <c r="F150" s="71"/>
      <c r="G150" s="37">
        <f t="shared" si="22"/>
        <v>0</v>
      </c>
      <c r="H150" s="71"/>
      <c r="I150" s="36">
        <f t="shared" si="23"/>
        <v>0</v>
      </c>
      <c r="J150" s="37">
        <v>10</v>
      </c>
      <c r="K150" s="37">
        <f t="shared" si="24"/>
        <v>0</v>
      </c>
      <c r="L150" s="37">
        <f t="shared" si="21"/>
        <v>7600000</v>
      </c>
      <c r="M150" s="37"/>
    </row>
    <row r="151" spans="1:13" ht="12.75">
      <c r="A151" s="66"/>
      <c r="B151" s="73"/>
      <c r="C151" s="71"/>
      <c r="D151" s="37"/>
      <c r="E151" s="37"/>
      <c r="F151" s="7"/>
      <c r="G151" s="37"/>
      <c r="H151" s="7"/>
      <c r="I151" s="36"/>
      <c r="J151" s="37"/>
      <c r="K151" s="37"/>
      <c r="L151" s="37">
        <f t="shared" si="21"/>
        <v>0</v>
      </c>
      <c r="M151" s="37"/>
    </row>
    <row r="152" spans="1:13" ht="12.75">
      <c r="A152" s="62">
        <v>3</v>
      </c>
      <c r="B152" s="69" t="s">
        <v>49</v>
      </c>
      <c r="C152" s="39">
        <f>C153</f>
        <v>74570000</v>
      </c>
      <c r="D152" s="39">
        <f>D153</f>
        <v>0</v>
      </c>
      <c r="E152" s="39">
        <f>E153</f>
        <v>0</v>
      </c>
      <c r="F152" s="8">
        <f>F153</f>
        <v>0</v>
      </c>
      <c r="G152" s="6">
        <f>SUM(F152/C152*100)</f>
        <v>0</v>
      </c>
      <c r="H152" s="8">
        <f>H153</f>
        <v>0</v>
      </c>
      <c r="I152" s="65">
        <f>SUM(H152/C152*100)</f>
        <v>0</v>
      </c>
      <c r="J152" s="64">
        <v>100</v>
      </c>
      <c r="K152" s="8">
        <f>K153/1</f>
        <v>0</v>
      </c>
      <c r="L152" s="37">
        <f t="shared" si="21"/>
        <v>74570000</v>
      </c>
      <c r="M152" s="6"/>
    </row>
    <row r="153" spans="1:13" ht="12.75">
      <c r="A153" s="55"/>
      <c r="B153" s="76" t="s">
        <v>50</v>
      </c>
      <c r="C153" s="9">
        <v>74570000</v>
      </c>
      <c r="D153" s="37">
        <v>0</v>
      </c>
      <c r="E153" s="37">
        <v>0</v>
      </c>
      <c r="F153" s="10"/>
      <c r="G153" s="37">
        <f>SUM(F153/C153*100)</f>
        <v>0</v>
      </c>
      <c r="H153" s="10"/>
      <c r="I153" s="36">
        <f>SUM(H153/C153*100)</f>
        <v>0</v>
      </c>
      <c r="J153" s="37">
        <v>100</v>
      </c>
      <c r="K153" s="37">
        <f>I153</f>
        <v>0</v>
      </c>
      <c r="L153" s="37">
        <f t="shared" si="21"/>
        <v>74570000</v>
      </c>
      <c r="M153" s="56"/>
    </row>
    <row r="154" spans="2:13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2.75">
      <c r="A155" s="77"/>
      <c r="B155" s="12"/>
      <c r="C155" s="78"/>
      <c r="D155" s="79"/>
      <c r="E155" s="79"/>
      <c r="F155" s="13"/>
      <c r="G155" s="14"/>
      <c r="H155" s="13"/>
      <c r="I155" s="14"/>
      <c r="J155" s="80"/>
      <c r="K155" s="80"/>
      <c r="L155" s="80"/>
      <c r="M155" s="81"/>
    </row>
    <row r="156" spans="1:13" ht="12.75">
      <c r="A156" s="82"/>
      <c r="B156" s="15"/>
      <c r="C156" s="83"/>
      <c r="D156" s="84"/>
      <c r="E156" s="84"/>
      <c r="F156" s="16"/>
      <c r="G156" s="17"/>
      <c r="H156" s="16"/>
      <c r="I156" s="17"/>
      <c r="J156" s="85"/>
      <c r="K156" s="85"/>
      <c r="L156" s="85"/>
      <c r="M156" s="86"/>
    </row>
    <row r="157" spans="1:13" ht="12.75">
      <c r="A157" s="82"/>
      <c r="B157" s="15"/>
      <c r="C157" s="83"/>
      <c r="D157" s="84"/>
      <c r="E157" s="84"/>
      <c r="F157" s="16"/>
      <c r="G157" s="17"/>
      <c r="H157" s="16"/>
      <c r="I157" s="17"/>
      <c r="J157" s="85"/>
      <c r="K157" s="85"/>
      <c r="L157" s="85"/>
      <c r="M157" s="86"/>
    </row>
    <row r="158" spans="1:13" ht="12.75">
      <c r="A158" s="82"/>
      <c r="B158" s="15"/>
      <c r="C158" s="83"/>
      <c r="D158" s="84"/>
      <c r="E158" s="84"/>
      <c r="F158" s="16"/>
      <c r="G158" s="17"/>
      <c r="H158" s="16"/>
      <c r="I158" s="17"/>
      <c r="J158" s="85"/>
      <c r="K158" s="85"/>
      <c r="L158" s="85"/>
      <c r="M158" s="86"/>
    </row>
    <row r="159" spans="1:13" ht="12.75">
      <c r="A159" s="87"/>
      <c r="B159" s="18"/>
      <c r="C159" s="88"/>
      <c r="D159" s="89"/>
      <c r="E159" s="89"/>
      <c r="F159" s="19"/>
      <c r="G159" s="20"/>
      <c r="H159" s="19"/>
      <c r="I159" s="20"/>
      <c r="J159" s="90"/>
      <c r="K159" s="90"/>
      <c r="L159" s="90"/>
      <c r="M159" s="91"/>
    </row>
    <row r="160" spans="1:13" ht="12.75">
      <c r="A160" s="808" t="s">
        <v>2</v>
      </c>
      <c r="B160" s="808" t="s">
        <v>3</v>
      </c>
      <c r="C160" s="808" t="s">
        <v>4</v>
      </c>
      <c r="D160" s="808" t="s">
        <v>5</v>
      </c>
      <c r="E160" s="808" t="s">
        <v>6</v>
      </c>
      <c r="F160" s="816" t="s">
        <v>7</v>
      </c>
      <c r="G160" s="817"/>
      <c r="H160" s="817"/>
      <c r="I160" s="818"/>
      <c r="J160" s="816" t="s">
        <v>8</v>
      </c>
      <c r="K160" s="818"/>
      <c r="L160" s="805" t="s">
        <v>87</v>
      </c>
      <c r="M160" s="808" t="s">
        <v>9</v>
      </c>
    </row>
    <row r="161" spans="1:13" ht="12.75">
      <c r="A161" s="806"/>
      <c r="B161" s="806"/>
      <c r="C161" s="806"/>
      <c r="D161" s="814"/>
      <c r="E161" s="806"/>
      <c r="F161" s="809" t="s">
        <v>10</v>
      </c>
      <c r="G161" s="808" t="s">
        <v>11</v>
      </c>
      <c r="H161" s="808" t="s">
        <v>12</v>
      </c>
      <c r="I161" s="808" t="s">
        <v>11</v>
      </c>
      <c r="J161" s="808" t="s">
        <v>13</v>
      </c>
      <c r="K161" s="808" t="s">
        <v>14</v>
      </c>
      <c r="L161" s="806"/>
      <c r="M161" s="806"/>
    </row>
    <row r="162" spans="1:13" ht="12.75" customHeight="1">
      <c r="A162" s="807"/>
      <c r="B162" s="807"/>
      <c r="C162" s="807"/>
      <c r="D162" s="815"/>
      <c r="E162" s="807"/>
      <c r="F162" s="810"/>
      <c r="G162" s="807"/>
      <c r="H162" s="807"/>
      <c r="I162" s="807"/>
      <c r="J162" s="807"/>
      <c r="K162" s="807"/>
      <c r="L162" s="807"/>
      <c r="M162" s="807"/>
    </row>
    <row r="163" spans="1:13" ht="12.75" customHeight="1">
      <c r="A163" s="2">
        <v>1</v>
      </c>
      <c r="B163" s="2">
        <v>2</v>
      </c>
      <c r="C163" s="2">
        <v>3</v>
      </c>
      <c r="D163" s="2">
        <v>4</v>
      </c>
      <c r="E163" s="2">
        <v>5</v>
      </c>
      <c r="F163" s="2">
        <v>6</v>
      </c>
      <c r="G163" s="2">
        <v>7</v>
      </c>
      <c r="H163" s="2">
        <v>8</v>
      </c>
      <c r="I163" s="2">
        <v>9</v>
      </c>
      <c r="J163" s="2">
        <v>10</v>
      </c>
      <c r="K163" s="2">
        <v>11</v>
      </c>
      <c r="L163" s="2"/>
      <c r="M163" s="2">
        <v>12</v>
      </c>
    </row>
    <row r="164" spans="1:13" ht="12.75">
      <c r="A164" s="55"/>
      <c r="B164" s="21"/>
      <c r="C164" s="22"/>
      <c r="D164" s="32"/>
      <c r="E164" s="32"/>
      <c r="F164" s="23"/>
      <c r="G164" s="32"/>
      <c r="H164" s="23"/>
      <c r="I164" s="57"/>
      <c r="J164" s="56"/>
      <c r="K164" s="56"/>
      <c r="L164" s="95"/>
      <c r="M164" s="92"/>
    </row>
    <row r="165" spans="1:13" ht="12.75">
      <c r="A165" s="93">
        <v>4</v>
      </c>
      <c r="B165" s="24" t="s">
        <v>51</v>
      </c>
      <c r="C165" s="25">
        <f>C166+C167+C168</f>
        <v>4830000000</v>
      </c>
      <c r="D165" s="25">
        <f>D166+D167+D168</f>
        <v>0</v>
      </c>
      <c r="E165" s="25"/>
      <c r="F165" s="25">
        <f>F166+F167+F168</f>
        <v>0</v>
      </c>
      <c r="G165" s="6">
        <f>SUM(F165/C165*100)</f>
        <v>0</v>
      </c>
      <c r="H165" s="25">
        <f>H166+H167+H168</f>
        <v>104783500</v>
      </c>
      <c r="I165" s="8">
        <f>SUM(H165/C165*100)</f>
        <v>2.1694306418219464</v>
      </c>
      <c r="J165" s="25">
        <f>(J166+J167+J168)/3</f>
        <v>1.3333333333333333</v>
      </c>
      <c r="K165" s="25">
        <f>(K166+K167+K168)/4</f>
        <v>3.492783333333333</v>
      </c>
      <c r="L165" s="154">
        <f>C165-H165</f>
        <v>4725216500</v>
      </c>
      <c r="M165" s="56"/>
    </row>
    <row r="166" spans="1:13" ht="12.75">
      <c r="A166" s="55">
        <v>1</v>
      </c>
      <c r="B166" s="21" t="s">
        <v>52</v>
      </c>
      <c r="C166" s="22">
        <v>3930000000</v>
      </c>
      <c r="D166" s="22"/>
      <c r="E166" s="22"/>
      <c r="F166" s="22"/>
      <c r="G166" s="32">
        <f>SUM(F166/C166*100)</f>
        <v>0</v>
      </c>
      <c r="H166" s="22"/>
      <c r="I166" s="57">
        <f>SUM(H166/C166*100)</f>
        <v>0</v>
      </c>
      <c r="J166" s="37">
        <v>1</v>
      </c>
      <c r="K166" s="32">
        <f>I166</f>
        <v>0</v>
      </c>
      <c r="L166" s="154">
        <f aca="true" t="shared" si="25" ref="L166:L194">C166-H166</f>
        <v>3930000000</v>
      </c>
      <c r="M166" s="56"/>
    </row>
    <row r="167" spans="1:13" ht="12.75">
      <c r="A167" s="55">
        <v>2</v>
      </c>
      <c r="B167" s="21" t="s">
        <v>53</v>
      </c>
      <c r="C167" s="22">
        <v>750000000</v>
      </c>
      <c r="D167" s="32"/>
      <c r="E167" s="32"/>
      <c r="F167" s="26"/>
      <c r="G167" s="32">
        <f>SUM(F167/C167*100)</f>
        <v>0</v>
      </c>
      <c r="H167" s="22">
        <v>104783500</v>
      </c>
      <c r="I167" s="57">
        <f>SUM(H167/C167*100)</f>
        <v>13.971133333333333</v>
      </c>
      <c r="J167" s="32">
        <v>3</v>
      </c>
      <c r="K167" s="32">
        <f>I167</f>
        <v>13.971133333333333</v>
      </c>
      <c r="L167" s="154">
        <f t="shared" si="25"/>
        <v>645216500</v>
      </c>
      <c r="M167" s="37"/>
    </row>
    <row r="168" spans="1:13" ht="12.75">
      <c r="A168" s="55">
        <v>3</v>
      </c>
      <c r="B168" s="21" t="s">
        <v>54</v>
      </c>
      <c r="C168" s="22">
        <v>150000000</v>
      </c>
      <c r="D168" s="32"/>
      <c r="E168" s="32"/>
      <c r="F168" s="26"/>
      <c r="G168" s="32">
        <f>SUM(F168/C168*100)</f>
        <v>0</v>
      </c>
      <c r="H168" s="26"/>
      <c r="I168" s="57">
        <f>SUM(H168/C168*100)</f>
        <v>0</v>
      </c>
      <c r="J168" s="32">
        <v>0</v>
      </c>
      <c r="K168" s="32">
        <f>I168</f>
        <v>0</v>
      </c>
      <c r="L168" s="154">
        <f t="shared" si="25"/>
        <v>150000000</v>
      </c>
      <c r="M168" s="56"/>
    </row>
    <row r="169" spans="1:13" ht="12.75">
      <c r="A169" s="94"/>
      <c r="B169" s="27"/>
      <c r="C169" s="28"/>
      <c r="D169" s="33"/>
      <c r="E169" s="33"/>
      <c r="F169" s="29"/>
      <c r="G169" s="33"/>
      <c r="H169" s="29"/>
      <c r="I169" s="57"/>
      <c r="J169" s="95"/>
      <c r="K169" s="95"/>
      <c r="L169" s="154">
        <f t="shared" si="25"/>
        <v>0</v>
      </c>
      <c r="M169" s="95"/>
    </row>
    <row r="170" spans="1:13" ht="12.75">
      <c r="A170" s="96">
        <v>5</v>
      </c>
      <c r="B170" s="97" t="s">
        <v>56</v>
      </c>
      <c r="C170" s="48">
        <f>SUM(C171:C182)</f>
        <v>1208500000</v>
      </c>
      <c r="D170" s="48">
        <f>D171+D172+D173+D176+D177+D179+D180+D182</f>
        <v>0</v>
      </c>
      <c r="E170" s="48"/>
      <c r="F170" s="48">
        <f>F171+F172+F173+F174+F175+F176+F177+F179+F180+F181+F182</f>
        <v>0</v>
      </c>
      <c r="G170" s="31">
        <f aca="true" t="shared" si="26" ref="G170:G177">SUM(F170/C170*100)</f>
        <v>0</v>
      </c>
      <c r="H170" s="48">
        <f>H171+H172+H173+H174+H175+H176+H177+H179+H180+H181+H182</f>
        <v>4875000</v>
      </c>
      <c r="I170" s="30">
        <f aca="true" t="shared" si="27" ref="I170:I177">SUM(H170/C170*100)</f>
        <v>0.4033926354985519</v>
      </c>
      <c r="J170" s="48">
        <f>SUM(J171+J172+J173+J174+J175+J176+J177+J179+J180+J181+J182)/12</f>
        <v>2.5833333333333335</v>
      </c>
      <c r="K170" s="48">
        <f>(K171+K172+K173+K174+K175+K176+K177+K179+K180+K181+K182)/11</f>
        <v>0.5539772727272727</v>
      </c>
      <c r="L170" s="154">
        <f t="shared" si="25"/>
        <v>1203625000</v>
      </c>
      <c r="M170" s="95"/>
    </row>
    <row r="171" spans="1:13" ht="12.75">
      <c r="A171" s="55">
        <v>1</v>
      </c>
      <c r="B171" s="73" t="s">
        <v>57</v>
      </c>
      <c r="C171" s="71">
        <v>350000000</v>
      </c>
      <c r="D171" s="71"/>
      <c r="E171" s="32"/>
      <c r="F171" s="71"/>
      <c r="G171" s="32">
        <f t="shared" si="26"/>
        <v>0</v>
      </c>
      <c r="H171" s="71"/>
      <c r="I171" s="36">
        <f t="shared" si="27"/>
        <v>0</v>
      </c>
      <c r="J171" s="37">
        <v>3</v>
      </c>
      <c r="K171" s="33">
        <f aca="true" t="shared" si="28" ref="K171:K177">I171</f>
        <v>0</v>
      </c>
      <c r="L171" s="154">
        <f t="shared" si="25"/>
        <v>350000000</v>
      </c>
      <c r="M171" s="56"/>
    </row>
    <row r="172" spans="1:13" ht="12.75">
      <c r="A172" s="55">
        <v>2</v>
      </c>
      <c r="B172" s="98" t="s">
        <v>58</v>
      </c>
      <c r="C172" s="71">
        <v>165000000</v>
      </c>
      <c r="D172" s="37"/>
      <c r="E172" s="32"/>
      <c r="F172" s="71"/>
      <c r="G172" s="32">
        <f t="shared" si="26"/>
        <v>0</v>
      </c>
      <c r="H172" s="71"/>
      <c r="I172" s="36">
        <f t="shared" si="27"/>
        <v>0</v>
      </c>
      <c r="J172" s="32">
        <v>2</v>
      </c>
      <c r="K172" s="33">
        <f t="shared" si="28"/>
        <v>0</v>
      </c>
      <c r="L172" s="154">
        <f t="shared" si="25"/>
        <v>165000000</v>
      </c>
      <c r="M172" s="56"/>
    </row>
    <row r="173" spans="1:13" ht="12.75">
      <c r="A173" s="55">
        <v>3</v>
      </c>
      <c r="B173" s="98" t="s">
        <v>59</v>
      </c>
      <c r="C173" s="71">
        <v>50000000</v>
      </c>
      <c r="D173" s="37"/>
      <c r="E173" s="32"/>
      <c r="F173" s="7"/>
      <c r="G173" s="32">
        <f t="shared" si="26"/>
        <v>0</v>
      </c>
      <c r="H173" s="7"/>
      <c r="I173" s="36">
        <f t="shared" si="27"/>
        <v>0</v>
      </c>
      <c r="J173" s="32">
        <v>3</v>
      </c>
      <c r="K173" s="33">
        <f t="shared" si="28"/>
        <v>0</v>
      </c>
      <c r="L173" s="154">
        <f t="shared" si="25"/>
        <v>50000000</v>
      </c>
      <c r="M173" s="56"/>
    </row>
    <row r="174" spans="1:13" ht="12.75">
      <c r="A174" s="55">
        <v>4</v>
      </c>
      <c r="B174" s="73" t="s">
        <v>78</v>
      </c>
      <c r="C174" s="71">
        <v>80000000</v>
      </c>
      <c r="D174" s="37"/>
      <c r="E174" s="32"/>
      <c r="F174" s="7"/>
      <c r="G174" s="32">
        <f t="shared" si="26"/>
        <v>0</v>
      </c>
      <c r="H174" s="7">
        <v>4875000</v>
      </c>
      <c r="I174" s="36">
        <f t="shared" si="27"/>
        <v>6.09375</v>
      </c>
      <c r="J174" s="32">
        <v>3</v>
      </c>
      <c r="K174" s="33">
        <f t="shared" si="28"/>
        <v>6.09375</v>
      </c>
      <c r="L174" s="154">
        <f t="shared" si="25"/>
        <v>75125000</v>
      </c>
      <c r="M174" s="56"/>
    </row>
    <row r="175" spans="1:13" ht="12.75">
      <c r="A175" s="55">
        <v>5</v>
      </c>
      <c r="B175" s="73" t="s">
        <v>79</v>
      </c>
      <c r="C175" s="71">
        <v>50000000</v>
      </c>
      <c r="D175" s="37"/>
      <c r="E175" s="32"/>
      <c r="F175" s="7">
        <v>0</v>
      </c>
      <c r="G175" s="32">
        <f t="shared" si="26"/>
        <v>0</v>
      </c>
      <c r="H175" s="7">
        <v>0</v>
      </c>
      <c r="I175" s="36">
        <f t="shared" si="27"/>
        <v>0</v>
      </c>
      <c r="J175" s="32">
        <v>2</v>
      </c>
      <c r="K175" s="33">
        <f t="shared" si="28"/>
        <v>0</v>
      </c>
      <c r="L175" s="154">
        <f t="shared" si="25"/>
        <v>50000000</v>
      </c>
      <c r="M175" s="56"/>
    </row>
    <row r="176" spans="1:13" ht="12.75">
      <c r="A176" s="55">
        <v>6</v>
      </c>
      <c r="B176" s="73" t="s">
        <v>60</v>
      </c>
      <c r="C176" s="71">
        <v>50000000</v>
      </c>
      <c r="D176" s="37"/>
      <c r="E176" s="32"/>
      <c r="F176" s="7"/>
      <c r="G176" s="32">
        <f t="shared" si="26"/>
        <v>0</v>
      </c>
      <c r="H176" s="7"/>
      <c r="I176" s="36">
        <f t="shared" si="27"/>
        <v>0</v>
      </c>
      <c r="J176" s="32">
        <v>0</v>
      </c>
      <c r="K176" s="33">
        <f t="shared" si="28"/>
        <v>0</v>
      </c>
      <c r="L176" s="154">
        <f t="shared" si="25"/>
        <v>50000000</v>
      </c>
      <c r="M176" s="56"/>
    </row>
    <row r="177" spans="1:13" ht="12.75">
      <c r="A177" s="76">
        <v>7</v>
      </c>
      <c r="B177" s="122" t="s">
        <v>61</v>
      </c>
      <c r="C177" s="123">
        <v>50000000</v>
      </c>
      <c r="D177" s="115"/>
      <c r="E177" s="109"/>
      <c r="F177" s="124"/>
      <c r="G177" s="109">
        <f t="shared" si="26"/>
        <v>0</v>
      </c>
      <c r="H177" s="124"/>
      <c r="I177" s="124">
        <f t="shared" si="27"/>
        <v>0</v>
      </c>
      <c r="J177" s="109">
        <v>10</v>
      </c>
      <c r="K177" s="109">
        <f t="shared" si="28"/>
        <v>0</v>
      </c>
      <c r="L177" s="154">
        <f t="shared" si="25"/>
        <v>50000000</v>
      </c>
      <c r="M177" s="110"/>
    </row>
    <row r="178" spans="1:13" ht="12.75">
      <c r="A178" s="55">
        <v>8</v>
      </c>
      <c r="B178" s="122" t="s">
        <v>85</v>
      </c>
      <c r="C178" s="123">
        <v>156700000</v>
      </c>
      <c r="D178" s="115"/>
      <c r="E178" s="109"/>
      <c r="F178" s="124"/>
      <c r="G178" s="109"/>
      <c r="H178" s="124"/>
      <c r="I178" s="124"/>
      <c r="J178" s="109">
        <v>0</v>
      </c>
      <c r="K178" s="109"/>
      <c r="L178" s="154">
        <f t="shared" si="25"/>
        <v>156700000</v>
      </c>
      <c r="M178" s="110"/>
    </row>
    <row r="179" spans="1:13" ht="25.5">
      <c r="A179" s="76">
        <v>9</v>
      </c>
      <c r="B179" s="73" t="s">
        <v>80</v>
      </c>
      <c r="C179" s="71">
        <v>140000000</v>
      </c>
      <c r="D179" s="37"/>
      <c r="E179" s="32"/>
      <c r="F179" s="71"/>
      <c r="G179" s="32">
        <f>SUM(F179/C179*100)</f>
        <v>0</v>
      </c>
      <c r="H179" s="71"/>
      <c r="I179" s="7">
        <f>SUM(H179/C179*100)</f>
        <v>0</v>
      </c>
      <c r="J179" s="32">
        <v>0</v>
      </c>
      <c r="K179" s="32">
        <f>I179</f>
        <v>0</v>
      </c>
      <c r="L179" s="154">
        <f t="shared" si="25"/>
        <v>140000000</v>
      </c>
      <c r="M179" s="56"/>
    </row>
    <row r="180" spans="1:13" ht="12.75">
      <c r="A180" s="55">
        <v>10</v>
      </c>
      <c r="B180" s="73" t="s">
        <v>62</v>
      </c>
      <c r="C180" s="71">
        <v>68300000</v>
      </c>
      <c r="D180" s="71"/>
      <c r="E180" s="32"/>
      <c r="F180" s="7"/>
      <c r="G180" s="32">
        <f>SUM(F180/C180*100)</f>
        <v>0</v>
      </c>
      <c r="H180" s="7"/>
      <c r="I180" s="7">
        <f>SUM(H180/C180*100)</f>
        <v>0</v>
      </c>
      <c r="J180" s="32">
        <v>0</v>
      </c>
      <c r="K180" s="49">
        <f>I180</f>
        <v>0</v>
      </c>
      <c r="L180" s="154">
        <f t="shared" si="25"/>
        <v>68300000</v>
      </c>
      <c r="M180" s="56"/>
    </row>
    <row r="181" spans="1:13" ht="12.75">
      <c r="A181" s="76">
        <v>11</v>
      </c>
      <c r="B181" s="73" t="s">
        <v>81</v>
      </c>
      <c r="C181" s="38">
        <v>27500000</v>
      </c>
      <c r="D181" s="71"/>
      <c r="E181" s="32"/>
      <c r="F181" s="7">
        <v>0</v>
      </c>
      <c r="G181" s="32">
        <v>0</v>
      </c>
      <c r="H181" s="7">
        <v>0</v>
      </c>
      <c r="I181" s="7">
        <v>0</v>
      </c>
      <c r="J181" s="32">
        <v>3</v>
      </c>
      <c r="K181" s="32">
        <f>I181</f>
        <v>0</v>
      </c>
      <c r="L181" s="154">
        <f t="shared" si="25"/>
        <v>27500000</v>
      </c>
      <c r="M181" s="56"/>
    </row>
    <row r="182" spans="1:13" ht="12.75">
      <c r="A182" s="55">
        <v>12</v>
      </c>
      <c r="B182" s="73" t="s">
        <v>55</v>
      </c>
      <c r="C182" s="38">
        <v>21000000</v>
      </c>
      <c r="D182" s="71"/>
      <c r="E182" s="32"/>
      <c r="F182" s="7">
        <v>0</v>
      </c>
      <c r="G182" s="32">
        <v>0</v>
      </c>
      <c r="H182" s="7">
        <v>0</v>
      </c>
      <c r="I182" s="7">
        <v>0</v>
      </c>
      <c r="J182" s="32">
        <v>5</v>
      </c>
      <c r="K182" s="32">
        <f>I182</f>
        <v>0</v>
      </c>
      <c r="L182" s="154">
        <f t="shared" si="25"/>
        <v>21000000</v>
      </c>
      <c r="M182" s="56"/>
    </row>
    <row r="183" spans="1:13" ht="12.75">
      <c r="A183" s="100"/>
      <c r="B183" s="125"/>
      <c r="C183" s="22"/>
      <c r="D183" s="32"/>
      <c r="E183" s="32"/>
      <c r="F183" s="23"/>
      <c r="G183" s="34"/>
      <c r="H183" s="23"/>
      <c r="I183" s="34"/>
      <c r="J183" s="8"/>
      <c r="K183" s="8"/>
      <c r="L183" s="154">
        <f t="shared" si="25"/>
        <v>0</v>
      </c>
      <c r="M183" s="56"/>
    </row>
    <row r="184" spans="1:13" ht="12.75">
      <c r="A184" s="111">
        <v>6</v>
      </c>
      <c r="B184" s="97" t="s">
        <v>63</v>
      </c>
      <c r="C184" s="48">
        <f>C185+C186+C187</f>
        <v>340000000</v>
      </c>
      <c r="D184" s="48">
        <f>D185+D186+D187</f>
        <v>0</v>
      </c>
      <c r="E184" s="48"/>
      <c r="F184" s="48">
        <f>F185+F186+F187</f>
        <v>0</v>
      </c>
      <c r="G184" s="30">
        <f>F184/C184*100</f>
        <v>0</v>
      </c>
      <c r="H184" s="48">
        <f>H185+H186+H187</f>
        <v>9474000</v>
      </c>
      <c r="I184" s="30">
        <f>SUM(H184/C184*100)</f>
        <v>2.7864705882352943</v>
      </c>
      <c r="J184" s="48">
        <f>(J185+J186+J187)/3</f>
        <v>9</v>
      </c>
      <c r="K184" s="48">
        <f>(K185+K186+K187)/4</f>
        <v>4.737</v>
      </c>
      <c r="L184" s="154">
        <f t="shared" si="25"/>
        <v>330526000</v>
      </c>
      <c r="M184" s="95"/>
    </row>
    <row r="185" spans="1:13" ht="12.75">
      <c r="A185" s="55">
        <v>1</v>
      </c>
      <c r="B185" s="73" t="s">
        <v>64</v>
      </c>
      <c r="C185" s="38">
        <v>50000000</v>
      </c>
      <c r="D185" s="38"/>
      <c r="E185" s="32"/>
      <c r="F185" s="38">
        <v>0</v>
      </c>
      <c r="G185" s="32">
        <f>SUM(F185/C185*100)</f>
        <v>0</v>
      </c>
      <c r="H185" s="38">
        <v>9474000</v>
      </c>
      <c r="I185" s="36">
        <f>SUM(H185/C185*100)</f>
        <v>18.948</v>
      </c>
      <c r="J185" s="35">
        <v>8</v>
      </c>
      <c r="K185" s="33">
        <f>I185</f>
        <v>18.948</v>
      </c>
      <c r="L185" s="154">
        <f t="shared" si="25"/>
        <v>40526000</v>
      </c>
      <c r="M185" s="56"/>
    </row>
    <row r="186" spans="1:13" ht="12.75">
      <c r="A186" s="55">
        <v>2</v>
      </c>
      <c r="B186" s="73" t="s">
        <v>65</v>
      </c>
      <c r="C186" s="38">
        <v>35000000</v>
      </c>
      <c r="D186" s="32"/>
      <c r="E186" s="32"/>
      <c r="F186" s="38"/>
      <c r="G186" s="32">
        <f>SUM(F186/C186*100)</f>
        <v>0</v>
      </c>
      <c r="H186" s="38"/>
      <c r="I186" s="50">
        <f>SUM(H186/C186*100)</f>
        <v>0</v>
      </c>
      <c r="J186" s="35">
        <v>9</v>
      </c>
      <c r="K186" s="33">
        <f>I186</f>
        <v>0</v>
      </c>
      <c r="L186" s="154">
        <f t="shared" si="25"/>
        <v>35000000</v>
      </c>
      <c r="M186" s="56"/>
    </row>
    <row r="187" spans="1:13" ht="12.75">
      <c r="A187" s="55">
        <v>3</v>
      </c>
      <c r="B187" s="73" t="s">
        <v>66</v>
      </c>
      <c r="C187" s="71">
        <v>255000000</v>
      </c>
      <c r="D187" s="71"/>
      <c r="E187" s="99"/>
      <c r="F187" s="71"/>
      <c r="G187" s="32">
        <f>SUM(F187/C187*100)</f>
        <v>0</v>
      </c>
      <c r="H187" s="71"/>
      <c r="I187" s="36">
        <f>SUM(H187/C187*100)</f>
        <v>0</v>
      </c>
      <c r="J187" s="112">
        <v>10</v>
      </c>
      <c r="K187" s="33">
        <f>I187</f>
        <v>0</v>
      </c>
      <c r="L187" s="154">
        <f t="shared" si="25"/>
        <v>255000000</v>
      </c>
      <c r="M187" s="56"/>
    </row>
    <row r="188" spans="1:13" ht="12.75">
      <c r="A188" s="94"/>
      <c r="B188" s="132"/>
      <c r="C188" s="133"/>
      <c r="D188" s="133"/>
      <c r="E188" s="134"/>
      <c r="F188" s="133"/>
      <c r="G188" s="33"/>
      <c r="H188" s="133"/>
      <c r="I188" s="36"/>
      <c r="J188" s="58"/>
      <c r="K188" s="33"/>
      <c r="L188" s="154">
        <f t="shared" si="25"/>
        <v>0</v>
      </c>
      <c r="M188" s="95"/>
    </row>
    <row r="189" spans="1:13" ht="12.75">
      <c r="A189" s="111">
        <v>7</v>
      </c>
      <c r="B189" s="97" t="s">
        <v>67</v>
      </c>
      <c r="C189" s="48">
        <f>C190+C191</f>
        <v>520000000</v>
      </c>
      <c r="D189" s="48">
        <f>D190+D191</f>
        <v>0</v>
      </c>
      <c r="E189" s="48"/>
      <c r="F189" s="48">
        <f>F190+F191</f>
        <v>0</v>
      </c>
      <c r="G189" s="30">
        <f>F189/C189*100</f>
        <v>0</v>
      </c>
      <c r="H189" s="48">
        <f>H190+H191</f>
        <v>0</v>
      </c>
      <c r="I189" s="30">
        <f>H189/C189*100</f>
        <v>0</v>
      </c>
      <c r="J189" s="48">
        <f>(J190+J191)/2</f>
        <v>7.5</v>
      </c>
      <c r="K189" s="48">
        <f>(K190+K191)/2</f>
        <v>0</v>
      </c>
      <c r="L189" s="154">
        <f t="shared" si="25"/>
        <v>520000000</v>
      </c>
      <c r="M189" s="95"/>
    </row>
    <row r="190" spans="1:13" ht="12.75">
      <c r="A190" s="100">
        <v>1</v>
      </c>
      <c r="B190" s="73" t="s">
        <v>68</v>
      </c>
      <c r="C190" s="71">
        <v>100000000</v>
      </c>
      <c r="D190" s="71"/>
      <c r="E190" s="32"/>
      <c r="F190" s="71"/>
      <c r="G190" s="34">
        <f>F190/C190*100</f>
        <v>0</v>
      </c>
      <c r="H190" s="71"/>
      <c r="I190" s="34">
        <f>H190/C190*100</f>
        <v>0</v>
      </c>
      <c r="J190" s="34">
        <v>10</v>
      </c>
      <c r="K190" s="34">
        <f>I190</f>
        <v>0</v>
      </c>
      <c r="L190" s="154">
        <f t="shared" si="25"/>
        <v>100000000</v>
      </c>
      <c r="M190" s="37"/>
    </row>
    <row r="191" spans="1:13" ht="12.75">
      <c r="A191" s="100">
        <v>2</v>
      </c>
      <c r="B191" s="73" t="s">
        <v>69</v>
      </c>
      <c r="C191" s="71">
        <v>420000000</v>
      </c>
      <c r="D191" s="71"/>
      <c r="E191" s="32"/>
      <c r="F191" s="71"/>
      <c r="G191" s="34">
        <f>F191/C191*100</f>
        <v>0</v>
      </c>
      <c r="H191" s="71"/>
      <c r="I191" s="34">
        <f>H191/C191*100</f>
        <v>0</v>
      </c>
      <c r="J191" s="34">
        <v>5</v>
      </c>
      <c r="K191" s="34">
        <f>I191</f>
        <v>0</v>
      </c>
      <c r="L191" s="154">
        <f t="shared" si="25"/>
        <v>420000000</v>
      </c>
      <c r="M191" s="56"/>
    </row>
    <row r="192" spans="1:13" ht="12.75">
      <c r="A192" s="100"/>
      <c r="B192" s="98"/>
      <c r="C192" s="71"/>
      <c r="D192" s="32"/>
      <c r="E192" s="32"/>
      <c r="F192" s="7"/>
      <c r="G192" s="34"/>
      <c r="H192" s="7"/>
      <c r="I192" s="34"/>
      <c r="J192" s="34"/>
      <c r="K192" s="8"/>
      <c r="L192" s="154">
        <f t="shared" si="25"/>
        <v>0</v>
      </c>
      <c r="M192" s="56"/>
    </row>
    <row r="193" spans="1:13" ht="12.75">
      <c r="A193" s="93">
        <v>8</v>
      </c>
      <c r="B193" s="69" t="s">
        <v>70</v>
      </c>
      <c r="C193" s="39">
        <f>SUM(C194:C194)</f>
        <v>100000000</v>
      </c>
      <c r="D193" s="39">
        <f>SUM(D194:D194)</f>
        <v>0</v>
      </c>
      <c r="E193" s="39"/>
      <c r="F193" s="39">
        <f>SUM(F194:F194)</f>
        <v>0</v>
      </c>
      <c r="G193" s="8">
        <f>F193/C193*100</f>
        <v>0</v>
      </c>
      <c r="H193" s="39">
        <f>SUM(H194:H194)</f>
        <v>0</v>
      </c>
      <c r="I193" s="8">
        <f>H193/C193*100</f>
        <v>0</v>
      </c>
      <c r="J193" s="8">
        <f>J194</f>
        <v>0</v>
      </c>
      <c r="K193" s="8">
        <v>0</v>
      </c>
      <c r="L193" s="154">
        <f t="shared" si="25"/>
        <v>100000000</v>
      </c>
      <c r="M193" s="56"/>
    </row>
    <row r="194" spans="1:13" ht="12.75">
      <c r="A194" s="101"/>
      <c r="B194" s="52" t="s">
        <v>71</v>
      </c>
      <c r="C194" s="53">
        <v>100000000</v>
      </c>
      <c r="D194" s="51"/>
      <c r="E194" s="49"/>
      <c r="F194" s="54"/>
      <c r="G194" s="113">
        <f>F194/C194*100</f>
        <v>0</v>
      </c>
      <c r="H194" s="54"/>
      <c r="I194" s="113">
        <f>H194/C194*100</f>
        <v>0</v>
      </c>
      <c r="J194" s="113">
        <v>0</v>
      </c>
      <c r="K194" s="113">
        <f>I194</f>
        <v>0</v>
      </c>
      <c r="L194" s="154">
        <f t="shared" si="25"/>
        <v>100000000</v>
      </c>
      <c r="M194" s="56"/>
    </row>
    <row r="195" spans="1:13" ht="12.75">
      <c r="A195" s="55"/>
      <c r="B195" s="40"/>
      <c r="C195" s="41"/>
      <c r="D195" s="37"/>
      <c r="E195" s="32"/>
      <c r="F195" s="42"/>
      <c r="G195" s="34"/>
      <c r="H195" s="42"/>
      <c r="I195" s="34"/>
      <c r="J195" s="34"/>
      <c r="K195" s="34"/>
      <c r="L195" s="34"/>
      <c r="M195" s="56"/>
    </row>
    <row r="196" spans="1:13" ht="12.75">
      <c r="A196" s="102"/>
      <c r="B196" s="103"/>
      <c r="C196" s="43">
        <f>C117+C130</f>
        <v>11516999500</v>
      </c>
      <c r="D196" s="43">
        <f>+D117+D130</f>
        <v>0</v>
      </c>
      <c r="E196" s="43">
        <f>E131+E144+E152+E165+E170+E184+E189+E193</f>
        <v>0</v>
      </c>
      <c r="F196" s="43">
        <f>+F117+F130</f>
        <v>260397346</v>
      </c>
      <c r="G196" s="118">
        <f>SUM(F196/C196*100)</f>
        <v>2.260982524137472</v>
      </c>
      <c r="H196" s="43">
        <f>+H117+H130</f>
        <v>486923505</v>
      </c>
      <c r="I196" s="119">
        <f>SUM(H196/C196*100)</f>
        <v>4.227867727180157</v>
      </c>
      <c r="J196" s="43">
        <f>+(J117+J130)/2</f>
        <v>9.671875</v>
      </c>
      <c r="K196" s="43">
        <f>+(K117+K130)/2</f>
        <v>6.070428004547617</v>
      </c>
      <c r="L196" s="43">
        <f>L117+L130</f>
        <v>11030075995</v>
      </c>
      <c r="M196" s="104"/>
    </row>
    <row r="197" spans="1:13" ht="12.75">
      <c r="A197" s="126"/>
      <c r="B197" s="127"/>
      <c r="C197" s="128"/>
      <c r="D197" s="128"/>
      <c r="E197" s="128"/>
      <c r="F197" s="128"/>
      <c r="G197" s="129"/>
      <c r="H197" s="128"/>
      <c r="I197" s="130"/>
      <c r="J197" s="128"/>
      <c r="K197" s="128"/>
      <c r="L197" s="128"/>
      <c r="M197" s="131"/>
    </row>
    <row r="198" spans="1:13" ht="12.75">
      <c r="A198" s="126"/>
      <c r="B198" s="158" t="s">
        <v>93</v>
      </c>
      <c r="C198" s="128"/>
      <c r="D198" s="128"/>
      <c r="E198" s="128"/>
      <c r="F198" s="128"/>
      <c r="G198" s="129"/>
      <c r="H198" s="128"/>
      <c r="I198" s="130"/>
      <c r="J198" s="128"/>
      <c r="K198" s="128"/>
      <c r="L198" s="128"/>
      <c r="M198" s="131"/>
    </row>
    <row r="199" spans="1:13" ht="12.75">
      <c r="A199" s="127"/>
      <c r="B199" s="160" t="s">
        <v>94</v>
      </c>
      <c r="C199" s="162">
        <v>0</v>
      </c>
      <c r="D199" s="60"/>
      <c r="E199" s="137"/>
      <c r="F199" s="44"/>
      <c r="G199" s="46"/>
      <c r="I199" s="117"/>
      <c r="J199" s="117" t="s">
        <v>89</v>
      </c>
      <c r="K199" s="117"/>
      <c r="L199" s="117"/>
      <c r="M199" s="117"/>
    </row>
    <row r="200" spans="1:13" ht="12.75">
      <c r="A200" s="127"/>
      <c r="B200" s="161" t="s">
        <v>95</v>
      </c>
      <c r="C200" s="163">
        <f>'[1]SPJ 2018 (SKRG)'!$H$56+'[1]SPJ 2018 (SKRG)'!$H$153</f>
        <v>109658500</v>
      </c>
      <c r="D200" s="139"/>
      <c r="E200" s="137"/>
      <c r="F200" s="45"/>
      <c r="G200" s="44"/>
      <c r="I200" s="107"/>
      <c r="J200" s="107" t="s">
        <v>73</v>
      </c>
      <c r="K200" s="107"/>
      <c r="L200" s="107"/>
      <c r="M200" s="107"/>
    </row>
    <row r="201" spans="1:13" ht="12.75">
      <c r="A201" s="127"/>
      <c r="B201" s="161" t="s">
        <v>96</v>
      </c>
      <c r="C201" s="153">
        <f>'[1]SPJ 2018 (SKRG)'!$H$158</f>
        <v>9474000</v>
      </c>
      <c r="D201" s="60"/>
      <c r="E201" s="136"/>
      <c r="F201" s="44"/>
      <c r="G201" s="46"/>
      <c r="I201" s="107"/>
      <c r="J201" s="107" t="s">
        <v>72</v>
      </c>
      <c r="K201" s="107"/>
      <c r="L201" s="107"/>
      <c r="M201" s="107"/>
    </row>
    <row r="202" spans="1:13" ht="12.75">
      <c r="A202" s="127"/>
      <c r="B202" s="161" t="s">
        <v>97</v>
      </c>
      <c r="C202" s="153">
        <f>'[1]SPJ 2018 (SKRG)'!$H$3+'[1]SPJ 2018 (SKRG)'!$H$8+'[1]SPJ 2018 (SKRG)'!$H$16+'[1]SPJ 2018 (SKRG)'!$H$22+'[1]SPJ 2018 (SKRG)'!$H$30+'[1]SPJ 2018 (SKRG)'!$H$34</f>
        <v>107393659</v>
      </c>
      <c r="D202" s="60"/>
      <c r="E202" s="136"/>
      <c r="F202" s="44"/>
      <c r="G202" s="46"/>
      <c r="I202" s="107"/>
      <c r="J202" s="107"/>
      <c r="K202" s="107"/>
      <c r="L202" s="107"/>
      <c r="M202" s="107"/>
    </row>
    <row r="203" spans="1:13" ht="12.75">
      <c r="A203" s="127"/>
      <c r="B203" s="140"/>
      <c r="C203" s="141">
        <f>SUM(C199:C202)</f>
        <v>226526159</v>
      </c>
      <c r="D203" s="60"/>
      <c r="E203" s="136"/>
      <c r="F203" s="44"/>
      <c r="G203" s="46"/>
      <c r="I203" s="107"/>
      <c r="J203" s="107"/>
      <c r="K203" s="107"/>
      <c r="L203" s="107"/>
      <c r="M203" s="107"/>
    </row>
    <row r="204" spans="1:13" ht="12.75">
      <c r="A204" s="127"/>
      <c r="B204" s="128"/>
      <c r="C204" s="84"/>
      <c r="D204" s="60"/>
      <c r="E204" s="137"/>
      <c r="F204" s="46"/>
      <c r="G204" s="46"/>
      <c r="H204" s="108"/>
      <c r="I204" s="108"/>
      <c r="J204" s="108" t="s">
        <v>74</v>
      </c>
      <c r="M204" s="108"/>
    </row>
    <row r="205" spans="1:13" ht="12.75">
      <c r="A205" s="127"/>
      <c r="B205" s="158" t="s">
        <v>90</v>
      </c>
      <c r="C205" s="84">
        <v>300000000</v>
      </c>
      <c r="D205" s="60"/>
      <c r="E205" s="60"/>
      <c r="F205" s="46"/>
      <c r="G205" s="46"/>
      <c r="H205" s="107"/>
      <c r="I205" s="107"/>
      <c r="J205" s="107" t="s">
        <v>75</v>
      </c>
      <c r="M205" s="107"/>
    </row>
    <row r="206" spans="2:3" ht="15">
      <c r="B206" s="144" t="s">
        <v>91</v>
      </c>
      <c r="C206" s="159">
        <v>226526159</v>
      </c>
    </row>
    <row r="207" spans="2:3" ht="12.75">
      <c r="B207" s="144" t="s">
        <v>92</v>
      </c>
      <c r="C207" s="142">
        <f>C205-C206</f>
        <v>73473841</v>
      </c>
    </row>
    <row r="211" spans="1:13" ht="15.75">
      <c r="A211" s="811" t="s">
        <v>0</v>
      </c>
      <c r="B211" s="811"/>
      <c r="C211" s="811"/>
      <c r="D211" s="811"/>
      <c r="E211" s="811"/>
      <c r="F211" s="811"/>
      <c r="G211" s="811"/>
      <c r="H211" s="811"/>
      <c r="I211" s="811"/>
      <c r="J211" s="811"/>
      <c r="K211" s="811"/>
      <c r="L211" s="811"/>
      <c r="M211" s="811"/>
    </row>
    <row r="212" spans="1:13" ht="12.75">
      <c r="A212" s="812" t="s">
        <v>83</v>
      </c>
      <c r="B212" s="812"/>
      <c r="C212" s="812"/>
      <c r="D212" s="812"/>
      <c r="E212" s="812"/>
      <c r="F212" s="812"/>
      <c r="G212" s="812"/>
      <c r="H212" s="812"/>
      <c r="I212" s="812"/>
      <c r="J212" s="812"/>
      <c r="K212" s="812"/>
      <c r="L212" s="812"/>
      <c r="M212" s="812"/>
    </row>
    <row r="213" spans="1:13" ht="12.75">
      <c r="A213" s="813" t="s">
        <v>77</v>
      </c>
      <c r="B213" s="813"/>
      <c r="C213" s="813"/>
      <c r="D213" s="813"/>
      <c r="E213" s="813"/>
      <c r="F213" s="813"/>
      <c r="G213" s="813"/>
      <c r="H213" s="813"/>
      <c r="I213" s="813"/>
      <c r="J213" s="813"/>
      <c r="K213" s="813"/>
      <c r="L213" s="813"/>
      <c r="M213" s="813"/>
    </row>
    <row r="214" spans="1:13" ht="12.75" customHeight="1">
      <c r="A214" s="60" t="s">
        <v>1</v>
      </c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</row>
    <row r="215" spans="1:13" ht="12.75" customHeight="1">
      <c r="A215" s="144" t="s">
        <v>88</v>
      </c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</row>
    <row r="216" ht="12.75">
      <c r="A216" s="60"/>
    </row>
    <row r="217" spans="1:13" ht="12.75">
      <c r="A217" s="808" t="s">
        <v>2</v>
      </c>
      <c r="B217" s="808" t="s">
        <v>3</v>
      </c>
      <c r="C217" s="808" t="s">
        <v>4</v>
      </c>
      <c r="D217" s="808" t="s">
        <v>5</v>
      </c>
      <c r="E217" s="808" t="s">
        <v>6</v>
      </c>
      <c r="F217" s="816" t="s">
        <v>7</v>
      </c>
      <c r="G217" s="817"/>
      <c r="H217" s="817"/>
      <c r="I217" s="818"/>
      <c r="J217" s="816" t="s">
        <v>8</v>
      </c>
      <c r="K217" s="818"/>
      <c r="L217" s="805" t="s">
        <v>87</v>
      </c>
      <c r="M217" s="808" t="s">
        <v>9</v>
      </c>
    </row>
    <row r="218" spans="1:13" ht="12.75">
      <c r="A218" s="806"/>
      <c r="B218" s="806"/>
      <c r="C218" s="806"/>
      <c r="D218" s="814"/>
      <c r="E218" s="806"/>
      <c r="F218" s="809" t="s">
        <v>10</v>
      </c>
      <c r="G218" s="808" t="s">
        <v>11</v>
      </c>
      <c r="H218" s="808" t="s">
        <v>12</v>
      </c>
      <c r="I218" s="808" t="s">
        <v>11</v>
      </c>
      <c r="J218" s="808" t="s">
        <v>13</v>
      </c>
      <c r="K218" s="808" t="s">
        <v>14</v>
      </c>
      <c r="L218" s="806"/>
      <c r="M218" s="806"/>
    </row>
    <row r="219" spans="1:13" ht="12.75">
      <c r="A219" s="807"/>
      <c r="B219" s="807"/>
      <c r="C219" s="807"/>
      <c r="D219" s="815"/>
      <c r="E219" s="807"/>
      <c r="F219" s="810"/>
      <c r="G219" s="807"/>
      <c r="H219" s="807"/>
      <c r="I219" s="807"/>
      <c r="J219" s="807"/>
      <c r="K219" s="807"/>
      <c r="L219" s="807"/>
      <c r="M219" s="807"/>
    </row>
    <row r="220" spans="1:13" ht="12.75">
      <c r="A220" s="2">
        <v>1</v>
      </c>
      <c r="B220" s="2">
        <v>2</v>
      </c>
      <c r="C220" s="2">
        <v>3</v>
      </c>
      <c r="D220" s="2">
        <v>4</v>
      </c>
      <c r="E220" s="2">
        <v>5</v>
      </c>
      <c r="F220" s="2">
        <v>6</v>
      </c>
      <c r="G220" s="2">
        <v>7</v>
      </c>
      <c r="H220" s="2">
        <v>8</v>
      </c>
      <c r="I220" s="2">
        <v>9</v>
      </c>
      <c r="J220" s="2">
        <v>10</v>
      </c>
      <c r="K220" s="2">
        <v>11</v>
      </c>
      <c r="L220" s="2">
        <v>12</v>
      </c>
      <c r="M220" s="2">
        <v>13</v>
      </c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61" t="s">
        <v>15</v>
      </c>
      <c r="B222" s="62" t="s">
        <v>16</v>
      </c>
      <c r="C222" s="4">
        <f>SUM(C223:C233)</f>
        <v>2320392000</v>
      </c>
      <c r="D222" s="63"/>
      <c r="E222" s="114"/>
      <c r="F222" s="4">
        <f>SUM(F223:F233)</f>
        <v>224742690</v>
      </c>
      <c r="G222" s="64">
        <f>SUM(F222/C222*100)</f>
        <v>9.685548390099603</v>
      </c>
      <c r="H222" s="4">
        <f>SUM(H223:H233)</f>
        <v>224742690</v>
      </c>
      <c r="I222" s="145">
        <f>SUM(H222/C222*100)</f>
        <v>9.685548390099603</v>
      </c>
      <c r="J222" s="64">
        <v>3</v>
      </c>
      <c r="K222" s="64">
        <f>(K223+K224+K225+K226+K227+K228+K229+K230+K231+K232+K233)/11</f>
        <v>9.36630932839617</v>
      </c>
      <c r="L222" s="4">
        <f>SUM(L223:L233)</f>
        <v>2095649310</v>
      </c>
      <c r="M222" s="63"/>
    </row>
    <row r="223" spans="1:13" ht="12.75">
      <c r="A223" s="66">
        <v>1</v>
      </c>
      <c r="B223" s="47" t="s">
        <v>17</v>
      </c>
      <c r="C223" s="5">
        <v>1209000000</v>
      </c>
      <c r="D223" s="63"/>
      <c r="E223" s="63"/>
      <c r="F223" s="114">
        <v>164019000</v>
      </c>
      <c r="G223" s="37">
        <f>SUM(F223/C223*100)</f>
        <v>13.56650124069479</v>
      </c>
      <c r="H223" s="114">
        <v>164019000</v>
      </c>
      <c r="I223" s="7">
        <f aca="true" t="shared" si="29" ref="I223:I229">SUM(H223/C223*100)</f>
        <v>13.56650124069479</v>
      </c>
      <c r="J223" s="37">
        <v>13.56650124069479</v>
      </c>
      <c r="K223" s="37">
        <f aca="true" t="shared" si="30" ref="K223:K233">I223</f>
        <v>13.56650124069479</v>
      </c>
      <c r="L223" s="37">
        <f>C223-H223</f>
        <v>1044981000</v>
      </c>
      <c r="M223" s="63"/>
    </row>
    <row r="224" spans="1:13" ht="12.75">
      <c r="A224" s="66">
        <v>2</v>
      </c>
      <c r="B224" s="47" t="s">
        <v>18</v>
      </c>
      <c r="C224" s="5">
        <v>132000000</v>
      </c>
      <c r="D224" s="63"/>
      <c r="E224" s="63"/>
      <c r="F224" s="5">
        <v>17773620</v>
      </c>
      <c r="G224" s="37">
        <f>SUM(F224/C224*100)</f>
        <v>13.464863636363637</v>
      </c>
      <c r="H224" s="5">
        <v>17773620</v>
      </c>
      <c r="I224" s="7">
        <f t="shared" si="29"/>
        <v>13.464863636363637</v>
      </c>
      <c r="J224" s="37">
        <v>13.464863636363637</v>
      </c>
      <c r="K224" s="37">
        <f t="shared" si="30"/>
        <v>13.464863636363637</v>
      </c>
      <c r="L224" s="37">
        <f aca="true" t="shared" si="31" ref="L224:L233">C224-H224</f>
        <v>114226380</v>
      </c>
      <c r="M224" s="63"/>
    </row>
    <row r="225" spans="1:13" ht="12.75">
      <c r="A225" s="66">
        <v>3</v>
      </c>
      <c r="B225" s="47" t="s">
        <v>19</v>
      </c>
      <c r="C225" s="5">
        <v>165000000</v>
      </c>
      <c r="D225" s="63"/>
      <c r="E225" s="63"/>
      <c r="F225" s="5">
        <v>23250000</v>
      </c>
      <c r="G225" s="37">
        <f aca="true" t="shared" si="32" ref="G225:G233">SUM(F225/C225*100)</f>
        <v>14.09090909090909</v>
      </c>
      <c r="H225" s="5">
        <v>23250000</v>
      </c>
      <c r="I225" s="7">
        <f t="shared" si="29"/>
        <v>14.09090909090909</v>
      </c>
      <c r="J225" s="37">
        <v>14.09090909090909</v>
      </c>
      <c r="K225" s="37">
        <f t="shared" si="30"/>
        <v>14.09090909090909</v>
      </c>
      <c r="L225" s="37">
        <f t="shared" si="31"/>
        <v>141750000</v>
      </c>
      <c r="M225" s="63"/>
    </row>
    <row r="226" spans="1:13" ht="12.75">
      <c r="A226" s="66">
        <v>4</v>
      </c>
      <c r="B226" s="47" t="s">
        <v>20</v>
      </c>
      <c r="C226" s="5">
        <v>23000000</v>
      </c>
      <c r="D226" s="63"/>
      <c r="E226" s="63"/>
      <c r="F226" s="5">
        <v>2540000</v>
      </c>
      <c r="G226" s="37">
        <f t="shared" si="32"/>
        <v>11.043478260869566</v>
      </c>
      <c r="H226" s="5">
        <v>2540000</v>
      </c>
      <c r="I226" s="7">
        <f t="shared" si="29"/>
        <v>11.043478260869566</v>
      </c>
      <c r="J226" s="37">
        <v>11.043478260869566</v>
      </c>
      <c r="K226" s="37">
        <f t="shared" si="30"/>
        <v>11.043478260869566</v>
      </c>
      <c r="L226" s="37">
        <f t="shared" si="31"/>
        <v>20460000</v>
      </c>
      <c r="M226" s="63"/>
    </row>
    <row r="227" spans="1:13" ht="12.75">
      <c r="A227" s="66">
        <v>5</v>
      </c>
      <c r="B227" s="47" t="s">
        <v>21</v>
      </c>
      <c r="C227" s="5">
        <v>64000000</v>
      </c>
      <c r="D227" s="63"/>
      <c r="E227" s="63"/>
      <c r="F227" s="5">
        <v>9776700</v>
      </c>
      <c r="G227" s="37">
        <f t="shared" si="32"/>
        <v>15.27609375</v>
      </c>
      <c r="H227" s="5">
        <v>9776700</v>
      </c>
      <c r="I227" s="7">
        <f t="shared" si="29"/>
        <v>15.27609375</v>
      </c>
      <c r="J227" s="37">
        <v>15.27609375</v>
      </c>
      <c r="K227" s="37">
        <f t="shared" si="30"/>
        <v>15.27609375</v>
      </c>
      <c r="L227" s="37">
        <f t="shared" si="31"/>
        <v>54223300</v>
      </c>
      <c r="M227" s="63"/>
    </row>
    <row r="228" spans="1:13" ht="12.75">
      <c r="A228" s="66">
        <v>6</v>
      </c>
      <c r="B228" s="47" t="s">
        <v>22</v>
      </c>
      <c r="C228" s="5">
        <v>10045000</v>
      </c>
      <c r="D228" s="63"/>
      <c r="E228" s="63"/>
      <c r="F228" s="5">
        <v>352276</v>
      </c>
      <c r="G228" s="37">
        <f t="shared" si="32"/>
        <v>3.5069785963165754</v>
      </c>
      <c r="H228" s="5">
        <v>352276</v>
      </c>
      <c r="I228" s="7">
        <f t="shared" si="29"/>
        <v>3.5069785963165754</v>
      </c>
      <c r="J228" s="37">
        <v>3.5069785963165754</v>
      </c>
      <c r="K228" s="37">
        <f t="shared" si="30"/>
        <v>3.5069785963165754</v>
      </c>
      <c r="L228" s="37">
        <f t="shared" si="31"/>
        <v>9692724</v>
      </c>
      <c r="M228" s="63"/>
    </row>
    <row r="229" spans="1:13" ht="12.75">
      <c r="A229" s="66">
        <v>7</v>
      </c>
      <c r="B229" s="47" t="s">
        <v>23</v>
      </c>
      <c r="C229" s="5">
        <v>157000</v>
      </c>
      <c r="D229" s="63"/>
      <c r="E229" s="63"/>
      <c r="F229" s="5">
        <v>2740</v>
      </c>
      <c r="G229" s="37">
        <f t="shared" si="32"/>
        <v>1.7452229299363058</v>
      </c>
      <c r="H229" s="5">
        <v>2740</v>
      </c>
      <c r="I229" s="7">
        <f t="shared" si="29"/>
        <v>1.7452229299363058</v>
      </c>
      <c r="J229" s="37">
        <v>1.7452229299363058</v>
      </c>
      <c r="K229" s="37">
        <f t="shared" si="30"/>
        <v>1.7452229299363058</v>
      </c>
      <c r="L229" s="37">
        <f t="shared" si="31"/>
        <v>154260</v>
      </c>
      <c r="M229" s="63"/>
    </row>
    <row r="230" spans="1:13" ht="12.75">
      <c r="A230" s="66">
        <v>8</v>
      </c>
      <c r="B230" s="47" t="s">
        <v>24</v>
      </c>
      <c r="C230" s="5">
        <v>35000000</v>
      </c>
      <c r="D230" s="63"/>
      <c r="E230" s="63"/>
      <c r="F230" s="5">
        <v>5453779</v>
      </c>
      <c r="G230" s="37">
        <f t="shared" si="32"/>
        <v>15.582225714285713</v>
      </c>
      <c r="H230" s="5">
        <v>5453779</v>
      </c>
      <c r="I230" s="36">
        <f>SUM(H231/C230*100)</f>
        <v>1.1246914285714287</v>
      </c>
      <c r="J230" s="37">
        <v>1.1246914285714287</v>
      </c>
      <c r="K230" s="37">
        <f t="shared" si="30"/>
        <v>1.1246914285714287</v>
      </c>
      <c r="L230" s="37">
        <f t="shared" si="31"/>
        <v>29546221</v>
      </c>
      <c r="M230" s="63"/>
    </row>
    <row r="231" spans="1:13" ht="12.75">
      <c r="A231" s="66">
        <v>9</v>
      </c>
      <c r="B231" s="47" t="s">
        <v>25</v>
      </c>
      <c r="C231" s="5">
        <v>4305000</v>
      </c>
      <c r="D231" s="63"/>
      <c r="E231" s="63"/>
      <c r="F231" s="5">
        <v>393642</v>
      </c>
      <c r="G231" s="37">
        <f t="shared" si="32"/>
        <v>9.14383275261324</v>
      </c>
      <c r="H231" s="5">
        <v>393642</v>
      </c>
      <c r="I231" s="36">
        <f>SUM(H231/C231*100)</f>
        <v>9.14383275261324</v>
      </c>
      <c r="J231" s="37">
        <v>9.14383275261324</v>
      </c>
      <c r="K231" s="37">
        <f t="shared" si="30"/>
        <v>9.14383275261324</v>
      </c>
      <c r="L231" s="37">
        <f t="shared" si="31"/>
        <v>3911358</v>
      </c>
      <c r="M231" s="63"/>
    </row>
    <row r="232" spans="1:13" ht="12.75">
      <c r="A232" s="66">
        <v>10</v>
      </c>
      <c r="B232" s="47" t="s">
        <v>26</v>
      </c>
      <c r="C232" s="5">
        <v>5885000</v>
      </c>
      <c r="D232" s="63"/>
      <c r="E232" s="63"/>
      <c r="F232" s="5">
        <v>1180933</v>
      </c>
      <c r="G232" s="37">
        <f t="shared" si="32"/>
        <v>20.066830926083263</v>
      </c>
      <c r="H232" s="5">
        <v>1180933</v>
      </c>
      <c r="I232" s="36">
        <f>SUM(H232/C232*100)</f>
        <v>20.066830926083263</v>
      </c>
      <c r="J232" s="37">
        <v>20.066830926083263</v>
      </c>
      <c r="K232" s="37">
        <f t="shared" si="30"/>
        <v>20.066830926083263</v>
      </c>
      <c r="L232" s="37">
        <f t="shared" si="31"/>
        <v>4704067</v>
      </c>
      <c r="M232" s="63"/>
    </row>
    <row r="233" spans="1:13" ht="12.75">
      <c r="A233" s="66">
        <v>11</v>
      </c>
      <c r="B233" s="47" t="s">
        <v>27</v>
      </c>
      <c r="C233" s="5">
        <v>672000000</v>
      </c>
      <c r="D233" s="63"/>
      <c r="E233" s="63"/>
      <c r="F233" s="5"/>
      <c r="G233" s="37">
        <f t="shared" si="32"/>
        <v>0</v>
      </c>
      <c r="H233" s="5">
        <v>0</v>
      </c>
      <c r="I233" s="36">
        <f>SUM(H233/C233*100)</f>
        <v>0</v>
      </c>
      <c r="J233" s="37">
        <v>3</v>
      </c>
      <c r="K233" s="37">
        <f t="shared" si="30"/>
        <v>0</v>
      </c>
      <c r="L233" s="37">
        <f t="shared" si="31"/>
        <v>672000000</v>
      </c>
      <c r="M233" s="63"/>
    </row>
    <row r="234" spans="1:13" ht="12.75">
      <c r="A234" s="66"/>
      <c r="B234" s="47"/>
      <c r="C234" s="5"/>
      <c r="D234" s="63"/>
      <c r="E234" s="63"/>
      <c r="F234" s="5"/>
      <c r="G234" s="37"/>
      <c r="H234" s="5"/>
      <c r="I234" s="36"/>
      <c r="J234" s="37"/>
      <c r="K234" s="37"/>
      <c r="L234" s="37"/>
      <c r="M234" s="63"/>
    </row>
    <row r="235" spans="1:13" ht="12.75">
      <c r="A235" s="61" t="s">
        <v>28</v>
      </c>
      <c r="B235" s="62" t="s">
        <v>29</v>
      </c>
      <c r="C235" s="67">
        <f>C236+C249+C257+C270+C275+C289+C294+C298</f>
        <v>9196607500</v>
      </c>
      <c r="D235" s="67">
        <f>D236+D249+D257+D270+D275+D289+D294+D298</f>
        <v>0</v>
      </c>
      <c r="E235" s="63"/>
      <c r="F235" s="67">
        <f>F236+F249+F257+F270+F275+F289+F294+F298</f>
        <v>596109942</v>
      </c>
      <c r="G235" s="6">
        <f aca="true" t="shared" si="33" ref="G235:G247">SUM(F235/C235*100)</f>
        <v>6.481846072043414</v>
      </c>
      <c r="H235" s="67">
        <f>H236+H249+H257+H270+H275+H289+H294+H298</f>
        <v>596109942</v>
      </c>
      <c r="I235" s="8">
        <f>SUM(H235/C235*100)</f>
        <v>6.481846072043414</v>
      </c>
      <c r="J235" s="6">
        <f>(J236+J249+J257+J270+J275+J289+J294+J298)/8</f>
        <v>18.00399906465306</v>
      </c>
      <c r="K235" s="6">
        <f>(K236+K249+K257+K270+K275+K289+K294+K298)/8</f>
        <v>7.194234170270584</v>
      </c>
      <c r="L235" s="67">
        <f>L236+L249+L257+L270+L275+L289+L294+L298</f>
        <v>8600497558</v>
      </c>
      <c r="M235" s="63"/>
    </row>
    <row r="236" spans="1:13" ht="12.75">
      <c r="A236" s="68">
        <v>1</v>
      </c>
      <c r="B236" s="69" t="s">
        <v>30</v>
      </c>
      <c r="C236" s="67">
        <f>SUM(C237:C247)</f>
        <v>1362525500</v>
      </c>
      <c r="D236" s="67">
        <f>SUM(D237:D247)</f>
        <v>0</v>
      </c>
      <c r="E236" s="70"/>
      <c r="F236" s="6">
        <f>SUM(F237:F247)</f>
        <v>166647792</v>
      </c>
      <c r="G236" s="6">
        <f t="shared" si="33"/>
        <v>12.230801698757197</v>
      </c>
      <c r="H236" s="6">
        <f>SUM(H237:H247)</f>
        <v>166647792</v>
      </c>
      <c r="I236" s="8">
        <f aca="true" t="shared" si="34" ref="I236:I247">SUM(H236/C236*100)</f>
        <v>12.230801698757197</v>
      </c>
      <c r="J236" s="64">
        <v>3</v>
      </c>
      <c r="K236" s="64">
        <f>(K237+K238+K239+K240+K241+K242+K243+K244+K245+K246+K247)/11</f>
        <v>16.200728142754045</v>
      </c>
      <c r="L236" s="6">
        <f>SUM(L237:L247)</f>
        <v>1195877708</v>
      </c>
      <c r="M236" s="56"/>
    </row>
    <row r="237" spans="1:13" ht="12.75">
      <c r="A237" s="55">
        <v>1</v>
      </c>
      <c r="B237" s="55" t="s">
        <v>31</v>
      </c>
      <c r="C237" s="71">
        <v>6310000</v>
      </c>
      <c r="D237" s="72" t="s">
        <v>32</v>
      </c>
      <c r="E237" s="72" t="s">
        <v>32</v>
      </c>
      <c r="F237" s="71">
        <v>900000</v>
      </c>
      <c r="G237" s="37">
        <f t="shared" si="33"/>
        <v>14.263074484944532</v>
      </c>
      <c r="H237" s="71">
        <v>900000</v>
      </c>
      <c r="I237" s="36">
        <f t="shared" si="34"/>
        <v>14.263074484944532</v>
      </c>
      <c r="J237" s="37">
        <v>14.263074484944532</v>
      </c>
      <c r="K237" s="37">
        <f aca="true" t="shared" si="35" ref="K237:K248">I237</f>
        <v>14.263074484944532</v>
      </c>
      <c r="L237" s="37">
        <f>C237-H237</f>
        <v>5410000</v>
      </c>
      <c r="M237" s="37"/>
    </row>
    <row r="238" spans="1:13" ht="12.75">
      <c r="A238" s="55">
        <v>2</v>
      </c>
      <c r="B238" s="73" t="s">
        <v>76</v>
      </c>
      <c r="C238" s="71">
        <v>60000000</v>
      </c>
      <c r="D238" s="37"/>
      <c r="E238" s="37"/>
      <c r="F238" s="71">
        <v>13089325</v>
      </c>
      <c r="G238" s="37">
        <f t="shared" si="33"/>
        <v>21.815541666666665</v>
      </c>
      <c r="H238" s="71">
        <v>13089325</v>
      </c>
      <c r="I238" s="36">
        <f t="shared" si="34"/>
        <v>21.815541666666665</v>
      </c>
      <c r="J238" s="37">
        <v>21.815541666666665</v>
      </c>
      <c r="K238" s="37">
        <f t="shared" si="35"/>
        <v>21.815541666666665</v>
      </c>
      <c r="L238" s="37">
        <f aca="true" t="shared" si="36" ref="L238:L258">C238-H238</f>
        <v>46910675</v>
      </c>
      <c r="M238" s="37"/>
    </row>
    <row r="239" spans="1:13" ht="12.75">
      <c r="A239" s="55">
        <v>3</v>
      </c>
      <c r="B239" s="55" t="s">
        <v>33</v>
      </c>
      <c r="C239" s="71">
        <v>31435000</v>
      </c>
      <c r="D239" s="37">
        <v>0</v>
      </c>
      <c r="E239" s="37">
        <v>0</v>
      </c>
      <c r="F239" s="7"/>
      <c r="G239" s="37">
        <f t="shared" si="33"/>
        <v>0</v>
      </c>
      <c r="H239" s="7"/>
      <c r="I239" s="36">
        <f t="shared" si="34"/>
        <v>0</v>
      </c>
      <c r="J239" s="37">
        <v>0</v>
      </c>
      <c r="K239" s="37">
        <f t="shared" si="35"/>
        <v>0</v>
      </c>
      <c r="L239" s="37">
        <f t="shared" si="36"/>
        <v>31435000</v>
      </c>
      <c r="M239" s="37"/>
    </row>
    <row r="240" spans="1:13" ht="12.75">
      <c r="A240" s="55">
        <v>4</v>
      </c>
      <c r="B240" s="73" t="s">
        <v>34</v>
      </c>
      <c r="C240" s="71">
        <v>55000000</v>
      </c>
      <c r="D240" s="37">
        <v>0</v>
      </c>
      <c r="E240" s="37">
        <v>0</v>
      </c>
      <c r="F240" s="7">
        <v>18305000</v>
      </c>
      <c r="G240" s="37">
        <f t="shared" si="33"/>
        <v>33.28181818181818</v>
      </c>
      <c r="H240" s="7">
        <v>18305000</v>
      </c>
      <c r="I240" s="36">
        <f t="shared" si="34"/>
        <v>33.28181818181818</v>
      </c>
      <c r="J240" s="37">
        <v>33.28181818181818</v>
      </c>
      <c r="K240" s="37">
        <f t="shared" si="35"/>
        <v>33.28181818181818</v>
      </c>
      <c r="L240" s="37">
        <f t="shared" si="36"/>
        <v>36695000</v>
      </c>
      <c r="M240" s="37"/>
    </row>
    <row r="241" spans="1:13" ht="12.75">
      <c r="A241" s="55">
        <v>5</v>
      </c>
      <c r="B241" s="73" t="s">
        <v>35</v>
      </c>
      <c r="C241" s="71">
        <v>26676500</v>
      </c>
      <c r="D241" s="37">
        <v>0</v>
      </c>
      <c r="E241" s="37">
        <v>0</v>
      </c>
      <c r="F241" s="7">
        <v>6764900</v>
      </c>
      <c r="G241" s="37">
        <f t="shared" si="33"/>
        <v>25.35902385995164</v>
      </c>
      <c r="H241" s="7">
        <v>6764900</v>
      </c>
      <c r="I241" s="36">
        <f t="shared" si="34"/>
        <v>25.35902385995164</v>
      </c>
      <c r="J241" s="37">
        <v>25.35902385995164</v>
      </c>
      <c r="K241" s="37">
        <f t="shared" si="35"/>
        <v>25.35902385995164</v>
      </c>
      <c r="L241" s="37">
        <f t="shared" si="36"/>
        <v>19911600</v>
      </c>
      <c r="M241" s="37"/>
    </row>
    <row r="242" spans="1:13" ht="12.75">
      <c r="A242" s="55">
        <v>6</v>
      </c>
      <c r="B242" s="73" t="s">
        <v>36</v>
      </c>
      <c r="C242" s="71">
        <v>4000000</v>
      </c>
      <c r="D242" s="37">
        <v>0</v>
      </c>
      <c r="E242" s="37">
        <v>0</v>
      </c>
      <c r="F242" s="7"/>
      <c r="G242" s="37">
        <f t="shared" si="33"/>
        <v>0</v>
      </c>
      <c r="H242" s="7"/>
      <c r="I242" s="36">
        <f t="shared" si="34"/>
        <v>0</v>
      </c>
      <c r="J242" s="37">
        <v>0</v>
      </c>
      <c r="K242" s="37">
        <f t="shared" si="35"/>
        <v>0</v>
      </c>
      <c r="L242" s="37">
        <f t="shared" si="36"/>
        <v>4000000</v>
      </c>
      <c r="M242" s="37"/>
    </row>
    <row r="243" spans="1:13" ht="12.75">
      <c r="A243" s="55">
        <v>7</v>
      </c>
      <c r="B243" s="73" t="s">
        <v>37</v>
      </c>
      <c r="C243" s="71">
        <v>13076000</v>
      </c>
      <c r="D243" s="37">
        <v>0</v>
      </c>
      <c r="E243" s="37">
        <v>0</v>
      </c>
      <c r="F243" s="7">
        <v>5162250</v>
      </c>
      <c r="G243" s="37">
        <f t="shared" si="33"/>
        <v>39.47881615172836</v>
      </c>
      <c r="H243" s="7">
        <v>5162250</v>
      </c>
      <c r="I243" s="36">
        <f t="shared" si="34"/>
        <v>39.47881615172836</v>
      </c>
      <c r="J243" s="37">
        <v>39.47881615172836</v>
      </c>
      <c r="K243" s="37">
        <f t="shared" si="35"/>
        <v>39.47881615172836</v>
      </c>
      <c r="L243" s="37">
        <f t="shared" si="36"/>
        <v>7913750</v>
      </c>
      <c r="M243" s="37"/>
    </row>
    <row r="244" spans="1:13" ht="12.75">
      <c r="A244" s="55">
        <v>8</v>
      </c>
      <c r="B244" s="73" t="s">
        <v>38</v>
      </c>
      <c r="C244" s="71">
        <v>7500000</v>
      </c>
      <c r="D244" s="37">
        <v>0</v>
      </c>
      <c r="E244" s="37">
        <v>0</v>
      </c>
      <c r="F244" s="7">
        <v>760000</v>
      </c>
      <c r="G244" s="37">
        <f t="shared" si="33"/>
        <v>10.133333333333333</v>
      </c>
      <c r="H244" s="7">
        <v>760000</v>
      </c>
      <c r="I244" s="36">
        <f t="shared" si="34"/>
        <v>10.133333333333333</v>
      </c>
      <c r="J244" s="37">
        <v>10.133333333333333</v>
      </c>
      <c r="K244" s="37">
        <f t="shared" si="35"/>
        <v>10.133333333333333</v>
      </c>
      <c r="L244" s="37">
        <f t="shared" si="36"/>
        <v>6740000</v>
      </c>
      <c r="M244" s="37"/>
    </row>
    <row r="245" spans="1:13" ht="12.75">
      <c r="A245" s="55">
        <v>9</v>
      </c>
      <c r="B245" s="73" t="s">
        <v>39</v>
      </c>
      <c r="C245" s="71">
        <v>30000000</v>
      </c>
      <c r="D245" s="37">
        <v>0</v>
      </c>
      <c r="E245" s="37">
        <v>0</v>
      </c>
      <c r="F245" s="7">
        <v>2340700</v>
      </c>
      <c r="G245" s="37">
        <f t="shared" si="33"/>
        <v>7.802333333333333</v>
      </c>
      <c r="H245" s="7">
        <v>2340700</v>
      </c>
      <c r="I245" s="36">
        <f t="shared" si="34"/>
        <v>7.802333333333333</v>
      </c>
      <c r="J245" s="37">
        <v>7.802333333333333</v>
      </c>
      <c r="K245" s="37">
        <f t="shared" si="35"/>
        <v>7.802333333333333</v>
      </c>
      <c r="L245" s="37">
        <f t="shared" si="36"/>
        <v>27659300</v>
      </c>
      <c r="M245" s="37"/>
    </row>
    <row r="246" spans="1:13" ht="12.75">
      <c r="A246" s="55">
        <v>10</v>
      </c>
      <c r="B246" s="73" t="s">
        <v>40</v>
      </c>
      <c r="C246" s="71">
        <v>200000000</v>
      </c>
      <c r="D246" s="37">
        <v>0</v>
      </c>
      <c r="E246" s="37">
        <v>0</v>
      </c>
      <c r="F246" s="7">
        <v>33706161</v>
      </c>
      <c r="G246" s="37">
        <f t="shared" si="33"/>
        <v>16.8530805</v>
      </c>
      <c r="H246" s="7">
        <v>33706161</v>
      </c>
      <c r="I246" s="36">
        <f t="shared" si="34"/>
        <v>16.8530805</v>
      </c>
      <c r="J246" s="37">
        <v>16.8530805</v>
      </c>
      <c r="K246" s="37">
        <f t="shared" si="35"/>
        <v>16.8530805</v>
      </c>
      <c r="L246" s="37">
        <f t="shared" si="36"/>
        <v>166293839</v>
      </c>
      <c r="M246" s="37"/>
    </row>
    <row r="247" spans="1:13" ht="12.75">
      <c r="A247" s="55">
        <v>11</v>
      </c>
      <c r="B247" s="73" t="s">
        <v>41</v>
      </c>
      <c r="C247" s="71">
        <v>928528000</v>
      </c>
      <c r="D247" s="37">
        <v>0</v>
      </c>
      <c r="E247" s="37">
        <v>0</v>
      </c>
      <c r="F247" s="7">
        <v>85619456</v>
      </c>
      <c r="G247" s="37">
        <f t="shared" si="33"/>
        <v>9.22098805851843</v>
      </c>
      <c r="H247" s="7">
        <v>85619456</v>
      </c>
      <c r="I247" s="36">
        <f t="shared" si="34"/>
        <v>9.22098805851843</v>
      </c>
      <c r="J247" s="37">
        <v>9.22098805851843</v>
      </c>
      <c r="K247" s="37">
        <f t="shared" si="35"/>
        <v>9.22098805851843</v>
      </c>
      <c r="L247" s="37">
        <f t="shared" si="36"/>
        <v>842908544</v>
      </c>
      <c r="M247" s="37"/>
    </row>
    <row r="248" spans="1:13" ht="12.75">
      <c r="A248" s="74"/>
      <c r="B248" s="75"/>
      <c r="C248" s="71"/>
      <c r="D248" s="37"/>
      <c r="E248" s="37"/>
      <c r="F248" s="7"/>
      <c r="G248" s="37"/>
      <c r="H248" s="7"/>
      <c r="I248" s="36"/>
      <c r="J248" s="37"/>
      <c r="K248" s="37">
        <f t="shared" si="35"/>
        <v>0</v>
      </c>
      <c r="L248" s="37">
        <f t="shared" si="36"/>
        <v>0</v>
      </c>
      <c r="M248" s="37"/>
    </row>
    <row r="249" spans="1:13" ht="12.75">
      <c r="A249" s="62">
        <v>2</v>
      </c>
      <c r="B249" s="69" t="s">
        <v>42</v>
      </c>
      <c r="C249" s="39">
        <f>C250+C251+C252+C253+C254+C255</f>
        <v>761012000</v>
      </c>
      <c r="D249" s="39">
        <f>SUM(D250:D255)</f>
        <v>0</v>
      </c>
      <c r="E249" s="6"/>
      <c r="F249" s="39">
        <f>F250+F251+F252+F253+F254+F255</f>
        <v>218528650</v>
      </c>
      <c r="G249" s="6">
        <f aca="true" t="shared" si="37" ref="G249:G255">SUM(F249/C249*100)</f>
        <v>28.715532737985733</v>
      </c>
      <c r="H249" s="39">
        <f>H250+H251+H252+H253+H254+H255</f>
        <v>218528650</v>
      </c>
      <c r="I249" s="30">
        <f aca="true" t="shared" si="38" ref="I249:I255">SUM(H249/C249*100)</f>
        <v>28.715532737985733</v>
      </c>
      <c r="J249" s="147">
        <f>SUM(J250:J255)/6</f>
        <v>20.6153258505578</v>
      </c>
      <c r="K249" s="39">
        <f>(K250+K251+K252+K253+K254+K255)/6</f>
        <v>18.1153258505578</v>
      </c>
      <c r="L249" s="37">
        <f t="shared" si="36"/>
        <v>542483350</v>
      </c>
      <c r="M249" s="6"/>
    </row>
    <row r="250" spans="1:13" ht="12.75">
      <c r="A250" s="66">
        <v>1</v>
      </c>
      <c r="B250" s="73" t="s">
        <v>43</v>
      </c>
      <c r="C250" s="71">
        <v>85000000</v>
      </c>
      <c r="D250" s="37"/>
      <c r="E250" s="37"/>
      <c r="F250" s="71">
        <v>43120000</v>
      </c>
      <c r="G250" s="37">
        <f t="shared" si="37"/>
        <v>50.72941176470588</v>
      </c>
      <c r="H250" s="71">
        <v>43120000</v>
      </c>
      <c r="I250" s="36">
        <f t="shared" si="38"/>
        <v>50.72941176470588</v>
      </c>
      <c r="J250" s="37">
        <v>50.72941176470588</v>
      </c>
      <c r="K250" s="37">
        <f aca="true" t="shared" si="39" ref="K250:K255">I250</f>
        <v>50.72941176470588</v>
      </c>
      <c r="L250" s="37">
        <f t="shared" si="36"/>
        <v>41880000</v>
      </c>
      <c r="M250" s="37"/>
    </row>
    <row r="251" spans="1:13" ht="12.75">
      <c r="A251" s="66">
        <v>2</v>
      </c>
      <c r="B251" s="73" t="s">
        <v>44</v>
      </c>
      <c r="C251" s="71">
        <v>45000000</v>
      </c>
      <c r="D251" s="37"/>
      <c r="E251" s="37"/>
      <c r="F251" s="71"/>
      <c r="G251" s="37">
        <f t="shared" si="37"/>
        <v>0</v>
      </c>
      <c r="H251" s="71"/>
      <c r="I251" s="36">
        <f t="shared" si="38"/>
        <v>0</v>
      </c>
      <c r="J251" s="37">
        <v>0</v>
      </c>
      <c r="K251" s="37">
        <f t="shared" si="39"/>
        <v>0</v>
      </c>
      <c r="L251" s="37">
        <f t="shared" si="36"/>
        <v>45000000</v>
      </c>
      <c r="M251" s="37"/>
    </row>
    <row r="252" spans="1:13" ht="12.75">
      <c r="A252" s="66">
        <v>3</v>
      </c>
      <c r="B252" s="73" t="s">
        <v>45</v>
      </c>
      <c r="C252" s="71">
        <v>239382000</v>
      </c>
      <c r="D252" s="37"/>
      <c r="E252" s="37"/>
      <c r="F252" s="71">
        <v>72071800</v>
      </c>
      <c r="G252" s="37">
        <f t="shared" si="37"/>
        <v>30.107443333249783</v>
      </c>
      <c r="H252" s="71">
        <v>72071800</v>
      </c>
      <c r="I252" s="36">
        <f t="shared" si="38"/>
        <v>30.107443333249783</v>
      </c>
      <c r="J252" s="37">
        <v>30.107443333249783</v>
      </c>
      <c r="K252" s="37">
        <f t="shared" si="39"/>
        <v>30.107443333249783</v>
      </c>
      <c r="L252" s="37">
        <f t="shared" si="36"/>
        <v>167310200</v>
      </c>
      <c r="M252" s="37"/>
    </row>
    <row r="253" spans="1:13" ht="12.75">
      <c r="A253" s="66">
        <v>4</v>
      </c>
      <c r="B253" s="73" t="s">
        <v>46</v>
      </c>
      <c r="C253" s="71">
        <v>370980000</v>
      </c>
      <c r="D253" s="37"/>
      <c r="E253" s="37"/>
      <c r="F253" s="7">
        <v>103336850</v>
      </c>
      <c r="G253" s="37">
        <f t="shared" si="37"/>
        <v>27.855100005391126</v>
      </c>
      <c r="H253" s="7">
        <v>103336850</v>
      </c>
      <c r="I253" s="36">
        <f t="shared" si="38"/>
        <v>27.855100005391126</v>
      </c>
      <c r="J253" s="37">
        <v>27.855100005391126</v>
      </c>
      <c r="K253" s="37">
        <f t="shared" si="39"/>
        <v>27.855100005391126</v>
      </c>
      <c r="L253" s="37">
        <f t="shared" si="36"/>
        <v>267643150</v>
      </c>
      <c r="M253" s="37"/>
    </row>
    <row r="254" spans="1:13" ht="12.75">
      <c r="A254" s="66">
        <v>5</v>
      </c>
      <c r="B254" s="73" t="s">
        <v>47</v>
      </c>
      <c r="C254" s="71">
        <v>13050000</v>
      </c>
      <c r="D254" s="37">
        <v>0</v>
      </c>
      <c r="E254" s="37">
        <v>0</v>
      </c>
      <c r="F254" s="7"/>
      <c r="G254" s="37">
        <f t="shared" si="37"/>
        <v>0</v>
      </c>
      <c r="H254" s="7"/>
      <c r="I254" s="36">
        <f t="shared" si="38"/>
        <v>0</v>
      </c>
      <c r="J254" s="37">
        <v>5</v>
      </c>
      <c r="K254" s="37">
        <f t="shared" si="39"/>
        <v>0</v>
      </c>
      <c r="L254" s="37">
        <f t="shared" si="36"/>
        <v>13050000</v>
      </c>
      <c r="M254" s="37"/>
    </row>
    <row r="255" spans="1:13" ht="12.75">
      <c r="A255" s="66">
        <v>6</v>
      </c>
      <c r="B255" s="73" t="s">
        <v>48</v>
      </c>
      <c r="C255" s="71">
        <v>7600000</v>
      </c>
      <c r="D255" s="37"/>
      <c r="E255" s="37"/>
      <c r="F255" s="71"/>
      <c r="G255" s="37">
        <f t="shared" si="37"/>
        <v>0</v>
      </c>
      <c r="H255" s="71"/>
      <c r="I255" s="36">
        <f t="shared" si="38"/>
        <v>0</v>
      </c>
      <c r="J255" s="37">
        <v>10</v>
      </c>
      <c r="K255" s="37">
        <f t="shared" si="39"/>
        <v>0</v>
      </c>
      <c r="L255" s="37">
        <f t="shared" si="36"/>
        <v>7600000</v>
      </c>
      <c r="M255" s="37"/>
    </row>
    <row r="256" spans="1:13" ht="12.75">
      <c r="A256" s="66"/>
      <c r="B256" s="73"/>
      <c r="C256" s="71"/>
      <c r="D256" s="37"/>
      <c r="E256" s="37"/>
      <c r="F256" s="7"/>
      <c r="G256" s="37"/>
      <c r="H256" s="7"/>
      <c r="I256" s="36"/>
      <c r="J256" s="37"/>
      <c r="K256" s="37"/>
      <c r="L256" s="37">
        <f t="shared" si="36"/>
        <v>0</v>
      </c>
      <c r="M256" s="37"/>
    </row>
    <row r="257" spans="1:13" ht="12.75">
      <c r="A257" s="62">
        <v>3</v>
      </c>
      <c r="B257" s="69" t="s">
        <v>49</v>
      </c>
      <c r="C257" s="39">
        <f>C258</f>
        <v>74570000</v>
      </c>
      <c r="D257" s="39">
        <f>D258</f>
        <v>0</v>
      </c>
      <c r="E257" s="39">
        <f>E258</f>
        <v>0</v>
      </c>
      <c r="F257" s="8">
        <f>F258</f>
        <v>0</v>
      </c>
      <c r="G257" s="6">
        <f>SUM(F257/C257*100)</f>
        <v>0</v>
      </c>
      <c r="H257" s="8">
        <f>H258</f>
        <v>0</v>
      </c>
      <c r="I257" s="65">
        <f>SUM(H257/C257*100)</f>
        <v>0</v>
      </c>
      <c r="J257" s="64">
        <v>100</v>
      </c>
      <c r="K257" s="8">
        <f>K258/1</f>
        <v>0</v>
      </c>
      <c r="L257" s="37">
        <f t="shared" si="36"/>
        <v>74570000</v>
      </c>
      <c r="M257" s="6"/>
    </row>
    <row r="258" spans="1:13" ht="12.75">
      <c r="A258" s="55"/>
      <c r="B258" s="76" t="s">
        <v>50</v>
      </c>
      <c r="C258" s="9">
        <v>74570000</v>
      </c>
      <c r="D258" s="37">
        <v>0</v>
      </c>
      <c r="E258" s="37">
        <v>0</v>
      </c>
      <c r="F258" s="10"/>
      <c r="G258" s="37">
        <f>SUM(F258/C258*100)</f>
        <v>0</v>
      </c>
      <c r="H258" s="10"/>
      <c r="I258" s="36">
        <f>SUM(H258/C258*100)</f>
        <v>0</v>
      </c>
      <c r="J258" s="37">
        <v>100</v>
      </c>
      <c r="K258" s="37">
        <f>I258</f>
        <v>0</v>
      </c>
      <c r="L258" s="37">
        <f t="shared" si="36"/>
        <v>74570000</v>
      </c>
      <c r="M258" s="56"/>
    </row>
    <row r="259" spans="2:13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ht="12.75">
      <c r="A260" s="77"/>
      <c r="B260" s="12"/>
      <c r="C260" s="78"/>
      <c r="D260" s="79"/>
      <c r="E260" s="79"/>
      <c r="F260" s="13"/>
      <c r="G260" s="14"/>
      <c r="H260" s="13"/>
      <c r="I260" s="14"/>
      <c r="J260" s="80"/>
      <c r="K260" s="80"/>
      <c r="L260" s="80"/>
      <c r="M260" s="81"/>
    </row>
    <row r="261" spans="1:13" ht="12.75">
      <c r="A261" s="82"/>
      <c r="B261" s="15"/>
      <c r="C261" s="83"/>
      <c r="D261" s="84"/>
      <c r="E261" s="84"/>
      <c r="F261" s="16"/>
      <c r="G261" s="17"/>
      <c r="H261" s="16"/>
      <c r="I261" s="17"/>
      <c r="J261" s="85"/>
      <c r="K261" s="85"/>
      <c r="L261" s="85"/>
      <c r="M261" s="86"/>
    </row>
    <row r="262" spans="1:13" ht="12.75">
      <c r="A262" s="82"/>
      <c r="B262" s="15"/>
      <c r="C262" s="83"/>
      <c r="D262" s="84"/>
      <c r="E262" s="84"/>
      <c r="F262" s="16"/>
      <c r="G262" s="17"/>
      <c r="H262" s="16"/>
      <c r="I262" s="17"/>
      <c r="J262" s="85"/>
      <c r="K262" s="85"/>
      <c r="L262" s="85"/>
      <c r="M262" s="86"/>
    </row>
    <row r="263" spans="1:13" ht="12.75">
      <c r="A263" s="82"/>
      <c r="B263" s="15"/>
      <c r="C263" s="83"/>
      <c r="D263" s="84"/>
      <c r="E263" s="84"/>
      <c r="F263" s="16"/>
      <c r="G263" s="17"/>
      <c r="H263" s="16"/>
      <c r="I263" s="17"/>
      <c r="J263" s="85"/>
      <c r="K263" s="85"/>
      <c r="L263" s="85"/>
      <c r="M263" s="86"/>
    </row>
    <row r="264" spans="1:13" ht="12.75">
      <c r="A264" s="87"/>
      <c r="B264" s="18"/>
      <c r="C264" s="88"/>
      <c r="D264" s="89"/>
      <c r="E264" s="89"/>
      <c r="F264" s="19"/>
      <c r="G264" s="20"/>
      <c r="H264" s="19"/>
      <c r="I264" s="20"/>
      <c r="J264" s="90"/>
      <c r="K264" s="90"/>
      <c r="L264" s="90"/>
      <c r="M264" s="91"/>
    </row>
    <row r="265" spans="1:13" ht="12.75">
      <c r="A265" s="808" t="s">
        <v>2</v>
      </c>
      <c r="B265" s="808" t="s">
        <v>3</v>
      </c>
      <c r="C265" s="808" t="s">
        <v>4</v>
      </c>
      <c r="D265" s="808" t="s">
        <v>5</v>
      </c>
      <c r="E265" s="808" t="s">
        <v>6</v>
      </c>
      <c r="F265" s="816" t="s">
        <v>7</v>
      </c>
      <c r="G265" s="817"/>
      <c r="H265" s="817"/>
      <c r="I265" s="818"/>
      <c r="J265" s="816" t="s">
        <v>8</v>
      </c>
      <c r="K265" s="818"/>
      <c r="L265" s="805" t="s">
        <v>87</v>
      </c>
      <c r="M265" s="808" t="s">
        <v>9</v>
      </c>
    </row>
    <row r="266" spans="1:13" ht="12.75">
      <c r="A266" s="806"/>
      <c r="B266" s="806"/>
      <c r="C266" s="806"/>
      <c r="D266" s="814"/>
      <c r="E266" s="806"/>
      <c r="F266" s="809" t="s">
        <v>10</v>
      </c>
      <c r="G266" s="808" t="s">
        <v>11</v>
      </c>
      <c r="H266" s="808" t="s">
        <v>12</v>
      </c>
      <c r="I266" s="808" t="s">
        <v>11</v>
      </c>
      <c r="J266" s="808" t="s">
        <v>13</v>
      </c>
      <c r="K266" s="808" t="s">
        <v>14</v>
      </c>
      <c r="L266" s="806"/>
      <c r="M266" s="806"/>
    </row>
    <row r="267" spans="1:13" ht="12.75">
      <c r="A267" s="807"/>
      <c r="B267" s="807"/>
      <c r="C267" s="807"/>
      <c r="D267" s="815"/>
      <c r="E267" s="807"/>
      <c r="F267" s="810"/>
      <c r="G267" s="807"/>
      <c r="H267" s="807"/>
      <c r="I267" s="807"/>
      <c r="J267" s="807"/>
      <c r="K267" s="807"/>
      <c r="L267" s="807"/>
      <c r="M267" s="807"/>
    </row>
    <row r="268" spans="1:13" ht="12.75">
      <c r="A268" s="2">
        <v>1</v>
      </c>
      <c r="B268" s="2">
        <v>2</v>
      </c>
      <c r="C268" s="2">
        <v>3</v>
      </c>
      <c r="D268" s="2">
        <v>4</v>
      </c>
      <c r="E268" s="2">
        <v>5</v>
      </c>
      <c r="F268" s="2">
        <v>6</v>
      </c>
      <c r="G268" s="2">
        <v>7</v>
      </c>
      <c r="H268" s="2">
        <v>8</v>
      </c>
      <c r="I268" s="2">
        <v>9</v>
      </c>
      <c r="J268" s="2">
        <v>10</v>
      </c>
      <c r="K268" s="2">
        <v>11</v>
      </c>
      <c r="L268" s="2">
        <v>12</v>
      </c>
      <c r="M268" s="2">
        <v>13</v>
      </c>
    </row>
    <row r="269" spans="1:13" ht="12.75">
      <c r="A269" s="55"/>
      <c r="B269" s="21"/>
      <c r="C269" s="22"/>
      <c r="D269" s="32"/>
      <c r="E269" s="32"/>
      <c r="F269" s="23"/>
      <c r="G269" s="32"/>
      <c r="H269" s="23"/>
      <c r="I269" s="57"/>
      <c r="J269" s="56"/>
      <c r="K269" s="56"/>
      <c r="L269" s="95"/>
      <c r="M269" s="92"/>
    </row>
    <row r="270" spans="1:13" ht="12.75">
      <c r="A270" s="93">
        <v>4</v>
      </c>
      <c r="B270" s="24" t="s">
        <v>51</v>
      </c>
      <c r="C270" s="25">
        <f>C271+C272+C273</f>
        <v>4830000000</v>
      </c>
      <c r="D270" s="25">
        <f>D271+D272+D273</f>
        <v>0</v>
      </c>
      <c r="E270" s="25"/>
      <c r="F270" s="25">
        <f>F271+F272+F273</f>
        <v>127360500</v>
      </c>
      <c r="G270" s="6">
        <f>SUM(F270/C270*100)</f>
        <v>2.636863354037267</v>
      </c>
      <c r="H270" s="25">
        <f>H271+H272+H273</f>
        <v>127360500</v>
      </c>
      <c r="I270" s="8">
        <f>SUM(H270/C270*100)</f>
        <v>2.636863354037267</v>
      </c>
      <c r="J270" s="25">
        <f>(J271+J272+J273)/3</f>
        <v>1.3333333333333333</v>
      </c>
      <c r="K270" s="25">
        <f>(K271+K272+K273)/4</f>
        <v>4.218377989821883</v>
      </c>
      <c r="L270" s="154">
        <f>C270-H270</f>
        <v>4702639500</v>
      </c>
      <c r="M270" s="56"/>
    </row>
    <row r="271" spans="1:13" ht="12.75">
      <c r="A271" s="55">
        <v>1</v>
      </c>
      <c r="B271" s="21" t="s">
        <v>52</v>
      </c>
      <c r="C271" s="22">
        <v>3930000000</v>
      </c>
      <c r="D271" s="22"/>
      <c r="E271" s="22"/>
      <c r="F271" s="22">
        <v>1000000</v>
      </c>
      <c r="G271" s="32">
        <f>SUM(F271/C271*100)</f>
        <v>0.02544529262086514</v>
      </c>
      <c r="H271" s="22">
        <v>1000000</v>
      </c>
      <c r="I271" s="57">
        <f>SUM(H271/C271*100)</f>
        <v>0.02544529262086514</v>
      </c>
      <c r="J271" s="37">
        <v>1</v>
      </c>
      <c r="K271" s="32">
        <f>I271</f>
        <v>0.02544529262086514</v>
      </c>
      <c r="L271" s="154">
        <f aca="true" t="shared" si="40" ref="L271:L299">C271-H271</f>
        <v>3929000000</v>
      </c>
      <c r="M271" s="56"/>
    </row>
    <row r="272" spans="1:13" ht="12.75">
      <c r="A272" s="55">
        <v>2</v>
      </c>
      <c r="B272" s="21" t="s">
        <v>53</v>
      </c>
      <c r="C272" s="22">
        <v>750000000</v>
      </c>
      <c r="D272" s="32"/>
      <c r="E272" s="32"/>
      <c r="F272" s="22">
        <v>126360500</v>
      </c>
      <c r="G272" s="32">
        <f>SUM(F272/C272*100)</f>
        <v>16.848066666666668</v>
      </c>
      <c r="H272" s="22">
        <v>126360500</v>
      </c>
      <c r="I272" s="57">
        <f>SUM(H272/C272*100)</f>
        <v>16.848066666666668</v>
      </c>
      <c r="J272" s="32">
        <v>3</v>
      </c>
      <c r="K272" s="32">
        <f>I272</f>
        <v>16.848066666666668</v>
      </c>
      <c r="L272" s="154">
        <f t="shared" si="40"/>
        <v>623639500</v>
      </c>
      <c r="M272" s="37"/>
    </row>
    <row r="273" spans="1:13" ht="12.75">
      <c r="A273" s="55">
        <v>3</v>
      </c>
      <c r="B273" s="21" t="s">
        <v>54</v>
      </c>
      <c r="C273" s="22">
        <v>150000000</v>
      </c>
      <c r="D273" s="32"/>
      <c r="E273" s="32"/>
      <c r="F273" s="26"/>
      <c r="G273" s="32">
        <f>SUM(F273/C273*100)</f>
        <v>0</v>
      </c>
      <c r="H273" s="26"/>
      <c r="I273" s="57">
        <f>SUM(H273/C273*100)</f>
        <v>0</v>
      </c>
      <c r="J273" s="32">
        <v>0</v>
      </c>
      <c r="K273" s="32">
        <f>I273</f>
        <v>0</v>
      </c>
      <c r="L273" s="154">
        <f t="shared" si="40"/>
        <v>150000000</v>
      </c>
      <c r="M273" s="56"/>
    </row>
    <row r="274" spans="1:13" ht="12.75">
      <c r="A274" s="94"/>
      <c r="B274" s="27"/>
      <c r="C274" s="28"/>
      <c r="D274" s="33"/>
      <c r="E274" s="33"/>
      <c r="F274" s="29"/>
      <c r="G274" s="33"/>
      <c r="H274" s="29"/>
      <c r="I274" s="57"/>
      <c r="J274" s="95"/>
      <c r="K274" s="95"/>
      <c r="L274" s="154">
        <f t="shared" si="40"/>
        <v>0</v>
      </c>
      <c r="M274" s="95"/>
    </row>
    <row r="275" spans="1:13" ht="12.75">
      <c r="A275" s="96">
        <v>5</v>
      </c>
      <c r="B275" s="97" t="s">
        <v>56</v>
      </c>
      <c r="C275" s="48">
        <f>SUM(C276:C287)</f>
        <v>1208500000</v>
      </c>
      <c r="D275" s="48">
        <f>D276+D277+D278+D281+D282+D284+D285+D287</f>
        <v>0</v>
      </c>
      <c r="E275" s="48"/>
      <c r="F275" s="48">
        <f>F276+F277+F278+F279+F280+F281+F282+F284+F285+F286+F287</f>
        <v>51025000</v>
      </c>
      <c r="G275" s="31">
        <f aca="true" t="shared" si="41" ref="G275:G282">SUM(F275/C275*100)</f>
        <v>4.2221762515515096</v>
      </c>
      <c r="H275" s="48">
        <f>H276+H277+H278+H279+H280+H281+H282+H284+H285+H286+H287</f>
        <v>51025000</v>
      </c>
      <c r="I275" s="30">
        <f aca="true" t="shared" si="42" ref="I275:I282">SUM(H275/C275*100)</f>
        <v>4.2221762515515096</v>
      </c>
      <c r="J275" s="48">
        <f>SUM(J276+J277+J278+J279+J280+J281+J282+J284+J285+J286+J287)/12</f>
        <v>2.5833333333333335</v>
      </c>
      <c r="K275" s="48">
        <f>(K276+K277+K278+K279+K280+K281+K282+K284+K285+K286+K287)/11</f>
        <v>3.207696280991735</v>
      </c>
      <c r="L275" s="154">
        <f t="shared" si="40"/>
        <v>1157475000</v>
      </c>
      <c r="M275" s="95"/>
    </row>
    <row r="276" spans="1:13" ht="12.75">
      <c r="A276" s="55">
        <v>1</v>
      </c>
      <c r="B276" s="73" t="s">
        <v>99</v>
      </c>
      <c r="C276" s="71">
        <v>350000000</v>
      </c>
      <c r="D276" s="71"/>
      <c r="E276" s="32"/>
      <c r="F276" s="71">
        <v>35350000</v>
      </c>
      <c r="G276" s="32">
        <f t="shared" si="41"/>
        <v>10.100000000000001</v>
      </c>
      <c r="H276" s="71">
        <v>35350000</v>
      </c>
      <c r="I276" s="36">
        <f t="shared" si="42"/>
        <v>10.100000000000001</v>
      </c>
      <c r="J276" s="37">
        <v>3</v>
      </c>
      <c r="K276" s="33">
        <f aca="true" t="shared" si="43" ref="K276:K282">I276</f>
        <v>10.100000000000001</v>
      </c>
      <c r="L276" s="154">
        <f t="shared" si="40"/>
        <v>314650000</v>
      </c>
      <c r="M276" s="56"/>
    </row>
    <row r="277" spans="1:13" ht="12.75">
      <c r="A277" s="55">
        <v>2</v>
      </c>
      <c r="B277" s="98" t="s">
        <v>58</v>
      </c>
      <c r="C277" s="71">
        <v>165000000</v>
      </c>
      <c r="D277" s="37"/>
      <c r="E277" s="32"/>
      <c r="F277" s="71">
        <v>1800000</v>
      </c>
      <c r="G277" s="32">
        <f t="shared" si="41"/>
        <v>1.090909090909091</v>
      </c>
      <c r="H277" s="71">
        <v>1800000</v>
      </c>
      <c r="I277" s="36">
        <f t="shared" si="42"/>
        <v>1.090909090909091</v>
      </c>
      <c r="J277" s="32">
        <v>2</v>
      </c>
      <c r="K277" s="33">
        <f t="shared" si="43"/>
        <v>1.090909090909091</v>
      </c>
      <c r="L277" s="154">
        <f t="shared" si="40"/>
        <v>163200000</v>
      </c>
      <c r="M277" s="56"/>
    </row>
    <row r="278" spans="1:13" ht="12.75">
      <c r="A278" s="55">
        <v>3</v>
      </c>
      <c r="B278" s="98" t="s">
        <v>59</v>
      </c>
      <c r="C278" s="71">
        <v>50000000</v>
      </c>
      <c r="D278" s="37"/>
      <c r="E278" s="32"/>
      <c r="F278" s="7">
        <v>7350000</v>
      </c>
      <c r="G278" s="32">
        <f t="shared" si="41"/>
        <v>14.7</v>
      </c>
      <c r="H278" s="7">
        <v>7350000</v>
      </c>
      <c r="I278" s="36">
        <f t="shared" si="42"/>
        <v>14.7</v>
      </c>
      <c r="J278" s="32">
        <v>3</v>
      </c>
      <c r="K278" s="33">
        <f t="shared" si="43"/>
        <v>14.7</v>
      </c>
      <c r="L278" s="154">
        <f t="shared" si="40"/>
        <v>42650000</v>
      </c>
      <c r="M278" s="56"/>
    </row>
    <row r="279" spans="1:13" ht="12.75">
      <c r="A279" s="55">
        <v>4</v>
      </c>
      <c r="B279" s="73" t="s">
        <v>78</v>
      </c>
      <c r="C279" s="71">
        <v>80000000</v>
      </c>
      <c r="D279" s="37"/>
      <c r="E279" s="32"/>
      <c r="F279" s="7">
        <v>4875000</v>
      </c>
      <c r="G279" s="32">
        <f t="shared" si="41"/>
        <v>6.09375</v>
      </c>
      <c r="H279" s="7">
        <v>4875000</v>
      </c>
      <c r="I279" s="36">
        <f t="shared" si="42"/>
        <v>6.09375</v>
      </c>
      <c r="J279" s="32">
        <v>3</v>
      </c>
      <c r="K279" s="33">
        <f t="shared" si="43"/>
        <v>6.09375</v>
      </c>
      <c r="L279" s="154">
        <f t="shared" si="40"/>
        <v>75125000</v>
      </c>
      <c r="M279" s="56"/>
    </row>
    <row r="280" spans="1:13" ht="12.75">
      <c r="A280" s="55">
        <v>5</v>
      </c>
      <c r="B280" s="73" t="s">
        <v>79</v>
      </c>
      <c r="C280" s="71">
        <v>50000000</v>
      </c>
      <c r="D280" s="37"/>
      <c r="E280" s="32"/>
      <c r="F280" s="7">
        <v>1650000</v>
      </c>
      <c r="G280" s="32">
        <f t="shared" si="41"/>
        <v>3.3000000000000003</v>
      </c>
      <c r="H280" s="7">
        <v>1650000</v>
      </c>
      <c r="I280" s="36">
        <f t="shared" si="42"/>
        <v>3.3000000000000003</v>
      </c>
      <c r="J280" s="32">
        <v>2</v>
      </c>
      <c r="K280" s="33">
        <f t="shared" si="43"/>
        <v>3.3000000000000003</v>
      </c>
      <c r="L280" s="154">
        <f t="shared" si="40"/>
        <v>48350000</v>
      </c>
      <c r="M280" s="56"/>
    </row>
    <row r="281" spans="1:13" ht="12.75">
      <c r="A281" s="55">
        <v>6</v>
      </c>
      <c r="B281" s="73" t="s">
        <v>60</v>
      </c>
      <c r="C281" s="71">
        <v>50000000</v>
      </c>
      <c r="D281" s="37"/>
      <c r="E281" s="32"/>
      <c r="F281" s="7"/>
      <c r="G281" s="32">
        <f t="shared" si="41"/>
        <v>0</v>
      </c>
      <c r="H281" s="7"/>
      <c r="I281" s="36">
        <f t="shared" si="42"/>
        <v>0</v>
      </c>
      <c r="J281" s="32">
        <v>0</v>
      </c>
      <c r="K281" s="33">
        <f t="shared" si="43"/>
        <v>0</v>
      </c>
      <c r="L281" s="154">
        <f t="shared" si="40"/>
        <v>50000000</v>
      </c>
      <c r="M281" s="56"/>
    </row>
    <row r="282" spans="1:13" ht="12.75">
      <c r="A282" s="76">
        <v>7</v>
      </c>
      <c r="B282" s="122" t="s">
        <v>61</v>
      </c>
      <c r="C282" s="123">
        <v>50000000</v>
      </c>
      <c r="D282" s="115"/>
      <c r="E282" s="109"/>
      <c r="F282" s="124"/>
      <c r="G282" s="109">
        <f t="shared" si="41"/>
        <v>0</v>
      </c>
      <c r="H282" s="124"/>
      <c r="I282" s="124">
        <f t="shared" si="42"/>
        <v>0</v>
      </c>
      <c r="J282" s="109">
        <v>10</v>
      </c>
      <c r="K282" s="109">
        <f t="shared" si="43"/>
        <v>0</v>
      </c>
      <c r="L282" s="154">
        <f t="shared" si="40"/>
        <v>50000000</v>
      </c>
      <c r="M282" s="110"/>
    </row>
    <row r="283" spans="1:13" ht="12.75">
      <c r="A283" s="55">
        <v>8</v>
      </c>
      <c r="B283" s="122" t="s">
        <v>85</v>
      </c>
      <c r="C283" s="123">
        <v>156700000</v>
      </c>
      <c r="D283" s="115"/>
      <c r="E283" s="109"/>
      <c r="F283" s="124"/>
      <c r="G283" s="109"/>
      <c r="H283" s="124"/>
      <c r="I283" s="124"/>
      <c r="J283" s="109">
        <v>0</v>
      </c>
      <c r="K283" s="109"/>
      <c r="L283" s="154">
        <f t="shared" si="40"/>
        <v>156700000</v>
      </c>
      <c r="M283" s="110"/>
    </row>
    <row r="284" spans="1:13" ht="25.5">
      <c r="A284" s="76">
        <v>9</v>
      </c>
      <c r="B284" s="73" t="s">
        <v>80</v>
      </c>
      <c r="C284" s="71">
        <v>140000000</v>
      </c>
      <c r="D284" s="37"/>
      <c r="E284" s="32"/>
      <c r="F284" s="71"/>
      <c r="G284" s="32">
        <f>SUM(F284/C284*100)</f>
        <v>0</v>
      </c>
      <c r="H284" s="71"/>
      <c r="I284" s="7">
        <f>SUM(H284/C284*100)</f>
        <v>0</v>
      </c>
      <c r="J284" s="32">
        <v>0</v>
      </c>
      <c r="K284" s="32">
        <f>I284</f>
        <v>0</v>
      </c>
      <c r="L284" s="154">
        <f t="shared" si="40"/>
        <v>140000000</v>
      </c>
      <c r="M284" s="56"/>
    </row>
    <row r="285" spans="1:13" ht="12.75">
      <c r="A285" s="55">
        <v>10</v>
      </c>
      <c r="B285" s="73" t="s">
        <v>62</v>
      </c>
      <c r="C285" s="71">
        <v>68300000</v>
      </c>
      <c r="D285" s="71"/>
      <c r="E285" s="32"/>
      <c r="F285" s="7"/>
      <c r="G285" s="32">
        <f>SUM(F285/C285*100)</f>
        <v>0</v>
      </c>
      <c r="H285" s="7"/>
      <c r="I285" s="7">
        <f>SUM(H285/C285*100)</f>
        <v>0</v>
      </c>
      <c r="J285" s="32">
        <v>0</v>
      </c>
      <c r="K285" s="49">
        <f>I285</f>
        <v>0</v>
      </c>
      <c r="L285" s="154">
        <f t="shared" si="40"/>
        <v>68300000</v>
      </c>
      <c r="M285" s="56"/>
    </row>
    <row r="286" spans="1:13" ht="12.75">
      <c r="A286" s="76">
        <v>11</v>
      </c>
      <c r="B286" s="73" t="s">
        <v>81</v>
      </c>
      <c r="C286" s="38">
        <v>27500000</v>
      </c>
      <c r="D286" s="71"/>
      <c r="E286" s="32"/>
      <c r="F286" s="7">
        <v>0</v>
      </c>
      <c r="G286" s="32">
        <v>0</v>
      </c>
      <c r="H286" s="7">
        <v>0</v>
      </c>
      <c r="I286" s="7">
        <v>0</v>
      </c>
      <c r="J286" s="32">
        <v>3</v>
      </c>
      <c r="K286" s="32">
        <f>I286</f>
        <v>0</v>
      </c>
      <c r="L286" s="154">
        <f t="shared" si="40"/>
        <v>27500000</v>
      </c>
      <c r="M286" s="56"/>
    </row>
    <row r="287" spans="1:13" ht="12.75">
      <c r="A287" s="55">
        <v>12</v>
      </c>
      <c r="B287" s="73" t="s">
        <v>55</v>
      </c>
      <c r="C287" s="38">
        <v>21000000</v>
      </c>
      <c r="D287" s="71"/>
      <c r="E287" s="32"/>
      <c r="F287" s="7">
        <v>0</v>
      </c>
      <c r="G287" s="32">
        <v>0</v>
      </c>
      <c r="H287" s="7">
        <v>0</v>
      </c>
      <c r="I287" s="7">
        <v>0</v>
      </c>
      <c r="J287" s="32">
        <v>5</v>
      </c>
      <c r="K287" s="32">
        <f>I287</f>
        <v>0</v>
      </c>
      <c r="L287" s="154">
        <f t="shared" si="40"/>
        <v>21000000</v>
      </c>
      <c r="M287" s="56"/>
    </row>
    <row r="288" spans="1:13" ht="12.75">
      <c r="A288" s="100"/>
      <c r="B288" s="125"/>
      <c r="C288" s="22"/>
      <c r="D288" s="32"/>
      <c r="E288" s="32"/>
      <c r="F288" s="23"/>
      <c r="G288" s="34"/>
      <c r="H288" s="23"/>
      <c r="I288" s="34"/>
      <c r="J288" s="8"/>
      <c r="K288" s="8"/>
      <c r="L288" s="154">
        <f t="shared" si="40"/>
        <v>0</v>
      </c>
      <c r="M288" s="56"/>
    </row>
    <row r="289" spans="1:13" ht="12.75">
      <c r="A289" s="111">
        <v>6</v>
      </c>
      <c r="B289" s="97" t="s">
        <v>63</v>
      </c>
      <c r="C289" s="48">
        <f>C290+C291+C292</f>
        <v>340000000</v>
      </c>
      <c r="D289" s="48">
        <f>D290+D291+D292</f>
        <v>0</v>
      </c>
      <c r="E289" s="48"/>
      <c r="F289" s="48">
        <f>F290+F291+F292</f>
        <v>32548000</v>
      </c>
      <c r="G289" s="30">
        <f>F289/C289*100</f>
        <v>9.572941176470588</v>
      </c>
      <c r="H289" s="48">
        <f>H290+H291+H292</f>
        <v>32548000</v>
      </c>
      <c r="I289" s="30">
        <f>SUM(H289/C289*100)</f>
        <v>9.572941176470588</v>
      </c>
      <c r="J289" s="48">
        <f>(J290+J291+J292)/3</f>
        <v>9</v>
      </c>
      <c r="K289" s="48">
        <f>(K290+K291+K292)/4</f>
        <v>15.811745098039216</v>
      </c>
      <c r="L289" s="154">
        <f t="shared" si="40"/>
        <v>307452000</v>
      </c>
      <c r="M289" s="95"/>
    </row>
    <row r="290" spans="1:13" ht="12.75">
      <c r="A290" s="55">
        <v>1</v>
      </c>
      <c r="B290" s="73" t="s">
        <v>64</v>
      </c>
      <c r="C290" s="38">
        <v>50000000</v>
      </c>
      <c r="D290" s="38"/>
      <c r="E290" s="32"/>
      <c r="F290" s="38">
        <v>31398000</v>
      </c>
      <c r="G290" s="32">
        <f>SUM(F290/C290*100)</f>
        <v>62.796</v>
      </c>
      <c r="H290" s="38">
        <v>31398000</v>
      </c>
      <c r="I290" s="36">
        <f>SUM(H290/C290*100)</f>
        <v>62.796</v>
      </c>
      <c r="J290" s="35">
        <v>8</v>
      </c>
      <c r="K290" s="33">
        <f>I290</f>
        <v>62.796</v>
      </c>
      <c r="L290" s="154">
        <f t="shared" si="40"/>
        <v>18602000</v>
      </c>
      <c r="M290" s="56"/>
    </row>
    <row r="291" spans="1:13" ht="12.75">
      <c r="A291" s="55">
        <v>2</v>
      </c>
      <c r="B291" s="73" t="s">
        <v>65</v>
      </c>
      <c r="C291" s="38">
        <v>35000000</v>
      </c>
      <c r="D291" s="32"/>
      <c r="E291" s="32"/>
      <c r="F291" s="38"/>
      <c r="G291" s="32">
        <f>SUM(F291/C291*100)</f>
        <v>0</v>
      </c>
      <c r="H291" s="38"/>
      <c r="I291" s="50">
        <f>SUM(H291/C291*100)</f>
        <v>0</v>
      </c>
      <c r="J291" s="35">
        <v>9</v>
      </c>
      <c r="K291" s="33">
        <f>I291</f>
        <v>0</v>
      </c>
      <c r="L291" s="154">
        <f t="shared" si="40"/>
        <v>35000000</v>
      </c>
      <c r="M291" s="56"/>
    </row>
    <row r="292" spans="1:13" ht="12.75">
      <c r="A292" s="55">
        <v>3</v>
      </c>
      <c r="B292" s="73" t="s">
        <v>66</v>
      </c>
      <c r="C292" s="71">
        <v>255000000</v>
      </c>
      <c r="D292" s="71"/>
      <c r="E292" s="99"/>
      <c r="F292" s="71">
        <v>1150000</v>
      </c>
      <c r="G292" s="32">
        <f>SUM(F292/C292*100)</f>
        <v>0.45098039215686275</v>
      </c>
      <c r="H292" s="71">
        <v>1150000</v>
      </c>
      <c r="I292" s="36">
        <f>SUM(H292/C292*100)</f>
        <v>0.45098039215686275</v>
      </c>
      <c r="J292" s="112">
        <v>10</v>
      </c>
      <c r="K292" s="33">
        <f>I292</f>
        <v>0.45098039215686275</v>
      </c>
      <c r="L292" s="154">
        <f t="shared" si="40"/>
        <v>253850000</v>
      </c>
      <c r="M292" s="56"/>
    </row>
    <row r="293" spans="1:13" ht="12.75">
      <c r="A293" s="94"/>
      <c r="B293" s="132"/>
      <c r="C293" s="133"/>
      <c r="D293" s="133"/>
      <c r="E293" s="134"/>
      <c r="F293" s="133"/>
      <c r="G293" s="33"/>
      <c r="H293" s="133"/>
      <c r="I293" s="36"/>
      <c r="J293" s="58"/>
      <c r="K293" s="33"/>
      <c r="L293" s="154">
        <f t="shared" si="40"/>
        <v>0</v>
      </c>
      <c r="M293" s="95"/>
    </row>
    <row r="294" spans="1:13" ht="12.75">
      <c r="A294" s="111">
        <v>7</v>
      </c>
      <c r="B294" s="97" t="s">
        <v>67</v>
      </c>
      <c r="C294" s="48">
        <f>C295+C296</f>
        <v>520000000</v>
      </c>
      <c r="D294" s="48">
        <f>D295+D296</f>
        <v>0</v>
      </c>
      <c r="E294" s="48"/>
      <c r="F294" s="48">
        <f>F295+F296</f>
        <v>0</v>
      </c>
      <c r="G294" s="30">
        <f>F294/C294*100</f>
        <v>0</v>
      </c>
      <c r="H294" s="48">
        <f>H295+H296</f>
        <v>0</v>
      </c>
      <c r="I294" s="30">
        <f>H294/C294*100</f>
        <v>0</v>
      </c>
      <c r="J294" s="48">
        <f>(J295+J296)/2</f>
        <v>7.5</v>
      </c>
      <c r="K294" s="48">
        <f>(K295+K296)/2</f>
        <v>0</v>
      </c>
      <c r="L294" s="154">
        <f t="shared" si="40"/>
        <v>520000000</v>
      </c>
      <c r="M294" s="95"/>
    </row>
    <row r="295" spans="1:13" ht="12.75">
      <c r="A295" s="100">
        <v>1</v>
      </c>
      <c r="B295" s="73" t="s">
        <v>68</v>
      </c>
      <c r="C295" s="71">
        <v>100000000</v>
      </c>
      <c r="D295" s="71"/>
      <c r="E295" s="32"/>
      <c r="F295" s="71"/>
      <c r="G295" s="34">
        <f>F295/C295*100</f>
        <v>0</v>
      </c>
      <c r="H295" s="71"/>
      <c r="I295" s="34">
        <f>H295/C295*100</f>
        <v>0</v>
      </c>
      <c r="J295" s="34">
        <v>10</v>
      </c>
      <c r="K295" s="34">
        <f>I295</f>
        <v>0</v>
      </c>
      <c r="L295" s="154">
        <f t="shared" si="40"/>
        <v>100000000</v>
      </c>
      <c r="M295" s="37"/>
    </row>
    <row r="296" spans="1:13" ht="12.75">
      <c r="A296" s="100">
        <v>2</v>
      </c>
      <c r="B296" s="73" t="s">
        <v>69</v>
      </c>
      <c r="C296" s="71">
        <v>420000000</v>
      </c>
      <c r="D296" s="71"/>
      <c r="E296" s="32"/>
      <c r="F296" s="71"/>
      <c r="G296" s="34">
        <f>F296/C296*100</f>
        <v>0</v>
      </c>
      <c r="H296" s="71"/>
      <c r="I296" s="34">
        <f>H296/C296*100</f>
        <v>0</v>
      </c>
      <c r="J296" s="34">
        <v>5</v>
      </c>
      <c r="K296" s="34">
        <f>I296</f>
        <v>0</v>
      </c>
      <c r="L296" s="154">
        <f t="shared" si="40"/>
        <v>420000000</v>
      </c>
      <c r="M296" s="56"/>
    </row>
    <row r="297" spans="1:13" ht="12.75">
      <c r="A297" s="100"/>
      <c r="B297" s="98"/>
      <c r="C297" s="71"/>
      <c r="D297" s="32"/>
      <c r="E297" s="32"/>
      <c r="F297" s="7"/>
      <c r="G297" s="34"/>
      <c r="H297" s="7"/>
      <c r="I297" s="34"/>
      <c r="J297" s="34"/>
      <c r="K297" s="8"/>
      <c r="L297" s="154">
        <f t="shared" si="40"/>
        <v>0</v>
      </c>
      <c r="M297" s="56"/>
    </row>
    <row r="298" spans="1:13" ht="12.75">
      <c r="A298" s="93">
        <v>8</v>
      </c>
      <c r="B298" s="69" t="s">
        <v>70</v>
      </c>
      <c r="C298" s="39">
        <f>SUM(C299:C299)</f>
        <v>100000000</v>
      </c>
      <c r="D298" s="39">
        <f>SUM(D299:D299)</f>
        <v>0</v>
      </c>
      <c r="E298" s="39"/>
      <c r="F298" s="39">
        <f>SUM(F299:F299)</f>
        <v>0</v>
      </c>
      <c r="G298" s="8">
        <f>F298/C298*100</f>
        <v>0</v>
      </c>
      <c r="H298" s="39">
        <f>SUM(H299:H299)</f>
        <v>0</v>
      </c>
      <c r="I298" s="8">
        <f>H298/C298*100</f>
        <v>0</v>
      </c>
      <c r="J298" s="8">
        <f>J299</f>
        <v>0</v>
      </c>
      <c r="K298" s="8">
        <v>0</v>
      </c>
      <c r="L298" s="154">
        <f t="shared" si="40"/>
        <v>100000000</v>
      </c>
      <c r="M298" s="56"/>
    </row>
    <row r="299" spans="1:13" ht="12.75">
      <c r="A299" s="101"/>
      <c r="B299" s="52" t="s">
        <v>71</v>
      </c>
      <c r="C299" s="53">
        <v>100000000</v>
      </c>
      <c r="D299" s="51"/>
      <c r="E299" s="49"/>
      <c r="F299" s="54"/>
      <c r="G299" s="113">
        <f>F299/C299*100</f>
        <v>0</v>
      </c>
      <c r="H299" s="54"/>
      <c r="I299" s="113">
        <f>H299/C299*100</f>
        <v>0</v>
      </c>
      <c r="J299" s="113">
        <v>0</v>
      </c>
      <c r="K299" s="113">
        <f>I299</f>
        <v>0</v>
      </c>
      <c r="L299" s="154">
        <f t="shared" si="40"/>
        <v>100000000</v>
      </c>
      <c r="M299" s="56"/>
    </row>
    <row r="300" spans="1:13" ht="12.75">
      <c r="A300" s="55"/>
      <c r="B300" s="40"/>
      <c r="C300" s="41"/>
      <c r="D300" s="37"/>
      <c r="E300" s="32"/>
      <c r="F300" s="42"/>
      <c r="G300" s="34"/>
      <c r="H300" s="42"/>
      <c r="I300" s="34"/>
      <c r="J300" s="34"/>
      <c r="K300" s="34"/>
      <c r="L300" s="34"/>
      <c r="M300" s="56"/>
    </row>
    <row r="301" spans="1:13" ht="12.75">
      <c r="A301" s="102"/>
      <c r="B301" s="103"/>
      <c r="C301" s="43">
        <f>C222+C235</f>
        <v>11516999500</v>
      </c>
      <c r="D301" s="43">
        <f>+D222+D235</f>
        <v>0</v>
      </c>
      <c r="E301" s="43">
        <f>E236+E249+E257+E270+E275+E289+E294+E298</f>
        <v>0</v>
      </c>
      <c r="F301" s="43">
        <f>+F222+F235</f>
        <v>820852632</v>
      </c>
      <c r="G301" s="118">
        <f>SUM(F301/C301*100)</f>
        <v>7.127313255505481</v>
      </c>
      <c r="H301" s="43">
        <f>+H222+H235</f>
        <v>820852632</v>
      </c>
      <c r="I301" s="119">
        <f>SUM(H301/C301*100)</f>
        <v>7.127313255505481</v>
      </c>
      <c r="J301" s="43">
        <f>+(J222+J235)/2</f>
        <v>10.50199953232653</v>
      </c>
      <c r="K301" s="43">
        <f>+(K222+K235)/2</f>
        <v>8.280271749333377</v>
      </c>
      <c r="L301" s="43">
        <f>L222+L235</f>
        <v>10696146868</v>
      </c>
      <c r="M301" s="104"/>
    </row>
    <row r="302" spans="1:13" ht="12.75">
      <c r="A302" s="126"/>
      <c r="B302" s="127"/>
      <c r="C302" s="128"/>
      <c r="D302" s="128"/>
      <c r="E302" s="128"/>
      <c r="F302" s="128"/>
      <c r="G302" s="129"/>
      <c r="H302" s="128"/>
      <c r="I302" s="130"/>
      <c r="J302" s="128"/>
      <c r="K302" s="128"/>
      <c r="L302" s="128"/>
      <c r="M302" s="131"/>
    </row>
    <row r="303" spans="1:13" ht="12.75">
      <c r="A303" s="126"/>
      <c r="B303" s="158"/>
      <c r="C303" s="128"/>
      <c r="D303" s="128"/>
      <c r="E303" s="128"/>
      <c r="F303" s="128"/>
      <c r="G303" s="129"/>
      <c r="H303" s="128"/>
      <c r="I303" s="130"/>
      <c r="J303" s="128"/>
      <c r="K303" s="128"/>
      <c r="L303" s="128"/>
      <c r="M303" s="131"/>
    </row>
    <row r="304" spans="1:13" ht="12.75">
      <c r="A304" s="127"/>
      <c r="B304" s="160"/>
      <c r="C304" s="162"/>
      <c r="D304" s="60"/>
      <c r="E304" s="137"/>
      <c r="F304" s="44"/>
      <c r="G304" s="46"/>
      <c r="I304" s="117"/>
      <c r="J304" s="117" t="s">
        <v>98</v>
      </c>
      <c r="K304" s="117"/>
      <c r="L304" s="117"/>
      <c r="M304" s="117"/>
    </row>
    <row r="305" spans="1:13" ht="12.75">
      <c r="A305" s="127"/>
      <c r="B305" s="161"/>
      <c r="C305" s="163"/>
      <c r="D305" s="139"/>
      <c r="E305" s="137"/>
      <c r="F305" s="45"/>
      <c r="G305" s="44"/>
      <c r="I305" s="107"/>
      <c r="J305" s="107" t="s">
        <v>73</v>
      </c>
      <c r="K305" s="107"/>
      <c r="L305" s="107"/>
      <c r="M305" s="107"/>
    </row>
    <row r="306" spans="1:13" ht="12.75">
      <c r="A306" s="127"/>
      <c r="B306" s="161"/>
      <c r="C306" s="153"/>
      <c r="D306" s="60"/>
      <c r="E306" s="136"/>
      <c r="F306" s="44"/>
      <c r="G306" s="46"/>
      <c r="I306" s="107"/>
      <c r="J306" s="107" t="s">
        <v>72</v>
      </c>
      <c r="K306" s="107"/>
      <c r="L306" s="107"/>
      <c r="M306" s="107"/>
    </row>
    <row r="307" spans="1:13" ht="12.75">
      <c r="A307" s="127"/>
      <c r="B307" s="161"/>
      <c r="C307" s="153"/>
      <c r="D307" s="60"/>
      <c r="E307" s="136"/>
      <c r="F307" s="44"/>
      <c r="G307" s="46"/>
      <c r="I307" s="107"/>
      <c r="J307" s="107"/>
      <c r="K307" s="107"/>
      <c r="L307" s="107"/>
      <c r="M307" s="107"/>
    </row>
    <row r="308" spans="1:13" ht="12.75">
      <c r="A308" s="127"/>
      <c r="B308" s="140"/>
      <c r="C308" s="141"/>
      <c r="D308" s="60"/>
      <c r="E308" s="136"/>
      <c r="F308" s="44"/>
      <c r="G308" s="46"/>
      <c r="I308" s="107"/>
      <c r="J308" s="107"/>
      <c r="K308" s="107"/>
      <c r="L308" s="107"/>
      <c r="M308" s="107"/>
    </row>
    <row r="309" spans="1:13" ht="12.75">
      <c r="A309" s="127"/>
      <c r="B309" s="128"/>
      <c r="C309" s="84"/>
      <c r="D309" s="60"/>
      <c r="E309" s="137"/>
      <c r="F309" s="46"/>
      <c r="G309" s="46"/>
      <c r="H309" s="108"/>
      <c r="I309" s="108"/>
      <c r="J309" s="108" t="s">
        <v>74</v>
      </c>
      <c r="M309" s="108"/>
    </row>
    <row r="310" spans="1:13" ht="12.75">
      <c r="A310" s="127"/>
      <c r="B310" s="158"/>
      <c r="C310" s="84"/>
      <c r="D310" s="60"/>
      <c r="E310" s="60"/>
      <c r="F310" s="46"/>
      <c r="G310" s="46"/>
      <c r="H310" s="107"/>
      <c r="I310" s="107"/>
      <c r="J310" s="107" t="s">
        <v>75</v>
      </c>
      <c r="M310" s="107"/>
    </row>
    <row r="311" spans="2:3" ht="15">
      <c r="B311" s="144"/>
      <c r="C311" s="159"/>
    </row>
    <row r="312" spans="2:3" ht="12.75">
      <c r="B312" s="144"/>
      <c r="C312" s="142"/>
    </row>
  </sheetData>
  <sheetProtection/>
  <mergeCells count="99">
    <mergeCell ref="J265:K265"/>
    <mergeCell ref="L265:L267"/>
    <mergeCell ref="M265:M267"/>
    <mergeCell ref="F266:F267"/>
    <mergeCell ref="G266:G267"/>
    <mergeCell ref="H266:H267"/>
    <mergeCell ref="I266:I267"/>
    <mergeCell ref="J266:J267"/>
    <mergeCell ref="K266:K267"/>
    <mergeCell ref="A265:A267"/>
    <mergeCell ref="B265:B267"/>
    <mergeCell ref="C265:C267"/>
    <mergeCell ref="D265:D267"/>
    <mergeCell ref="E265:E267"/>
    <mergeCell ref="F265:I265"/>
    <mergeCell ref="L217:L219"/>
    <mergeCell ref="M217:M219"/>
    <mergeCell ref="F218:F219"/>
    <mergeCell ref="G218:G219"/>
    <mergeCell ref="H218:H219"/>
    <mergeCell ref="I218:I219"/>
    <mergeCell ref="J218:J219"/>
    <mergeCell ref="K218:K219"/>
    <mergeCell ref="A211:M211"/>
    <mergeCell ref="A212:M212"/>
    <mergeCell ref="A213:M213"/>
    <mergeCell ref="A217:A219"/>
    <mergeCell ref="B217:B219"/>
    <mergeCell ref="C217:C219"/>
    <mergeCell ref="D217:D219"/>
    <mergeCell ref="E217:E219"/>
    <mergeCell ref="F217:I217"/>
    <mergeCell ref="J217:K217"/>
    <mergeCell ref="J160:K160"/>
    <mergeCell ref="L160:L162"/>
    <mergeCell ref="M160:M162"/>
    <mergeCell ref="F161:F162"/>
    <mergeCell ref="G161:G162"/>
    <mergeCell ref="H161:H162"/>
    <mergeCell ref="I161:I162"/>
    <mergeCell ref="J161:J162"/>
    <mergeCell ref="K161:K162"/>
    <mergeCell ref="A160:A162"/>
    <mergeCell ref="B160:B162"/>
    <mergeCell ref="C160:C162"/>
    <mergeCell ref="D160:D162"/>
    <mergeCell ref="E160:E162"/>
    <mergeCell ref="F160:I160"/>
    <mergeCell ref="L112:L114"/>
    <mergeCell ref="M112:M114"/>
    <mergeCell ref="F113:F114"/>
    <mergeCell ref="G113:G114"/>
    <mergeCell ref="H113:H114"/>
    <mergeCell ref="I113:I114"/>
    <mergeCell ref="J113:J114"/>
    <mergeCell ref="K113:K114"/>
    <mergeCell ref="A106:M106"/>
    <mergeCell ref="A107:M107"/>
    <mergeCell ref="A108:M108"/>
    <mergeCell ref="A112:A114"/>
    <mergeCell ref="B112:B114"/>
    <mergeCell ref="C112:C114"/>
    <mergeCell ref="D112:D114"/>
    <mergeCell ref="E112:E114"/>
    <mergeCell ref="F112:I112"/>
    <mergeCell ref="J112:K112"/>
    <mergeCell ref="J55:K55"/>
    <mergeCell ref="L55:L57"/>
    <mergeCell ref="M55:M57"/>
    <mergeCell ref="F56:F57"/>
    <mergeCell ref="G56:G57"/>
    <mergeCell ref="H56:H57"/>
    <mergeCell ref="I56:I57"/>
    <mergeCell ref="J56:J57"/>
    <mergeCell ref="K56:K57"/>
    <mergeCell ref="A55:A57"/>
    <mergeCell ref="B55:B57"/>
    <mergeCell ref="C55:C57"/>
    <mergeCell ref="D55:D57"/>
    <mergeCell ref="E55:E57"/>
    <mergeCell ref="F55:I55"/>
    <mergeCell ref="L7:L9"/>
    <mergeCell ref="M7:M9"/>
    <mergeCell ref="F8:F9"/>
    <mergeCell ref="G8:G9"/>
    <mergeCell ref="H8:H9"/>
    <mergeCell ref="I8:I9"/>
    <mergeCell ref="J8:J9"/>
    <mergeCell ref="K8:K9"/>
    <mergeCell ref="A1:M1"/>
    <mergeCell ref="A2:M2"/>
    <mergeCell ref="A3:M3"/>
    <mergeCell ref="A7:A9"/>
    <mergeCell ref="B7:B9"/>
    <mergeCell ref="C7:C9"/>
    <mergeCell ref="D7:D9"/>
    <mergeCell ref="E7:E9"/>
    <mergeCell ref="F7:I7"/>
    <mergeCell ref="J7:K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1">
      <pane xSplit="14" ySplit="9" topLeftCell="O61" activePane="bottomRight" state="frozen"/>
      <selection pane="topLeft" activeCell="A1" sqref="A1"/>
      <selection pane="topRight" activeCell="P1" sqref="P1"/>
      <selection pane="bottomLeft" activeCell="A10" sqref="A10"/>
      <selection pane="bottomRight" activeCell="H83" sqref="H83"/>
    </sheetView>
  </sheetViews>
  <sheetFormatPr defaultColWidth="9.140625" defaultRowHeight="12.75"/>
  <cols>
    <col min="1" max="1" width="3.421875" style="261" customWidth="1"/>
    <col min="2" max="2" width="58.140625" style="0" customWidth="1"/>
    <col min="3" max="3" width="14.57421875" style="0" customWidth="1"/>
    <col min="4" max="4" width="17.7109375" style="209" customWidth="1"/>
    <col min="5" max="5" width="12.7109375" style="0" customWidth="1"/>
    <col min="6" max="6" width="15.7109375" style="209" customWidth="1"/>
    <col min="7" max="7" width="11.7109375" style="245" customWidth="1"/>
    <col min="8" max="8" width="13.57421875" style="0" customWidth="1"/>
    <col min="9" max="9" width="6.57421875" style="0" customWidth="1"/>
    <col min="10" max="10" width="15.28125" style="0" customWidth="1"/>
    <col min="11" max="11" width="6.7109375" style="0" customWidth="1"/>
    <col min="12" max="12" width="6.140625" style="0" customWidth="1"/>
    <col min="13" max="13" width="5.7109375" style="0" customWidth="1"/>
    <col min="14" max="14" width="14.140625" style="0" customWidth="1"/>
  </cols>
  <sheetData>
    <row r="1" spans="1:14" ht="12.75">
      <c r="A1" s="252"/>
      <c r="B1" s="1"/>
      <c r="C1" s="1"/>
      <c r="D1" s="187"/>
      <c r="E1" s="1"/>
      <c r="F1" s="187"/>
      <c r="G1" s="224"/>
      <c r="H1" s="1"/>
      <c r="I1" s="1"/>
      <c r="J1" s="1"/>
      <c r="K1" s="1"/>
      <c r="L1" s="1"/>
      <c r="M1" s="1"/>
      <c r="N1" s="1"/>
    </row>
    <row r="2" spans="1:14" ht="15.75">
      <c r="A2" s="811" t="s">
        <v>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</row>
    <row r="3" spans="1:14" ht="12.75">
      <c r="A3" s="812" t="s">
        <v>83</v>
      </c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</row>
    <row r="4" spans="1:14" ht="12.75">
      <c r="A4" s="813" t="s">
        <v>77</v>
      </c>
      <c r="B4" s="813"/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</row>
    <row r="5" spans="1:14" ht="12.75">
      <c r="A5" s="823" t="s">
        <v>1</v>
      </c>
      <c r="B5" s="823"/>
      <c r="C5" s="59"/>
      <c r="D5" s="188"/>
      <c r="E5" s="59"/>
      <c r="F5" s="188"/>
      <c r="G5" s="225"/>
      <c r="H5" s="59"/>
      <c r="I5" s="59"/>
      <c r="J5" s="59"/>
      <c r="K5" s="59"/>
      <c r="L5" s="59"/>
      <c r="M5" s="59"/>
      <c r="N5" s="59"/>
    </row>
    <row r="6" spans="1:14" ht="12.75">
      <c r="A6" s="819" t="s">
        <v>106</v>
      </c>
      <c r="B6" s="819"/>
      <c r="C6" s="59"/>
      <c r="D6" s="188"/>
      <c r="E6" s="59"/>
      <c r="F6" s="188"/>
      <c r="G6" s="225"/>
      <c r="H6" s="59"/>
      <c r="I6" s="59"/>
      <c r="J6" s="59"/>
      <c r="K6" s="59"/>
      <c r="L6" s="59"/>
      <c r="M6" s="59"/>
      <c r="N6" s="59"/>
    </row>
    <row r="7" spans="1:14" ht="12.75">
      <c r="A7" s="59"/>
      <c r="B7" s="1"/>
      <c r="C7" s="1"/>
      <c r="D7" s="187"/>
      <c r="E7" s="1"/>
      <c r="F7" s="187"/>
      <c r="G7" s="224"/>
      <c r="H7" s="1"/>
      <c r="I7" s="1"/>
      <c r="J7" s="1"/>
      <c r="K7" s="1"/>
      <c r="L7" s="1"/>
      <c r="M7" s="1"/>
      <c r="N7" s="1"/>
    </row>
    <row r="8" spans="1:14" ht="8.25" customHeight="1">
      <c r="A8" s="808" t="s">
        <v>2</v>
      </c>
      <c r="B8" s="808" t="s">
        <v>3</v>
      </c>
      <c r="C8" s="808" t="s">
        <v>4</v>
      </c>
      <c r="D8" s="820" t="s">
        <v>104</v>
      </c>
      <c r="E8" s="808" t="s">
        <v>5</v>
      </c>
      <c r="F8" s="820" t="s">
        <v>6</v>
      </c>
      <c r="G8" s="824" t="s">
        <v>105</v>
      </c>
      <c r="H8" s="816" t="s">
        <v>7</v>
      </c>
      <c r="I8" s="817"/>
      <c r="J8" s="817"/>
      <c r="K8" s="818"/>
      <c r="L8" s="816" t="s">
        <v>8</v>
      </c>
      <c r="M8" s="818"/>
      <c r="N8" s="805" t="s">
        <v>87</v>
      </c>
    </row>
    <row r="9" spans="1:14" ht="30" customHeight="1">
      <c r="A9" s="806"/>
      <c r="B9" s="806"/>
      <c r="C9" s="806"/>
      <c r="D9" s="821"/>
      <c r="E9" s="814"/>
      <c r="F9" s="821"/>
      <c r="G9" s="825"/>
      <c r="H9" s="809" t="s">
        <v>10</v>
      </c>
      <c r="I9" s="808" t="s">
        <v>11</v>
      </c>
      <c r="J9" s="808" t="s">
        <v>12</v>
      </c>
      <c r="K9" s="808" t="s">
        <v>11</v>
      </c>
      <c r="L9" s="808" t="s">
        <v>13</v>
      </c>
      <c r="M9" s="820" t="s">
        <v>14</v>
      </c>
      <c r="N9" s="806"/>
    </row>
    <row r="10" spans="1:14" ht="12.75">
      <c r="A10" s="807"/>
      <c r="B10" s="807"/>
      <c r="C10" s="807"/>
      <c r="D10" s="822"/>
      <c r="E10" s="815"/>
      <c r="F10" s="822"/>
      <c r="G10" s="826"/>
      <c r="H10" s="810"/>
      <c r="I10" s="807"/>
      <c r="J10" s="807"/>
      <c r="K10" s="807"/>
      <c r="L10" s="807"/>
      <c r="M10" s="822"/>
      <c r="N10" s="807"/>
    </row>
    <row r="11" spans="1:14" ht="12.75">
      <c r="A11" s="2">
        <v>1</v>
      </c>
      <c r="B11" s="2">
        <v>2</v>
      </c>
      <c r="C11" s="2">
        <v>3</v>
      </c>
      <c r="D11" s="189"/>
      <c r="E11" s="2">
        <v>4</v>
      </c>
      <c r="F11" s="189">
        <v>5</v>
      </c>
      <c r="G11" s="226"/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</row>
    <row r="12" spans="1:14" ht="12.75">
      <c r="A12" s="3"/>
      <c r="B12" s="3"/>
      <c r="C12" s="3"/>
      <c r="D12" s="190"/>
      <c r="E12" s="3"/>
      <c r="F12" s="190"/>
      <c r="G12" s="227"/>
      <c r="H12" s="3"/>
      <c r="I12" s="3"/>
      <c r="J12" s="3"/>
      <c r="K12" s="3"/>
      <c r="L12" s="3"/>
      <c r="M12" s="3"/>
      <c r="N12" s="3"/>
    </row>
    <row r="13" spans="1:14" ht="12.75">
      <c r="A13" s="61" t="s">
        <v>15</v>
      </c>
      <c r="B13" s="62" t="s">
        <v>16</v>
      </c>
      <c r="C13" s="4">
        <f>SUM(C14:C24)</f>
        <v>2320392000</v>
      </c>
      <c r="D13" s="210"/>
      <c r="E13" s="63"/>
      <c r="F13" s="191"/>
      <c r="G13" s="228"/>
      <c r="H13" s="4">
        <f>SUM(H14:H24)</f>
        <v>1188326371</v>
      </c>
      <c r="I13" s="64">
        <f>SUM(H13/C13*100)</f>
        <v>51.21231115259835</v>
      </c>
      <c r="J13" s="4">
        <f>SUM(J14:J24)</f>
        <v>1188326371</v>
      </c>
      <c r="K13" s="145">
        <f>SUM(J13/C13*100)</f>
        <v>51.21231115259835</v>
      </c>
      <c r="L13" s="296">
        <f>+H13/C13*100</f>
        <v>51.21231115259835</v>
      </c>
      <c r="M13" s="64">
        <f>(M14+M15+M16+M17+M18+M19+M20+M21+M22+M23+M24)/11</f>
        <v>46.07023827289971</v>
      </c>
      <c r="N13" s="4">
        <f>SUM(N14:N24)</f>
        <v>1132065629</v>
      </c>
    </row>
    <row r="14" spans="1:16" ht="12.75">
      <c r="A14" s="63">
        <v>1</v>
      </c>
      <c r="B14" s="47" t="s">
        <v>17</v>
      </c>
      <c r="C14" s="5">
        <v>1209000000</v>
      </c>
      <c r="D14" s="211"/>
      <c r="E14" s="63"/>
      <c r="F14" s="192"/>
      <c r="G14" s="228"/>
      <c r="H14" s="114">
        <v>701409615</v>
      </c>
      <c r="I14" s="37">
        <f>SUM(H14/C14*100)</f>
        <v>58.01568362282878</v>
      </c>
      <c r="J14" s="114">
        <v>701409615</v>
      </c>
      <c r="K14" s="145">
        <f aca="true" t="shared" si="0" ref="K14:K20">SUM(J14/C14*100)</f>
        <v>58.01568362282878</v>
      </c>
      <c r="L14" s="296">
        <f>+H14/C14*100</f>
        <v>58.01568362282878</v>
      </c>
      <c r="M14" s="37">
        <f>K14</f>
        <v>58.01568362282878</v>
      </c>
      <c r="N14" s="37">
        <f>C14-J14</f>
        <v>507590385</v>
      </c>
      <c r="P14" s="296"/>
    </row>
    <row r="15" spans="1:14" ht="12.75">
      <c r="A15" s="63">
        <v>2</v>
      </c>
      <c r="B15" s="47" t="s">
        <v>18</v>
      </c>
      <c r="C15" s="5">
        <v>132000000</v>
      </c>
      <c r="D15" s="211"/>
      <c r="E15" s="63"/>
      <c r="F15" s="192"/>
      <c r="G15" s="228"/>
      <c r="H15" s="5">
        <v>78724056</v>
      </c>
      <c r="I15" s="37">
        <f>SUM(H15/C15*100)</f>
        <v>59.639436363636364</v>
      </c>
      <c r="J15" s="5">
        <v>78724056</v>
      </c>
      <c r="K15" s="145">
        <f t="shared" si="0"/>
        <v>59.639436363636364</v>
      </c>
      <c r="L15" s="296">
        <f aca="true" t="shared" si="1" ref="L15:L24">+H15/C15*100</f>
        <v>59.639436363636364</v>
      </c>
      <c r="M15" s="37">
        <f aca="true" t="shared" si="2" ref="M15:M24">K15</f>
        <v>59.639436363636364</v>
      </c>
      <c r="N15" s="37">
        <f aca="true" t="shared" si="3" ref="N15:N24">C15-J15</f>
        <v>53275944</v>
      </c>
    </row>
    <row r="16" spans="1:14" ht="12.75">
      <c r="A16" s="63">
        <v>3</v>
      </c>
      <c r="B16" s="47" t="s">
        <v>19</v>
      </c>
      <c r="C16" s="5">
        <v>165000000</v>
      </c>
      <c r="D16" s="211"/>
      <c r="E16" s="63"/>
      <c r="F16" s="192"/>
      <c r="G16" s="228"/>
      <c r="H16" s="5">
        <v>68130000</v>
      </c>
      <c r="I16" s="37">
        <f aca="true" t="shared" si="4" ref="I16:I24">SUM(H16/C16*100)</f>
        <v>41.29090909090909</v>
      </c>
      <c r="J16" s="5">
        <v>68130000</v>
      </c>
      <c r="K16" s="145">
        <f t="shared" si="0"/>
        <v>41.29090909090909</v>
      </c>
      <c r="L16" s="296">
        <f t="shared" si="1"/>
        <v>41.29090909090909</v>
      </c>
      <c r="M16" s="37">
        <f t="shared" si="2"/>
        <v>41.29090909090909</v>
      </c>
      <c r="N16" s="37">
        <f t="shared" si="3"/>
        <v>96870000</v>
      </c>
    </row>
    <row r="17" spans="1:14" ht="12.75">
      <c r="A17" s="63">
        <v>4</v>
      </c>
      <c r="B17" s="47" t="s">
        <v>20</v>
      </c>
      <c r="C17" s="5">
        <v>23000000</v>
      </c>
      <c r="D17" s="211"/>
      <c r="E17" s="63"/>
      <c r="F17" s="192"/>
      <c r="G17" s="228"/>
      <c r="H17" s="5">
        <v>21840000</v>
      </c>
      <c r="I17" s="37">
        <f t="shared" si="4"/>
        <v>94.95652173913044</v>
      </c>
      <c r="J17" s="5">
        <v>21840000</v>
      </c>
      <c r="K17" s="145">
        <f t="shared" si="0"/>
        <v>94.95652173913044</v>
      </c>
      <c r="L17" s="296">
        <f t="shared" si="1"/>
        <v>94.95652173913044</v>
      </c>
      <c r="M17" s="37">
        <f t="shared" si="2"/>
        <v>94.95652173913044</v>
      </c>
      <c r="N17" s="37">
        <f t="shared" si="3"/>
        <v>1160000</v>
      </c>
    </row>
    <row r="18" spans="1:14" ht="12.75">
      <c r="A18" s="63">
        <v>5</v>
      </c>
      <c r="B18" s="47" t="s">
        <v>21</v>
      </c>
      <c r="C18" s="5">
        <v>64000000</v>
      </c>
      <c r="D18" s="211"/>
      <c r="E18" s="63"/>
      <c r="F18" s="192"/>
      <c r="G18" s="228"/>
      <c r="H18" s="5">
        <v>38527440</v>
      </c>
      <c r="I18" s="37">
        <f t="shared" si="4"/>
        <v>60.199124999999995</v>
      </c>
      <c r="J18" s="5">
        <v>38527440</v>
      </c>
      <c r="K18" s="145">
        <f t="shared" si="0"/>
        <v>60.199124999999995</v>
      </c>
      <c r="L18" s="296">
        <f t="shared" si="1"/>
        <v>60.199124999999995</v>
      </c>
      <c r="M18" s="37">
        <f t="shared" si="2"/>
        <v>60.199124999999995</v>
      </c>
      <c r="N18" s="37">
        <f t="shared" si="3"/>
        <v>25472560</v>
      </c>
    </row>
    <row r="19" spans="1:14" ht="12.75">
      <c r="A19" s="63">
        <v>6</v>
      </c>
      <c r="B19" s="47" t="s">
        <v>22</v>
      </c>
      <c r="C19" s="5">
        <v>10045000</v>
      </c>
      <c r="D19" s="211"/>
      <c r="E19" s="63"/>
      <c r="F19" s="192"/>
      <c r="G19" s="228"/>
      <c r="H19" s="5">
        <v>4208479</v>
      </c>
      <c r="I19" s="37">
        <f t="shared" si="4"/>
        <v>41.8962568442011</v>
      </c>
      <c r="J19" s="5">
        <v>4208479</v>
      </c>
      <c r="K19" s="145">
        <f t="shared" si="0"/>
        <v>41.8962568442011</v>
      </c>
      <c r="L19" s="296">
        <f t="shared" si="1"/>
        <v>41.8962568442011</v>
      </c>
      <c r="M19" s="37">
        <f t="shared" si="2"/>
        <v>41.8962568442011</v>
      </c>
      <c r="N19" s="37">
        <f t="shared" si="3"/>
        <v>5836521</v>
      </c>
    </row>
    <row r="20" spans="1:14" ht="12.75">
      <c r="A20" s="63">
        <v>7</v>
      </c>
      <c r="B20" s="47" t="s">
        <v>23</v>
      </c>
      <c r="C20" s="5">
        <v>157000</v>
      </c>
      <c r="D20" s="211"/>
      <c r="E20" s="63"/>
      <c r="F20" s="192"/>
      <c r="G20" s="228"/>
      <c r="H20" s="5">
        <v>12257</v>
      </c>
      <c r="I20" s="37">
        <f t="shared" si="4"/>
        <v>7.807006369426752</v>
      </c>
      <c r="J20" s="5">
        <v>12257</v>
      </c>
      <c r="K20" s="145">
        <f t="shared" si="0"/>
        <v>7.807006369426752</v>
      </c>
      <c r="L20" s="296">
        <f t="shared" si="1"/>
        <v>7.807006369426752</v>
      </c>
      <c r="M20" s="149">
        <f t="shared" si="2"/>
        <v>7.807006369426752</v>
      </c>
      <c r="N20" s="37">
        <f t="shared" si="3"/>
        <v>144743</v>
      </c>
    </row>
    <row r="21" spans="1:14" ht="12.75">
      <c r="A21" s="63">
        <v>8</v>
      </c>
      <c r="B21" s="47" t="s">
        <v>24</v>
      </c>
      <c r="C21" s="5">
        <v>35000000</v>
      </c>
      <c r="D21" s="211"/>
      <c r="E21" s="63"/>
      <c r="F21" s="192"/>
      <c r="G21" s="228"/>
      <c r="H21" s="5">
        <v>19051978</v>
      </c>
      <c r="I21" s="37">
        <f t="shared" si="4"/>
        <v>54.434222857142856</v>
      </c>
      <c r="J21" s="5">
        <v>19051978</v>
      </c>
      <c r="K21" s="36">
        <f>SUM(J22/C21*100)</f>
        <v>3.91612</v>
      </c>
      <c r="L21" s="296">
        <f t="shared" si="1"/>
        <v>54.434222857142856</v>
      </c>
      <c r="M21" s="37">
        <f t="shared" si="2"/>
        <v>3.91612</v>
      </c>
      <c r="N21" s="37">
        <f t="shared" si="3"/>
        <v>15948022</v>
      </c>
    </row>
    <row r="22" spans="1:14" ht="12.75">
      <c r="A22" s="63">
        <v>9</v>
      </c>
      <c r="B22" s="47" t="s">
        <v>25</v>
      </c>
      <c r="C22" s="5">
        <v>4305000</v>
      </c>
      <c r="D22" s="211"/>
      <c r="E22" s="63"/>
      <c r="F22" s="192"/>
      <c r="G22" s="228"/>
      <c r="H22" s="5">
        <v>1370642</v>
      </c>
      <c r="I22" s="37">
        <f t="shared" si="4"/>
        <v>31.83837398373984</v>
      </c>
      <c r="J22" s="5">
        <v>1370642</v>
      </c>
      <c r="K22" s="36">
        <f>SUM(J22/C22*100)</f>
        <v>31.83837398373984</v>
      </c>
      <c r="L22" s="296">
        <f t="shared" si="1"/>
        <v>31.83837398373984</v>
      </c>
      <c r="M22" s="37">
        <f t="shared" si="2"/>
        <v>31.83837398373984</v>
      </c>
      <c r="N22" s="37">
        <f t="shared" si="3"/>
        <v>2934358</v>
      </c>
    </row>
    <row r="23" spans="1:14" ht="12.75">
      <c r="A23" s="63">
        <v>10</v>
      </c>
      <c r="B23" s="47" t="s">
        <v>26</v>
      </c>
      <c r="C23" s="5">
        <v>5885000</v>
      </c>
      <c r="D23" s="211"/>
      <c r="E23" s="63"/>
      <c r="F23" s="192"/>
      <c r="G23" s="228"/>
      <c r="H23" s="5">
        <v>4111904</v>
      </c>
      <c r="I23" s="37">
        <f t="shared" si="4"/>
        <v>69.87092608326253</v>
      </c>
      <c r="J23" s="5">
        <v>4111904</v>
      </c>
      <c r="K23" s="36">
        <f>SUM(J23/C23*100)</f>
        <v>69.87092608326253</v>
      </c>
      <c r="L23" s="296">
        <f t="shared" si="1"/>
        <v>69.87092608326253</v>
      </c>
      <c r="M23" s="37">
        <f t="shared" si="2"/>
        <v>69.87092608326253</v>
      </c>
      <c r="N23" s="37">
        <f t="shared" si="3"/>
        <v>1773096</v>
      </c>
    </row>
    <row r="24" spans="1:14" ht="12.75">
      <c r="A24" s="63">
        <v>11</v>
      </c>
      <c r="B24" s="47" t="s">
        <v>27</v>
      </c>
      <c r="C24" s="5">
        <v>672000000</v>
      </c>
      <c r="D24" s="211"/>
      <c r="E24" s="63"/>
      <c r="F24" s="192"/>
      <c r="G24" s="228"/>
      <c r="H24" s="5">
        <v>250940000</v>
      </c>
      <c r="I24" s="37">
        <f t="shared" si="4"/>
        <v>37.342261904761905</v>
      </c>
      <c r="J24" s="5">
        <v>250940000</v>
      </c>
      <c r="K24" s="36">
        <f>SUM(J24/C24*100)</f>
        <v>37.342261904761905</v>
      </c>
      <c r="L24" s="296">
        <f t="shared" si="1"/>
        <v>37.342261904761905</v>
      </c>
      <c r="M24" s="37">
        <f t="shared" si="2"/>
        <v>37.342261904761905</v>
      </c>
      <c r="N24" s="37">
        <f t="shared" si="3"/>
        <v>421060000</v>
      </c>
    </row>
    <row r="25" spans="1:14" ht="12.75">
      <c r="A25" s="63"/>
      <c r="B25" s="47"/>
      <c r="C25" s="5"/>
      <c r="D25" s="211"/>
      <c r="E25" s="63"/>
      <c r="F25" s="192"/>
      <c r="G25" s="228"/>
      <c r="H25" s="5"/>
      <c r="I25" s="37"/>
      <c r="J25" s="5"/>
      <c r="K25" s="36"/>
      <c r="L25" s="37"/>
      <c r="M25" s="37"/>
      <c r="N25" s="37"/>
    </row>
    <row r="26" spans="1:14" ht="12.75">
      <c r="A26" s="61" t="s">
        <v>28</v>
      </c>
      <c r="B26" s="62" t="s">
        <v>29</v>
      </c>
      <c r="C26" s="67">
        <f>C27+C40+C50+C55+C63+C77+C82+C86</f>
        <v>9196607500</v>
      </c>
      <c r="D26" s="212"/>
      <c r="E26" s="67">
        <f>E27+E40+E50+E55+E63+E77+E82+E86</f>
        <v>752427000</v>
      </c>
      <c r="F26" s="192"/>
      <c r="G26" s="228"/>
      <c r="H26" s="271">
        <f>H27+H40+H50+H55+H63+H77+H82+H86</f>
        <v>2684172297</v>
      </c>
      <c r="I26" s="6">
        <f aca="true" t="shared" si="5" ref="I26:I38">SUM(H26/C26*100)</f>
        <v>29.18654837667042</v>
      </c>
      <c r="J26" s="67">
        <f>J27+J40+J50+J55+J63+J77+J82+J86</f>
        <v>2684172297</v>
      </c>
      <c r="K26" s="8">
        <f>SUM(J26/C26*100)</f>
        <v>29.18654837667042</v>
      </c>
      <c r="L26" s="6">
        <f>(L27+L40+L50+L55+L63+L77+L82+L86)/8</f>
        <v>36.78485415707039</v>
      </c>
      <c r="M26" s="6">
        <f>(M27+M40+M50+M55+M63+M77+M82+M86)/8</f>
        <v>48.463725295935205</v>
      </c>
      <c r="N26" s="67">
        <f>N27+N40+N50+N55+N63+N77+N82+N86</f>
        <v>6512435203</v>
      </c>
    </row>
    <row r="27" spans="1:14" ht="12.75" customHeight="1">
      <c r="A27" s="68">
        <v>1</v>
      </c>
      <c r="B27" s="69" t="s">
        <v>30</v>
      </c>
      <c r="C27" s="67">
        <f>SUM(C28:C38)</f>
        <v>1362525500</v>
      </c>
      <c r="D27" s="212"/>
      <c r="E27" s="67">
        <f>SUM(E28:E38)</f>
        <v>0</v>
      </c>
      <c r="F27" s="193"/>
      <c r="G27" s="229"/>
      <c r="H27" s="6">
        <f>SUM(H28:H38)</f>
        <v>430180508</v>
      </c>
      <c r="I27" s="6">
        <f t="shared" si="5"/>
        <v>31.572290426858068</v>
      </c>
      <c r="J27" s="6">
        <f>SUM(J28:J38)</f>
        <v>430180508</v>
      </c>
      <c r="K27" s="8">
        <f aca="true" t="shared" si="6" ref="K27:K38">SUM(J27/C27*100)</f>
        <v>31.572290426858068</v>
      </c>
      <c r="L27" s="64">
        <v>3</v>
      </c>
      <c r="M27" s="64">
        <f>(M28+M29+M30+M31+M32+M33+M34+M35+M36+M37+M38)/11</f>
        <v>45.27191756001119</v>
      </c>
      <c r="N27" s="6">
        <f>SUM(N28:N38)</f>
        <v>932344992</v>
      </c>
    </row>
    <row r="28" spans="1:14" ht="12.75" customHeight="1">
      <c r="A28" s="63">
        <v>1</v>
      </c>
      <c r="B28" s="55" t="s">
        <v>31</v>
      </c>
      <c r="C28" s="71">
        <v>6310000</v>
      </c>
      <c r="D28" s="213"/>
      <c r="E28" s="72" t="s">
        <v>32</v>
      </c>
      <c r="F28" s="194" t="s">
        <v>32</v>
      </c>
      <c r="G28" s="230"/>
      <c r="H28" s="185">
        <v>3396000</v>
      </c>
      <c r="I28" s="186">
        <f t="shared" si="5"/>
        <v>53.81933438985737</v>
      </c>
      <c r="J28" s="185">
        <v>3396000</v>
      </c>
      <c r="K28" s="36">
        <f t="shared" si="6"/>
        <v>53.81933438985737</v>
      </c>
      <c r="L28" s="37">
        <v>3</v>
      </c>
      <c r="M28" s="37">
        <f aca="true" t="shared" si="7" ref="M28:M39">K28</f>
        <v>53.81933438985737</v>
      </c>
      <c r="N28" s="37">
        <f>C28-J28</f>
        <v>2914000</v>
      </c>
    </row>
    <row r="29" spans="1:14" ht="12.75" customHeight="1">
      <c r="A29" s="63">
        <v>2</v>
      </c>
      <c r="B29" s="73" t="s">
        <v>76</v>
      </c>
      <c r="C29" s="71">
        <v>60000000</v>
      </c>
      <c r="D29" s="213"/>
      <c r="E29" s="37"/>
      <c r="F29" s="195"/>
      <c r="G29" s="231"/>
      <c r="H29" s="7">
        <v>35850333</v>
      </c>
      <c r="I29" s="37">
        <f t="shared" si="5"/>
        <v>59.750555000000006</v>
      </c>
      <c r="J29" s="7">
        <v>35850333</v>
      </c>
      <c r="K29" s="36">
        <f t="shared" si="6"/>
        <v>59.750555000000006</v>
      </c>
      <c r="L29" s="37">
        <v>4</v>
      </c>
      <c r="M29" s="37">
        <f t="shared" si="7"/>
        <v>59.750555000000006</v>
      </c>
      <c r="N29" s="37">
        <f aca="true" t="shared" si="8" ref="N29:N51">C29-J29</f>
        <v>24149667</v>
      </c>
    </row>
    <row r="30" spans="1:14" ht="12.75" customHeight="1">
      <c r="A30" s="63">
        <v>3</v>
      </c>
      <c r="B30" s="165" t="s">
        <v>33</v>
      </c>
      <c r="C30" s="166">
        <v>31435000</v>
      </c>
      <c r="D30" s="214"/>
      <c r="E30" s="167">
        <v>0</v>
      </c>
      <c r="F30" s="196">
        <v>0</v>
      </c>
      <c r="G30" s="232"/>
      <c r="H30" s="168">
        <v>8410000</v>
      </c>
      <c r="I30" s="37">
        <f t="shared" si="5"/>
        <v>26.753618578018134</v>
      </c>
      <c r="J30" s="168">
        <v>8410000</v>
      </c>
      <c r="K30" s="36">
        <f t="shared" si="6"/>
        <v>26.753618578018134</v>
      </c>
      <c r="L30" s="37">
        <v>3</v>
      </c>
      <c r="M30" s="37">
        <f t="shared" si="7"/>
        <v>26.753618578018134</v>
      </c>
      <c r="N30" s="37">
        <f t="shared" si="8"/>
        <v>23025000</v>
      </c>
    </row>
    <row r="31" spans="1:14" ht="12.75" customHeight="1">
      <c r="A31" s="63">
        <v>4</v>
      </c>
      <c r="B31" s="169" t="s">
        <v>34</v>
      </c>
      <c r="C31" s="166">
        <v>55000000</v>
      </c>
      <c r="D31" s="214"/>
      <c r="E31" s="167">
        <v>0</v>
      </c>
      <c r="F31" s="196">
        <v>0</v>
      </c>
      <c r="G31" s="232"/>
      <c r="H31" s="168">
        <v>34305000</v>
      </c>
      <c r="I31" s="37">
        <f t="shared" si="5"/>
        <v>62.37272727272727</v>
      </c>
      <c r="J31" s="168">
        <v>34305000</v>
      </c>
      <c r="K31" s="36">
        <f t="shared" si="6"/>
        <v>62.37272727272727</v>
      </c>
      <c r="L31" s="37">
        <v>4</v>
      </c>
      <c r="M31" s="37">
        <f t="shared" si="7"/>
        <v>62.37272727272727</v>
      </c>
      <c r="N31" s="37">
        <f t="shared" si="8"/>
        <v>20695000</v>
      </c>
    </row>
    <row r="32" spans="1:14" ht="12.75" customHeight="1">
      <c r="A32" s="63">
        <v>5</v>
      </c>
      <c r="B32" s="73" t="s">
        <v>35</v>
      </c>
      <c r="C32" s="71">
        <v>26676500</v>
      </c>
      <c r="D32" s="213"/>
      <c r="E32" s="37">
        <v>0</v>
      </c>
      <c r="F32" s="195">
        <v>0</v>
      </c>
      <c r="G32" s="231"/>
      <c r="H32" s="7">
        <v>13975000</v>
      </c>
      <c r="I32" s="37">
        <f t="shared" si="5"/>
        <v>52.38693231870748</v>
      </c>
      <c r="J32" s="7">
        <v>13975000</v>
      </c>
      <c r="K32" s="36">
        <f t="shared" si="6"/>
        <v>52.38693231870748</v>
      </c>
      <c r="L32" s="37">
        <v>3</v>
      </c>
      <c r="M32" s="37">
        <f t="shared" si="7"/>
        <v>52.38693231870748</v>
      </c>
      <c r="N32" s="37">
        <f t="shared" si="8"/>
        <v>12701500</v>
      </c>
    </row>
    <row r="33" spans="1:14" ht="12.75" customHeight="1">
      <c r="A33" s="63">
        <v>6</v>
      </c>
      <c r="B33" s="73" t="s">
        <v>36</v>
      </c>
      <c r="C33" s="71">
        <v>4000000</v>
      </c>
      <c r="D33" s="213"/>
      <c r="E33" s="37">
        <v>0</v>
      </c>
      <c r="F33" s="195">
        <v>0</v>
      </c>
      <c r="G33" s="231"/>
      <c r="H33" s="7">
        <v>1995200</v>
      </c>
      <c r="I33" s="37">
        <f t="shared" si="5"/>
        <v>49.88</v>
      </c>
      <c r="J33" s="7">
        <v>1995200</v>
      </c>
      <c r="K33" s="36">
        <f t="shared" si="6"/>
        <v>49.88</v>
      </c>
      <c r="L33" s="37">
        <v>5</v>
      </c>
      <c r="M33" s="37">
        <f t="shared" si="7"/>
        <v>49.88</v>
      </c>
      <c r="N33" s="37">
        <f t="shared" si="8"/>
        <v>2004800</v>
      </c>
    </row>
    <row r="34" spans="1:14" ht="12.75" customHeight="1">
      <c r="A34" s="63">
        <v>7</v>
      </c>
      <c r="B34" s="73" t="s">
        <v>37</v>
      </c>
      <c r="C34" s="71">
        <v>13076000</v>
      </c>
      <c r="D34" s="213"/>
      <c r="E34" s="37">
        <v>0</v>
      </c>
      <c r="F34" s="195">
        <v>0</v>
      </c>
      <c r="G34" s="231"/>
      <c r="H34" s="7">
        <v>8761950</v>
      </c>
      <c r="I34" s="37">
        <f t="shared" si="5"/>
        <v>67.00787702661364</v>
      </c>
      <c r="J34" s="7">
        <v>8761950</v>
      </c>
      <c r="K34" s="36">
        <f t="shared" si="6"/>
        <v>67.00787702661364</v>
      </c>
      <c r="L34" s="37">
        <v>7</v>
      </c>
      <c r="M34" s="37">
        <f t="shared" si="7"/>
        <v>67.00787702661364</v>
      </c>
      <c r="N34" s="37">
        <f t="shared" si="8"/>
        <v>4314050</v>
      </c>
    </row>
    <row r="35" spans="1:14" ht="12.75" customHeight="1">
      <c r="A35" s="63">
        <v>8</v>
      </c>
      <c r="B35" s="73" t="s">
        <v>38</v>
      </c>
      <c r="C35" s="71">
        <v>7500000</v>
      </c>
      <c r="D35" s="213"/>
      <c r="E35" s="37">
        <v>0</v>
      </c>
      <c r="F35" s="195">
        <v>0</v>
      </c>
      <c r="G35" s="231"/>
      <c r="H35" s="7">
        <v>2180000</v>
      </c>
      <c r="I35" s="37">
        <f t="shared" si="5"/>
        <v>29.06666666666667</v>
      </c>
      <c r="J35" s="7">
        <v>2180000</v>
      </c>
      <c r="K35" s="36">
        <f t="shared" si="6"/>
        <v>29.06666666666667</v>
      </c>
      <c r="L35" s="37">
        <v>4</v>
      </c>
      <c r="M35" s="37">
        <f t="shared" si="7"/>
        <v>29.06666666666667</v>
      </c>
      <c r="N35" s="37">
        <f t="shared" si="8"/>
        <v>5320000</v>
      </c>
    </row>
    <row r="36" spans="1:14" ht="12.75" customHeight="1">
      <c r="A36" s="63">
        <v>9</v>
      </c>
      <c r="B36" s="73" t="s">
        <v>39</v>
      </c>
      <c r="C36" s="71">
        <v>30000000</v>
      </c>
      <c r="D36" s="213"/>
      <c r="E36" s="37">
        <v>0</v>
      </c>
      <c r="F36" s="195">
        <v>0</v>
      </c>
      <c r="G36" s="231"/>
      <c r="H36" s="7">
        <v>10515700</v>
      </c>
      <c r="I36" s="37">
        <f t="shared" si="5"/>
        <v>35.05233333333334</v>
      </c>
      <c r="J36" s="7">
        <v>10515700</v>
      </c>
      <c r="K36" s="36">
        <f t="shared" si="6"/>
        <v>35.05233333333334</v>
      </c>
      <c r="L36" s="37">
        <v>4</v>
      </c>
      <c r="M36" s="37">
        <f t="shared" si="7"/>
        <v>35.05233333333334</v>
      </c>
      <c r="N36" s="37">
        <f t="shared" si="8"/>
        <v>19484300</v>
      </c>
    </row>
    <row r="37" spans="1:14" ht="12.75" customHeight="1">
      <c r="A37" s="63">
        <v>10</v>
      </c>
      <c r="B37" s="73" t="s">
        <v>40</v>
      </c>
      <c r="C37" s="71">
        <v>200000000</v>
      </c>
      <c r="D37" s="213"/>
      <c r="E37" s="37">
        <v>0</v>
      </c>
      <c r="F37" s="195">
        <v>0</v>
      </c>
      <c r="G37" s="231"/>
      <c r="H37" s="7">
        <v>72468661</v>
      </c>
      <c r="I37" s="37">
        <f t="shared" si="5"/>
        <v>36.2343305</v>
      </c>
      <c r="J37" s="7">
        <v>72468661</v>
      </c>
      <c r="K37" s="36">
        <f t="shared" si="6"/>
        <v>36.2343305</v>
      </c>
      <c r="L37" s="37">
        <v>4</v>
      </c>
      <c r="M37" s="37">
        <f t="shared" si="7"/>
        <v>36.2343305</v>
      </c>
      <c r="N37" s="37">
        <f t="shared" si="8"/>
        <v>127531339</v>
      </c>
    </row>
    <row r="38" spans="1:14" ht="12.75" customHeight="1">
      <c r="A38" s="63">
        <v>11</v>
      </c>
      <c r="B38" s="73" t="s">
        <v>41</v>
      </c>
      <c r="C38" s="71">
        <v>928528000</v>
      </c>
      <c r="D38" s="213"/>
      <c r="E38" s="37">
        <v>0</v>
      </c>
      <c r="F38" s="195">
        <v>0</v>
      </c>
      <c r="G38" s="231"/>
      <c r="H38" s="7">
        <v>238322664</v>
      </c>
      <c r="I38" s="37">
        <f t="shared" si="5"/>
        <v>25.666718074199164</v>
      </c>
      <c r="J38" s="7">
        <v>238322664</v>
      </c>
      <c r="K38" s="36">
        <f t="shared" si="6"/>
        <v>25.666718074199164</v>
      </c>
      <c r="L38" s="37">
        <v>3</v>
      </c>
      <c r="M38" s="37">
        <f t="shared" si="7"/>
        <v>25.666718074199164</v>
      </c>
      <c r="N38" s="37">
        <f t="shared" si="8"/>
        <v>690205336</v>
      </c>
    </row>
    <row r="39" spans="1:14" ht="12.75" customHeight="1">
      <c r="A39" s="253"/>
      <c r="B39" s="75"/>
      <c r="C39" s="71"/>
      <c r="D39" s="213"/>
      <c r="E39" s="37"/>
      <c r="F39" s="195"/>
      <c r="G39" s="231"/>
      <c r="H39" s="7"/>
      <c r="I39" s="37"/>
      <c r="J39" s="7"/>
      <c r="K39" s="36"/>
      <c r="L39" s="37"/>
      <c r="M39" s="37">
        <f t="shared" si="7"/>
        <v>0</v>
      </c>
      <c r="N39" s="37">
        <f t="shared" si="8"/>
        <v>0</v>
      </c>
    </row>
    <row r="40" spans="1:14" ht="12.75" customHeight="1">
      <c r="A40" s="68">
        <v>2</v>
      </c>
      <c r="B40" s="69" t="s">
        <v>42</v>
      </c>
      <c r="C40" s="39">
        <f>C41+C42+C45+C46+C47+C48</f>
        <v>761012000</v>
      </c>
      <c r="D40" s="198"/>
      <c r="E40" s="39">
        <f>SUM(E41:E48)</f>
        <v>43582000</v>
      </c>
      <c r="F40" s="197"/>
      <c r="G40" s="233"/>
      <c r="H40" s="39">
        <f>SUM(H41:H48)</f>
        <v>490285874</v>
      </c>
      <c r="I40" s="6">
        <f aca="true" t="shared" si="9" ref="I40:I48">SUM(H40/C40*100)</f>
        <v>64.42551155566535</v>
      </c>
      <c r="J40" s="39">
        <f>SUM(J41:J48)</f>
        <v>490285874</v>
      </c>
      <c r="K40" s="30">
        <f aca="true" t="shared" si="10" ref="K40:K48">SUM(J40/C40*100)</f>
        <v>64.42551155566535</v>
      </c>
      <c r="L40" s="147">
        <f>SUM(L41:L48)/6</f>
        <v>37.16104288499025</v>
      </c>
      <c r="M40" s="39">
        <f>(M41+M42+M45+M46+M47+M48)/6</f>
        <v>68.50375010430196</v>
      </c>
      <c r="N40" s="37">
        <f t="shared" si="8"/>
        <v>270726126</v>
      </c>
    </row>
    <row r="41" spans="1:14" ht="12.75" customHeight="1">
      <c r="A41" s="63">
        <v>1</v>
      </c>
      <c r="B41" s="73" t="s">
        <v>43</v>
      </c>
      <c r="C41" s="71">
        <v>85000000</v>
      </c>
      <c r="D41" s="213"/>
      <c r="E41" s="37"/>
      <c r="F41" s="195"/>
      <c r="G41" s="231"/>
      <c r="H41" s="71">
        <v>47359600</v>
      </c>
      <c r="I41" s="37">
        <f t="shared" si="9"/>
        <v>55.717176470588235</v>
      </c>
      <c r="J41" s="71">
        <v>47359600</v>
      </c>
      <c r="K41" s="36">
        <f t="shared" si="10"/>
        <v>55.717176470588235</v>
      </c>
      <c r="L41" s="37">
        <v>9</v>
      </c>
      <c r="M41" s="37">
        <f aca="true" t="shared" si="11" ref="M41:M48">K41</f>
        <v>55.717176470588235</v>
      </c>
      <c r="N41" s="37">
        <f t="shared" si="8"/>
        <v>37640400</v>
      </c>
    </row>
    <row r="42" spans="1:14" ht="12.75" customHeight="1">
      <c r="A42" s="63">
        <v>2</v>
      </c>
      <c r="B42" s="73" t="s">
        <v>44</v>
      </c>
      <c r="C42" s="71">
        <v>45000000</v>
      </c>
      <c r="D42" s="264" t="s">
        <v>121</v>
      </c>
      <c r="E42" s="37">
        <v>5808000</v>
      </c>
      <c r="F42" s="195" t="s">
        <v>124</v>
      </c>
      <c r="G42" s="231" t="s">
        <v>125</v>
      </c>
      <c r="H42" s="71">
        <v>44536000</v>
      </c>
      <c r="I42" s="37">
        <f t="shared" si="9"/>
        <v>98.96888888888888</v>
      </c>
      <c r="J42" s="71">
        <v>44536000</v>
      </c>
      <c r="K42" s="36">
        <f t="shared" si="10"/>
        <v>98.96888888888888</v>
      </c>
      <c r="L42" s="37">
        <f>K42</f>
        <v>98.96888888888888</v>
      </c>
      <c r="M42" s="37">
        <f t="shared" si="11"/>
        <v>98.96888888888888</v>
      </c>
      <c r="N42" s="37">
        <f t="shared" si="8"/>
        <v>464000</v>
      </c>
    </row>
    <row r="43" spans="1:14" ht="12.75" customHeight="1">
      <c r="A43" s="63"/>
      <c r="B43" s="73"/>
      <c r="C43" s="71"/>
      <c r="D43" s="264" t="s">
        <v>122</v>
      </c>
      <c r="E43" s="37">
        <v>15774000</v>
      </c>
      <c r="F43" s="195" t="s">
        <v>124</v>
      </c>
      <c r="G43" s="231" t="s">
        <v>125</v>
      </c>
      <c r="H43" s="71"/>
      <c r="I43" s="37"/>
      <c r="J43" s="71"/>
      <c r="K43" s="36"/>
      <c r="L43" s="37"/>
      <c r="M43" s="37"/>
      <c r="N43" s="37"/>
    </row>
    <row r="44" spans="1:14" ht="12.75" customHeight="1">
      <c r="A44" s="63"/>
      <c r="B44" s="73"/>
      <c r="C44" s="71"/>
      <c r="D44" s="264" t="s">
        <v>123</v>
      </c>
      <c r="E44" s="37">
        <v>22000000</v>
      </c>
      <c r="F44" s="195" t="s">
        <v>124</v>
      </c>
      <c r="G44" s="231" t="s">
        <v>125</v>
      </c>
      <c r="H44" s="71"/>
      <c r="I44" s="37"/>
      <c r="J44" s="71"/>
      <c r="K44" s="36"/>
      <c r="L44" s="37"/>
      <c r="M44" s="37"/>
      <c r="N44" s="37"/>
    </row>
    <row r="45" spans="1:14" ht="12.75" customHeight="1">
      <c r="A45" s="63">
        <v>3</v>
      </c>
      <c r="B45" s="73" t="s">
        <v>45</v>
      </c>
      <c r="C45" s="71">
        <v>239382000</v>
      </c>
      <c r="D45" s="264"/>
      <c r="E45" s="37"/>
      <c r="F45" s="195"/>
      <c r="G45" s="231"/>
      <c r="H45" s="71">
        <v>174523050</v>
      </c>
      <c r="I45" s="37">
        <f t="shared" si="9"/>
        <v>72.90566959921799</v>
      </c>
      <c r="J45" s="71">
        <v>174523050</v>
      </c>
      <c r="K45" s="36">
        <f t="shared" si="10"/>
        <v>72.90566959921799</v>
      </c>
      <c r="L45" s="37">
        <v>7</v>
      </c>
      <c r="M45" s="37">
        <f t="shared" si="11"/>
        <v>72.90566959921799</v>
      </c>
      <c r="N45" s="37">
        <f t="shared" si="8"/>
        <v>64858950</v>
      </c>
    </row>
    <row r="46" spans="1:14" ht="12.75" customHeight="1">
      <c r="A46" s="63">
        <v>4</v>
      </c>
      <c r="B46" s="73" t="s">
        <v>46</v>
      </c>
      <c r="C46" s="71">
        <v>370980000</v>
      </c>
      <c r="D46" s="213"/>
      <c r="E46" s="37"/>
      <c r="F46" s="195"/>
      <c r="G46" s="231"/>
      <c r="H46" s="7">
        <v>212867424</v>
      </c>
      <c r="I46" s="37">
        <f t="shared" si="9"/>
        <v>57.37975739932072</v>
      </c>
      <c r="J46" s="7">
        <v>212867424</v>
      </c>
      <c r="K46" s="36">
        <f t="shared" si="10"/>
        <v>57.37975739932072</v>
      </c>
      <c r="L46" s="37">
        <v>3</v>
      </c>
      <c r="M46" s="37">
        <f t="shared" si="11"/>
        <v>57.37975739932072</v>
      </c>
      <c r="N46" s="37">
        <f t="shared" si="8"/>
        <v>158112576</v>
      </c>
    </row>
    <row r="47" spans="1:14" ht="12.75" customHeight="1">
      <c r="A47" s="63">
        <v>5</v>
      </c>
      <c r="B47" s="73" t="s">
        <v>47</v>
      </c>
      <c r="C47" s="71">
        <v>13050000</v>
      </c>
      <c r="D47" s="213"/>
      <c r="E47" s="37">
        <v>0</v>
      </c>
      <c r="F47" s="195">
        <v>0</v>
      </c>
      <c r="G47" s="231"/>
      <c r="H47" s="7">
        <v>3400000</v>
      </c>
      <c r="I47" s="37">
        <f t="shared" si="9"/>
        <v>26.053639846743295</v>
      </c>
      <c r="J47" s="7">
        <v>3400000</v>
      </c>
      <c r="K47" s="36">
        <f t="shared" si="10"/>
        <v>26.053639846743295</v>
      </c>
      <c r="L47" s="37">
        <v>5</v>
      </c>
      <c r="M47" s="37">
        <f t="shared" si="11"/>
        <v>26.053639846743295</v>
      </c>
      <c r="N47" s="37">
        <f t="shared" si="8"/>
        <v>9650000</v>
      </c>
    </row>
    <row r="48" spans="1:14" ht="12.75" customHeight="1">
      <c r="A48" s="63">
        <v>6</v>
      </c>
      <c r="B48" s="73" t="s">
        <v>48</v>
      </c>
      <c r="C48" s="71">
        <v>7600000</v>
      </c>
      <c r="D48" s="213"/>
      <c r="E48" s="37"/>
      <c r="F48" s="195"/>
      <c r="G48" s="231"/>
      <c r="H48" s="71">
        <v>7599800</v>
      </c>
      <c r="I48" s="37">
        <f t="shared" si="9"/>
        <v>99.99736842105264</v>
      </c>
      <c r="J48" s="71">
        <v>7599800</v>
      </c>
      <c r="K48" s="36">
        <f t="shared" si="10"/>
        <v>99.99736842105264</v>
      </c>
      <c r="L48" s="37">
        <f>K48</f>
        <v>99.99736842105264</v>
      </c>
      <c r="M48" s="37">
        <f t="shared" si="11"/>
        <v>99.99736842105264</v>
      </c>
      <c r="N48" s="37">
        <f t="shared" si="8"/>
        <v>200</v>
      </c>
    </row>
    <row r="49" spans="1:14" ht="12.75" customHeight="1">
      <c r="A49" s="63"/>
      <c r="B49" s="73"/>
      <c r="C49" s="71"/>
      <c r="D49" s="213"/>
      <c r="E49" s="37"/>
      <c r="F49" s="195"/>
      <c r="G49" s="231"/>
      <c r="H49" s="7"/>
      <c r="I49" s="37"/>
      <c r="J49" s="7"/>
      <c r="K49" s="36"/>
      <c r="L49" s="37"/>
      <c r="M49" s="37"/>
      <c r="N49" s="37">
        <f t="shared" si="8"/>
        <v>0</v>
      </c>
    </row>
    <row r="50" spans="1:14" ht="12.75" customHeight="1">
      <c r="A50" s="68">
        <v>3</v>
      </c>
      <c r="B50" s="69" t="s">
        <v>49</v>
      </c>
      <c r="C50" s="39">
        <f>C51</f>
        <v>74570000</v>
      </c>
      <c r="D50" s="198"/>
      <c r="E50" s="39">
        <f>E51</f>
        <v>57200000</v>
      </c>
      <c r="F50" s="198"/>
      <c r="G50" s="234"/>
      <c r="H50" s="8">
        <f>H51</f>
        <v>73200000</v>
      </c>
      <c r="I50" s="6">
        <f>SUM(H50/C50*100)</f>
        <v>98.16280005364088</v>
      </c>
      <c r="J50" s="8">
        <f>J51</f>
        <v>73200000</v>
      </c>
      <c r="K50" s="65">
        <f>SUM(J50/C50*100)</f>
        <v>98.16280005364088</v>
      </c>
      <c r="L50" s="64">
        <v>100</v>
      </c>
      <c r="M50" s="8">
        <f>M51/1</f>
        <v>98.16280005364088</v>
      </c>
      <c r="N50" s="37">
        <f t="shared" si="8"/>
        <v>1370000</v>
      </c>
    </row>
    <row r="51" spans="1:14" ht="12.75" customHeight="1">
      <c r="A51" s="63"/>
      <c r="B51" s="55" t="s">
        <v>50</v>
      </c>
      <c r="C51" s="250">
        <v>74570000</v>
      </c>
      <c r="D51" s="265" t="s">
        <v>118</v>
      </c>
      <c r="E51" s="37">
        <v>57200000</v>
      </c>
      <c r="F51" s="263" t="s">
        <v>119</v>
      </c>
      <c r="G51" s="231" t="s">
        <v>120</v>
      </c>
      <c r="H51" s="10">
        <f>16000000+57200000</f>
        <v>73200000</v>
      </c>
      <c r="I51" s="37">
        <f>SUM(H51/C51*100)</f>
        <v>98.16280005364088</v>
      </c>
      <c r="J51" s="10">
        <f>16000000+57200000</f>
        <v>73200000</v>
      </c>
      <c r="K51" s="7">
        <f>SUM(J51/C51*100)</f>
        <v>98.16280005364088</v>
      </c>
      <c r="L51" s="37">
        <v>100</v>
      </c>
      <c r="M51" s="37">
        <f>K51</f>
        <v>98.16280005364088</v>
      </c>
      <c r="N51" s="37">
        <f t="shared" si="8"/>
        <v>1370000</v>
      </c>
    </row>
    <row r="52" spans="1:14" ht="12.75" customHeight="1">
      <c r="A52" s="262"/>
      <c r="B52" s="247"/>
      <c r="C52" s="247"/>
      <c r="E52" s="247"/>
      <c r="F52" s="251"/>
      <c r="G52" s="249"/>
      <c r="H52" s="247"/>
      <c r="I52" s="247"/>
      <c r="J52" s="247"/>
      <c r="K52" s="247"/>
      <c r="L52" s="247"/>
      <c r="M52" s="247"/>
      <c r="N52" s="247"/>
    </row>
    <row r="53" spans="1:14" ht="12.75" customHeight="1">
      <c r="A53" s="262"/>
      <c r="B53" s="247"/>
      <c r="C53" s="247"/>
      <c r="D53" s="268"/>
      <c r="E53" s="247"/>
      <c r="F53" s="248"/>
      <c r="G53" s="249"/>
      <c r="H53" s="247"/>
      <c r="I53" s="247"/>
      <c r="J53" s="247"/>
      <c r="K53" s="247"/>
      <c r="L53" s="247"/>
      <c r="M53" s="247"/>
      <c r="N53" s="247"/>
    </row>
    <row r="54" spans="1:14" ht="12.75" customHeight="1">
      <c r="A54" s="63"/>
      <c r="B54" s="246"/>
      <c r="C54" s="28"/>
      <c r="D54" s="215"/>
      <c r="E54" s="33"/>
      <c r="F54" s="134"/>
      <c r="G54" s="238"/>
      <c r="H54" s="29"/>
      <c r="I54" s="33"/>
      <c r="J54" s="29"/>
      <c r="K54" s="57"/>
      <c r="L54" s="95"/>
      <c r="M54" s="95"/>
      <c r="N54" s="95"/>
    </row>
    <row r="55" spans="1:14" ht="12.75" customHeight="1">
      <c r="A55" s="254">
        <v>4</v>
      </c>
      <c r="B55" s="24" t="s">
        <v>51</v>
      </c>
      <c r="C55" s="25">
        <f>C56+C60+C61</f>
        <v>4830000000</v>
      </c>
      <c r="D55" s="200"/>
      <c r="E55" s="25">
        <f>SUM(E56:E62)</f>
        <v>542250000</v>
      </c>
      <c r="F55" s="200"/>
      <c r="G55" s="236"/>
      <c r="H55" s="171">
        <f>SUM(H56:H61)</f>
        <v>931615802</v>
      </c>
      <c r="I55" s="64">
        <f>SUM(H55/C55*100)</f>
        <v>19.288111842650103</v>
      </c>
      <c r="J55" s="171">
        <f>SUM(J56:J61)</f>
        <v>931615802</v>
      </c>
      <c r="K55" s="145">
        <f>SUM(J55/C55*100)</f>
        <v>19.288111842650103</v>
      </c>
      <c r="L55" s="171">
        <f>(L56+L60+L61)/3</f>
        <v>1.3333333333333333</v>
      </c>
      <c r="M55" s="171">
        <f>(M56+M60+M61)/4</f>
        <v>24.344509328753183</v>
      </c>
      <c r="N55" s="172">
        <f aca="true" t="shared" si="12" ref="N55:N87">C55-J55</f>
        <v>3898384198</v>
      </c>
    </row>
    <row r="56" spans="1:14" ht="12.75" customHeight="1">
      <c r="A56" s="63">
        <v>1</v>
      </c>
      <c r="B56" s="21" t="s">
        <v>52</v>
      </c>
      <c r="C56" s="22">
        <v>3930000000</v>
      </c>
      <c r="D56" s="266" t="s">
        <v>111</v>
      </c>
      <c r="E56" s="22">
        <v>89375000</v>
      </c>
      <c r="F56" s="201" t="s">
        <v>114</v>
      </c>
      <c r="G56" s="267" t="s">
        <v>116</v>
      </c>
      <c r="H56" s="22">
        <v>489001400</v>
      </c>
      <c r="I56" s="37">
        <f>SUM(H56/C56*100)</f>
        <v>12.442783715012723</v>
      </c>
      <c r="J56" s="22">
        <v>489001400</v>
      </c>
      <c r="K56" s="36">
        <f>SUM(J56/C56*100)</f>
        <v>12.442783715012723</v>
      </c>
      <c r="L56" s="37">
        <v>1</v>
      </c>
      <c r="M56" s="37">
        <f>K56</f>
        <v>12.442783715012723</v>
      </c>
      <c r="N56" s="172">
        <f t="shared" si="12"/>
        <v>3440998600</v>
      </c>
    </row>
    <row r="57" spans="1:14" ht="12.75" customHeight="1">
      <c r="A57" s="63"/>
      <c r="B57" s="21"/>
      <c r="C57" s="22"/>
      <c r="D57" s="266" t="s">
        <v>112</v>
      </c>
      <c r="E57" s="22">
        <v>198000000</v>
      </c>
      <c r="F57" s="201" t="s">
        <v>115</v>
      </c>
      <c r="G57" s="267" t="s">
        <v>117</v>
      </c>
      <c r="H57" s="22"/>
      <c r="I57" s="37"/>
      <c r="J57" s="22"/>
      <c r="K57" s="36"/>
      <c r="L57" s="37"/>
      <c r="M57" s="37"/>
      <c r="N57" s="172"/>
    </row>
    <row r="58" spans="1:14" ht="12.75" customHeight="1">
      <c r="A58" s="63"/>
      <c r="B58" s="21"/>
      <c r="C58" s="22"/>
      <c r="D58" s="266" t="s">
        <v>113</v>
      </c>
      <c r="E58" s="22">
        <v>108075000</v>
      </c>
      <c r="F58" s="201" t="s">
        <v>114</v>
      </c>
      <c r="G58" s="267" t="s">
        <v>116</v>
      </c>
      <c r="H58" s="22"/>
      <c r="I58" s="37"/>
      <c r="J58" s="22"/>
      <c r="K58" s="36"/>
      <c r="L58" s="37"/>
      <c r="M58" s="37"/>
      <c r="N58" s="172"/>
    </row>
    <row r="59" spans="1:14" ht="12.75" customHeight="1">
      <c r="A59" s="63"/>
      <c r="B59" s="21"/>
      <c r="C59" s="22"/>
      <c r="D59" s="274" t="s">
        <v>130</v>
      </c>
      <c r="E59" s="275">
        <v>98200000</v>
      </c>
      <c r="F59" s="276" t="s">
        <v>131</v>
      </c>
      <c r="G59" s="245">
        <v>43556</v>
      </c>
      <c r="H59" s="22"/>
      <c r="I59" s="37"/>
      <c r="J59" s="22"/>
      <c r="K59" s="36"/>
      <c r="L59" s="37"/>
      <c r="M59" s="37"/>
      <c r="N59" s="172"/>
    </row>
    <row r="60" spans="1:14" ht="12.75" customHeight="1">
      <c r="A60" s="63">
        <v>2</v>
      </c>
      <c r="B60" s="21" t="s">
        <v>53</v>
      </c>
      <c r="C60" s="22">
        <v>750000000</v>
      </c>
      <c r="D60" s="201"/>
      <c r="E60" s="32"/>
      <c r="F60" s="99"/>
      <c r="G60" s="235"/>
      <c r="H60" s="23">
        <v>394014402</v>
      </c>
      <c r="I60" s="37">
        <f>SUM(H60/C60*100)</f>
        <v>52.5352536</v>
      </c>
      <c r="J60" s="23">
        <v>394014402</v>
      </c>
      <c r="K60" s="36">
        <f>SUM(J60/C60*100)</f>
        <v>52.5352536</v>
      </c>
      <c r="L60" s="37">
        <v>3</v>
      </c>
      <c r="M60" s="37">
        <f>K60</f>
        <v>52.5352536</v>
      </c>
      <c r="N60" s="172">
        <f t="shared" si="12"/>
        <v>355985598</v>
      </c>
    </row>
    <row r="61" spans="1:14" s="1" customFormat="1" ht="12.75" customHeight="1">
      <c r="A61" s="63">
        <v>3</v>
      </c>
      <c r="B61" s="21" t="s">
        <v>54</v>
      </c>
      <c r="C61" s="22">
        <v>150000000</v>
      </c>
      <c r="D61" s="201" t="s">
        <v>107</v>
      </c>
      <c r="E61" s="23">
        <v>48600000</v>
      </c>
      <c r="F61" s="99" t="s">
        <v>108</v>
      </c>
      <c r="G61" s="235">
        <v>43584</v>
      </c>
      <c r="H61" s="23">
        <v>48600000</v>
      </c>
      <c r="I61" s="37">
        <f>SUM(H61/C61*100)</f>
        <v>32.4</v>
      </c>
      <c r="J61" s="23">
        <v>48600000</v>
      </c>
      <c r="K61" s="36">
        <f>SUM(J61/C61*100)</f>
        <v>32.4</v>
      </c>
      <c r="L61" s="37">
        <v>0</v>
      </c>
      <c r="M61" s="37">
        <f>K61</f>
        <v>32.4</v>
      </c>
      <c r="N61" s="172">
        <f t="shared" si="12"/>
        <v>101400000</v>
      </c>
    </row>
    <row r="62" spans="1:14" s="1" customFormat="1" ht="12.75" customHeight="1">
      <c r="A62" s="255"/>
      <c r="B62" s="246"/>
      <c r="C62" s="28"/>
      <c r="D62" s="215"/>
      <c r="E62" s="29"/>
      <c r="F62" s="134"/>
      <c r="G62" s="238"/>
      <c r="H62" s="29"/>
      <c r="I62" s="173"/>
      <c r="J62" s="29"/>
      <c r="K62" s="36"/>
      <c r="L62" s="173"/>
      <c r="M62" s="173"/>
      <c r="N62" s="172"/>
    </row>
    <row r="63" spans="1:14" ht="12.75" customHeight="1">
      <c r="A63" s="256">
        <v>5</v>
      </c>
      <c r="B63" s="97" t="s">
        <v>56</v>
      </c>
      <c r="C63" s="48">
        <f>SUM(C64:C75)</f>
        <v>1208500000</v>
      </c>
      <c r="D63" s="202"/>
      <c r="E63" s="48">
        <f>E64+E65+E66++E67+E68+E69+E70+E72+E73+E75</f>
        <v>11000000</v>
      </c>
      <c r="F63" s="202"/>
      <c r="G63" s="239"/>
      <c r="H63" s="174">
        <f>SUM(H64:H75)</f>
        <v>359051113</v>
      </c>
      <c r="I63" s="175">
        <f>SUM(H63/C63*100)</f>
        <v>29.710476872155567</v>
      </c>
      <c r="J63" s="174">
        <f>SUM(J64:J75)</f>
        <v>359051113</v>
      </c>
      <c r="K63" s="65">
        <f>SUM(J63/C63*100)</f>
        <v>29.710476872155567</v>
      </c>
      <c r="L63" s="174">
        <f>SUM(L64+L65+L66+L67+L68+L69+L70+L72+L73+L74+L75)/12</f>
        <v>17.7436871969697</v>
      </c>
      <c r="M63" s="174">
        <f>(M64+M65+M66+M67+M68+M69+M70+M72+M73+M74+M75)/11</f>
        <v>39.721872939822056</v>
      </c>
      <c r="N63" s="172">
        <f t="shared" si="12"/>
        <v>849448887</v>
      </c>
    </row>
    <row r="64" spans="1:14" ht="12.75" customHeight="1">
      <c r="A64" s="63">
        <v>1</v>
      </c>
      <c r="B64" s="73" t="s">
        <v>57</v>
      </c>
      <c r="C64" s="71">
        <v>350000000</v>
      </c>
      <c r="D64" s="213"/>
      <c r="E64" s="71"/>
      <c r="F64" s="99"/>
      <c r="G64" s="235"/>
      <c r="H64" s="71">
        <v>80165800</v>
      </c>
      <c r="I64" s="37">
        <f>SUM(J64/C64*100)</f>
        <v>22.904514285714285</v>
      </c>
      <c r="J64" s="71">
        <v>80165800</v>
      </c>
      <c r="K64" s="36">
        <f>SUM(J64/C64*100)</f>
        <v>22.904514285714285</v>
      </c>
      <c r="L64" s="37">
        <v>3</v>
      </c>
      <c r="M64" s="173">
        <f aca="true" t="shared" si="13" ref="M64:M71">K64</f>
        <v>22.904514285714285</v>
      </c>
      <c r="N64" s="172">
        <f t="shared" si="12"/>
        <v>269834200</v>
      </c>
    </row>
    <row r="65" spans="1:14" ht="12.75" customHeight="1">
      <c r="A65" s="63">
        <v>2</v>
      </c>
      <c r="B65" s="98" t="s">
        <v>58</v>
      </c>
      <c r="C65" s="71">
        <v>165000000</v>
      </c>
      <c r="D65" s="213"/>
      <c r="E65" s="37"/>
      <c r="F65" s="99"/>
      <c r="G65" s="235"/>
      <c r="H65" s="71">
        <v>109852968</v>
      </c>
      <c r="I65" s="37">
        <f>SUM(J65/C65*100)</f>
        <v>66.57755636363636</v>
      </c>
      <c r="J65" s="71">
        <v>109852968</v>
      </c>
      <c r="K65" s="36">
        <f aca="true" t="shared" si="14" ref="K65:K75">SUM(J65/C65*100)</f>
        <v>66.57755636363636</v>
      </c>
      <c r="L65" s="37">
        <f>K65</f>
        <v>66.57755636363636</v>
      </c>
      <c r="M65" s="173">
        <f t="shared" si="13"/>
        <v>66.57755636363636</v>
      </c>
      <c r="N65" s="172">
        <f t="shared" si="12"/>
        <v>55147032</v>
      </c>
    </row>
    <row r="66" spans="1:14" ht="12.75" customHeight="1">
      <c r="A66" s="63">
        <v>3</v>
      </c>
      <c r="B66" s="98" t="s">
        <v>59</v>
      </c>
      <c r="C66" s="71">
        <v>50000000</v>
      </c>
      <c r="D66" s="213"/>
      <c r="E66" s="37"/>
      <c r="F66" s="99"/>
      <c r="G66" s="235"/>
      <c r="H66" s="7">
        <v>18675000</v>
      </c>
      <c r="I66" s="37">
        <f>SUM(J66/C66*100)</f>
        <v>37.35</v>
      </c>
      <c r="J66" s="7">
        <v>18675000</v>
      </c>
      <c r="K66" s="36">
        <f t="shared" si="14"/>
        <v>37.35</v>
      </c>
      <c r="L66" s="37">
        <v>3</v>
      </c>
      <c r="M66" s="173">
        <f t="shared" si="13"/>
        <v>37.35</v>
      </c>
      <c r="N66" s="172">
        <f t="shared" si="12"/>
        <v>31325000</v>
      </c>
    </row>
    <row r="67" spans="1:14" ht="12.75" customHeight="1">
      <c r="A67" s="63">
        <v>4</v>
      </c>
      <c r="B67" s="73" t="s">
        <v>78</v>
      </c>
      <c r="C67" s="71">
        <v>80000000</v>
      </c>
      <c r="D67" s="213" t="s">
        <v>110</v>
      </c>
      <c r="E67" s="37">
        <v>11000000</v>
      </c>
      <c r="F67" s="99" t="s">
        <v>109</v>
      </c>
      <c r="G67" s="235">
        <v>43580</v>
      </c>
      <c r="H67" s="7">
        <v>29275000</v>
      </c>
      <c r="I67" s="37">
        <f>SUM(J67/C67*100)</f>
        <v>36.59375</v>
      </c>
      <c r="J67" s="7">
        <v>29275000</v>
      </c>
      <c r="K67" s="36">
        <f t="shared" si="14"/>
        <v>36.59375</v>
      </c>
      <c r="L67" s="37">
        <v>3</v>
      </c>
      <c r="M67" s="173">
        <f t="shared" si="13"/>
        <v>36.59375</v>
      </c>
      <c r="N67" s="172">
        <f t="shared" si="12"/>
        <v>50725000</v>
      </c>
    </row>
    <row r="68" spans="1:14" ht="12.75" customHeight="1">
      <c r="A68" s="63">
        <v>5</v>
      </c>
      <c r="B68" s="73" t="s">
        <v>79</v>
      </c>
      <c r="C68" s="71">
        <v>50000000</v>
      </c>
      <c r="D68" s="213"/>
      <c r="E68" s="37"/>
      <c r="F68" s="99"/>
      <c r="G68" s="235"/>
      <c r="H68" s="7">
        <f>1650000+5825000</f>
        <v>7475000</v>
      </c>
      <c r="I68" s="37">
        <f>SUM(J68/C68*100)</f>
        <v>14.95</v>
      </c>
      <c r="J68" s="7">
        <f>1650000+5825000</f>
        <v>7475000</v>
      </c>
      <c r="K68" s="36">
        <f t="shared" si="14"/>
        <v>14.95</v>
      </c>
      <c r="L68" s="37">
        <v>2</v>
      </c>
      <c r="M68" s="173">
        <f t="shared" si="13"/>
        <v>14.95</v>
      </c>
      <c r="N68" s="172">
        <f t="shared" si="12"/>
        <v>42525000</v>
      </c>
    </row>
    <row r="69" spans="1:14" ht="12.75" customHeight="1">
      <c r="A69" s="63">
        <v>6</v>
      </c>
      <c r="B69" s="73" t="s">
        <v>60</v>
      </c>
      <c r="C69" s="71">
        <v>50000000</v>
      </c>
      <c r="D69" s="213"/>
      <c r="E69" s="37"/>
      <c r="F69" s="99"/>
      <c r="G69" s="235"/>
      <c r="H69" s="7">
        <v>15073345</v>
      </c>
      <c r="I69" s="37">
        <f>SUM(H69/C69*100)</f>
        <v>30.14669</v>
      </c>
      <c r="J69" s="7">
        <v>15073345</v>
      </c>
      <c r="K69" s="36">
        <f t="shared" si="14"/>
        <v>30.14669</v>
      </c>
      <c r="L69" s="37">
        <f>K69</f>
        <v>30.14669</v>
      </c>
      <c r="M69" s="173">
        <f t="shared" si="13"/>
        <v>30.14669</v>
      </c>
      <c r="N69" s="172">
        <f t="shared" si="12"/>
        <v>34926655</v>
      </c>
    </row>
    <row r="70" spans="1:14" ht="12.75" customHeight="1">
      <c r="A70" s="257">
        <v>7</v>
      </c>
      <c r="B70" s="122" t="s">
        <v>61</v>
      </c>
      <c r="C70" s="123">
        <v>50000000</v>
      </c>
      <c r="D70" s="216"/>
      <c r="E70" s="115"/>
      <c r="F70" s="203"/>
      <c r="G70" s="240"/>
      <c r="H70" s="124">
        <v>48600000</v>
      </c>
      <c r="I70" s="115">
        <f>SUM(H70/C70*100)</f>
        <v>97.2</v>
      </c>
      <c r="J70" s="124">
        <v>48600000</v>
      </c>
      <c r="K70" s="36">
        <f t="shared" si="14"/>
        <v>97.2</v>
      </c>
      <c r="L70" s="115">
        <f>K70</f>
        <v>97.2</v>
      </c>
      <c r="M70" s="115">
        <f t="shared" si="13"/>
        <v>97.2</v>
      </c>
      <c r="N70" s="172">
        <f t="shared" si="12"/>
        <v>1400000</v>
      </c>
    </row>
    <row r="71" spans="1:14" ht="12.75" customHeight="1">
      <c r="A71" s="63">
        <v>8</v>
      </c>
      <c r="B71" s="122" t="s">
        <v>85</v>
      </c>
      <c r="C71" s="123">
        <v>156700000</v>
      </c>
      <c r="D71" s="216"/>
      <c r="E71" s="115"/>
      <c r="F71" s="203"/>
      <c r="G71" s="240"/>
      <c r="H71" s="124">
        <v>0</v>
      </c>
      <c r="I71" s="115"/>
      <c r="J71" s="124">
        <v>0</v>
      </c>
      <c r="K71" s="36">
        <f t="shared" si="14"/>
        <v>0</v>
      </c>
      <c r="L71" s="115">
        <v>0</v>
      </c>
      <c r="M71" s="115">
        <f t="shared" si="13"/>
        <v>0</v>
      </c>
      <c r="N71" s="172">
        <f t="shared" si="12"/>
        <v>156700000</v>
      </c>
    </row>
    <row r="72" spans="1:14" ht="12.75" customHeight="1">
      <c r="A72" s="257">
        <v>9</v>
      </c>
      <c r="B72" s="73" t="s">
        <v>80</v>
      </c>
      <c r="C72" s="181">
        <v>140000000</v>
      </c>
      <c r="D72" s="217"/>
      <c r="E72" s="182"/>
      <c r="F72" s="204"/>
      <c r="G72" s="241"/>
      <c r="H72" s="181">
        <v>10264000</v>
      </c>
      <c r="I72" s="182">
        <f>SUM(H72/C72*100)</f>
        <v>7.331428571428572</v>
      </c>
      <c r="J72" s="181">
        <v>10264000</v>
      </c>
      <c r="K72" s="184">
        <f t="shared" si="14"/>
        <v>7.331428571428572</v>
      </c>
      <c r="L72" s="182">
        <v>0</v>
      </c>
      <c r="M72" s="182">
        <f>K72</f>
        <v>7.331428571428572</v>
      </c>
      <c r="N72" s="181">
        <f t="shared" si="12"/>
        <v>129736000</v>
      </c>
    </row>
    <row r="73" spans="1:14" ht="12.75" customHeight="1">
      <c r="A73" s="63">
        <v>10</v>
      </c>
      <c r="B73" s="73" t="s">
        <v>62</v>
      </c>
      <c r="C73" s="71">
        <v>68300000</v>
      </c>
      <c r="D73" s="213"/>
      <c r="E73" s="71"/>
      <c r="F73" s="99"/>
      <c r="G73" s="235"/>
      <c r="H73" s="7">
        <v>14545000</v>
      </c>
      <c r="I73" s="37">
        <f>SUM(H73/C73*100)</f>
        <v>21.29575402635432</v>
      </c>
      <c r="J73" s="7">
        <v>14545000</v>
      </c>
      <c r="K73" s="36">
        <f t="shared" si="14"/>
        <v>21.29575402635432</v>
      </c>
      <c r="L73" s="37">
        <v>0</v>
      </c>
      <c r="M73" s="51">
        <f>K73</f>
        <v>21.29575402635432</v>
      </c>
      <c r="N73" s="172">
        <f t="shared" si="12"/>
        <v>53755000</v>
      </c>
    </row>
    <row r="74" spans="1:14" ht="12.75" customHeight="1">
      <c r="A74" s="257">
        <v>11</v>
      </c>
      <c r="B74" s="73" t="s">
        <v>81</v>
      </c>
      <c r="C74" s="38">
        <v>27500000</v>
      </c>
      <c r="D74" s="218"/>
      <c r="E74" s="71"/>
      <c r="F74" s="99"/>
      <c r="G74" s="235"/>
      <c r="H74" s="7">
        <v>15150000</v>
      </c>
      <c r="I74" s="37">
        <v>0</v>
      </c>
      <c r="J74" s="7">
        <v>15150000</v>
      </c>
      <c r="K74" s="36">
        <f t="shared" si="14"/>
        <v>55.09090909090909</v>
      </c>
      <c r="L74" s="37">
        <v>3</v>
      </c>
      <c r="M74" s="37">
        <f>K74</f>
        <v>55.09090909090909</v>
      </c>
      <c r="N74" s="172">
        <f t="shared" si="12"/>
        <v>12350000</v>
      </c>
    </row>
    <row r="75" spans="1:14" ht="12.75" customHeight="1">
      <c r="A75" s="63">
        <v>12</v>
      </c>
      <c r="B75" s="73" t="s">
        <v>55</v>
      </c>
      <c r="C75" s="38">
        <v>21000000</v>
      </c>
      <c r="D75" s="218"/>
      <c r="E75" s="71"/>
      <c r="F75" s="99"/>
      <c r="G75" s="235"/>
      <c r="H75" s="7">
        <v>9975000</v>
      </c>
      <c r="I75" s="37">
        <v>0</v>
      </c>
      <c r="J75" s="7">
        <v>9975000</v>
      </c>
      <c r="K75" s="36">
        <f t="shared" si="14"/>
        <v>47.5</v>
      </c>
      <c r="L75" s="37">
        <v>5</v>
      </c>
      <c r="M75" s="37">
        <f>K75</f>
        <v>47.5</v>
      </c>
      <c r="N75" s="172">
        <f t="shared" si="12"/>
        <v>11025000</v>
      </c>
    </row>
    <row r="76" spans="1:14" ht="12.75" customHeight="1">
      <c r="A76" s="258"/>
      <c r="B76" s="125"/>
      <c r="C76" s="22"/>
      <c r="D76" s="201"/>
      <c r="E76" s="32"/>
      <c r="F76" s="99"/>
      <c r="G76" s="235"/>
      <c r="H76" s="23"/>
      <c r="I76" s="7"/>
      <c r="J76" s="23"/>
      <c r="K76" s="7"/>
      <c r="L76" s="145"/>
      <c r="M76" s="145"/>
      <c r="N76" s="172">
        <f t="shared" si="12"/>
        <v>0</v>
      </c>
    </row>
    <row r="77" spans="1:14" ht="12.75" customHeight="1">
      <c r="A77" s="259">
        <v>6</v>
      </c>
      <c r="B77" s="97" t="s">
        <v>63</v>
      </c>
      <c r="C77" s="48">
        <f>C78+C79+C80</f>
        <v>340000000</v>
      </c>
      <c r="D77" s="202"/>
      <c r="E77" s="48">
        <f>E78+E79+E80</f>
        <v>0</v>
      </c>
      <c r="F77" s="202"/>
      <c r="G77" s="239"/>
      <c r="H77" s="174">
        <f>SUM(H78:H80)</f>
        <v>301444000</v>
      </c>
      <c r="I77" s="65">
        <f>H77/C77*100</f>
        <v>88.66000000000001</v>
      </c>
      <c r="J77" s="174">
        <f>SUM(J78:J80)</f>
        <v>301444000</v>
      </c>
      <c r="K77" s="65">
        <f>SUM(J77/C77*100)</f>
        <v>88.66000000000001</v>
      </c>
      <c r="L77" s="174">
        <f>(L78+L79+L80)/3</f>
        <v>83.34326984126984</v>
      </c>
      <c r="M77" s="174">
        <f>(M78+M79+M80)/4</f>
        <v>62.50745238095238</v>
      </c>
      <c r="N77" s="172">
        <f t="shared" si="12"/>
        <v>38556000</v>
      </c>
    </row>
    <row r="78" spans="1:14" ht="12.75" customHeight="1">
      <c r="A78" s="63">
        <v>1</v>
      </c>
      <c r="B78" s="73" t="s">
        <v>64</v>
      </c>
      <c r="C78" s="38">
        <v>50000000</v>
      </c>
      <c r="D78" s="218"/>
      <c r="E78" s="38"/>
      <c r="F78" s="99"/>
      <c r="G78" s="235"/>
      <c r="H78" s="38">
        <v>37223000</v>
      </c>
      <c r="I78" s="37">
        <f>SUM(H78/C78*100)</f>
        <v>74.446</v>
      </c>
      <c r="J78" s="38">
        <v>37223000</v>
      </c>
      <c r="K78" s="36">
        <f>SUM(J78/C78*100)</f>
        <v>74.446</v>
      </c>
      <c r="L78" s="176">
        <f>K78</f>
        <v>74.446</v>
      </c>
      <c r="M78" s="173">
        <f>K78</f>
        <v>74.446</v>
      </c>
      <c r="N78" s="172">
        <f t="shared" si="12"/>
        <v>12777000</v>
      </c>
    </row>
    <row r="79" spans="1:14" ht="12.75" customHeight="1">
      <c r="A79" s="63">
        <v>2</v>
      </c>
      <c r="B79" s="73" t="s">
        <v>65</v>
      </c>
      <c r="C79" s="38">
        <v>35000000</v>
      </c>
      <c r="D79" s="218"/>
      <c r="E79" s="32"/>
      <c r="F79" s="99"/>
      <c r="G79" s="235"/>
      <c r="H79" s="38">
        <f>8946000+20250000</f>
        <v>29196000</v>
      </c>
      <c r="I79" s="37">
        <f>SUM(H79/C79*100)</f>
        <v>83.41714285714286</v>
      </c>
      <c r="J79" s="38">
        <f>8946000+20250000</f>
        <v>29196000</v>
      </c>
      <c r="K79" s="50">
        <f>SUM(J79/C79*100)</f>
        <v>83.41714285714286</v>
      </c>
      <c r="L79" s="176">
        <f>K79</f>
        <v>83.41714285714286</v>
      </c>
      <c r="M79" s="173">
        <f>K79</f>
        <v>83.41714285714286</v>
      </c>
      <c r="N79" s="172">
        <f t="shared" si="12"/>
        <v>5804000</v>
      </c>
    </row>
    <row r="80" spans="1:14" ht="12.75" customHeight="1">
      <c r="A80" s="63">
        <v>3</v>
      </c>
      <c r="B80" s="73" t="s">
        <v>66</v>
      </c>
      <c r="C80" s="71">
        <v>255000000</v>
      </c>
      <c r="D80" s="213"/>
      <c r="E80" s="71"/>
      <c r="F80" s="99"/>
      <c r="G80" s="235"/>
      <c r="H80" s="71">
        <v>235025000</v>
      </c>
      <c r="I80" s="37">
        <f>SUM(H80/C80*100)</f>
        <v>92.16666666666666</v>
      </c>
      <c r="J80" s="71">
        <v>235025000</v>
      </c>
      <c r="K80" s="36">
        <f>SUM(J80/C80*100)</f>
        <v>92.16666666666666</v>
      </c>
      <c r="L80" s="177">
        <f>K80</f>
        <v>92.16666666666666</v>
      </c>
      <c r="M80" s="173">
        <f>K80</f>
        <v>92.16666666666666</v>
      </c>
      <c r="N80" s="172">
        <f t="shared" si="12"/>
        <v>19975000</v>
      </c>
    </row>
    <row r="81" spans="1:14" ht="12.75" customHeight="1">
      <c r="A81" s="255"/>
      <c r="B81" s="132"/>
      <c r="C81" s="133"/>
      <c r="D81" s="219"/>
      <c r="E81" s="133"/>
      <c r="F81" s="134"/>
      <c r="G81" s="238"/>
      <c r="H81" s="133"/>
      <c r="I81" s="173"/>
      <c r="J81" s="133"/>
      <c r="K81" s="36"/>
      <c r="L81" s="178"/>
      <c r="M81" s="173"/>
      <c r="N81" s="172">
        <f t="shared" si="12"/>
        <v>0</v>
      </c>
    </row>
    <row r="82" spans="1:14" ht="12.75" customHeight="1">
      <c r="A82" s="259">
        <v>7</v>
      </c>
      <c r="B82" s="97" t="s">
        <v>67</v>
      </c>
      <c r="C82" s="48">
        <f>C83+C84</f>
        <v>520000000</v>
      </c>
      <c r="D82" s="202"/>
      <c r="E82" s="48">
        <f>E83+E84</f>
        <v>98395000</v>
      </c>
      <c r="F82" s="202"/>
      <c r="G82" s="239"/>
      <c r="H82" s="174">
        <f>H83+H84</f>
        <v>98395000</v>
      </c>
      <c r="I82" s="65">
        <f>H82/C82*100</f>
        <v>18.922115384615385</v>
      </c>
      <c r="J82" s="174">
        <f>J83+J84</f>
        <v>98395000</v>
      </c>
      <c r="K82" s="65">
        <f>J82/C82*100</f>
        <v>18.922115384615385</v>
      </c>
      <c r="L82" s="174">
        <f>(L83+L84)/2</f>
        <v>51.6975</v>
      </c>
      <c r="M82" s="174">
        <f>(M83+M84)/2</f>
        <v>49.1975</v>
      </c>
      <c r="N82" s="172">
        <f t="shared" si="12"/>
        <v>421605000</v>
      </c>
    </row>
    <row r="83" spans="1:14" ht="12.75" customHeight="1">
      <c r="A83" s="258">
        <v>1</v>
      </c>
      <c r="B83" s="73" t="s">
        <v>68</v>
      </c>
      <c r="C83" s="71">
        <v>100000000</v>
      </c>
      <c r="D83" s="273" t="s">
        <v>129</v>
      </c>
      <c r="E83" s="22">
        <v>98395000</v>
      </c>
      <c r="F83" s="201" t="s">
        <v>128</v>
      </c>
      <c r="G83" s="237" t="s">
        <v>127</v>
      </c>
      <c r="H83" s="71">
        <v>98395000</v>
      </c>
      <c r="I83" s="7">
        <f>H83/C83*100</f>
        <v>98.395</v>
      </c>
      <c r="J83" s="71">
        <v>98395000</v>
      </c>
      <c r="K83" s="7">
        <f>J83/C83*100</f>
        <v>98.395</v>
      </c>
      <c r="L83" s="7">
        <f>K83</f>
        <v>98.395</v>
      </c>
      <c r="M83" s="7">
        <f>K83</f>
        <v>98.395</v>
      </c>
      <c r="N83" s="172">
        <f t="shared" si="12"/>
        <v>1605000</v>
      </c>
    </row>
    <row r="84" spans="1:14" ht="12.75" customHeight="1">
      <c r="A84" s="258">
        <v>2</v>
      </c>
      <c r="B84" s="73" t="s">
        <v>69</v>
      </c>
      <c r="C84" s="71">
        <v>420000000</v>
      </c>
      <c r="D84" s="213"/>
      <c r="E84" s="71"/>
      <c r="F84" s="99"/>
      <c r="G84" s="235"/>
      <c r="H84" s="71">
        <v>0</v>
      </c>
      <c r="I84" s="7">
        <f>H84/C84*100</f>
        <v>0</v>
      </c>
      <c r="J84" s="71">
        <v>0</v>
      </c>
      <c r="K84" s="7">
        <f>J84/C84*100</f>
        <v>0</v>
      </c>
      <c r="L84" s="7">
        <v>5</v>
      </c>
      <c r="M84" s="7">
        <f>K84</f>
        <v>0</v>
      </c>
      <c r="N84" s="172">
        <f t="shared" si="12"/>
        <v>420000000</v>
      </c>
    </row>
    <row r="85" spans="1:14" ht="12.75" customHeight="1">
      <c r="A85" s="258"/>
      <c r="B85" s="98"/>
      <c r="C85" s="71"/>
      <c r="D85" s="213"/>
      <c r="E85" s="32"/>
      <c r="F85" s="99"/>
      <c r="G85" s="235"/>
      <c r="H85" s="7"/>
      <c r="I85" s="7"/>
      <c r="J85" s="7"/>
      <c r="K85" s="7"/>
      <c r="L85" s="7"/>
      <c r="M85" s="145"/>
      <c r="N85" s="172">
        <f t="shared" si="12"/>
        <v>0</v>
      </c>
    </row>
    <row r="86" spans="1:14" ht="12.75" customHeight="1">
      <c r="A86" s="254">
        <v>8</v>
      </c>
      <c r="B86" s="69" t="s">
        <v>70</v>
      </c>
      <c r="C86" s="39">
        <f>SUM(C87:C87)</f>
        <v>100000000</v>
      </c>
      <c r="D86" s="198"/>
      <c r="E86" s="39">
        <f>SUM(E87:E87)</f>
        <v>0</v>
      </c>
      <c r="F86" s="198"/>
      <c r="G86" s="234"/>
      <c r="H86" s="179">
        <f>SUM(H87:H87)</f>
        <v>0</v>
      </c>
      <c r="I86" s="145">
        <f>H86/C86*100</f>
        <v>0</v>
      </c>
      <c r="J86" s="179">
        <f>SUM(J87:J87)</f>
        <v>0</v>
      </c>
      <c r="K86" s="145">
        <f>J86/C86*100</f>
        <v>0</v>
      </c>
      <c r="L86" s="145">
        <f>L87</f>
        <v>0</v>
      </c>
      <c r="M86" s="145">
        <v>0</v>
      </c>
      <c r="N86" s="172">
        <f t="shared" si="12"/>
        <v>100000000</v>
      </c>
    </row>
    <row r="87" spans="1:14" ht="12.75" customHeight="1">
      <c r="A87" s="260"/>
      <c r="B87" s="52" t="s">
        <v>71</v>
      </c>
      <c r="C87" s="53">
        <v>100000000</v>
      </c>
      <c r="D87" s="220"/>
      <c r="E87" s="51"/>
      <c r="F87" s="205"/>
      <c r="G87" s="242"/>
      <c r="H87" s="54"/>
      <c r="I87" s="180">
        <f>H87/C87*100</f>
        <v>0</v>
      </c>
      <c r="J87" s="54"/>
      <c r="K87" s="180">
        <f>J87/C87*100</f>
        <v>0</v>
      </c>
      <c r="L87" s="180">
        <v>0</v>
      </c>
      <c r="M87" s="180">
        <f>K87</f>
        <v>0</v>
      </c>
      <c r="N87" s="172">
        <f t="shared" si="12"/>
        <v>100000000</v>
      </c>
    </row>
    <row r="88" spans="1:14" ht="12.75">
      <c r="A88" s="63"/>
      <c r="B88" s="40"/>
      <c r="C88" s="41"/>
      <c r="D88" s="221"/>
      <c r="E88" s="37"/>
      <c r="F88" s="99"/>
      <c r="G88" s="235"/>
      <c r="H88" s="42"/>
      <c r="I88" s="34"/>
      <c r="J88" s="42"/>
      <c r="K88" s="34"/>
      <c r="L88" s="34"/>
      <c r="M88" s="34"/>
      <c r="N88" s="34"/>
    </row>
    <row r="89" spans="1:14" ht="12.75">
      <c r="A89" s="102"/>
      <c r="B89" s="103"/>
      <c r="C89" s="269">
        <f>C13+C26</f>
        <v>11516999500</v>
      </c>
      <c r="D89" s="269"/>
      <c r="E89" s="269">
        <f>+E13+E26</f>
        <v>752427000</v>
      </c>
      <c r="F89" s="269">
        <f>F27+F40+F50+F55+F63+F77+F82+F86</f>
        <v>0</v>
      </c>
      <c r="G89" s="270"/>
      <c r="H89" s="269">
        <f>+H13+H26</f>
        <v>3872498668</v>
      </c>
      <c r="I89" s="272">
        <f>SUM(H89/C89*100)</f>
        <v>33.62419758722747</v>
      </c>
      <c r="J89" s="43">
        <f>+J13+J26</f>
        <v>3872498668</v>
      </c>
      <c r="K89" s="119">
        <f>SUM(J89/C89*100)</f>
        <v>33.62419758722747</v>
      </c>
      <c r="L89" s="43">
        <f>+L13+L26</f>
        <v>87.99716530966874</v>
      </c>
      <c r="M89" s="43">
        <f>+(M13+M26)/2</f>
        <v>47.26698178441745</v>
      </c>
      <c r="N89" s="43">
        <f>N13+N26</f>
        <v>7644500832</v>
      </c>
    </row>
    <row r="90" spans="1:14" ht="12.75">
      <c r="A90" s="126"/>
      <c r="B90" s="127"/>
      <c r="C90" s="128"/>
      <c r="D90" s="206"/>
      <c r="E90" s="128"/>
      <c r="F90" s="206"/>
      <c r="G90" s="243"/>
      <c r="H90" s="128"/>
      <c r="I90" s="129"/>
      <c r="J90" s="128"/>
      <c r="K90" s="130"/>
      <c r="L90" s="128"/>
      <c r="M90" s="128"/>
      <c r="N90" s="128"/>
    </row>
    <row r="91" spans="1:14" ht="12.75">
      <c r="A91" s="126"/>
      <c r="B91" s="127"/>
      <c r="C91" s="128"/>
      <c r="D91" s="206"/>
      <c r="E91" s="128"/>
      <c r="F91" s="206"/>
      <c r="G91" s="243"/>
      <c r="H91" s="128"/>
      <c r="I91" s="129"/>
      <c r="J91" s="128"/>
      <c r="K91" s="130"/>
      <c r="L91" s="128"/>
      <c r="M91" s="128"/>
      <c r="N91" s="128"/>
    </row>
    <row r="92" spans="1:14" ht="12.75">
      <c r="A92" s="126"/>
      <c r="B92" s="135"/>
      <c r="C92" s="136"/>
      <c r="D92" s="208"/>
      <c r="E92" s="60"/>
      <c r="F92" s="207"/>
      <c r="G92" s="244"/>
      <c r="H92" s="44"/>
      <c r="I92" s="46"/>
      <c r="J92" s="1"/>
      <c r="K92" s="117"/>
      <c r="L92" s="117" t="s">
        <v>126</v>
      </c>
      <c r="M92" s="117"/>
      <c r="N92" s="117"/>
    </row>
    <row r="93" spans="1:14" ht="12.75">
      <c r="A93" s="126"/>
      <c r="B93" s="138"/>
      <c r="C93" s="84"/>
      <c r="D93" s="199"/>
      <c r="E93" s="139"/>
      <c r="F93" s="207"/>
      <c r="G93" s="244"/>
      <c r="H93" s="45"/>
      <c r="I93" s="44"/>
      <c r="J93" s="1"/>
      <c r="K93" s="107"/>
      <c r="L93" s="107" t="s">
        <v>73</v>
      </c>
      <c r="M93" s="107"/>
      <c r="N93" s="107"/>
    </row>
    <row r="94" spans="1:14" ht="12.75">
      <c r="A94" s="126"/>
      <c r="B94" s="105" t="s">
        <v>82</v>
      </c>
      <c r="C94" s="106">
        <f>H89/C89*100</f>
        <v>33.62419758722747</v>
      </c>
      <c r="D94" s="222"/>
      <c r="E94" s="60"/>
      <c r="F94" s="208"/>
      <c r="G94" s="224"/>
      <c r="H94" s="44"/>
      <c r="I94" s="46"/>
      <c r="J94" s="1"/>
      <c r="K94" s="107"/>
      <c r="L94" s="107" t="s">
        <v>72</v>
      </c>
      <c r="M94" s="107"/>
      <c r="N94" s="107"/>
    </row>
    <row r="95" spans="1:14" ht="12.75">
      <c r="A95" s="126"/>
      <c r="B95" s="140"/>
      <c r="C95" s="141"/>
      <c r="D95" s="223"/>
      <c r="E95" s="60"/>
      <c r="F95" s="208"/>
      <c r="G95" s="224"/>
      <c r="H95" s="44"/>
      <c r="I95" s="46"/>
      <c r="J95" s="1"/>
      <c r="K95" s="107"/>
      <c r="L95" s="107"/>
      <c r="M95" s="107"/>
      <c r="N95" s="107"/>
    </row>
    <row r="96" spans="1:14" ht="12.75">
      <c r="A96" s="126"/>
      <c r="B96" s="140"/>
      <c r="C96" s="141"/>
      <c r="D96" s="223"/>
      <c r="E96" s="60"/>
      <c r="F96" s="208"/>
      <c r="G96" s="224"/>
      <c r="H96" s="44"/>
      <c r="I96" s="46"/>
      <c r="J96" s="1"/>
      <c r="K96" s="107"/>
      <c r="L96" s="107"/>
      <c r="M96" s="107"/>
      <c r="N96" s="107"/>
    </row>
    <row r="97" spans="1:14" ht="12.75">
      <c r="A97" s="126"/>
      <c r="B97" s="128"/>
      <c r="C97" s="84"/>
      <c r="D97" s="199"/>
      <c r="E97" s="60"/>
      <c r="F97" s="207"/>
      <c r="G97" s="244"/>
      <c r="H97" s="46"/>
      <c r="I97" s="46"/>
      <c r="J97" s="108"/>
      <c r="K97" s="108"/>
      <c r="L97" s="108" t="s">
        <v>74</v>
      </c>
      <c r="M97" s="1"/>
      <c r="N97" s="1"/>
    </row>
    <row r="98" spans="1:14" ht="12.75">
      <c r="A98" s="126"/>
      <c r="B98" s="127"/>
      <c r="C98" s="84"/>
      <c r="D98" s="199"/>
      <c r="E98" s="60"/>
      <c r="F98" s="187"/>
      <c r="G98" s="224"/>
      <c r="H98" s="46"/>
      <c r="I98" s="46"/>
      <c r="J98" s="107"/>
      <c r="K98" s="107"/>
      <c r="L98" s="107" t="s">
        <v>75</v>
      </c>
      <c r="M98" s="1"/>
      <c r="N98" s="1"/>
    </row>
  </sheetData>
  <sheetProtection/>
  <mergeCells count="21">
    <mergeCell ref="A2:N2"/>
    <mergeCell ref="A3:N3"/>
    <mergeCell ref="A4:N4"/>
    <mergeCell ref="A8:A10"/>
    <mergeCell ref="B8:B10"/>
    <mergeCell ref="N8:N10"/>
    <mergeCell ref="A5:B5"/>
    <mergeCell ref="H9:H10"/>
    <mergeCell ref="C8:C10"/>
    <mergeCell ref="M9:M10"/>
    <mergeCell ref="G8:G10"/>
    <mergeCell ref="J9:J10"/>
    <mergeCell ref="F8:F10"/>
    <mergeCell ref="L8:M8"/>
    <mergeCell ref="E8:E10"/>
    <mergeCell ref="H8:K8"/>
    <mergeCell ref="L9:L10"/>
    <mergeCell ref="K9:K10"/>
    <mergeCell ref="A6:B6"/>
    <mergeCell ref="I9:I10"/>
    <mergeCell ref="D8:D10"/>
  </mergeCells>
  <printOptions horizontalCentered="1"/>
  <pageMargins left="0" right="0.25" top="0.75" bottom="0.75" header="0.3" footer="0.3"/>
  <pageSetup orientation="landscape" paperSize="5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9"/>
  <sheetViews>
    <sheetView view="pageBreakPreview" zoomScale="90" zoomScaleSheetLayoutView="90" zoomScalePageLayoutView="0" workbookViewId="0" topLeftCell="A37">
      <selection activeCell="H64" sqref="H64"/>
    </sheetView>
  </sheetViews>
  <sheetFormatPr defaultColWidth="9.140625" defaultRowHeight="12.75"/>
  <cols>
    <col min="1" max="1" width="4.57421875" style="0" customWidth="1"/>
    <col min="2" max="2" width="49.57421875" style="0" customWidth="1"/>
    <col min="3" max="3" width="14.7109375" style="0" customWidth="1"/>
    <col min="4" max="4" width="12.8515625" style="0" customWidth="1"/>
    <col min="5" max="5" width="13.7109375" style="0" customWidth="1"/>
    <col min="6" max="6" width="17.7109375" style="0" customWidth="1"/>
    <col min="7" max="7" width="12.7109375" style="0" customWidth="1"/>
    <col min="8" max="8" width="16.7109375" style="0" customWidth="1"/>
    <col min="9" max="9" width="7.140625" style="261" customWidth="1"/>
    <col min="10" max="10" width="15.57421875" style="0" customWidth="1"/>
    <col min="11" max="11" width="7.140625" style="0" customWidth="1"/>
    <col min="12" max="12" width="7.421875" style="0" customWidth="1"/>
    <col min="13" max="13" width="5.00390625" style="0" customWidth="1"/>
    <col min="14" max="14" width="15.140625" style="0" customWidth="1"/>
    <col min="15" max="15" width="14.140625" style="0" customWidth="1"/>
    <col min="19" max="19" width="13.00390625" style="0" customWidth="1"/>
  </cols>
  <sheetData>
    <row r="1" spans="1:14" ht="12" customHeight="1">
      <c r="A1" s="252"/>
      <c r="B1" s="1"/>
      <c r="C1" s="1"/>
      <c r="D1" s="187"/>
      <c r="E1" s="1"/>
      <c r="F1" s="187"/>
      <c r="G1" s="224"/>
      <c r="H1" s="1"/>
      <c r="I1" s="252"/>
      <c r="J1" s="1"/>
      <c r="K1" s="1"/>
      <c r="L1" s="1"/>
      <c r="M1" s="1"/>
      <c r="N1" s="1"/>
    </row>
    <row r="2" spans="1:14" ht="12" customHeight="1">
      <c r="A2" s="811" t="s">
        <v>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</row>
    <row r="3" spans="1:14" ht="12" customHeight="1">
      <c r="A3" s="812" t="s">
        <v>83</v>
      </c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</row>
    <row r="4" spans="1:14" ht="12" customHeight="1">
      <c r="A4" s="813" t="s">
        <v>77</v>
      </c>
      <c r="B4" s="813"/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</row>
    <row r="5" spans="1:14" ht="12" customHeight="1">
      <c r="A5" s="823" t="s">
        <v>1</v>
      </c>
      <c r="B5" s="823"/>
      <c r="C5" s="59"/>
      <c r="D5" s="188"/>
      <c r="E5" s="59"/>
      <c r="F5" s="188"/>
      <c r="G5" s="225"/>
      <c r="H5" s="59"/>
      <c r="I5" s="59"/>
      <c r="J5" s="59"/>
      <c r="K5" s="59"/>
      <c r="L5" s="59"/>
      <c r="M5" s="59"/>
      <c r="N5" s="59"/>
    </row>
    <row r="6" spans="1:14" ht="12" customHeight="1">
      <c r="A6" s="819" t="s">
        <v>132</v>
      </c>
      <c r="B6" s="819"/>
      <c r="C6" s="59"/>
      <c r="D6" s="188"/>
      <c r="E6" s="59"/>
      <c r="F6" s="188"/>
      <c r="G6" s="225"/>
      <c r="H6" s="59"/>
      <c r="I6" s="59"/>
      <c r="J6" s="59"/>
      <c r="K6" s="59"/>
      <c r="L6" s="59"/>
      <c r="M6" s="59"/>
      <c r="N6" s="59"/>
    </row>
    <row r="7" spans="1:14" ht="12" customHeight="1">
      <c r="A7" s="59"/>
      <c r="B7" s="1"/>
      <c r="C7" s="1"/>
      <c r="D7" s="187"/>
      <c r="E7" s="1"/>
      <c r="F7" s="187"/>
      <c r="G7" s="224"/>
      <c r="H7" s="1"/>
      <c r="I7" s="252"/>
      <c r="J7" s="1"/>
      <c r="K7" s="1"/>
      <c r="L7" s="1"/>
      <c r="M7" s="1"/>
      <c r="N7" s="1"/>
    </row>
    <row r="8" spans="1:14" ht="12" customHeight="1">
      <c r="A8" s="808" t="s">
        <v>2</v>
      </c>
      <c r="B8" s="808" t="s">
        <v>3</v>
      </c>
      <c r="C8" s="808" t="s">
        <v>4</v>
      </c>
      <c r="D8" s="820" t="s">
        <v>104</v>
      </c>
      <c r="E8" s="808" t="s">
        <v>5</v>
      </c>
      <c r="F8" s="820" t="s">
        <v>6</v>
      </c>
      <c r="G8" s="824" t="s">
        <v>105</v>
      </c>
      <c r="H8" s="816" t="s">
        <v>7</v>
      </c>
      <c r="I8" s="817"/>
      <c r="J8" s="817"/>
      <c r="K8" s="818"/>
      <c r="L8" s="816" t="s">
        <v>8</v>
      </c>
      <c r="M8" s="818"/>
      <c r="N8" s="805" t="s">
        <v>87</v>
      </c>
    </row>
    <row r="9" spans="1:14" ht="12" customHeight="1">
      <c r="A9" s="806"/>
      <c r="B9" s="806"/>
      <c r="C9" s="806"/>
      <c r="D9" s="821"/>
      <c r="E9" s="814"/>
      <c r="F9" s="821"/>
      <c r="G9" s="825"/>
      <c r="H9" s="809" t="s">
        <v>10</v>
      </c>
      <c r="I9" s="808" t="s">
        <v>11</v>
      </c>
      <c r="J9" s="808" t="s">
        <v>12</v>
      </c>
      <c r="K9" s="808" t="s">
        <v>11</v>
      </c>
      <c r="L9" s="808" t="s">
        <v>13</v>
      </c>
      <c r="M9" s="820" t="s">
        <v>14</v>
      </c>
      <c r="N9" s="806"/>
    </row>
    <row r="10" spans="1:14" ht="12" customHeight="1">
      <c r="A10" s="807"/>
      <c r="B10" s="807"/>
      <c r="C10" s="807"/>
      <c r="D10" s="822"/>
      <c r="E10" s="815"/>
      <c r="F10" s="822"/>
      <c r="G10" s="826"/>
      <c r="H10" s="810"/>
      <c r="I10" s="807"/>
      <c r="J10" s="807"/>
      <c r="K10" s="807"/>
      <c r="L10" s="807"/>
      <c r="M10" s="822"/>
      <c r="N10" s="807"/>
    </row>
    <row r="11" spans="1:14" ht="12" customHeight="1">
      <c r="A11" s="2">
        <v>1</v>
      </c>
      <c r="B11" s="2">
        <v>2</v>
      </c>
      <c r="C11" s="2">
        <v>3</v>
      </c>
      <c r="D11" s="189"/>
      <c r="E11" s="2">
        <v>4</v>
      </c>
      <c r="F11" s="189">
        <v>5</v>
      </c>
      <c r="G11" s="226"/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</row>
    <row r="12" spans="1:14" ht="12" customHeight="1">
      <c r="A12" s="3"/>
      <c r="B12" s="3"/>
      <c r="C12" s="3"/>
      <c r="D12" s="190"/>
      <c r="E12" s="3"/>
      <c r="F12" s="190"/>
      <c r="G12" s="227"/>
      <c r="H12" s="3"/>
      <c r="I12" s="3"/>
      <c r="J12" s="3"/>
      <c r="K12" s="3"/>
      <c r="L12" s="3"/>
      <c r="M12" s="3"/>
      <c r="N12" s="3"/>
    </row>
    <row r="13" spans="1:14" ht="12" customHeight="1">
      <c r="A13" s="61" t="s">
        <v>15</v>
      </c>
      <c r="B13" s="62" t="s">
        <v>16</v>
      </c>
      <c r="C13" s="4">
        <f>SUM(C14:C24)</f>
        <v>2320392000</v>
      </c>
      <c r="D13" s="210"/>
      <c r="E13" s="63"/>
      <c r="F13" s="191"/>
      <c r="G13" s="228"/>
      <c r="H13" s="4">
        <f>SUM(H14:H24)</f>
        <v>1365296372</v>
      </c>
      <c r="I13" s="311">
        <f>+H13/C13*100</f>
        <v>58.839039782933234</v>
      </c>
      <c r="J13" s="4">
        <f>SUM(J14:J24)</f>
        <v>1365296372</v>
      </c>
      <c r="K13" s="179">
        <f>+J13/C13*100</f>
        <v>58.839039782933234</v>
      </c>
      <c r="L13" s="308">
        <v>100</v>
      </c>
      <c r="M13" s="64">
        <f>+J13/C13*100</f>
        <v>58.839039782933234</v>
      </c>
      <c r="N13" s="4">
        <f>SUM(N14:N24)</f>
        <v>955095628</v>
      </c>
    </row>
    <row r="14" spans="1:14" ht="12" customHeight="1">
      <c r="A14" s="63">
        <v>1</v>
      </c>
      <c r="B14" s="47" t="s">
        <v>17</v>
      </c>
      <c r="C14" s="5">
        <v>1209000000</v>
      </c>
      <c r="D14" s="211"/>
      <c r="E14" s="63"/>
      <c r="F14" s="192"/>
      <c r="G14" s="228"/>
      <c r="H14" s="114">
        <v>832522615</v>
      </c>
      <c r="I14" s="311">
        <f aca="true" t="shared" si="0" ref="I14:I24">+H14/C14*100</f>
        <v>68.86043134822167</v>
      </c>
      <c r="J14" s="114">
        <v>832522615</v>
      </c>
      <c r="K14" s="179">
        <f aca="true" t="shared" si="1" ref="K14:K24">+J14/C14*100</f>
        <v>68.86043134822167</v>
      </c>
      <c r="L14" s="308">
        <v>100</v>
      </c>
      <c r="M14" s="64">
        <f aca="true" t="shared" si="2" ref="M14:M24">+J14/C14*100</f>
        <v>68.86043134822167</v>
      </c>
      <c r="N14" s="37">
        <f>C14-J14</f>
        <v>376477385</v>
      </c>
    </row>
    <row r="15" spans="1:14" ht="12" customHeight="1">
      <c r="A15" s="63">
        <v>2</v>
      </c>
      <c r="B15" s="47" t="s">
        <v>18</v>
      </c>
      <c r="C15" s="5">
        <v>132000000</v>
      </c>
      <c r="D15" s="211"/>
      <c r="E15" s="63"/>
      <c r="F15" s="192"/>
      <c r="G15" s="228"/>
      <c r="H15" s="5">
        <v>93400584</v>
      </c>
      <c r="I15" s="311">
        <f t="shared" si="0"/>
        <v>70.75801818181819</v>
      </c>
      <c r="J15" s="5">
        <v>93400584</v>
      </c>
      <c r="K15" s="179">
        <f t="shared" si="1"/>
        <v>70.75801818181819</v>
      </c>
      <c r="L15" s="308">
        <v>100</v>
      </c>
      <c r="M15" s="64">
        <f t="shared" si="2"/>
        <v>70.75801818181819</v>
      </c>
      <c r="N15" s="37">
        <f aca="true" t="shared" si="3" ref="N15:N24">C15-J15</f>
        <v>38599416</v>
      </c>
    </row>
    <row r="16" spans="1:14" ht="12" customHeight="1">
      <c r="A16" s="63">
        <v>3</v>
      </c>
      <c r="B16" s="47" t="s">
        <v>19</v>
      </c>
      <c r="C16" s="5">
        <v>165000000</v>
      </c>
      <c r="D16" s="211"/>
      <c r="E16" s="63"/>
      <c r="F16" s="192"/>
      <c r="G16" s="228"/>
      <c r="H16" s="5">
        <v>79215000</v>
      </c>
      <c r="I16" s="311">
        <f t="shared" si="0"/>
        <v>48.00909090909091</v>
      </c>
      <c r="J16" s="5">
        <v>79215000</v>
      </c>
      <c r="K16" s="179">
        <f t="shared" si="1"/>
        <v>48.00909090909091</v>
      </c>
      <c r="L16" s="308">
        <v>100</v>
      </c>
      <c r="M16" s="64">
        <f t="shared" si="2"/>
        <v>48.00909090909091</v>
      </c>
      <c r="N16" s="37">
        <f t="shared" si="3"/>
        <v>85785000</v>
      </c>
    </row>
    <row r="17" spans="1:14" ht="12" customHeight="1">
      <c r="A17" s="63">
        <v>4</v>
      </c>
      <c r="B17" s="47" t="s">
        <v>20</v>
      </c>
      <c r="C17" s="5">
        <v>23000000</v>
      </c>
      <c r="D17" s="211"/>
      <c r="E17" s="63"/>
      <c r="F17" s="192"/>
      <c r="G17" s="228"/>
      <c r="H17" s="5">
        <v>26665000</v>
      </c>
      <c r="I17" s="311">
        <f t="shared" si="0"/>
        <v>115.93478260869566</v>
      </c>
      <c r="J17" s="5">
        <v>26665000</v>
      </c>
      <c r="K17" s="179">
        <f t="shared" si="1"/>
        <v>115.93478260869566</v>
      </c>
      <c r="L17" s="308">
        <v>100</v>
      </c>
      <c r="M17" s="64">
        <f t="shared" si="2"/>
        <v>115.93478260869566</v>
      </c>
      <c r="N17" s="37">
        <f t="shared" si="3"/>
        <v>-3665000</v>
      </c>
    </row>
    <row r="18" spans="1:14" ht="12" customHeight="1">
      <c r="A18" s="63">
        <v>5</v>
      </c>
      <c r="B18" s="47" t="s">
        <v>21</v>
      </c>
      <c r="C18" s="5">
        <v>64000000</v>
      </c>
      <c r="D18" s="211"/>
      <c r="E18" s="63"/>
      <c r="F18" s="192"/>
      <c r="G18" s="228"/>
      <c r="H18" s="5">
        <v>47869620</v>
      </c>
      <c r="I18" s="311">
        <f t="shared" si="0"/>
        <v>74.79628124999999</v>
      </c>
      <c r="J18" s="5">
        <v>47869620</v>
      </c>
      <c r="K18" s="179">
        <f t="shared" si="1"/>
        <v>74.79628124999999</v>
      </c>
      <c r="L18" s="308">
        <v>100</v>
      </c>
      <c r="M18" s="64">
        <f t="shared" si="2"/>
        <v>74.79628124999999</v>
      </c>
      <c r="N18" s="37">
        <f t="shared" si="3"/>
        <v>16130380</v>
      </c>
    </row>
    <row r="19" spans="1:14" ht="12" customHeight="1">
      <c r="A19" s="63">
        <v>6</v>
      </c>
      <c r="B19" s="47" t="s">
        <v>22</v>
      </c>
      <c r="C19" s="5">
        <v>10045000</v>
      </c>
      <c r="D19" s="211"/>
      <c r="E19" s="63"/>
      <c r="F19" s="192"/>
      <c r="G19" s="228"/>
      <c r="H19" s="5">
        <v>4501958</v>
      </c>
      <c r="I19" s="311">
        <f t="shared" si="0"/>
        <v>44.81789945246391</v>
      </c>
      <c r="J19" s="5">
        <v>4501958</v>
      </c>
      <c r="K19" s="179">
        <f t="shared" si="1"/>
        <v>44.81789945246391</v>
      </c>
      <c r="L19" s="308">
        <v>100</v>
      </c>
      <c r="M19" s="64">
        <f t="shared" si="2"/>
        <v>44.81789945246391</v>
      </c>
      <c r="N19" s="37">
        <f t="shared" si="3"/>
        <v>5543042</v>
      </c>
    </row>
    <row r="20" spans="1:14" ht="12" customHeight="1">
      <c r="A20" s="63">
        <v>7</v>
      </c>
      <c r="B20" s="47" t="s">
        <v>23</v>
      </c>
      <c r="C20" s="5">
        <v>157000</v>
      </c>
      <c r="D20" s="211"/>
      <c r="E20" s="63"/>
      <c r="F20" s="192"/>
      <c r="G20" s="228"/>
      <c r="H20" s="5">
        <v>14700</v>
      </c>
      <c r="I20" s="311">
        <f t="shared" si="0"/>
        <v>9.363057324840764</v>
      </c>
      <c r="J20" s="5">
        <v>14700</v>
      </c>
      <c r="K20" s="179">
        <f t="shared" si="1"/>
        <v>9.363057324840764</v>
      </c>
      <c r="L20" s="308">
        <v>100</v>
      </c>
      <c r="M20" s="64">
        <f t="shared" si="2"/>
        <v>9.363057324840764</v>
      </c>
      <c r="N20" s="37">
        <f t="shared" si="3"/>
        <v>142300</v>
      </c>
    </row>
    <row r="21" spans="1:14" ht="12" customHeight="1">
      <c r="A21" s="63">
        <v>8</v>
      </c>
      <c r="B21" s="47" t="s">
        <v>24</v>
      </c>
      <c r="C21" s="5">
        <v>35000000</v>
      </c>
      <c r="D21" s="211"/>
      <c r="E21" s="63"/>
      <c r="F21" s="192"/>
      <c r="G21" s="228"/>
      <c r="H21" s="5">
        <v>23425663</v>
      </c>
      <c r="I21" s="311">
        <f t="shared" si="0"/>
        <v>66.93046571428572</v>
      </c>
      <c r="J21" s="5">
        <v>23425663</v>
      </c>
      <c r="K21" s="179">
        <f t="shared" si="1"/>
        <v>66.93046571428572</v>
      </c>
      <c r="L21" s="308">
        <v>100</v>
      </c>
      <c r="M21" s="64">
        <f t="shared" si="2"/>
        <v>66.93046571428572</v>
      </c>
      <c r="N21" s="37">
        <f t="shared" si="3"/>
        <v>11574337</v>
      </c>
    </row>
    <row r="22" spans="1:14" ht="12" customHeight="1">
      <c r="A22" s="63">
        <v>9</v>
      </c>
      <c r="B22" s="47" t="s">
        <v>25</v>
      </c>
      <c r="C22" s="5">
        <v>4305000</v>
      </c>
      <c r="D22" s="211"/>
      <c r="E22" s="63"/>
      <c r="F22" s="192"/>
      <c r="G22" s="228"/>
      <c r="H22" s="5">
        <v>1685314</v>
      </c>
      <c r="I22" s="311">
        <f t="shared" si="0"/>
        <v>39.147828106852494</v>
      </c>
      <c r="J22" s="5">
        <v>1685314</v>
      </c>
      <c r="K22" s="179">
        <f t="shared" si="1"/>
        <v>39.147828106852494</v>
      </c>
      <c r="L22" s="308">
        <v>100</v>
      </c>
      <c r="M22" s="64">
        <f t="shared" si="2"/>
        <v>39.147828106852494</v>
      </c>
      <c r="N22" s="37">
        <f t="shared" si="3"/>
        <v>2619686</v>
      </c>
    </row>
    <row r="23" spans="1:14" ht="12" customHeight="1">
      <c r="A23" s="63">
        <v>10</v>
      </c>
      <c r="B23" s="47" t="s">
        <v>26</v>
      </c>
      <c r="C23" s="5">
        <v>5885000</v>
      </c>
      <c r="D23" s="211"/>
      <c r="E23" s="63"/>
      <c r="F23" s="192"/>
      <c r="G23" s="228"/>
      <c r="H23" s="5">
        <v>5055918</v>
      </c>
      <c r="I23" s="311">
        <f t="shared" si="0"/>
        <v>85.91194562446898</v>
      </c>
      <c r="J23" s="5">
        <v>5055918</v>
      </c>
      <c r="K23" s="179">
        <f t="shared" si="1"/>
        <v>85.91194562446898</v>
      </c>
      <c r="L23" s="308">
        <v>100</v>
      </c>
      <c r="M23" s="64">
        <f t="shared" si="2"/>
        <v>85.91194562446898</v>
      </c>
      <c r="N23" s="37">
        <f t="shared" si="3"/>
        <v>829082</v>
      </c>
    </row>
    <row r="24" spans="1:14" ht="12" customHeight="1">
      <c r="A24" s="63">
        <v>11</v>
      </c>
      <c r="B24" s="47" t="s">
        <v>27</v>
      </c>
      <c r="C24" s="5">
        <v>672000000</v>
      </c>
      <c r="D24" s="211"/>
      <c r="E24" s="63"/>
      <c r="F24" s="192"/>
      <c r="G24" s="228"/>
      <c r="H24" s="5">
        <v>250940000</v>
      </c>
      <c r="I24" s="311">
        <f t="shared" si="0"/>
        <v>37.342261904761905</v>
      </c>
      <c r="J24" s="5">
        <v>250940000</v>
      </c>
      <c r="K24" s="179">
        <f t="shared" si="1"/>
        <v>37.342261904761905</v>
      </c>
      <c r="L24" s="308">
        <v>100</v>
      </c>
      <c r="M24" s="64">
        <f t="shared" si="2"/>
        <v>37.342261904761905</v>
      </c>
      <c r="N24" s="37">
        <f t="shared" si="3"/>
        <v>421060000</v>
      </c>
    </row>
    <row r="25" spans="1:14" ht="12" customHeight="1">
      <c r="A25" s="63"/>
      <c r="B25" s="47"/>
      <c r="C25" s="5"/>
      <c r="D25" s="211"/>
      <c r="E25" s="63"/>
      <c r="F25" s="192"/>
      <c r="G25" s="228"/>
      <c r="H25" s="5"/>
      <c r="I25" s="114"/>
      <c r="J25" s="5"/>
      <c r="K25" s="36"/>
      <c r="L25" s="307"/>
      <c r="M25" s="37"/>
      <c r="N25" s="37"/>
    </row>
    <row r="26" spans="1:19" ht="12" customHeight="1">
      <c r="A26" s="61" t="s">
        <v>28</v>
      </c>
      <c r="B26" s="62" t="s">
        <v>29</v>
      </c>
      <c r="C26" s="67">
        <f>C27+C40+C50+C56+C66+C80+C85+C89</f>
        <v>9196607500</v>
      </c>
      <c r="D26" s="212"/>
      <c r="E26" s="67">
        <f>E27+E40+E50+E56+E66+E80+E85+E89</f>
        <v>850615000</v>
      </c>
      <c r="F26" s="192"/>
      <c r="G26" s="228"/>
      <c r="H26" s="271">
        <f>H27+H40+H50+H56+H66+H80+H85+H89</f>
        <v>3155530715</v>
      </c>
      <c r="I26" s="311">
        <f aca="true" t="shared" si="4" ref="I26:I38">+H26/C26*100</f>
        <v>34.311899415083225</v>
      </c>
      <c r="J26" s="67">
        <f>J27+J40+J50+J56+J66+J80+J85+J89</f>
        <v>3155530715</v>
      </c>
      <c r="K26" s="179">
        <f aca="true" t="shared" si="5" ref="K26:K38">+J26/C26*100</f>
        <v>34.311899415083225</v>
      </c>
      <c r="L26" s="308">
        <v>100</v>
      </c>
      <c r="M26" s="64">
        <f aca="true" t="shared" si="6" ref="M26:M38">+J26/C26*100</f>
        <v>34.311899415083225</v>
      </c>
      <c r="N26" s="67">
        <f>N27+N40+N50+N56+N66+N80+N85+N89</f>
        <v>6041076785</v>
      </c>
      <c r="S26" s="299"/>
    </row>
    <row r="27" spans="1:14" ht="12" customHeight="1">
      <c r="A27" s="68">
        <v>1</v>
      </c>
      <c r="B27" s="69" t="s">
        <v>30</v>
      </c>
      <c r="C27" s="67">
        <f>SUM(C28:C38)</f>
        <v>1362525500</v>
      </c>
      <c r="D27" s="212"/>
      <c r="E27" s="67">
        <f>SUM(E28:E38)</f>
        <v>0</v>
      </c>
      <c r="F27" s="193"/>
      <c r="G27" s="229"/>
      <c r="H27" s="6">
        <f>SUM(H28:H38)</f>
        <v>516322613</v>
      </c>
      <c r="I27" s="311">
        <f t="shared" si="4"/>
        <v>37.894528432678875</v>
      </c>
      <c r="J27" s="6">
        <f>SUM(J28:J38)</f>
        <v>516322613</v>
      </c>
      <c r="K27" s="179">
        <f t="shared" si="5"/>
        <v>37.894528432678875</v>
      </c>
      <c r="L27" s="308">
        <v>100</v>
      </c>
      <c r="M27" s="64">
        <f t="shared" si="6"/>
        <v>37.894528432678875</v>
      </c>
      <c r="N27" s="6">
        <f>SUM(N28:N38)</f>
        <v>846202887</v>
      </c>
    </row>
    <row r="28" spans="1:14" ht="12" customHeight="1">
      <c r="A28" s="63">
        <v>1</v>
      </c>
      <c r="B28" s="55" t="s">
        <v>31</v>
      </c>
      <c r="C28" s="71">
        <v>6310000</v>
      </c>
      <c r="D28" s="213"/>
      <c r="E28" s="72" t="s">
        <v>32</v>
      </c>
      <c r="F28" s="194" t="s">
        <v>32</v>
      </c>
      <c r="G28" s="230"/>
      <c r="H28" s="185">
        <v>3396000</v>
      </c>
      <c r="I28" s="311">
        <f t="shared" si="4"/>
        <v>53.81933438985737</v>
      </c>
      <c r="J28" s="185">
        <v>3396000</v>
      </c>
      <c r="K28" s="179">
        <f t="shared" si="5"/>
        <v>53.81933438985737</v>
      </c>
      <c r="L28" s="308">
        <v>100</v>
      </c>
      <c r="M28" s="64">
        <f t="shared" si="6"/>
        <v>53.81933438985737</v>
      </c>
      <c r="N28" s="37">
        <f>C28-J28</f>
        <v>2914000</v>
      </c>
    </row>
    <row r="29" spans="1:14" ht="12" customHeight="1">
      <c r="A29" s="63">
        <v>2</v>
      </c>
      <c r="B29" s="73" t="s">
        <v>76</v>
      </c>
      <c r="C29" s="71">
        <v>60000000</v>
      </c>
      <c r="D29" s="213"/>
      <c r="E29" s="37"/>
      <c r="F29" s="195"/>
      <c r="G29" s="231"/>
      <c r="H29" s="7">
        <v>38667338</v>
      </c>
      <c r="I29" s="311">
        <f t="shared" si="4"/>
        <v>64.44556333333334</v>
      </c>
      <c r="J29" s="7">
        <v>38667338</v>
      </c>
      <c r="K29" s="179">
        <f t="shared" si="5"/>
        <v>64.44556333333334</v>
      </c>
      <c r="L29" s="308">
        <v>100</v>
      </c>
      <c r="M29" s="64">
        <f t="shared" si="6"/>
        <v>64.44556333333334</v>
      </c>
      <c r="N29" s="37">
        <f aca="true" t="shared" si="7" ref="N29:N51">C29-J29</f>
        <v>21332662</v>
      </c>
    </row>
    <row r="30" spans="1:14" ht="12" customHeight="1">
      <c r="A30" s="63">
        <v>3</v>
      </c>
      <c r="B30" s="165" t="s">
        <v>33</v>
      </c>
      <c r="C30" s="166">
        <v>31435000</v>
      </c>
      <c r="D30" s="214"/>
      <c r="E30" s="167">
        <v>0</v>
      </c>
      <c r="F30" s="196">
        <v>0</v>
      </c>
      <c r="G30" s="232"/>
      <c r="H30" s="168">
        <v>14485000</v>
      </c>
      <c r="I30" s="311">
        <f t="shared" si="4"/>
        <v>46.07921107046286</v>
      </c>
      <c r="J30" s="168">
        <v>14485000</v>
      </c>
      <c r="K30" s="179">
        <f t="shared" si="5"/>
        <v>46.07921107046286</v>
      </c>
      <c r="L30" s="308">
        <v>100</v>
      </c>
      <c r="M30" s="64">
        <f t="shared" si="6"/>
        <v>46.07921107046286</v>
      </c>
      <c r="N30" s="37">
        <f t="shared" si="7"/>
        <v>16950000</v>
      </c>
    </row>
    <row r="31" spans="1:14" ht="12" customHeight="1">
      <c r="A31" s="63">
        <v>4</v>
      </c>
      <c r="B31" s="169" t="s">
        <v>34</v>
      </c>
      <c r="C31" s="166">
        <v>55000000</v>
      </c>
      <c r="D31" s="214"/>
      <c r="E31" s="167">
        <v>0</v>
      </c>
      <c r="F31" s="196">
        <v>0</v>
      </c>
      <c r="G31" s="232"/>
      <c r="H31" s="168">
        <v>34305000</v>
      </c>
      <c r="I31" s="311">
        <f t="shared" si="4"/>
        <v>62.37272727272727</v>
      </c>
      <c r="J31" s="168">
        <v>34305000</v>
      </c>
      <c r="K31" s="179">
        <f t="shared" si="5"/>
        <v>62.37272727272727</v>
      </c>
      <c r="L31" s="308">
        <v>100</v>
      </c>
      <c r="M31" s="64">
        <f t="shared" si="6"/>
        <v>62.37272727272727</v>
      </c>
      <c r="N31" s="37">
        <f t="shared" si="7"/>
        <v>20695000</v>
      </c>
    </row>
    <row r="32" spans="1:14" ht="12" customHeight="1">
      <c r="A32" s="63">
        <v>5</v>
      </c>
      <c r="B32" s="73" t="s">
        <v>35</v>
      </c>
      <c r="C32" s="71">
        <v>26676500</v>
      </c>
      <c r="D32" s="213"/>
      <c r="E32" s="37">
        <v>0</v>
      </c>
      <c r="F32" s="195">
        <v>0</v>
      </c>
      <c r="G32" s="231"/>
      <c r="H32" s="7">
        <v>14485300</v>
      </c>
      <c r="I32" s="311">
        <f t="shared" si="4"/>
        <v>54.29985192960096</v>
      </c>
      <c r="J32" s="7">
        <v>14485300</v>
      </c>
      <c r="K32" s="179">
        <f t="shared" si="5"/>
        <v>54.29985192960096</v>
      </c>
      <c r="L32" s="308">
        <v>100</v>
      </c>
      <c r="M32" s="64">
        <f t="shared" si="6"/>
        <v>54.29985192960096</v>
      </c>
      <c r="N32" s="37">
        <f t="shared" si="7"/>
        <v>12191200</v>
      </c>
    </row>
    <row r="33" spans="1:14" ht="12" customHeight="1">
      <c r="A33" s="63">
        <v>6</v>
      </c>
      <c r="B33" s="73" t="s">
        <v>36</v>
      </c>
      <c r="C33" s="71">
        <v>4000000</v>
      </c>
      <c r="D33" s="213"/>
      <c r="E33" s="37">
        <v>0</v>
      </c>
      <c r="F33" s="195">
        <v>0</v>
      </c>
      <c r="G33" s="231"/>
      <c r="H33" s="7">
        <v>1995200</v>
      </c>
      <c r="I33" s="311">
        <f t="shared" si="4"/>
        <v>49.88</v>
      </c>
      <c r="J33" s="7">
        <v>1995200</v>
      </c>
      <c r="K33" s="179">
        <f t="shared" si="5"/>
        <v>49.88</v>
      </c>
      <c r="L33" s="308">
        <v>100</v>
      </c>
      <c r="M33" s="64">
        <f t="shared" si="6"/>
        <v>49.88</v>
      </c>
      <c r="N33" s="37">
        <f t="shared" si="7"/>
        <v>2004800</v>
      </c>
    </row>
    <row r="34" spans="1:14" ht="12" customHeight="1">
      <c r="A34" s="63">
        <v>7</v>
      </c>
      <c r="B34" s="73" t="s">
        <v>37</v>
      </c>
      <c r="C34" s="71">
        <v>13076000</v>
      </c>
      <c r="D34" s="213"/>
      <c r="E34" s="37">
        <v>0</v>
      </c>
      <c r="F34" s="195">
        <v>0</v>
      </c>
      <c r="G34" s="231"/>
      <c r="H34" s="7">
        <v>8761950</v>
      </c>
      <c r="I34" s="311">
        <f t="shared" si="4"/>
        <v>67.00787702661364</v>
      </c>
      <c r="J34" s="7">
        <v>8761950</v>
      </c>
      <c r="K34" s="179">
        <f t="shared" si="5"/>
        <v>67.00787702661364</v>
      </c>
      <c r="L34" s="308">
        <v>100</v>
      </c>
      <c r="M34" s="64">
        <f t="shared" si="6"/>
        <v>67.00787702661364</v>
      </c>
      <c r="N34" s="37">
        <f t="shared" si="7"/>
        <v>4314050</v>
      </c>
    </row>
    <row r="35" spans="1:14" ht="12" customHeight="1">
      <c r="A35" s="63">
        <v>8</v>
      </c>
      <c r="B35" s="73" t="s">
        <v>38</v>
      </c>
      <c r="C35" s="71">
        <v>7500000</v>
      </c>
      <c r="D35" s="213"/>
      <c r="E35" s="37">
        <v>0</v>
      </c>
      <c r="F35" s="195">
        <v>0</v>
      </c>
      <c r="G35" s="231"/>
      <c r="H35" s="7">
        <v>2180000</v>
      </c>
      <c r="I35" s="311">
        <f t="shared" si="4"/>
        <v>29.06666666666667</v>
      </c>
      <c r="J35" s="7">
        <v>2180000</v>
      </c>
      <c r="K35" s="179">
        <f t="shared" si="5"/>
        <v>29.06666666666667</v>
      </c>
      <c r="L35" s="308">
        <v>100</v>
      </c>
      <c r="M35" s="64">
        <f t="shared" si="6"/>
        <v>29.06666666666667</v>
      </c>
      <c r="N35" s="37">
        <f t="shared" si="7"/>
        <v>5320000</v>
      </c>
    </row>
    <row r="36" spans="1:14" ht="12" customHeight="1">
      <c r="A36" s="63">
        <v>9</v>
      </c>
      <c r="B36" s="73" t="s">
        <v>39</v>
      </c>
      <c r="C36" s="71">
        <v>30000000</v>
      </c>
      <c r="D36" s="213"/>
      <c r="E36" s="37">
        <v>0</v>
      </c>
      <c r="F36" s="195">
        <v>0</v>
      </c>
      <c r="G36" s="231"/>
      <c r="H36" s="7">
        <v>18128200</v>
      </c>
      <c r="I36" s="311">
        <f t="shared" si="4"/>
        <v>60.42733333333333</v>
      </c>
      <c r="J36" s="7">
        <v>18128200</v>
      </c>
      <c r="K36" s="179">
        <f t="shared" si="5"/>
        <v>60.42733333333333</v>
      </c>
      <c r="L36" s="308">
        <v>100</v>
      </c>
      <c r="M36" s="64">
        <f t="shared" si="6"/>
        <v>60.42733333333333</v>
      </c>
      <c r="N36" s="37">
        <f t="shared" si="7"/>
        <v>11871800</v>
      </c>
    </row>
    <row r="37" spans="1:14" ht="12" customHeight="1">
      <c r="A37" s="63">
        <v>10</v>
      </c>
      <c r="B37" s="73" t="s">
        <v>40</v>
      </c>
      <c r="C37" s="71">
        <v>200000000</v>
      </c>
      <c r="D37" s="213"/>
      <c r="E37" s="37">
        <v>0</v>
      </c>
      <c r="F37" s="195">
        <v>0</v>
      </c>
      <c r="G37" s="231"/>
      <c r="H37" s="7">
        <v>91631161</v>
      </c>
      <c r="I37" s="311">
        <f t="shared" si="4"/>
        <v>45.8155805</v>
      </c>
      <c r="J37" s="7">
        <v>91631161</v>
      </c>
      <c r="K37" s="179">
        <f t="shared" si="5"/>
        <v>45.8155805</v>
      </c>
      <c r="L37" s="308">
        <v>100</v>
      </c>
      <c r="M37" s="64">
        <f t="shared" si="6"/>
        <v>45.8155805</v>
      </c>
      <c r="N37" s="37">
        <f t="shared" si="7"/>
        <v>108368839</v>
      </c>
    </row>
    <row r="38" spans="1:14" ht="12" customHeight="1">
      <c r="A38" s="63">
        <v>11</v>
      </c>
      <c r="B38" s="73" t="s">
        <v>41</v>
      </c>
      <c r="C38" s="71">
        <v>928528000</v>
      </c>
      <c r="D38" s="213"/>
      <c r="E38" s="37">
        <v>0</v>
      </c>
      <c r="F38" s="195">
        <v>0</v>
      </c>
      <c r="G38" s="231"/>
      <c r="H38" s="7">
        <v>288287464</v>
      </c>
      <c r="I38" s="311">
        <f t="shared" si="4"/>
        <v>31.0477943583823</v>
      </c>
      <c r="J38" s="7">
        <v>288287464</v>
      </c>
      <c r="K38" s="179">
        <f t="shared" si="5"/>
        <v>31.0477943583823</v>
      </c>
      <c r="L38" s="308">
        <v>100</v>
      </c>
      <c r="M38" s="64">
        <f t="shared" si="6"/>
        <v>31.0477943583823</v>
      </c>
      <c r="N38" s="37">
        <f t="shared" si="7"/>
        <v>640240536</v>
      </c>
    </row>
    <row r="39" spans="1:14" ht="12" customHeight="1">
      <c r="A39" s="253"/>
      <c r="B39" s="75"/>
      <c r="C39" s="71"/>
      <c r="D39" s="213"/>
      <c r="E39" s="37"/>
      <c r="F39" s="195"/>
      <c r="G39" s="231"/>
      <c r="H39" s="7"/>
      <c r="I39" s="114"/>
      <c r="J39" s="7"/>
      <c r="K39" s="36"/>
      <c r="L39" s="307"/>
      <c r="M39" s="37">
        <f>K39</f>
        <v>0</v>
      </c>
      <c r="N39" s="37">
        <f t="shared" si="7"/>
        <v>0</v>
      </c>
    </row>
    <row r="40" spans="1:14" ht="12" customHeight="1">
      <c r="A40" s="68">
        <v>2</v>
      </c>
      <c r="B40" s="69" t="s">
        <v>42</v>
      </c>
      <c r="C40" s="39">
        <f>SUM(C41:C48)</f>
        <v>761012000</v>
      </c>
      <c r="D40" s="198"/>
      <c r="E40" s="39">
        <f>SUM(E41:E48)</f>
        <v>43582000</v>
      </c>
      <c r="F40" s="197"/>
      <c r="G40" s="233"/>
      <c r="H40" s="39">
        <f>SUM(H41:H48)</f>
        <v>492973751</v>
      </c>
      <c r="I40" s="311">
        <f>+H40/C40*100</f>
        <v>64.77870927133868</v>
      </c>
      <c r="J40" s="39">
        <f>SUM(J41:J48)</f>
        <v>492973751</v>
      </c>
      <c r="K40" s="179">
        <f>+J40/C40*100</f>
        <v>64.77870927133868</v>
      </c>
      <c r="L40" s="308">
        <v>100</v>
      </c>
      <c r="M40" s="64">
        <f>+J40/C40*100</f>
        <v>64.77870927133868</v>
      </c>
      <c r="N40" s="37">
        <f t="shared" si="7"/>
        <v>268038249</v>
      </c>
    </row>
    <row r="41" spans="1:14" ht="12" customHeight="1">
      <c r="A41" s="63">
        <v>1</v>
      </c>
      <c r="B41" s="73" t="s">
        <v>43</v>
      </c>
      <c r="C41" s="71">
        <v>85000000</v>
      </c>
      <c r="D41" s="213"/>
      <c r="E41" s="37"/>
      <c r="F41" s="195"/>
      <c r="G41" s="231"/>
      <c r="H41" s="71">
        <v>47359600</v>
      </c>
      <c r="I41" s="311">
        <f>+H41/C41*100</f>
        <v>55.717176470588235</v>
      </c>
      <c r="J41" s="71">
        <v>47359600</v>
      </c>
      <c r="K41" s="179">
        <f>+J41/C41*100</f>
        <v>55.717176470588235</v>
      </c>
      <c r="L41" s="308">
        <v>100</v>
      </c>
      <c r="M41" s="64">
        <f>+J41/C41*100</f>
        <v>55.717176470588235</v>
      </c>
      <c r="N41" s="37">
        <f t="shared" si="7"/>
        <v>37640400</v>
      </c>
    </row>
    <row r="42" spans="1:14" ht="12" customHeight="1">
      <c r="A42" s="63">
        <v>2</v>
      </c>
      <c r="B42" s="73" t="s">
        <v>44</v>
      </c>
      <c r="C42" s="71">
        <v>45000000</v>
      </c>
      <c r="D42" s="264" t="s">
        <v>121</v>
      </c>
      <c r="E42" s="37">
        <v>5808000</v>
      </c>
      <c r="F42" s="195" t="s">
        <v>124</v>
      </c>
      <c r="G42" s="231" t="s">
        <v>125</v>
      </c>
      <c r="H42" s="71">
        <v>44536000</v>
      </c>
      <c r="I42" s="311">
        <f>+H42/C42*100</f>
        <v>98.96888888888888</v>
      </c>
      <c r="J42" s="71">
        <v>44536000</v>
      </c>
      <c r="K42" s="179">
        <f>+J42/C42*100</f>
        <v>98.96888888888888</v>
      </c>
      <c r="L42" s="308">
        <v>100</v>
      </c>
      <c r="M42" s="64">
        <f>+J42/C42*100</f>
        <v>98.96888888888888</v>
      </c>
      <c r="N42" s="37">
        <f t="shared" si="7"/>
        <v>464000</v>
      </c>
    </row>
    <row r="43" spans="1:14" ht="12" customHeight="1">
      <c r="A43" s="63"/>
      <c r="B43" s="73"/>
      <c r="C43" s="71"/>
      <c r="D43" s="264" t="s">
        <v>122</v>
      </c>
      <c r="E43" s="37">
        <v>15774000</v>
      </c>
      <c r="F43" s="195" t="s">
        <v>124</v>
      </c>
      <c r="G43" s="231" t="s">
        <v>125</v>
      </c>
      <c r="H43" s="71"/>
      <c r="I43" s="114"/>
      <c r="J43" s="71"/>
      <c r="K43" s="36"/>
      <c r="L43" s="37"/>
      <c r="M43" s="37"/>
      <c r="N43" s="37"/>
    </row>
    <row r="44" spans="1:14" ht="12" customHeight="1">
      <c r="A44" s="63"/>
      <c r="B44" s="73"/>
      <c r="C44" s="71"/>
      <c r="D44" s="264" t="s">
        <v>123</v>
      </c>
      <c r="E44" s="37">
        <v>22000000</v>
      </c>
      <c r="F44" s="195" t="s">
        <v>124</v>
      </c>
      <c r="G44" s="231" t="s">
        <v>125</v>
      </c>
      <c r="H44" s="71"/>
      <c r="I44" s="114"/>
      <c r="J44" s="71"/>
      <c r="K44" s="36"/>
      <c r="L44" s="297"/>
      <c r="M44" s="37"/>
      <c r="N44" s="37"/>
    </row>
    <row r="45" spans="1:14" ht="12" customHeight="1">
      <c r="A45" s="63">
        <v>3</v>
      </c>
      <c r="B45" s="73" t="s">
        <v>45</v>
      </c>
      <c r="C45" s="71">
        <v>239382000</v>
      </c>
      <c r="D45" s="264"/>
      <c r="E45" s="37"/>
      <c r="F45" s="195"/>
      <c r="G45" s="231"/>
      <c r="H45" s="71">
        <v>174523050</v>
      </c>
      <c r="I45" s="311">
        <f>+H45/C45*100</f>
        <v>72.90566959921799</v>
      </c>
      <c r="J45" s="71">
        <v>174523050</v>
      </c>
      <c r="K45" s="179">
        <f aca="true" t="shared" si="8" ref="K45:K51">+J45/C45*100</f>
        <v>72.90566959921799</v>
      </c>
      <c r="L45" s="308">
        <v>100</v>
      </c>
      <c r="M45" s="64">
        <f>+J45/C45*100</f>
        <v>72.90566959921799</v>
      </c>
      <c r="N45" s="37">
        <f>C45-J45</f>
        <v>64858950</v>
      </c>
    </row>
    <row r="46" spans="1:14" ht="12" customHeight="1">
      <c r="A46" s="63">
        <v>4</v>
      </c>
      <c r="B46" s="73" t="s">
        <v>46</v>
      </c>
      <c r="C46" s="71">
        <v>370980000</v>
      </c>
      <c r="D46" s="213"/>
      <c r="E46" s="37"/>
      <c r="F46" s="195"/>
      <c r="G46" s="231"/>
      <c r="H46" s="7">
        <v>215555301</v>
      </c>
      <c r="I46" s="311">
        <f>+H46/C46*100</f>
        <v>58.1042916060165</v>
      </c>
      <c r="J46" s="7">
        <v>215555301</v>
      </c>
      <c r="K46" s="179">
        <f t="shared" si="8"/>
        <v>58.1042916060165</v>
      </c>
      <c r="L46" s="308">
        <v>100</v>
      </c>
      <c r="M46" s="64">
        <f>+J46/C46*100</f>
        <v>58.1042916060165</v>
      </c>
      <c r="N46" s="37">
        <f>C46-J46</f>
        <v>155424699</v>
      </c>
    </row>
    <row r="47" spans="1:14" ht="12" customHeight="1">
      <c r="A47" s="63">
        <v>5</v>
      </c>
      <c r="B47" s="73" t="s">
        <v>47</v>
      </c>
      <c r="C47" s="71">
        <v>13050000</v>
      </c>
      <c r="D47" s="213"/>
      <c r="E47" s="37">
        <v>0</v>
      </c>
      <c r="F47" s="195">
        <v>0</v>
      </c>
      <c r="G47" s="231"/>
      <c r="H47" s="7">
        <v>3400000</v>
      </c>
      <c r="I47" s="311">
        <f>+H47/C47*100</f>
        <v>26.053639846743295</v>
      </c>
      <c r="J47" s="7">
        <v>3400000</v>
      </c>
      <c r="K47" s="179">
        <f t="shared" si="8"/>
        <v>26.053639846743295</v>
      </c>
      <c r="L47" s="308">
        <v>100</v>
      </c>
      <c r="M47" s="64">
        <f>+J47/C47*100</f>
        <v>26.053639846743295</v>
      </c>
      <c r="N47" s="37">
        <f>C47-J47</f>
        <v>9650000</v>
      </c>
    </row>
    <row r="48" spans="1:14" ht="12" customHeight="1">
      <c r="A48" s="63">
        <v>6</v>
      </c>
      <c r="B48" s="73" t="s">
        <v>48</v>
      </c>
      <c r="C48" s="71">
        <v>7600000</v>
      </c>
      <c r="D48" s="213"/>
      <c r="E48" s="37"/>
      <c r="F48" s="195"/>
      <c r="G48" s="231"/>
      <c r="H48" s="71">
        <v>7599800</v>
      </c>
      <c r="I48" s="311">
        <f>+H48/C48*100</f>
        <v>99.99736842105264</v>
      </c>
      <c r="J48" s="71">
        <v>7599800</v>
      </c>
      <c r="K48" s="179">
        <f t="shared" si="8"/>
        <v>99.99736842105264</v>
      </c>
      <c r="L48" s="308">
        <v>100</v>
      </c>
      <c r="M48" s="64">
        <f>+J48/C48*100</f>
        <v>99.99736842105264</v>
      </c>
      <c r="N48" s="37">
        <f>C48-J48</f>
        <v>200</v>
      </c>
    </row>
    <row r="49" spans="1:14" ht="12" customHeight="1">
      <c r="A49" s="63"/>
      <c r="B49" s="73"/>
      <c r="C49" s="71"/>
      <c r="D49" s="213"/>
      <c r="E49" s="37"/>
      <c r="F49" s="195"/>
      <c r="G49" s="231"/>
      <c r="H49" s="7"/>
      <c r="I49" s="114"/>
      <c r="J49" s="7"/>
      <c r="K49" s="36"/>
      <c r="L49" s="37"/>
      <c r="M49" s="37"/>
      <c r="N49" s="37">
        <f t="shared" si="7"/>
        <v>0</v>
      </c>
    </row>
    <row r="50" spans="1:14" ht="12" customHeight="1">
      <c r="A50" s="68">
        <v>3</v>
      </c>
      <c r="B50" s="69" t="s">
        <v>49</v>
      </c>
      <c r="C50" s="39">
        <f>C51</f>
        <v>74570000</v>
      </c>
      <c r="D50" s="198"/>
      <c r="E50" s="39">
        <f>E51</f>
        <v>57200000</v>
      </c>
      <c r="F50" s="198"/>
      <c r="G50" s="234"/>
      <c r="H50" s="8">
        <f>H51</f>
        <v>73200000</v>
      </c>
      <c r="I50" s="311">
        <f>+H50/C50*100</f>
        <v>98.16280005364088</v>
      </c>
      <c r="J50" s="8">
        <f>J51</f>
        <v>73200000</v>
      </c>
      <c r="K50" s="179">
        <f t="shared" si="8"/>
        <v>98.16280005364088</v>
      </c>
      <c r="L50" s="308">
        <v>100</v>
      </c>
      <c r="M50" s="64">
        <f>+J50/C50*100</f>
        <v>98.16280005364088</v>
      </c>
      <c r="N50" s="37">
        <f t="shared" si="7"/>
        <v>1370000</v>
      </c>
    </row>
    <row r="51" spans="1:14" ht="12" customHeight="1">
      <c r="A51" s="63"/>
      <c r="B51" s="55" t="s">
        <v>50</v>
      </c>
      <c r="C51" s="250">
        <v>74570000</v>
      </c>
      <c r="D51" s="265" t="s">
        <v>118</v>
      </c>
      <c r="E51" s="37">
        <v>57200000</v>
      </c>
      <c r="F51" s="263" t="s">
        <v>119</v>
      </c>
      <c r="G51" s="231" t="s">
        <v>120</v>
      </c>
      <c r="H51" s="10">
        <f>16000000+57200000</f>
        <v>73200000</v>
      </c>
      <c r="I51" s="311">
        <f>+H51/C51*100</f>
        <v>98.16280005364088</v>
      </c>
      <c r="J51" s="10">
        <f>16000000+57200000</f>
        <v>73200000</v>
      </c>
      <c r="K51" s="179">
        <f t="shared" si="8"/>
        <v>98.16280005364088</v>
      </c>
      <c r="L51" s="308">
        <v>100</v>
      </c>
      <c r="M51" s="64">
        <f>+J51/C51*100</f>
        <v>98.16280005364088</v>
      </c>
      <c r="N51" s="37">
        <f t="shared" si="7"/>
        <v>1370000</v>
      </c>
    </row>
    <row r="52" spans="1:14" ht="12" customHeight="1">
      <c r="A52" s="257"/>
      <c r="B52" s="300"/>
      <c r="C52" s="301"/>
      <c r="D52" s="302"/>
      <c r="E52" s="303"/>
      <c r="F52" s="263"/>
      <c r="G52" s="304"/>
      <c r="H52" s="305"/>
      <c r="I52" s="312"/>
      <c r="J52" s="305"/>
      <c r="K52" s="7"/>
      <c r="L52" s="310"/>
      <c r="M52" s="303"/>
      <c r="N52" s="303"/>
    </row>
    <row r="53" spans="1:14" ht="12" customHeight="1">
      <c r="A53" s="257"/>
      <c r="B53" s="300"/>
      <c r="C53" s="301"/>
      <c r="D53" s="302"/>
      <c r="E53" s="303"/>
      <c r="F53" s="263"/>
      <c r="G53" s="304"/>
      <c r="H53" s="305"/>
      <c r="I53" s="312"/>
      <c r="J53" s="305"/>
      <c r="K53" s="306"/>
      <c r="L53" s="310"/>
      <c r="M53" s="303"/>
      <c r="N53" s="303"/>
    </row>
    <row r="54" spans="1:14" ht="12" customHeight="1">
      <c r="A54" s="257"/>
      <c r="B54" s="300"/>
      <c r="C54" s="301"/>
      <c r="D54" s="302"/>
      <c r="E54" s="303"/>
      <c r="F54" s="263"/>
      <c r="G54" s="304"/>
      <c r="H54" s="305"/>
      <c r="I54" s="312"/>
      <c r="J54" s="305"/>
      <c r="K54" s="306"/>
      <c r="L54" s="310"/>
      <c r="M54" s="303"/>
      <c r="N54" s="303"/>
    </row>
    <row r="55" spans="1:14" ht="12" customHeight="1">
      <c r="A55" s="286"/>
      <c r="B55" s="287"/>
      <c r="C55" s="288"/>
      <c r="D55" s="289"/>
      <c r="E55" s="290"/>
      <c r="F55" s="291"/>
      <c r="G55" s="292"/>
      <c r="H55" s="293"/>
      <c r="I55" s="313"/>
      <c r="J55" s="293"/>
      <c r="K55" s="294"/>
      <c r="L55" s="309"/>
      <c r="M55" s="295"/>
      <c r="N55" s="295"/>
    </row>
    <row r="56" spans="1:14" ht="12" customHeight="1">
      <c r="A56" s="259">
        <v>4</v>
      </c>
      <c r="B56" s="280" t="s">
        <v>51</v>
      </c>
      <c r="C56" s="281">
        <f>C57+C63+C64</f>
        <v>4830000000</v>
      </c>
      <c r="D56" s="282"/>
      <c r="E56" s="281">
        <f>SUM(E57:E65)</f>
        <v>542250000</v>
      </c>
      <c r="F56" s="282"/>
      <c r="G56" s="283"/>
      <c r="H56" s="284">
        <f>SUM(H57:H64)</f>
        <v>1168687302</v>
      </c>
      <c r="I56" s="311">
        <f>+H56/C56*100</f>
        <v>24.196424472049692</v>
      </c>
      <c r="J56" s="284">
        <f>SUM(J57:J64)</f>
        <v>1168687302</v>
      </c>
      <c r="K56" s="179">
        <f>+J56/C56*100</f>
        <v>24.196424472049692</v>
      </c>
      <c r="L56" s="308">
        <v>100</v>
      </c>
      <c r="M56" s="64">
        <f>+J56/C56*100</f>
        <v>24.196424472049692</v>
      </c>
      <c r="N56" s="285">
        <f aca="true" t="shared" si="9" ref="N56:N90">C56-J56</f>
        <v>3661312698</v>
      </c>
    </row>
    <row r="57" spans="1:14" ht="12" customHeight="1">
      <c r="A57" s="63">
        <v>1</v>
      </c>
      <c r="B57" s="21" t="s">
        <v>52</v>
      </c>
      <c r="C57" s="22">
        <v>3930000000</v>
      </c>
      <c r="D57" s="266" t="s">
        <v>111</v>
      </c>
      <c r="E57" s="22">
        <v>89375000</v>
      </c>
      <c r="F57" s="201" t="s">
        <v>114</v>
      </c>
      <c r="G57" s="267" t="s">
        <v>116</v>
      </c>
      <c r="H57" s="22">
        <f>18176400+79925000+108075000+89375000+198000000+98200000</f>
        <v>591751400</v>
      </c>
      <c r="I57" s="311">
        <f>+H57/C57*100</f>
        <v>15.057287531806615</v>
      </c>
      <c r="J57" s="22">
        <f>18176400+79925000+108075000+89375000+198000000+98200000</f>
        <v>591751400</v>
      </c>
      <c r="K57" s="179">
        <f>+J57/C57*100</f>
        <v>15.057287531806615</v>
      </c>
      <c r="L57" s="308">
        <v>100</v>
      </c>
      <c r="M57" s="64">
        <f>+J57/C57*100</f>
        <v>15.057287531806615</v>
      </c>
      <c r="N57" s="172">
        <f t="shared" si="9"/>
        <v>3338248600</v>
      </c>
    </row>
    <row r="58" spans="1:19" ht="12" customHeight="1">
      <c r="A58" s="63"/>
      <c r="B58" s="21"/>
      <c r="C58" s="22"/>
      <c r="D58" s="266" t="s">
        <v>112</v>
      </c>
      <c r="E58" s="22">
        <v>198000000</v>
      </c>
      <c r="F58" s="201" t="s">
        <v>115</v>
      </c>
      <c r="G58" s="267" t="s">
        <v>117</v>
      </c>
      <c r="H58" s="22"/>
      <c r="I58" s="114"/>
      <c r="J58" s="22"/>
      <c r="K58" s="36"/>
      <c r="L58" s="307"/>
      <c r="M58" s="37"/>
      <c r="N58" s="172"/>
      <c r="S58" s="22"/>
    </row>
    <row r="59" spans="1:19" ht="12" customHeight="1">
      <c r="A59" s="63"/>
      <c r="B59" s="21"/>
      <c r="C59" s="22"/>
      <c r="D59" s="266" t="s">
        <v>113</v>
      </c>
      <c r="E59" s="22">
        <v>108075000</v>
      </c>
      <c r="F59" s="201" t="s">
        <v>114</v>
      </c>
      <c r="G59" s="267" t="s">
        <v>116</v>
      </c>
      <c r="H59" s="22"/>
      <c r="I59" s="114"/>
      <c r="J59" s="22"/>
      <c r="K59" s="36"/>
      <c r="L59" s="307"/>
      <c r="M59" s="37"/>
      <c r="N59" s="172"/>
      <c r="S59" s="22"/>
    </row>
    <row r="60" spans="1:19" ht="12" customHeight="1">
      <c r="A60" s="63"/>
      <c r="B60" s="21"/>
      <c r="C60" s="22"/>
      <c r="D60" s="274" t="s">
        <v>130</v>
      </c>
      <c r="E60" s="275">
        <v>98200000</v>
      </c>
      <c r="F60" s="276" t="s">
        <v>131</v>
      </c>
      <c r="G60" s="277">
        <v>43556</v>
      </c>
      <c r="H60" s="22"/>
      <c r="I60" s="114"/>
      <c r="J60" s="22"/>
      <c r="K60" s="36"/>
      <c r="L60" s="307"/>
      <c r="M60" s="37"/>
      <c r="N60" s="172"/>
      <c r="S60" s="22"/>
    </row>
    <row r="61" spans="1:19" ht="12" customHeight="1">
      <c r="A61" s="63"/>
      <c r="B61" s="21"/>
      <c r="C61" s="22"/>
      <c r="D61" s="274"/>
      <c r="E61" s="275"/>
      <c r="F61" s="276"/>
      <c r="G61" s="278"/>
      <c r="H61" s="22"/>
      <c r="I61" s="114"/>
      <c r="J61" s="22"/>
      <c r="K61" s="36"/>
      <c r="L61" s="307"/>
      <c r="M61" s="37"/>
      <c r="N61" s="172"/>
      <c r="S61" s="22"/>
    </row>
    <row r="62" spans="1:19" ht="12" customHeight="1">
      <c r="A62" s="63"/>
      <c r="B62" s="21"/>
      <c r="C62" s="22"/>
      <c r="D62" s="274"/>
      <c r="E62" s="275"/>
      <c r="F62" s="276"/>
      <c r="G62" s="279"/>
      <c r="H62" s="275"/>
      <c r="I62" s="114"/>
      <c r="J62" s="275"/>
      <c r="K62" s="36"/>
      <c r="L62" s="307"/>
      <c r="M62" s="37"/>
      <c r="N62" s="172"/>
      <c r="S62" s="22"/>
    </row>
    <row r="63" spans="1:19" ht="12" customHeight="1">
      <c r="A63" s="63">
        <v>2</v>
      </c>
      <c r="B63" s="21" t="s">
        <v>53</v>
      </c>
      <c r="C63" s="22">
        <v>750000000</v>
      </c>
      <c r="D63" s="201"/>
      <c r="E63" s="32"/>
      <c r="F63" s="99"/>
      <c r="G63" s="235"/>
      <c r="H63" s="23">
        <v>497015902</v>
      </c>
      <c r="I63" s="311">
        <f>+H63/C63*100</f>
        <v>66.26878693333333</v>
      </c>
      <c r="J63" s="23">
        <v>497015902</v>
      </c>
      <c r="K63" s="179">
        <f>+J63/C63*100</f>
        <v>66.26878693333333</v>
      </c>
      <c r="L63" s="308">
        <v>100</v>
      </c>
      <c r="M63" s="64">
        <f>+J63/C63*100</f>
        <v>66.26878693333333</v>
      </c>
      <c r="N63" s="172">
        <f t="shared" si="9"/>
        <v>252984098</v>
      </c>
      <c r="S63" s="275"/>
    </row>
    <row r="64" spans="1:20" ht="12" customHeight="1">
      <c r="A64" s="63">
        <v>3</v>
      </c>
      <c r="B64" s="21" t="s">
        <v>54</v>
      </c>
      <c r="C64" s="22">
        <v>150000000</v>
      </c>
      <c r="D64" s="201" t="s">
        <v>107</v>
      </c>
      <c r="E64" s="23">
        <v>48600000</v>
      </c>
      <c r="F64" s="99" t="s">
        <v>108</v>
      </c>
      <c r="G64" s="235">
        <v>43584</v>
      </c>
      <c r="H64" s="23">
        <v>79920000</v>
      </c>
      <c r="I64" s="311">
        <f>+H64/C64*100</f>
        <v>53.28000000000001</v>
      </c>
      <c r="J64" s="23">
        <v>79920000</v>
      </c>
      <c r="K64" s="179">
        <f>+J64/C64*100</f>
        <v>53.28000000000001</v>
      </c>
      <c r="L64" s="308">
        <v>100</v>
      </c>
      <c r="M64" s="64">
        <f>+J64/C64*100</f>
        <v>53.28000000000001</v>
      </c>
      <c r="N64" s="172">
        <f t="shared" si="9"/>
        <v>70080000</v>
      </c>
      <c r="O64" s="1"/>
      <c r="P64" s="1"/>
      <c r="S64" s="298"/>
      <c r="T64" s="299"/>
    </row>
    <row r="65" spans="1:16" ht="12" customHeight="1">
      <c r="A65" s="255"/>
      <c r="B65" s="246"/>
      <c r="C65" s="28"/>
      <c r="D65" s="215"/>
      <c r="E65" s="29"/>
      <c r="F65" s="134"/>
      <c r="G65" s="238"/>
      <c r="H65" s="29"/>
      <c r="I65" s="314"/>
      <c r="J65" s="29"/>
      <c r="K65" s="36"/>
      <c r="L65" s="307"/>
      <c r="M65" s="173"/>
      <c r="N65" s="172"/>
      <c r="O65" s="1"/>
      <c r="P65" s="1"/>
    </row>
    <row r="66" spans="1:14" ht="12" customHeight="1">
      <c r="A66" s="256">
        <v>5</v>
      </c>
      <c r="B66" s="97" t="s">
        <v>56</v>
      </c>
      <c r="C66" s="48">
        <f>SUM(C67:C78)</f>
        <v>1208500000</v>
      </c>
      <c r="D66" s="202"/>
      <c r="E66" s="48">
        <f>E67+E68+E69++E70+E71+E72+E73+E75+E76+E78</f>
        <v>11000000</v>
      </c>
      <c r="F66" s="202"/>
      <c r="G66" s="239"/>
      <c r="H66" s="174">
        <f>SUM(H67:H78)</f>
        <v>402620049</v>
      </c>
      <c r="I66" s="311">
        <f aca="true" t="shared" si="10" ref="I66:I78">+H66/C66*100</f>
        <v>33.31568465039305</v>
      </c>
      <c r="J66" s="174">
        <f>SUM(J67:J78)</f>
        <v>402620049</v>
      </c>
      <c r="K66" s="179">
        <f aca="true" t="shared" si="11" ref="K66:K78">+J66/C66*100</f>
        <v>33.31568465039305</v>
      </c>
      <c r="L66" s="308">
        <v>100</v>
      </c>
      <c r="M66" s="64">
        <f aca="true" t="shared" si="12" ref="M66:M78">+J66/C66*100</f>
        <v>33.31568465039305</v>
      </c>
      <c r="N66" s="172">
        <f t="shared" si="9"/>
        <v>805879951</v>
      </c>
    </row>
    <row r="67" spans="1:14" ht="12" customHeight="1">
      <c r="A67" s="63">
        <v>1</v>
      </c>
      <c r="B67" s="73" t="s">
        <v>57</v>
      </c>
      <c r="C67" s="71">
        <v>350000000</v>
      </c>
      <c r="D67" s="213"/>
      <c r="E67" s="71"/>
      <c r="F67" s="99"/>
      <c r="G67" s="235"/>
      <c r="H67" s="71">
        <v>90748900</v>
      </c>
      <c r="I67" s="311">
        <f t="shared" si="10"/>
        <v>25.92825714285714</v>
      </c>
      <c r="J67" s="71">
        <v>90748900</v>
      </c>
      <c r="K67" s="179">
        <f t="shared" si="11"/>
        <v>25.92825714285714</v>
      </c>
      <c r="L67" s="308">
        <v>100</v>
      </c>
      <c r="M67" s="64">
        <f t="shared" si="12"/>
        <v>25.92825714285714</v>
      </c>
      <c r="N67" s="172">
        <f t="shared" si="9"/>
        <v>259251100</v>
      </c>
    </row>
    <row r="68" spans="1:14" ht="12" customHeight="1">
      <c r="A68" s="63">
        <v>2</v>
      </c>
      <c r="B68" s="98" t="s">
        <v>58</v>
      </c>
      <c r="C68" s="71">
        <v>165000000</v>
      </c>
      <c r="D68" s="213"/>
      <c r="E68" s="37"/>
      <c r="F68" s="99"/>
      <c r="G68" s="235"/>
      <c r="H68" s="71">
        <v>122001983</v>
      </c>
      <c r="I68" s="311">
        <f t="shared" si="10"/>
        <v>73.94059575757575</v>
      </c>
      <c r="J68" s="71">
        <v>122001983</v>
      </c>
      <c r="K68" s="179">
        <f t="shared" si="11"/>
        <v>73.94059575757575</v>
      </c>
      <c r="L68" s="308">
        <v>100</v>
      </c>
      <c r="M68" s="64">
        <f t="shared" si="12"/>
        <v>73.94059575757575</v>
      </c>
      <c r="N68" s="172">
        <f t="shared" si="9"/>
        <v>42998017</v>
      </c>
    </row>
    <row r="69" spans="1:14" ht="12" customHeight="1">
      <c r="A69" s="63">
        <v>3</v>
      </c>
      <c r="B69" s="98" t="s">
        <v>59</v>
      </c>
      <c r="C69" s="71">
        <v>50000000</v>
      </c>
      <c r="D69" s="213"/>
      <c r="E69" s="37"/>
      <c r="F69" s="99"/>
      <c r="G69" s="235"/>
      <c r="H69" s="7">
        <v>22900000</v>
      </c>
      <c r="I69" s="311">
        <f t="shared" si="10"/>
        <v>45.800000000000004</v>
      </c>
      <c r="J69" s="7">
        <v>22900000</v>
      </c>
      <c r="K69" s="179">
        <f t="shared" si="11"/>
        <v>45.800000000000004</v>
      </c>
      <c r="L69" s="308">
        <v>100</v>
      </c>
      <c r="M69" s="64">
        <f t="shared" si="12"/>
        <v>45.800000000000004</v>
      </c>
      <c r="N69" s="172">
        <f t="shared" si="9"/>
        <v>27100000</v>
      </c>
    </row>
    <row r="70" spans="1:14" ht="12" customHeight="1">
      <c r="A70" s="63">
        <v>4</v>
      </c>
      <c r="B70" s="73" t="s">
        <v>78</v>
      </c>
      <c r="C70" s="71">
        <v>80000000</v>
      </c>
      <c r="D70" s="213" t="s">
        <v>110</v>
      </c>
      <c r="E70" s="37">
        <v>11000000</v>
      </c>
      <c r="F70" s="99" t="s">
        <v>109</v>
      </c>
      <c r="G70" s="235">
        <v>43580</v>
      </c>
      <c r="H70" s="7">
        <v>29275000</v>
      </c>
      <c r="I70" s="311">
        <f t="shared" si="10"/>
        <v>36.59375</v>
      </c>
      <c r="J70" s="7">
        <v>29275000</v>
      </c>
      <c r="K70" s="179">
        <f t="shared" si="11"/>
        <v>36.59375</v>
      </c>
      <c r="L70" s="308">
        <v>100</v>
      </c>
      <c r="M70" s="64">
        <f t="shared" si="12"/>
        <v>36.59375</v>
      </c>
      <c r="N70" s="172">
        <f t="shared" si="9"/>
        <v>50725000</v>
      </c>
    </row>
    <row r="71" spans="1:14" ht="12" customHeight="1">
      <c r="A71" s="63">
        <v>5</v>
      </c>
      <c r="B71" s="73" t="s">
        <v>79</v>
      </c>
      <c r="C71" s="71">
        <v>50000000</v>
      </c>
      <c r="D71" s="213"/>
      <c r="E71" s="37"/>
      <c r="F71" s="99"/>
      <c r="G71" s="235"/>
      <c r="H71" s="7">
        <v>10775000</v>
      </c>
      <c r="I71" s="311">
        <f t="shared" si="10"/>
        <v>21.55</v>
      </c>
      <c r="J71" s="7">
        <v>10775000</v>
      </c>
      <c r="K71" s="179">
        <f t="shared" si="11"/>
        <v>21.55</v>
      </c>
      <c r="L71" s="308">
        <v>100</v>
      </c>
      <c r="M71" s="64">
        <f t="shared" si="12"/>
        <v>21.55</v>
      </c>
      <c r="N71" s="172">
        <f t="shared" si="9"/>
        <v>39225000</v>
      </c>
    </row>
    <row r="72" spans="1:14" ht="12" customHeight="1">
      <c r="A72" s="63">
        <v>6</v>
      </c>
      <c r="B72" s="73" t="s">
        <v>60</v>
      </c>
      <c r="C72" s="71">
        <v>50000000</v>
      </c>
      <c r="D72" s="213"/>
      <c r="E72" s="37"/>
      <c r="F72" s="99"/>
      <c r="G72" s="235"/>
      <c r="H72" s="7">
        <v>20860166</v>
      </c>
      <c r="I72" s="311">
        <f t="shared" si="10"/>
        <v>41.720332</v>
      </c>
      <c r="J72" s="7">
        <v>20860166</v>
      </c>
      <c r="K72" s="179">
        <f t="shared" si="11"/>
        <v>41.720332</v>
      </c>
      <c r="L72" s="308">
        <v>100</v>
      </c>
      <c r="M72" s="64">
        <f t="shared" si="12"/>
        <v>41.720332</v>
      </c>
      <c r="N72" s="172">
        <f t="shared" si="9"/>
        <v>29139834</v>
      </c>
    </row>
    <row r="73" spans="1:14" ht="12" customHeight="1">
      <c r="A73" s="257">
        <v>7</v>
      </c>
      <c r="B73" s="122" t="s">
        <v>61</v>
      </c>
      <c r="C73" s="123">
        <v>50000000</v>
      </c>
      <c r="D73" s="216"/>
      <c r="E73" s="115"/>
      <c r="F73" s="203"/>
      <c r="G73" s="240"/>
      <c r="H73" s="124">
        <v>48600000</v>
      </c>
      <c r="I73" s="311">
        <f t="shared" si="10"/>
        <v>97.2</v>
      </c>
      <c r="J73" s="124">
        <v>48600000</v>
      </c>
      <c r="K73" s="179">
        <f t="shared" si="11"/>
        <v>97.2</v>
      </c>
      <c r="L73" s="308">
        <v>100</v>
      </c>
      <c r="M73" s="64">
        <f t="shared" si="12"/>
        <v>97.2</v>
      </c>
      <c r="N73" s="172">
        <f t="shared" si="9"/>
        <v>1400000</v>
      </c>
    </row>
    <row r="74" spans="1:14" ht="12" customHeight="1">
      <c r="A74" s="63">
        <v>8</v>
      </c>
      <c r="B74" s="122" t="s">
        <v>85</v>
      </c>
      <c r="C74" s="123">
        <v>156700000</v>
      </c>
      <c r="D74" s="216"/>
      <c r="E74" s="115"/>
      <c r="F74" s="203"/>
      <c r="G74" s="240"/>
      <c r="H74" s="124">
        <v>0</v>
      </c>
      <c r="I74" s="311">
        <f t="shared" si="10"/>
        <v>0</v>
      </c>
      <c r="J74" s="124">
        <v>0</v>
      </c>
      <c r="K74" s="179">
        <f t="shared" si="11"/>
        <v>0</v>
      </c>
      <c r="L74" s="308">
        <v>100</v>
      </c>
      <c r="M74" s="64">
        <f t="shared" si="12"/>
        <v>0</v>
      </c>
      <c r="N74" s="172">
        <f t="shared" si="9"/>
        <v>156700000</v>
      </c>
    </row>
    <row r="75" spans="1:14" ht="12" customHeight="1">
      <c r="A75" s="257">
        <v>9</v>
      </c>
      <c r="B75" s="73" t="s">
        <v>80</v>
      </c>
      <c r="C75" s="181">
        <v>140000000</v>
      </c>
      <c r="D75" s="217"/>
      <c r="E75" s="182"/>
      <c r="F75" s="204"/>
      <c r="G75" s="241"/>
      <c r="H75" s="181">
        <v>14864000</v>
      </c>
      <c r="I75" s="311">
        <f t="shared" si="10"/>
        <v>10.617142857142857</v>
      </c>
      <c r="J75" s="181">
        <v>14864000</v>
      </c>
      <c r="K75" s="179">
        <f t="shared" si="11"/>
        <v>10.617142857142857</v>
      </c>
      <c r="L75" s="308">
        <v>100</v>
      </c>
      <c r="M75" s="64">
        <f t="shared" si="12"/>
        <v>10.617142857142857</v>
      </c>
      <c r="N75" s="181">
        <f t="shared" si="9"/>
        <v>125136000</v>
      </c>
    </row>
    <row r="76" spans="1:14" ht="12" customHeight="1">
      <c r="A76" s="63">
        <v>10</v>
      </c>
      <c r="B76" s="73" t="s">
        <v>62</v>
      </c>
      <c r="C76" s="71">
        <v>68300000</v>
      </c>
      <c r="D76" s="213"/>
      <c r="E76" s="71"/>
      <c r="F76" s="99"/>
      <c r="G76" s="235"/>
      <c r="H76" s="7">
        <v>14545000</v>
      </c>
      <c r="I76" s="311">
        <f t="shared" si="10"/>
        <v>21.29575402635432</v>
      </c>
      <c r="J76" s="7">
        <v>14545000</v>
      </c>
      <c r="K76" s="179">
        <f t="shared" si="11"/>
        <v>21.29575402635432</v>
      </c>
      <c r="L76" s="308">
        <v>100</v>
      </c>
      <c r="M76" s="64">
        <f t="shared" si="12"/>
        <v>21.29575402635432</v>
      </c>
      <c r="N76" s="172">
        <f t="shared" si="9"/>
        <v>53755000</v>
      </c>
    </row>
    <row r="77" spans="1:14" ht="12" customHeight="1">
      <c r="A77" s="257">
        <v>11</v>
      </c>
      <c r="B77" s="73" t="s">
        <v>81</v>
      </c>
      <c r="C77" s="38">
        <v>27500000</v>
      </c>
      <c r="D77" s="218"/>
      <c r="E77" s="71"/>
      <c r="F77" s="99"/>
      <c r="G77" s="235"/>
      <c r="H77" s="7">
        <v>15150000</v>
      </c>
      <c r="I77" s="311">
        <f t="shared" si="10"/>
        <v>55.09090909090909</v>
      </c>
      <c r="J77" s="7">
        <v>15150000</v>
      </c>
      <c r="K77" s="179">
        <f t="shared" si="11"/>
        <v>55.09090909090909</v>
      </c>
      <c r="L77" s="308">
        <v>100</v>
      </c>
      <c r="M77" s="64">
        <f t="shared" si="12"/>
        <v>55.09090909090909</v>
      </c>
      <c r="N77" s="172">
        <f t="shared" si="9"/>
        <v>12350000</v>
      </c>
    </row>
    <row r="78" spans="1:14" ht="12" customHeight="1">
      <c r="A78" s="63">
        <v>12</v>
      </c>
      <c r="B78" s="73" t="s">
        <v>55</v>
      </c>
      <c r="C78" s="38">
        <v>21000000</v>
      </c>
      <c r="D78" s="218"/>
      <c r="E78" s="71"/>
      <c r="F78" s="99"/>
      <c r="G78" s="235"/>
      <c r="H78" s="7">
        <v>12900000</v>
      </c>
      <c r="I78" s="311">
        <f t="shared" si="10"/>
        <v>61.42857142857143</v>
      </c>
      <c r="J78" s="7">
        <v>12900000</v>
      </c>
      <c r="K78" s="179">
        <f t="shared" si="11"/>
        <v>61.42857142857143</v>
      </c>
      <c r="L78" s="308">
        <v>100</v>
      </c>
      <c r="M78" s="64">
        <f t="shared" si="12"/>
        <v>61.42857142857143</v>
      </c>
      <c r="N78" s="172">
        <f t="shared" si="9"/>
        <v>8100000</v>
      </c>
    </row>
    <row r="79" spans="1:14" ht="12" customHeight="1">
      <c r="A79" s="258"/>
      <c r="B79" s="125"/>
      <c r="C79" s="22"/>
      <c r="D79" s="201"/>
      <c r="E79" s="32"/>
      <c r="F79" s="99"/>
      <c r="G79" s="235"/>
      <c r="H79" s="23"/>
      <c r="I79" s="315"/>
      <c r="J79" s="23"/>
      <c r="K79" s="7"/>
      <c r="L79" s="307"/>
      <c r="M79" s="145"/>
      <c r="N79" s="172">
        <f t="shared" si="9"/>
        <v>0</v>
      </c>
    </row>
    <row r="80" spans="1:14" ht="12" customHeight="1">
      <c r="A80" s="259">
        <v>6</v>
      </c>
      <c r="B80" s="97" t="s">
        <v>63</v>
      </c>
      <c r="C80" s="48">
        <f>C81+C82+C83</f>
        <v>340000000</v>
      </c>
      <c r="D80" s="202"/>
      <c r="E80" s="48">
        <f>E81+E82+E83</f>
        <v>0</v>
      </c>
      <c r="F80" s="202"/>
      <c r="G80" s="239"/>
      <c r="H80" s="174">
        <f>SUM(H81:H83)</f>
        <v>302694000</v>
      </c>
      <c r="I80" s="311">
        <f>+H80/C80*100</f>
        <v>89.02764705882353</v>
      </c>
      <c r="J80" s="174">
        <f>SUM(J81:J83)</f>
        <v>302694000</v>
      </c>
      <c r="K80" s="179">
        <f>+J80/C80*100</f>
        <v>89.02764705882353</v>
      </c>
      <c r="L80" s="308">
        <v>100</v>
      </c>
      <c r="M80" s="64">
        <f>+J80/C80*100</f>
        <v>89.02764705882353</v>
      </c>
      <c r="N80" s="172">
        <f t="shared" si="9"/>
        <v>37306000</v>
      </c>
    </row>
    <row r="81" spans="1:14" ht="12" customHeight="1">
      <c r="A81" s="63">
        <v>1</v>
      </c>
      <c r="B81" s="73" t="s">
        <v>64</v>
      </c>
      <c r="C81" s="38">
        <v>50000000</v>
      </c>
      <c r="D81" s="218"/>
      <c r="E81" s="38"/>
      <c r="F81" s="99"/>
      <c r="G81" s="235"/>
      <c r="H81" s="38">
        <v>37223000</v>
      </c>
      <c r="I81" s="311">
        <f>+H81/C81*100</f>
        <v>74.446</v>
      </c>
      <c r="J81" s="38">
        <v>37223000</v>
      </c>
      <c r="K81" s="179">
        <f>+J81/C81*100</f>
        <v>74.446</v>
      </c>
      <c r="L81" s="308">
        <v>100</v>
      </c>
      <c r="M81" s="64">
        <f>+J81/C81*100</f>
        <v>74.446</v>
      </c>
      <c r="N81" s="172">
        <f t="shared" si="9"/>
        <v>12777000</v>
      </c>
    </row>
    <row r="82" spans="1:14" ht="12" customHeight="1">
      <c r="A82" s="63">
        <v>2</v>
      </c>
      <c r="B82" s="73" t="s">
        <v>65</v>
      </c>
      <c r="C82" s="38">
        <v>35000000</v>
      </c>
      <c r="D82" s="218"/>
      <c r="E82" s="32"/>
      <c r="F82" s="99"/>
      <c r="G82" s="235"/>
      <c r="H82" s="38">
        <f>8946000+20250000</f>
        <v>29196000</v>
      </c>
      <c r="I82" s="311">
        <f>+H82/C82*100</f>
        <v>83.41714285714286</v>
      </c>
      <c r="J82" s="38">
        <f>8946000+20250000</f>
        <v>29196000</v>
      </c>
      <c r="K82" s="179">
        <f>+J82/C82*100</f>
        <v>83.41714285714286</v>
      </c>
      <c r="L82" s="308">
        <v>100</v>
      </c>
      <c r="M82" s="64">
        <f>+J82/C82*100</f>
        <v>83.41714285714286</v>
      </c>
      <c r="N82" s="172">
        <f t="shared" si="9"/>
        <v>5804000</v>
      </c>
    </row>
    <row r="83" spans="1:14" ht="12" customHeight="1">
      <c r="A83" s="63">
        <v>3</v>
      </c>
      <c r="B83" s="73" t="s">
        <v>66</v>
      </c>
      <c r="C83" s="71">
        <v>255000000</v>
      </c>
      <c r="D83" s="213"/>
      <c r="E83" s="71"/>
      <c r="F83" s="99"/>
      <c r="G83" s="235"/>
      <c r="H83" s="71">
        <v>236275000</v>
      </c>
      <c r="I83" s="311">
        <f>+H83/C83*100</f>
        <v>92.65686274509804</v>
      </c>
      <c r="J83" s="71">
        <v>236275000</v>
      </c>
      <c r="K83" s="179">
        <f>+J83/C83*100</f>
        <v>92.65686274509804</v>
      </c>
      <c r="L83" s="308">
        <v>100</v>
      </c>
      <c r="M83" s="64">
        <f>+J83/C83*100</f>
        <v>92.65686274509804</v>
      </c>
      <c r="N83" s="172">
        <f t="shared" si="9"/>
        <v>18725000</v>
      </c>
    </row>
    <row r="84" spans="1:14" ht="12" customHeight="1">
      <c r="A84" s="255"/>
      <c r="B84" s="132"/>
      <c r="C84" s="133"/>
      <c r="D84" s="219"/>
      <c r="E84" s="133"/>
      <c r="F84" s="134"/>
      <c r="G84" s="238"/>
      <c r="H84" s="133"/>
      <c r="I84" s="314"/>
      <c r="J84" s="133"/>
      <c r="K84" s="36"/>
      <c r="L84" s="177"/>
      <c r="M84" s="173"/>
      <c r="N84" s="172">
        <f t="shared" si="9"/>
        <v>0</v>
      </c>
    </row>
    <row r="85" spans="1:14" ht="12" customHeight="1">
      <c r="A85" s="259">
        <v>7</v>
      </c>
      <c r="B85" s="97" t="s">
        <v>67</v>
      </c>
      <c r="C85" s="48">
        <f>C86+C87</f>
        <v>520000000</v>
      </c>
      <c r="D85" s="202"/>
      <c r="E85" s="48">
        <f>E86+E87</f>
        <v>196583000</v>
      </c>
      <c r="F85" s="202"/>
      <c r="G85" s="239"/>
      <c r="H85" s="174">
        <f>H86+H87</f>
        <v>197633000</v>
      </c>
      <c r="I85" s="311">
        <f>+H85/C85*100</f>
        <v>38.00634615384615</v>
      </c>
      <c r="J85" s="174">
        <f>J86+J87</f>
        <v>197633000</v>
      </c>
      <c r="K85" s="179">
        <f>+J85/C85*100</f>
        <v>38.00634615384615</v>
      </c>
      <c r="L85" s="308">
        <v>100</v>
      </c>
      <c r="M85" s="64">
        <f>+J85/C85*100</f>
        <v>38.00634615384615</v>
      </c>
      <c r="N85" s="172">
        <f t="shared" si="9"/>
        <v>322367000</v>
      </c>
    </row>
    <row r="86" spans="1:14" ht="12" customHeight="1">
      <c r="A86" s="258">
        <v>1</v>
      </c>
      <c r="B86" s="73" t="s">
        <v>68</v>
      </c>
      <c r="C86" s="71">
        <v>100000000</v>
      </c>
      <c r="D86" s="273" t="s">
        <v>129</v>
      </c>
      <c r="E86" s="22">
        <v>98395000</v>
      </c>
      <c r="F86" s="201" t="s">
        <v>128</v>
      </c>
      <c r="G86" s="237" t="s">
        <v>127</v>
      </c>
      <c r="H86" s="71">
        <v>99445000</v>
      </c>
      <c r="I86" s="311">
        <f>+H86/C86*100</f>
        <v>99.445</v>
      </c>
      <c r="J86" s="71">
        <v>99445000</v>
      </c>
      <c r="K86" s="179">
        <f>+J86/C86*100</f>
        <v>99.445</v>
      </c>
      <c r="L86" s="308">
        <v>100</v>
      </c>
      <c r="M86" s="64">
        <f>+J86/C86*100</f>
        <v>99.445</v>
      </c>
      <c r="N86" s="172">
        <f t="shared" si="9"/>
        <v>555000</v>
      </c>
    </row>
    <row r="87" spans="1:14" ht="12" customHeight="1">
      <c r="A87" s="258">
        <v>2</v>
      </c>
      <c r="B87" s="73" t="s">
        <v>69</v>
      </c>
      <c r="C87" s="71">
        <v>420000000</v>
      </c>
      <c r="D87" s="273" t="s">
        <v>136</v>
      </c>
      <c r="E87" s="71">
        <v>98188000</v>
      </c>
      <c r="F87" s="99" t="s">
        <v>134</v>
      </c>
      <c r="G87" s="235" t="s">
        <v>135</v>
      </c>
      <c r="H87" s="71">
        <v>98188000</v>
      </c>
      <c r="I87" s="311">
        <f>+H87/C87*100</f>
        <v>23.378095238095238</v>
      </c>
      <c r="J87" s="71">
        <v>98188000</v>
      </c>
      <c r="K87" s="179">
        <f>+J87/C87*100</f>
        <v>23.378095238095238</v>
      </c>
      <c r="L87" s="308">
        <v>100</v>
      </c>
      <c r="M87" s="64">
        <f>+J87/C87*100</f>
        <v>23.378095238095238</v>
      </c>
      <c r="N87" s="172">
        <f t="shared" si="9"/>
        <v>321812000</v>
      </c>
    </row>
    <row r="88" spans="1:14" ht="12" customHeight="1">
      <c r="A88" s="258"/>
      <c r="B88" s="98"/>
      <c r="C88" s="71"/>
      <c r="D88" s="213"/>
      <c r="E88" s="32"/>
      <c r="F88" s="99"/>
      <c r="G88" s="235"/>
      <c r="H88" s="7"/>
      <c r="I88" s="315"/>
      <c r="J88" s="7"/>
      <c r="K88" s="7"/>
      <c r="L88" s="7"/>
      <c r="M88" s="145"/>
      <c r="N88" s="172">
        <f t="shared" si="9"/>
        <v>0</v>
      </c>
    </row>
    <row r="89" spans="1:14" ht="12" customHeight="1">
      <c r="A89" s="254">
        <v>8</v>
      </c>
      <c r="B89" s="69" t="s">
        <v>70</v>
      </c>
      <c r="C89" s="39">
        <f>SUM(C90:C90)</f>
        <v>100000000</v>
      </c>
      <c r="D89" s="198"/>
      <c r="E89" s="39">
        <f>SUM(E90:E90)</f>
        <v>0</v>
      </c>
      <c r="F89" s="198"/>
      <c r="G89" s="234"/>
      <c r="H89" s="179">
        <f>SUM(H90:H90)</f>
        <v>1400000</v>
      </c>
      <c r="I89" s="311">
        <f>+H89/C89*100</f>
        <v>1.4000000000000001</v>
      </c>
      <c r="J89" s="179">
        <f>SUM(J90:J90)</f>
        <v>1400000</v>
      </c>
      <c r="K89" s="179">
        <f>+J89/C89*100</f>
        <v>1.4000000000000001</v>
      </c>
      <c r="L89" s="308">
        <v>100</v>
      </c>
      <c r="M89" s="64">
        <f>+J89/C89*100</f>
        <v>1.4000000000000001</v>
      </c>
      <c r="N89" s="172">
        <f t="shared" si="9"/>
        <v>98600000</v>
      </c>
    </row>
    <row r="90" spans="1:14" ht="12" customHeight="1">
      <c r="A90" s="260"/>
      <c r="B90" s="52" t="s">
        <v>71</v>
      </c>
      <c r="C90" s="53">
        <v>100000000</v>
      </c>
      <c r="D90" s="220"/>
      <c r="E90" s="51"/>
      <c r="F90" s="205"/>
      <c r="G90" s="242"/>
      <c r="H90" s="54">
        <v>1400000</v>
      </c>
      <c r="I90" s="311">
        <f>+H90/C90*100</f>
        <v>1.4000000000000001</v>
      </c>
      <c r="J90" s="54">
        <v>1400000</v>
      </c>
      <c r="K90" s="179">
        <f>+J90/C90*100</f>
        <v>1.4000000000000001</v>
      </c>
      <c r="L90" s="308">
        <v>100</v>
      </c>
      <c r="M90" s="64">
        <f>+J90/C90*100</f>
        <v>1.4000000000000001</v>
      </c>
      <c r="N90" s="172">
        <f t="shared" si="9"/>
        <v>98600000</v>
      </c>
    </row>
    <row r="91" spans="1:14" ht="12" customHeight="1" thickBot="1">
      <c r="A91" s="63"/>
      <c r="B91" s="40"/>
      <c r="C91" s="41"/>
      <c r="D91" s="221"/>
      <c r="E91" s="37"/>
      <c r="F91" s="99"/>
      <c r="G91" s="235"/>
      <c r="H91" s="42"/>
      <c r="I91" s="320"/>
      <c r="J91" s="321"/>
      <c r="K91" s="322"/>
      <c r="L91" s="322"/>
      <c r="M91" s="322"/>
      <c r="N91" s="34"/>
    </row>
    <row r="92" spans="1:14" ht="12" customHeight="1" thickBot="1">
      <c r="A92" s="102"/>
      <c r="B92" s="103"/>
      <c r="C92" s="269">
        <f>C13+C26</f>
        <v>11516999500</v>
      </c>
      <c r="D92" s="269"/>
      <c r="E92" s="269">
        <f>+E13+E26</f>
        <v>850615000</v>
      </c>
      <c r="F92" s="269">
        <f>F27+F40+F50+F56+F66+F80+F85+F89</f>
        <v>0</v>
      </c>
      <c r="G92" s="270"/>
      <c r="H92" s="318">
        <f>+H13+H26</f>
        <v>4520827087</v>
      </c>
      <c r="I92" s="323">
        <f>+H92/C92*100</f>
        <v>39.25351465891789</v>
      </c>
      <c r="J92" s="324">
        <f>+J13+J26</f>
        <v>4520827087</v>
      </c>
      <c r="K92" s="325">
        <f>+J92/C92*100</f>
        <v>39.25351465891789</v>
      </c>
      <c r="L92" s="326">
        <v>100</v>
      </c>
      <c r="M92" s="327">
        <f>+J92/C92*100</f>
        <v>39.25351465891789</v>
      </c>
      <c r="N92" s="319">
        <f>N13+N26</f>
        <v>6996172413</v>
      </c>
    </row>
    <row r="93" spans="1:14" ht="12" customHeight="1">
      <c r="A93" s="126"/>
      <c r="B93" s="127"/>
      <c r="C93" s="128"/>
      <c r="D93" s="206"/>
      <c r="E93" s="128"/>
      <c r="F93" s="206"/>
      <c r="G93" s="243"/>
      <c r="H93" s="128"/>
      <c r="I93" s="316"/>
      <c r="J93" s="128"/>
      <c r="K93" s="130"/>
      <c r="L93" s="128"/>
      <c r="M93" s="128"/>
      <c r="N93" s="128"/>
    </row>
    <row r="94" spans="1:14" ht="12" customHeight="1">
      <c r="A94" s="126"/>
      <c r="B94" s="127"/>
      <c r="C94" s="128"/>
      <c r="D94" s="206"/>
      <c r="E94" s="128"/>
      <c r="F94" s="206"/>
      <c r="G94" s="243"/>
      <c r="H94" s="128"/>
      <c r="I94" s="316"/>
      <c r="J94" s="128"/>
      <c r="K94" s="130"/>
      <c r="L94" s="128"/>
      <c r="M94" s="128"/>
      <c r="N94" s="128"/>
    </row>
    <row r="95" spans="1:14" ht="12" customHeight="1">
      <c r="A95" s="126"/>
      <c r="B95" s="135"/>
      <c r="C95" s="136"/>
      <c r="D95" s="208"/>
      <c r="E95" s="60"/>
      <c r="F95" s="207"/>
      <c r="G95" s="244"/>
      <c r="H95" s="44"/>
      <c r="I95" s="107"/>
      <c r="J95" s="1"/>
      <c r="K95" s="117"/>
      <c r="L95" s="117" t="s">
        <v>133</v>
      </c>
      <c r="M95" s="117"/>
      <c r="N95" s="117"/>
    </row>
    <row r="96" spans="1:14" ht="12" customHeight="1">
      <c r="A96" s="126"/>
      <c r="B96" s="138"/>
      <c r="C96" s="84"/>
      <c r="D96" s="199"/>
      <c r="E96" s="139"/>
      <c r="F96" s="207"/>
      <c r="G96" s="244"/>
      <c r="H96" s="45"/>
      <c r="I96" s="317"/>
      <c r="J96" s="1"/>
      <c r="K96" s="107"/>
      <c r="L96" s="107" t="s">
        <v>73</v>
      </c>
      <c r="M96" s="107"/>
      <c r="N96" s="107"/>
    </row>
    <row r="97" spans="1:14" ht="12" customHeight="1">
      <c r="A97" s="126"/>
      <c r="B97" s="105" t="s">
        <v>82</v>
      </c>
      <c r="C97" s="106">
        <f>H92/C92*100</f>
        <v>39.25351465891789</v>
      </c>
      <c r="D97" s="222"/>
      <c r="E97" s="60"/>
      <c r="F97" s="208"/>
      <c r="G97" s="224"/>
      <c r="H97" s="44"/>
      <c r="I97" s="107"/>
      <c r="J97" s="1"/>
      <c r="K97" s="107"/>
      <c r="L97" s="107" t="s">
        <v>72</v>
      </c>
      <c r="M97" s="107"/>
      <c r="N97" s="107"/>
    </row>
    <row r="98" spans="1:14" ht="12" customHeight="1">
      <c r="A98" s="126"/>
      <c r="B98" s="140"/>
      <c r="C98" s="141"/>
      <c r="D98" s="223"/>
      <c r="E98" s="60"/>
      <c r="F98" s="208"/>
      <c r="G98" s="224"/>
      <c r="H98" s="44"/>
      <c r="I98" s="107"/>
      <c r="J98" s="1"/>
      <c r="K98" s="107"/>
      <c r="L98" s="107"/>
      <c r="M98" s="107"/>
      <c r="N98" s="107"/>
    </row>
    <row r="99" spans="1:14" ht="12" customHeight="1">
      <c r="A99" s="126"/>
      <c r="B99" s="140"/>
      <c r="C99" s="141"/>
      <c r="D99" s="223"/>
      <c r="E99" s="60"/>
      <c r="F99" s="208"/>
      <c r="G99" s="224"/>
      <c r="H99" s="44"/>
      <c r="I99" s="107"/>
      <c r="J99" s="1"/>
      <c r="K99" s="107"/>
      <c r="L99" s="107"/>
      <c r="M99" s="107"/>
      <c r="N99" s="107"/>
    </row>
    <row r="100" spans="1:14" ht="12" customHeight="1">
      <c r="A100" s="126"/>
      <c r="B100" s="128"/>
      <c r="C100" s="84"/>
      <c r="D100" s="199"/>
      <c r="E100" s="60"/>
      <c r="F100" s="207"/>
      <c r="G100" s="244"/>
      <c r="H100" s="46"/>
      <c r="I100" s="107"/>
      <c r="J100" s="108"/>
      <c r="K100" s="108"/>
      <c r="L100" s="108" t="s">
        <v>74</v>
      </c>
      <c r="M100" s="1"/>
      <c r="N100" s="1"/>
    </row>
    <row r="101" spans="1:14" ht="12" customHeight="1">
      <c r="A101" s="126"/>
      <c r="B101" s="127"/>
      <c r="C101" s="84"/>
      <c r="D101" s="199"/>
      <c r="E101" s="60"/>
      <c r="F101" s="187"/>
      <c r="G101" s="224"/>
      <c r="H101" s="46"/>
      <c r="I101" s="107"/>
      <c r="J101" s="107"/>
      <c r="K101" s="107"/>
      <c r="L101" s="107" t="s">
        <v>75</v>
      </c>
      <c r="M101" s="1"/>
      <c r="N101" s="1"/>
    </row>
    <row r="102" spans="1:14" ht="12" customHeight="1">
      <c r="A102" s="126"/>
      <c r="B102" s="127"/>
      <c r="C102" s="84"/>
      <c r="D102" s="199"/>
      <c r="E102" s="60"/>
      <c r="F102" s="187"/>
      <c r="G102" s="224"/>
      <c r="H102" s="46"/>
      <c r="I102" s="107"/>
      <c r="J102" s="107"/>
      <c r="K102" s="107"/>
      <c r="L102" s="107"/>
      <c r="M102" s="1"/>
      <c r="N102" s="1"/>
    </row>
    <row r="103" spans="1:14" ht="12" customHeight="1">
      <c r="A103" s="126"/>
      <c r="B103" s="127"/>
      <c r="C103" s="84"/>
      <c r="D103" s="199"/>
      <c r="E103" s="60"/>
      <c r="F103" s="187"/>
      <c r="G103" s="224"/>
      <c r="H103" s="46"/>
      <c r="I103" s="107"/>
      <c r="J103" s="107"/>
      <c r="K103" s="107"/>
      <c r="L103" s="107"/>
      <c r="M103" s="1"/>
      <c r="N103" s="1"/>
    </row>
    <row r="104" spans="1:14" ht="12" customHeight="1">
      <c r="A104" s="126"/>
      <c r="B104" s="127"/>
      <c r="C104" s="84"/>
      <c r="D104" s="199"/>
      <c r="E104" s="60"/>
      <c r="F104" s="187"/>
      <c r="G104" s="224"/>
      <c r="H104" s="46"/>
      <c r="I104" s="107"/>
      <c r="J104" s="107"/>
      <c r="K104" s="107"/>
      <c r="L104" s="107"/>
      <c r="M104" s="1"/>
      <c r="N104" s="1"/>
    </row>
    <row r="105" spans="1:14" ht="12" customHeight="1">
      <c r="A105" s="126"/>
      <c r="B105" s="127"/>
      <c r="C105" s="84"/>
      <c r="D105" s="199"/>
      <c r="E105" s="60"/>
      <c r="F105" s="187"/>
      <c r="G105" s="224"/>
      <c r="H105" s="46"/>
      <c r="I105" s="107"/>
      <c r="J105" s="107"/>
      <c r="K105" s="107"/>
      <c r="L105" s="107"/>
      <c r="M105" s="1"/>
      <c r="N105" s="1"/>
    </row>
    <row r="106" spans="1:14" ht="12" customHeight="1">
      <c r="A106" s="126"/>
      <c r="B106" s="127"/>
      <c r="C106" s="84"/>
      <c r="D106" s="199"/>
      <c r="E106" s="60"/>
      <c r="F106" s="187"/>
      <c r="G106" s="224"/>
      <c r="H106" s="46"/>
      <c r="I106" s="107"/>
      <c r="J106" s="107"/>
      <c r="K106" s="107"/>
      <c r="L106" s="107"/>
      <c r="M106" s="1"/>
      <c r="N106" s="1"/>
    </row>
    <row r="107" spans="1:14" ht="12" customHeight="1">
      <c r="A107" s="126"/>
      <c r="B107" s="127"/>
      <c r="C107" s="84"/>
      <c r="D107" s="199"/>
      <c r="E107" s="60"/>
      <c r="F107" s="187"/>
      <c r="G107" s="224"/>
      <c r="H107" s="46"/>
      <c r="I107" s="107"/>
      <c r="J107" s="107"/>
      <c r="K107" s="107"/>
      <c r="L107" s="107"/>
      <c r="M107" s="1"/>
      <c r="N107" s="1"/>
    </row>
    <row r="108" spans="1:14" ht="12" customHeight="1">
      <c r="A108" s="126"/>
      <c r="B108" s="127"/>
      <c r="C108" s="84"/>
      <c r="D108" s="199"/>
      <c r="E108" s="60"/>
      <c r="F108" s="187"/>
      <c r="G108" s="224"/>
      <c r="H108" s="46"/>
      <c r="I108" s="107"/>
      <c r="J108" s="107"/>
      <c r="K108" s="107"/>
      <c r="L108" s="107"/>
      <c r="M108" s="1"/>
      <c r="N108" s="1"/>
    </row>
    <row r="109" spans="1:14" ht="12" customHeight="1">
      <c r="A109" s="126"/>
      <c r="B109" s="127"/>
      <c r="C109" s="84"/>
      <c r="D109" s="199"/>
      <c r="E109" s="60"/>
      <c r="F109" s="187"/>
      <c r="G109" s="224"/>
      <c r="H109" s="46"/>
      <c r="I109" s="107"/>
      <c r="J109" s="107"/>
      <c r="K109" s="107"/>
      <c r="L109" s="107"/>
      <c r="M109" s="1"/>
      <c r="N109" s="1"/>
    </row>
  </sheetData>
  <sheetProtection/>
  <mergeCells count="21">
    <mergeCell ref="M9:M10"/>
    <mergeCell ref="D8:D10"/>
    <mergeCell ref="E8:E10"/>
    <mergeCell ref="F8:F10"/>
    <mergeCell ref="A2:N2"/>
    <mergeCell ref="A3:N3"/>
    <mergeCell ref="A4:N4"/>
    <mergeCell ref="A5:B5"/>
    <mergeCell ref="A6:B6"/>
    <mergeCell ref="L8:M8"/>
    <mergeCell ref="G8:G10"/>
    <mergeCell ref="K9:K10"/>
    <mergeCell ref="A8:A10"/>
    <mergeCell ref="N8:N10"/>
    <mergeCell ref="C8:C10"/>
    <mergeCell ref="H8:K8"/>
    <mergeCell ref="B8:B10"/>
    <mergeCell ref="H9:H10"/>
    <mergeCell ref="I9:I10"/>
    <mergeCell ref="L9:L10"/>
    <mergeCell ref="J9:J10"/>
  </mergeCells>
  <printOptions horizontalCentered="1"/>
  <pageMargins left="0.7" right="0.7" top="0.75" bottom="1" header="0.3" footer="0.3"/>
  <pageSetup orientation="landscape" paperSize="5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5"/>
  <sheetViews>
    <sheetView view="pageBreakPreview" zoomScale="95" zoomScaleSheetLayoutView="95" zoomScalePageLayoutView="0" workbookViewId="0" topLeftCell="A47">
      <selection activeCell="H60" sqref="H60"/>
    </sheetView>
  </sheetViews>
  <sheetFormatPr defaultColWidth="9.140625" defaultRowHeight="12.75"/>
  <cols>
    <col min="1" max="1" width="4.57421875" style="0" customWidth="1"/>
    <col min="2" max="2" width="64.00390625" style="0" customWidth="1"/>
    <col min="3" max="3" width="17.28125" style="0" customWidth="1"/>
    <col min="4" max="4" width="12.8515625" style="0" customWidth="1"/>
    <col min="5" max="5" width="15.57421875" style="0" customWidth="1"/>
    <col min="6" max="6" width="17.7109375" style="0" customWidth="1"/>
    <col min="7" max="7" width="12.7109375" style="0" customWidth="1"/>
    <col min="8" max="8" width="16.7109375" style="0" customWidth="1"/>
    <col min="9" max="9" width="7.140625" style="261" customWidth="1"/>
    <col min="10" max="10" width="15.57421875" style="0" customWidth="1"/>
    <col min="11" max="11" width="7.140625" style="0" customWidth="1"/>
    <col min="12" max="12" width="7.421875" style="0" customWidth="1"/>
    <col min="13" max="13" width="6.57421875" style="0" customWidth="1"/>
    <col min="14" max="14" width="14.421875" style="0" customWidth="1"/>
    <col min="15" max="15" width="14.7109375" style="0" customWidth="1"/>
    <col min="19" max="19" width="13.00390625" style="0" customWidth="1"/>
  </cols>
  <sheetData>
    <row r="1" spans="1:14" ht="12" customHeight="1">
      <c r="A1" s="811" t="s">
        <v>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</row>
    <row r="2" spans="1:14" ht="12" customHeight="1">
      <c r="A2" s="812" t="s">
        <v>83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</row>
    <row r="3" spans="1:14" ht="12" customHeight="1">
      <c r="A3" s="813" t="s">
        <v>77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</row>
    <row r="4" spans="1:14" ht="12" customHeight="1">
      <c r="A4" s="823" t="s">
        <v>1</v>
      </c>
      <c r="B4" s="823"/>
      <c r="C4" s="59"/>
      <c r="D4" s="188"/>
      <c r="E4" s="59"/>
      <c r="F4" s="188"/>
      <c r="G4" s="225"/>
      <c r="H4" s="59"/>
      <c r="I4" s="59"/>
      <c r="J4" s="59"/>
      <c r="K4" s="59"/>
      <c r="L4" s="59"/>
      <c r="M4" s="59"/>
      <c r="N4" s="59"/>
    </row>
    <row r="5" spans="1:14" ht="12" customHeight="1">
      <c r="A5" s="819" t="s">
        <v>137</v>
      </c>
      <c r="B5" s="819"/>
      <c r="C5" s="59"/>
      <c r="D5" s="188"/>
      <c r="E5" s="59"/>
      <c r="F5" s="188"/>
      <c r="G5" s="225"/>
      <c r="H5" s="59"/>
      <c r="I5" s="59"/>
      <c r="J5" s="59"/>
      <c r="K5" s="59"/>
      <c r="L5" s="59"/>
      <c r="M5" s="59"/>
      <c r="N5" s="59"/>
    </row>
    <row r="6" spans="1:14" ht="12" customHeight="1">
      <c r="A6" s="59"/>
      <c r="B6" s="1"/>
      <c r="C6" s="1"/>
      <c r="D6" s="187"/>
      <c r="E6" s="1"/>
      <c r="F6" s="187"/>
      <c r="G6" s="224"/>
      <c r="H6" s="1"/>
      <c r="I6" s="252"/>
      <c r="J6" s="1"/>
      <c r="K6" s="1"/>
      <c r="L6" s="1"/>
      <c r="M6" s="1"/>
      <c r="N6" s="1"/>
    </row>
    <row r="7" spans="1:15" ht="12" customHeight="1">
      <c r="A7" s="808" t="s">
        <v>2</v>
      </c>
      <c r="B7" s="808" t="s">
        <v>3</v>
      </c>
      <c r="C7" s="808" t="s">
        <v>4</v>
      </c>
      <c r="D7" s="820" t="s">
        <v>104</v>
      </c>
      <c r="E7" s="808" t="s">
        <v>5</v>
      </c>
      <c r="F7" s="820" t="s">
        <v>6</v>
      </c>
      <c r="G7" s="824" t="s">
        <v>105</v>
      </c>
      <c r="H7" s="816" t="s">
        <v>7</v>
      </c>
      <c r="I7" s="817"/>
      <c r="J7" s="817"/>
      <c r="K7" s="818"/>
      <c r="L7" s="816" t="s">
        <v>8</v>
      </c>
      <c r="M7" s="818"/>
      <c r="N7" s="805" t="s">
        <v>87</v>
      </c>
      <c r="O7" s="827" t="s">
        <v>9</v>
      </c>
    </row>
    <row r="8" spans="1:15" ht="12" customHeight="1">
      <c r="A8" s="806"/>
      <c r="B8" s="806"/>
      <c r="C8" s="806"/>
      <c r="D8" s="821"/>
      <c r="E8" s="814"/>
      <c r="F8" s="821"/>
      <c r="G8" s="825"/>
      <c r="H8" s="809" t="s">
        <v>10</v>
      </c>
      <c r="I8" s="808" t="s">
        <v>11</v>
      </c>
      <c r="J8" s="808" t="s">
        <v>12</v>
      </c>
      <c r="K8" s="808" t="s">
        <v>11</v>
      </c>
      <c r="L8" s="808" t="s">
        <v>13</v>
      </c>
      <c r="M8" s="820" t="s">
        <v>14</v>
      </c>
      <c r="N8" s="806"/>
      <c r="O8" s="828"/>
    </row>
    <row r="9" spans="1:15" ht="12" customHeight="1">
      <c r="A9" s="807"/>
      <c r="B9" s="807"/>
      <c r="C9" s="807"/>
      <c r="D9" s="822"/>
      <c r="E9" s="815"/>
      <c r="F9" s="822"/>
      <c r="G9" s="826"/>
      <c r="H9" s="810"/>
      <c r="I9" s="807"/>
      <c r="J9" s="807"/>
      <c r="K9" s="807"/>
      <c r="L9" s="807"/>
      <c r="M9" s="822"/>
      <c r="N9" s="807"/>
      <c r="O9" s="828"/>
    </row>
    <row r="10" spans="1:15" ht="12" customHeight="1">
      <c r="A10" s="2">
        <v>1</v>
      </c>
      <c r="B10" s="2">
        <v>2</v>
      </c>
      <c r="C10" s="2">
        <v>3</v>
      </c>
      <c r="D10" s="189"/>
      <c r="E10" s="2">
        <v>4</v>
      </c>
      <c r="F10" s="189">
        <v>5</v>
      </c>
      <c r="G10" s="226"/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2">
        <v>13</v>
      </c>
    </row>
    <row r="11" spans="1:15" ht="12" customHeight="1">
      <c r="A11" s="3"/>
      <c r="B11" s="3"/>
      <c r="C11" s="3"/>
      <c r="D11" s="190"/>
      <c r="E11" s="3"/>
      <c r="F11" s="190"/>
      <c r="G11" s="227"/>
      <c r="H11" s="3"/>
      <c r="I11" s="3"/>
      <c r="J11" s="3"/>
      <c r="K11" s="3"/>
      <c r="L11" s="3"/>
      <c r="M11" s="3"/>
      <c r="N11" s="3"/>
      <c r="O11" s="343"/>
    </row>
    <row r="12" spans="1:15" ht="12" customHeight="1">
      <c r="A12" s="61" t="s">
        <v>15</v>
      </c>
      <c r="B12" s="62" t="s">
        <v>16</v>
      </c>
      <c r="C12" s="4">
        <f>SUM(C13:C24)</f>
        <v>3542713200</v>
      </c>
      <c r="D12" s="210"/>
      <c r="E12" s="63"/>
      <c r="F12" s="191"/>
      <c r="G12" s="228"/>
      <c r="H12" s="4">
        <f>SUM(H13:H24)</f>
        <v>1953716664</v>
      </c>
      <c r="I12" s="341">
        <f>+H12/C12*100</f>
        <v>55.147469007652106</v>
      </c>
      <c r="J12" s="4">
        <f>SUM(J13:J24)</f>
        <v>1953716664</v>
      </c>
      <c r="K12" s="338">
        <f>+J12/C12*100</f>
        <v>55.147469007652106</v>
      </c>
      <c r="L12" s="308">
        <v>100</v>
      </c>
      <c r="M12" s="342">
        <f>+J12/C12*100</f>
        <v>55.147469007652106</v>
      </c>
      <c r="N12" s="4">
        <f>SUM(N13:N24)</f>
        <v>1588996536</v>
      </c>
      <c r="O12" s="344" t="s">
        <v>157</v>
      </c>
    </row>
    <row r="13" spans="1:15" ht="12" customHeight="1">
      <c r="A13" s="63">
        <v>1</v>
      </c>
      <c r="B13" s="47" t="s">
        <v>17</v>
      </c>
      <c r="C13" s="5">
        <v>1958496000</v>
      </c>
      <c r="D13" s="211"/>
      <c r="E13" s="63"/>
      <c r="F13" s="192"/>
      <c r="G13" s="228"/>
      <c r="H13" s="114">
        <v>1093359315</v>
      </c>
      <c r="I13" s="341">
        <f aca="true" t="shared" si="0" ref="I13:I23">+H13/C13*100</f>
        <v>55.82647679648056</v>
      </c>
      <c r="J13" s="114">
        <v>1093359315</v>
      </c>
      <c r="K13" s="179">
        <f aca="true" t="shared" si="1" ref="K13:K24">+J13/C13*100</f>
        <v>55.82647679648056</v>
      </c>
      <c r="L13" s="308">
        <v>100</v>
      </c>
      <c r="M13" s="64">
        <f aca="true" t="shared" si="2" ref="M13:M24">+J13/C13*100</f>
        <v>55.82647679648056</v>
      </c>
      <c r="N13" s="37">
        <f>C13-J13</f>
        <v>865136685</v>
      </c>
      <c r="O13" s="344" t="s">
        <v>157</v>
      </c>
    </row>
    <row r="14" spans="1:15" ht="12" customHeight="1">
      <c r="A14" s="63">
        <v>2</v>
      </c>
      <c r="B14" s="47" t="s">
        <v>18</v>
      </c>
      <c r="C14" s="5">
        <v>197477166</v>
      </c>
      <c r="D14" s="211"/>
      <c r="E14" s="63"/>
      <c r="F14" s="192"/>
      <c r="G14" s="228"/>
      <c r="H14" s="5">
        <v>122720070</v>
      </c>
      <c r="I14" s="341">
        <f t="shared" si="0"/>
        <v>62.14392908595821</v>
      </c>
      <c r="J14" s="5">
        <v>122720070</v>
      </c>
      <c r="K14" s="179">
        <f t="shared" si="1"/>
        <v>62.14392908595821</v>
      </c>
      <c r="L14" s="308">
        <v>100</v>
      </c>
      <c r="M14" s="64">
        <f t="shared" si="2"/>
        <v>62.14392908595821</v>
      </c>
      <c r="N14" s="37">
        <f aca="true" t="shared" si="3" ref="N14:N24">C14-J14</f>
        <v>74757096</v>
      </c>
      <c r="O14" s="344" t="s">
        <v>157</v>
      </c>
    </row>
    <row r="15" spans="1:15" ht="12" customHeight="1">
      <c r="A15" s="63">
        <v>3</v>
      </c>
      <c r="B15" s="47" t="s">
        <v>19</v>
      </c>
      <c r="C15" s="5">
        <v>172540000</v>
      </c>
      <c r="D15" s="211"/>
      <c r="E15" s="63"/>
      <c r="F15" s="192"/>
      <c r="G15" s="228"/>
      <c r="H15" s="5">
        <v>101925000</v>
      </c>
      <c r="I15" s="341">
        <f t="shared" si="0"/>
        <v>59.073258374869596</v>
      </c>
      <c r="J15" s="5">
        <v>101925000</v>
      </c>
      <c r="K15" s="179">
        <f t="shared" si="1"/>
        <v>59.073258374869596</v>
      </c>
      <c r="L15" s="308">
        <v>100</v>
      </c>
      <c r="M15" s="64">
        <f t="shared" si="2"/>
        <v>59.073258374869596</v>
      </c>
      <c r="N15" s="37">
        <f t="shared" si="3"/>
        <v>70615000</v>
      </c>
      <c r="O15" s="344" t="s">
        <v>157</v>
      </c>
    </row>
    <row r="16" spans="1:15" ht="12" customHeight="1">
      <c r="A16" s="63">
        <v>4</v>
      </c>
      <c r="B16" s="47" t="s">
        <v>139</v>
      </c>
      <c r="C16" s="5">
        <v>80390000</v>
      </c>
      <c r="D16" s="211"/>
      <c r="E16" s="63"/>
      <c r="F16" s="192"/>
      <c r="G16" s="228"/>
      <c r="H16" s="5">
        <v>850000</v>
      </c>
      <c r="I16" s="341">
        <f t="shared" si="0"/>
        <v>1.0573454409752456</v>
      </c>
      <c r="J16" s="5">
        <v>850000</v>
      </c>
      <c r="K16" s="179">
        <f t="shared" si="1"/>
        <v>1.0573454409752456</v>
      </c>
      <c r="L16" s="308">
        <v>100</v>
      </c>
      <c r="M16" s="64">
        <f t="shared" si="2"/>
        <v>1.0573454409752456</v>
      </c>
      <c r="N16" s="37">
        <f t="shared" si="3"/>
        <v>79540000</v>
      </c>
      <c r="O16" s="344" t="s">
        <v>157</v>
      </c>
    </row>
    <row r="17" spans="1:15" ht="12" customHeight="1">
      <c r="A17" s="63">
        <v>5</v>
      </c>
      <c r="B17" s="47" t="s">
        <v>20</v>
      </c>
      <c r="C17" s="5">
        <v>8000000</v>
      </c>
      <c r="D17" s="211"/>
      <c r="E17" s="63"/>
      <c r="F17" s="192"/>
      <c r="G17" s="228"/>
      <c r="H17" s="5">
        <v>35945000</v>
      </c>
      <c r="I17" s="311">
        <f>+H17/C17*100</f>
        <v>449.3125</v>
      </c>
      <c r="J17" s="5">
        <v>35945000</v>
      </c>
      <c r="K17" s="179">
        <f t="shared" si="1"/>
        <v>449.3125</v>
      </c>
      <c r="L17" s="308">
        <v>100</v>
      </c>
      <c r="M17" s="64">
        <f t="shared" si="2"/>
        <v>449.3125</v>
      </c>
      <c r="N17" s="37">
        <f t="shared" si="3"/>
        <v>-27945000</v>
      </c>
      <c r="O17" s="344" t="s">
        <v>157</v>
      </c>
    </row>
    <row r="18" spans="1:15" ht="12" customHeight="1">
      <c r="A18" s="63">
        <v>6</v>
      </c>
      <c r="B18" s="47" t="s">
        <v>21</v>
      </c>
      <c r="C18" s="5">
        <v>144893140</v>
      </c>
      <c r="D18" s="211"/>
      <c r="E18" s="63"/>
      <c r="F18" s="192"/>
      <c r="G18" s="228"/>
      <c r="H18" s="5">
        <v>57356640</v>
      </c>
      <c r="I18" s="341">
        <f t="shared" si="0"/>
        <v>39.58547657949852</v>
      </c>
      <c r="J18" s="5">
        <v>57356640</v>
      </c>
      <c r="K18" s="179">
        <f t="shared" si="1"/>
        <v>39.58547657949852</v>
      </c>
      <c r="L18" s="308">
        <v>100</v>
      </c>
      <c r="M18" s="64">
        <f t="shared" si="2"/>
        <v>39.58547657949852</v>
      </c>
      <c r="N18" s="37">
        <f t="shared" si="3"/>
        <v>87536500</v>
      </c>
      <c r="O18" s="344" t="s">
        <v>157</v>
      </c>
    </row>
    <row r="19" spans="1:15" ht="12" customHeight="1">
      <c r="A19" s="63">
        <v>7</v>
      </c>
      <c r="B19" s="47" t="s">
        <v>22</v>
      </c>
      <c r="C19" s="5">
        <v>10088184</v>
      </c>
      <c r="D19" s="211"/>
      <c r="E19" s="63"/>
      <c r="F19" s="192"/>
      <c r="G19" s="228"/>
      <c r="H19" s="5">
        <v>7605841</v>
      </c>
      <c r="I19" s="341">
        <f t="shared" si="0"/>
        <v>75.39355943547422</v>
      </c>
      <c r="J19" s="5">
        <v>7605841</v>
      </c>
      <c r="K19" s="179">
        <f t="shared" si="1"/>
        <v>75.39355943547422</v>
      </c>
      <c r="L19" s="308">
        <v>100</v>
      </c>
      <c r="M19" s="64">
        <f t="shared" si="2"/>
        <v>75.39355943547422</v>
      </c>
      <c r="N19" s="37">
        <f t="shared" si="3"/>
        <v>2482343</v>
      </c>
      <c r="O19" s="344" t="s">
        <v>157</v>
      </c>
    </row>
    <row r="20" spans="1:15" ht="12" customHeight="1">
      <c r="A20" s="63">
        <v>8</v>
      </c>
      <c r="B20" s="47" t="s">
        <v>23</v>
      </c>
      <c r="C20" s="5">
        <v>174603</v>
      </c>
      <c r="D20" s="211"/>
      <c r="E20" s="63"/>
      <c r="F20" s="192"/>
      <c r="G20" s="228"/>
      <c r="H20" s="5">
        <v>19057</v>
      </c>
      <c r="I20" s="341">
        <f t="shared" si="0"/>
        <v>10.914474550838186</v>
      </c>
      <c r="J20" s="5">
        <v>19057</v>
      </c>
      <c r="K20" s="179">
        <f t="shared" si="1"/>
        <v>10.914474550838186</v>
      </c>
      <c r="L20" s="308">
        <v>100</v>
      </c>
      <c r="M20" s="64">
        <f t="shared" si="2"/>
        <v>10.914474550838186</v>
      </c>
      <c r="N20" s="37">
        <f t="shared" si="3"/>
        <v>155546</v>
      </c>
      <c r="O20" s="344" t="s">
        <v>157</v>
      </c>
    </row>
    <row r="21" spans="1:15" ht="12" customHeight="1">
      <c r="A21" s="63">
        <v>9</v>
      </c>
      <c r="B21" s="47" t="s">
        <v>24</v>
      </c>
      <c r="C21" s="5">
        <v>61486359</v>
      </c>
      <c r="D21" s="211"/>
      <c r="E21" s="63"/>
      <c r="F21" s="192"/>
      <c r="G21" s="228"/>
      <c r="H21" s="5">
        <v>27756662</v>
      </c>
      <c r="I21" s="341">
        <f t="shared" si="0"/>
        <v>45.14279663233921</v>
      </c>
      <c r="J21" s="5">
        <v>27756662</v>
      </c>
      <c r="K21" s="179">
        <f t="shared" si="1"/>
        <v>45.14279663233921</v>
      </c>
      <c r="L21" s="308">
        <v>100</v>
      </c>
      <c r="M21" s="64">
        <f t="shared" si="2"/>
        <v>45.14279663233921</v>
      </c>
      <c r="N21" s="37">
        <f t="shared" si="3"/>
        <v>33729697</v>
      </c>
      <c r="O21" s="344" t="s">
        <v>157</v>
      </c>
    </row>
    <row r="22" spans="1:15" ht="12" customHeight="1">
      <c r="A22" s="63">
        <v>10</v>
      </c>
      <c r="B22" s="47" t="s">
        <v>25</v>
      </c>
      <c r="C22" s="5">
        <v>6198197</v>
      </c>
      <c r="D22" s="211"/>
      <c r="E22" s="63"/>
      <c r="F22" s="192"/>
      <c r="G22" s="228"/>
      <c r="H22" s="5">
        <v>1996651</v>
      </c>
      <c r="I22" s="341">
        <f t="shared" si="0"/>
        <v>32.21341625637262</v>
      </c>
      <c r="J22" s="5">
        <v>1996651</v>
      </c>
      <c r="K22" s="179">
        <f t="shared" si="1"/>
        <v>32.21341625637262</v>
      </c>
      <c r="L22" s="308">
        <v>100</v>
      </c>
      <c r="M22" s="64">
        <f t="shared" si="2"/>
        <v>32.21341625637262</v>
      </c>
      <c r="N22" s="37">
        <f t="shared" si="3"/>
        <v>4201546</v>
      </c>
      <c r="O22" s="344" t="s">
        <v>157</v>
      </c>
    </row>
    <row r="23" spans="1:15" ht="12" customHeight="1">
      <c r="A23" s="63">
        <v>11</v>
      </c>
      <c r="B23" s="47" t="s">
        <v>26</v>
      </c>
      <c r="C23" s="5">
        <v>12569551</v>
      </c>
      <c r="D23" s="211"/>
      <c r="E23" s="63"/>
      <c r="F23" s="192"/>
      <c r="G23" s="228"/>
      <c r="H23" s="5">
        <v>5989928</v>
      </c>
      <c r="I23" s="341">
        <f t="shared" si="0"/>
        <v>47.65427181925592</v>
      </c>
      <c r="J23" s="5">
        <v>5989928</v>
      </c>
      <c r="K23" s="179">
        <f t="shared" si="1"/>
        <v>47.65427181925592</v>
      </c>
      <c r="L23" s="308">
        <v>100</v>
      </c>
      <c r="M23" s="64">
        <f t="shared" si="2"/>
        <v>47.65427181925592</v>
      </c>
      <c r="N23" s="37">
        <f t="shared" si="3"/>
        <v>6579623</v>
      </c>
      <c r="O23" s="344" t="s">
        <v>157</v>
      </c>
    </row>
    <row r="24" spans="1:15" ht="12" customHeight="1">
      <c r="A24" s="63">
        <v>12</v>
      </c>
      <c r="B24" s="47" t="s">
        <v>27</v>
      </c>
      <c r="C24" s="5">
        <v>890400000</v>
      </c>
      <c r="D24" s="211"/>
      <c r="E24" s="63"/>
      <c r="F24" s="192"/>
      <c r="G24" s="228"/>
      <c r="H24" s="5">
        <v>498192500</v>
      </c>
      <c r="I24" s="311">
        <f>+H24/C24*100</f>
        <v>55.95153863432165</v>
      </c>
      <c r="J24" s="5">
        <v>498192500</v>
      </c>
      <c r="K24" s="179">
        <f t="shared" si="1"/>
        <v>55.95153863432165</v>
      </c>
      <c r="L24" s="308">
        <v>100</v>
      </c>
      <c r="M24" s="64">
        <f t="shared" si="2"/>
        <v>55.95153863432165</v>
      </c>
      <c r="N24" s="37">
        <f t="shared" si="3"/>
        <v>392207500</v>
      </c>
      <c r="O24" s="344" t="s">
        <v>157</v>
      </c>
    </row>
    <row r="25" spans="1:15" ht="12" customHeight="1">
      <c r="A25" s="63"/>
      <c r="B25" s="47"/>
      <c r="C25" s="5"/>
      <c r="D25" s="211"/>
      <c r="E25" s="63"/>
      <c r="F25" s="192"/>
      <c r="G25" s="228"/>
      <c r="H25" s="5"/>
      <c r="I25" s="114"/>
      <c r="J25" s="5"/>
      <c r="K25" s="36"/>
      <c r="L25" s="307"/>
      <c r="M25" s="37"/>
      <c r="N25" s="37"/>
      <c r="O25" s="343"/>
    </row>
    <row r="26" spans="1:19" ht="12" customHeight="1">
      <c r="A26" s="61" t="s">
        <v>28</v>
      </c>
      <c r="B26" s="62" t="s">
        <v>29</v>
      </c>
      <c r="C26" s="67">
        <f>C27+C40+C50+C53+C64+C80+C85+C96</f>
        <v>9196607500</v>
      </c>
      <c r="D26" s="212"/>
      <c r="E26" s="67">
        <f>E27+E40+E50+E53+E64+E80+E85+E96</f>
        <v>1259241000</v>
      </c>
      <c r="F26" s="192"/>
      <c r="G26" s="228"/>
      <c r="H26" s="271">
        <f>H27+H40+H50+H53+H64+H80+H85+H96</f>
        <v>3380640083</v>
      </c>
      <c r="I26" s="311">
        <f aca="true" t="shared" si="4" ref="I26:I38">+H26/C26*100</f>
        <v>36.75964297704344</v>
      </c>
      <c r="J26" s="67">
        <f>J27+J40+J50+J53+J64+J80+J85+J96</f>
        <v>3923456083</v>
      </c>
      <c r="K26" s="179">
        <f aca="true" t="shared" si="5" ref="K26:K38">+J26/C26*100</f>
        <v>42.661993381798666</v>
      </c>
      <c r="L26" s="308">
        <v>100</v>
      </c>
      <c r="M26" s="64">
        <f aca="true" t="shared" si="6" ref="M26:M38">+J26/C26*100</f>
        <v>42.661993381798666</v>
      </c>
      <c r="N26" s="67">
        <f>N27+N40+N50+N53+N64+N80+N85+N96</f>
        <v>5273151417</v>
      </c>
      <c r="O26" s="343"/>
      <c r="S26" s="299"/>
    </row>
    <row r="27" spans="1:15" ht="12" customHeight="1">
      <c r="A27" s="68">
        <v>1</v>
      </c>
      <c r="B27" s="69" t="s">
        <v>30</v>
      </c>
      <c r="C27" s="67">
        <f>SUM(C28:C38)</f>
        <v>1362525500</v>
      </c>
      <c r="D27" s="212"/>
      <c r="E27" s="67">
        <f>SUM(E28:E38)</f>
        <v>0</v>
      </c>
      <c r="F27" s="193"/>
      <c r="G27" s="229"/>
      <c r="H27" s="6">
        <f>SUM(H28:H38)</f>
        <v>519274481</v>
      </c>
      <c r="I27" s="311">
        <f t="shared" si="4"/>
        <v>38.11117524039</v>
      </c>
      <c r="J27" s="6">
        <f>SUM(J28:J38)</f>
        <v>519274481</v>
      </c>
      <c r="K27" s="179">
        <f t="shared" si="5"/>
        <v>38.11117524039</v>
      </c>
      <c r="L27" s="308">
        <v>100</v>
      </c>
      <c r="M27" s="64">
        <f t="shared" si="6"/>
        <v>38.11117524039</v>
      </c>
      <c r="N27" s="6">
        <f>SUM(N28:N38)</f>
        <v>843251019</v>
      </c>
      <c r="O27" s="343"/>
    </row>
    <row r="28" spans="1:15" ht="12" customHeight="1">
      <c r="A28" s="63">
        <v>1</v>
      </c>
      <c r="B28" s="55" t="s">
        <v>31</v>
      </c>
      <c r="C28" s="71">
        <v>6310000</v>
      </c>
      <c r="D28" s="213"/>
      <c r="E28" s="72" t="s">
        <v>32</v>
      </c>
      <c r="F28" s="194" t="s">
        <v>32</v>
      </c>
      <c r="G28" s="230"/>
      <c r="H28" s="185">
        <v>4296000</v>
      </c>
      <c r="I28" s="311">
        <f t="shared" si="4"/>
        <v>68.0824088748019</v>
      </c>
      <c r="J28" s="185">
        <v>4296000</v>
      </c>
      <c r="K28" s="179">
        <f t="shared" si="5"/>
        <v>68.0824088748019</v>
      </c>
      <c r="L28" s="308">
        <v>100</v>
      </c>
      <c r="M28" s="64">
        <f t="shared" si="6"/>
        <v>68.0824088748019</v>
      </c>
      <c r="N28" s="37">
        <f>C28-J28</f>
        <v>2014000</v>
      </c>
      <c r="O28" s="343"/>
    </row>
    <row r="29" spans="1:15" ht="12" customHeight="1">
      <c r="A29" s="63">
        <v>2</v>
      </c>
      <c r="B29" s="73" t="s">
        <v>76</v>
      </c>
      <c r="C29" s="71">
        <v>60000000</v>
      </c>
      <c r="D29" s="213"/>
      <c r="E29" s="37"/>
      <c r="F29" s="195"/>
      <c r="G29" s="231"/>
      <c r="H29" s="7">
        <v>40719206</v>
      </c>
      <c r="I29" s="311">
        <f t="shared" si="4"/>
        <v>67.86534333333333</v>
      </c>
      <c r="J29" s="7">
        <v>40719206</v>
      </c>
      <c r="K29" s="179">
        <f t="shared" si="5"/>
        <v>67.86534333333333</v>
      </c>
      <c r="L29" s="308">
        <v>100</v>
      </c>
      <c r="M29" s="64">
        <f t="shared" si="6"/>
        <v>67.86534333333333</v>
      </c>
      <c r="N29" s="37">
        <f aca="true" t="shared" si="7" ref="N29:N51">C29-J29</f>
        <v>19280794</v>
      </c>
      <c r="O29" s="343"/>
    </row>
    <row r="30" spans="1:15" ht="12" customHeight="1">
      <c r="A30" s="63">
        <v>3</v>
      </c>
      <c r="B30" s="165" t="s">
        <v>33</v>
      </c>
      <c r="C30" s="166">
        <v>31435000</v>
      </c>
      <c r="D30" s="214"/>
      <c r="E30" s="167">
        <v>0</v>
      </c>
      <c r="F30" s="196">
        <v>0</v>
      </c>
      <c r="G30" s="232"/>
      <c r="H30" s="168">
        <v>14485000</v>
      </c>
      <c r="I30" s="311">
        <f t="shared" si="4"/>
        <v>46.07921107046286</v>
      </c>
      <c r="J30" s="168">
        <v>14485000</v>
      </c>
      <c r="K30" s="179">
        <f t="shared" si="5"/>
        <v>46.07921107046286</v>
      </c>
      <c r="L30" s="308">
        <v>100</v>
      </c>
      <c r="M30" s="64">
        <f t="shared" si="6"/>
        <v>46.07921107046286</v>
      </c>
      <c r="N30" s="37">
        <f t="shared" si="7"/>
        <v>16950000</v>
      </c>
      <c r="O30" s="343"/>
    </row>
    <row r="31" spans="1:15" ht="12" customHeight="1">
      <c r="A31" s="63">
        <v>4</v>
      </c>
      <c r="B31" s="169" t="s">
        <v>34</v>
      </c>
      <c r="C31" s="166">
        <v>55000000</v>
      </c>
      <c r="D31" s="214"/>
      <c r="E31" s="167">
        <v>0</v>
      </c>
      <c r="F31" s="196">
        <v>0</v>
      </c>
      <c r="G31" s="232"/>
      <c r="H31" s="168">
        <v>34305000</v>
      </c>
      <c r="I31" s="311">
        <f t="shared" si="4"/>
        <v>62.37272727272727</v>
      </c>
      <c r="J31" s="168">
        <v>34305000</v>
      </c>
      <c r="K31" s="179">
        <f t="shared" si="5"/>
        <v>62.37272727272727</v>
      </c>
      <c r="L31" s="308">
        <v>100</v>
      </c>
      <c r="M31" s="64">
        <f t="shared" si="6"/>
        <v>62.37272727272727</v>
      </c>
      <c r="N31" s="37">
        <f t="shared" si="7"/>
        <v>20695000</v>
      </c>
      <c r="O31" s="343"/>
    </row>
    <row r="32" spans="1:15" ht="12" customHeight="1">
      <c r="A32" s="63">
        <v>5</v>
      </c>
      <c r="B32" s="73" t="s">
        <v>35</v>
      </c>
      <c r="C32" s="71">
        <v>26676500</v>
      </c>
      <c r="D32" s="213"/>
      <c r="E32" s="37">
        <v>0</v>
      </c>
      <c r="F32" s="195">
        <v>0</v>
      </c>
      <c r="G32" s="231"/>
      <c r="H32" s="7">
        <v>14485300</v>
      </c>
      <c r="I32" s="311">
        <f t="shared" si="4"/>
        <v>54.29985192960096</v>
      </c>
      <c r="J32" s="7">
        <v>14485300</v>
      </c>
      <c r="K32" s="179">
        <f t="shared" si="5"/>
        <v>54.29985192960096</v>
      </c>
      <c r="L32" s="308">
        <v>100</v>
      </c>
      <c r="M32" s="64">
        <f t="shared" si="6"/>
        <v>54.29985192960096</v>
      </c>
      <c r="N32" s="37">
        <f t="shared" si="7"/>
        <v>12191200</v>
      </c>
      <c r="O32" s="343"/>
    </row>
    <row r="33" spans="1:15" ht="12" customHeight="1">
      <c r="A33" s="63">
        <v>6</v>
      </c>
      <c r="B33" s="73" t="s">
        <v>36</v>
      </c>
      <c r="C33" s="71">
        <v>4000000</v>
      </c>
      <c r="D33" s="213"/>
      <c r="E33" s="37">
        <v>0</v>
      </c>
      <c r="F33" s="195">
        <v>0</v>
      </c>
      <c r="G33" s="231"/>
      <c r="H33" s="7">
        <v>1995200</v>
      </c>
      <c r="I33" s="311">
        <f t="shared" si="4"/>
        <v>49.88</v>
      </c>
      <c r="J33" s="7">
        <v>1995200</v>
      </c>
      <c r="K33" s="179">
        <f t="shared" si="5"/>
        <v>49.88</v>
      </c>
      <c r="L33" s="308">
        <v>100</v>
      </c>
      <c r="M33" s="64">
        <f t="shared" si="6"/>
        <v>49.88</v>
      </c>
      <c r="N33" s="37">
        <f t="shared" si="7"/>
        <v>2004800</v>
      </c>
      <c r="O33" s="343"/>
    </row>
    <row r="34" spans="1:15" ht="12" customHeight="1">
      <c r="A34" s="63">
        <v>7</v>
      </c>
      <c r="B34" s="73" t="s">
        <v>37</v>
      </c>
      <c r="C34" s="71">
        <v>13076000</v>
      </c>
      <c r="D34" s="213"/>
      <c r="E34" s="37">
        <v>0</v>
      </c>
      <c r="F34" s="195">
        <v>0</v>
      </c>
      <c r="G34" s="231"/>
      <c r="H34" s="7">
        <v>8761950</v>
      </c>
      <c r="I34" s="311">
        <f t="shared" si="4"/>
        <v>67.00787702661364</v>
      </c>
      <c r="J34" s="7">
        <v>8761950</v>
      </c>
      <c r="K34" s="179">
        <f t="shared" si="5"/>
        <v>67.00787702661364</v>
      </c>
      <c r="L34" s="308">
        <v>100</v>
      </c>
      <c r="M34" s="64">
        <f t="shared" si="6"/>
        <v>67.00787702661364</v>
      </c>
      <c r="N34" s="37">
        <f t="shared" si="7"/>
        <v>4314050</v>
      </c>
      <c r="O34" s="343"/>
    </row>
    <row r="35" spans="1:15" ht="12" customHeight="1">
      <c r="A35" s="63">
        <v>8</v>
      </c>
      <c r="B35" s="73" t="s">
        <v>38</v>
      </c>
      <c r="C35" s="71">
        <v>7500000</v>
      </c>
      <c r="D35" s="213"/>
      <c r="E35" s="37">
        <v>0</v>
      </c>
      <c r="F35" s="195">
        <v>0</v>
      </c>
      <c r="G35" s="231"/>
      <c r="H35" s="7">
        <v>2180000</v>
      </c>
      <c r="I35" s="311">
        <f t="shared" si="4"/>
        <v>29.06666666666667</v>
      </c>
      <c r="J35" s="7">
        <v>2180000</v>
      </c>
      <c r="K35" s="179">
        <f t="shared" si="5"/>
        <v>29.06666666666667</v>
      </c>
      <c r="L35" s="308">
        <v>100</v>
      </c>
      <c r="M35" s="64">
        <f t="shared" si="6"/>
        <v>29.06666666666667</v>
      </c>
      <c r="N35" s="37">
        <f t="shared" si="7"/>
        <v>5320000</v>
      </c>
      <c r="O35" s="343"/>
    </row>
    <row r="36" spans="1:15" ht="12" customHeight="1">
      <c r="A36" s="63">
        <v>9</v>
      </c>
      <c r="B36" s="73" t="s">
        <v>39</v>
      </c>
      <c r="C36" s="71">
        <v>30000000</v>
      </c>
      <c r="D36" s="213"/>
      <c r="E36" s="37">
        <v>0</v>
      </c>
      <c r="F36" s="195">
        <v>0</v>
      </c>
      <c r="G36" s="231"/>
      <c r="H36" s="7">
        <v>18128200</v>
      </c>
      <c r="I36" s="311">
        <f t="shared" si="4"/>
        <v>60.42733333333333</v>
      </c>
      <c r="J36" s="7">
        <v>18128200</v>
      </c>
      <c r="K36" s="179">
        <f t="shared" si="5"/>
        <v>60.42733333333333</v>
      </c>
      <c r="L36" s="308">
        <v>100</v>
      </c>
      <c r="M36" s="64">
        <f t="shared" si="6"/>
        <v>60.42733333333333</v>
      </c>
      <c r="N36" s="37">
        <f t="shared" si="7"/>
        <v>11871800</v>
      </c>
      <c r="O36" s="343"/>
    </row>
    <row r="37" spans="1:15" ht="12" customHeight="1">
      <c r="A37" s="63">
        <v>10</v>
      </c>
      <c r="B37" s="73" t="s">
        <v>40</v>
      </c>
      <c r="C37" s="71">
        <v>200000000</v>
      </c>
      <c r="D37" s="213"/>
      <c r="E37" s="37">
        <v>0</v>
      </c>
      <c r="F37" s="195">
        <v>0</v>
      </c>
      <c r="G37" s="231"/>
      <c r="H37" s="7">
        <v>91631161</v>
      </c>
      <c r="I37" s="311">
        <f t="shared" si="4"/>
        <v>45.8155805</v>
      </c>
      <c r="J37" s="7">
        <v>91631161</v>
      </c>
      <c r="K37" s="179">
        <f t="shared" si="5"/>
        <v>45.8155805</v>
      </c>
      <c r="L37" s="308">
        <v>100</v>
      </c>
      <c r="M37" s="64">
        <f t="shared" si="6"/>
        <v>45.8155805</v>
      </c>
      <c r="N37" s="37">
        <f t="shared" si="7"/>
        <v>108368839</v>
      </c>
      <c r="O37" s="343"/>
    </row>
    <row r="38" spans="1:15" ht="12" customHeight="1">
      <c r="A38" s="63">
        <v>11</v>
      </c>
      <c r="B38" s="73" t="s">
        <v>41</v>
      </c>
      <c r="C38" s="71">
        <v>928528000</v>
      </c>
      <c r="D38" s="213"/>
      <c r="E38" s="37">
        <v>0</v>
      </c>
      <c r="F38" s="195">
        <v>0</v>
      </c>
      <c r="G38" s="231"/>
      <c r="H38" s="7">
        <v>288287464</v>
      </c>
      <c r="I38" s="311">
        <f t="shared" si="4"/>
        <v>31.0477943583823</v>
      </c>
      <c r="J38" s="7">
        <v>288287464</v>
      </c>
      <c r="K38" s="179">
        <f t="shared" si="5"/>
        <v>31.0477943583823</v>
      </c>
      <c r="L38" s="308">
        <v>100</v>
      </c>
      <c r="M38" s="64">
        <f t="shared" si="6"/>
        <v>31.0477943583823</v>
      </c>
      <c r="N38" s="37">
        <f t="shared" si="7"/>
        <v>640240536</v>
      </c>
      <c r="O38" s="343"/>
    </row>
    <row r="39" spans="1:15" ht="12" customHeight="1">
      <c r="A39" s="253"/>
      <c r="B39" s="75"/>
      <c r="C39" s="71"/>
      <c r="D39" s="213"/>
      <c r="E39" s="37"/>
      <c r="F39" s="195"/>
      <c r="G39" s="231"/>
      <c r="H39" s="7"/>
      <c r="I39" s="114"/>
      <c r="J39" s="7"/>
      <c r="K39" s="36"/>
      <c r="L39" s="307"/>
      <c r="M39" s="37">
        <f>K39</f>
        <v>0</v>
      </c>
      <c r="N39" s="37">
        <f t="shared" si="7"/>
        <v>0</v>
      </c>
      <c r="O39" s="343"/>
    </row>
    <row r="40" spans="1:15" ht="12" customHeight="1">
      <c r="A40" s="68">
        <v>2</v>
      </c>
      <c r="B40" s="69" t="s">
        <v>42</v>
      </c>
      <c r="C40" s="39">
        <f>SUM(C41:C48)</f>
        <v>761012000</v>
      </c>
      <c r="D40" s="198"/>
      <c r="E40" s="39">
        <f>SUM(E41:E48)</f>
        <v>43582000</v>
      </c>
      <c r="F40" s="197"/>
      <c r="G40" s="233"/>
      <c r="H40" s="39">
        <f>SUM(H41:H48)</f>
        <v>567473751</v>
      </c>
      <c r="I40" s="311">
        <f>+H40/C40*100</f>
        <v>74.56830523040374</v>
      </c>
      <c r="J40" s="39">
        <f>SUM(J41:J48)</f>
        <v>567473751</v>
      </c>
      <c r="K40" s="179">
        <f>+J40/C40*100</f>
        <v>74.56830523040374</v>
      </c>
      <c r="L40" s="308">
        <v>100</v>
      </c>
      <c r="M40" s="64">
        <f>+J40/C40*100</f>
        <v>74.56830523040374</v>
      </c>
      <c r="N40" s="37">
        <f t="shared" si="7"/>
        <v>193538249</v>
      </c>
      <c r="O40" s="343"/>
    </row>
    <row r="41" spans="1:15" ht="12" customHeight="1">
      <c r="A41" s="63">
        <v>1</v>
      </c>
      <c r="B41" s="73" t="s">
        <v>43</v>
      </c>
      <c r="C41" s="71">
        <v>85000000</v>
      </c>
      <c r="D41" s="213"/>
      <c r="E41" s="37"/>
      <c r="F41" s="195"/>
      <c r="G41" s="231"/>
      <c r="H41" s="71">
        <v>47359600</v>
      </c>
      <c r="I41" s="311">
        <f>+H41/C41*100</f>
        <v>55.717176470588235</v>
      </c>
      <c r="J41" s="71">
        <v>47359600</v>
      </c>
      <c r="K41" s="179">
        <f>+J41/C41*100</f>
        <v>55.717176470588235</v>
      </c>
      <c r="L41" s="308">
        <v>100</v>
      </c>
      <c r="M41" s="64">
        <f>+J41/C41*100</f>
        <v>55.717176470588235</v>
      </c>
      <c r="N41" s="37">
        <f t="shared" si="7"/>
        <v>37640400</v>
      </c>
      <c r="O41" s="343"/>
    </row>
    <row r="42" spans="1:15" ht="12" customHeight="1">
      <c r="A42" s="63">
        <v>2</v>
      </c>
      <c r="B42" s="73" t="s">
        <v>44</v>
      </c>
      <c r="C42" s="71">
        <v>45000000</v>
      </c>
      <c r="D42" s="264" t="s">
        <v>121</v>
      </c>
      <c r="E42" s="37">
        <v>5808000</v>
      </c>
      <c r="F42" s="195" t="s">
        <v>124</v>
      </c>
      <c r="G42" s="231" t="s">
        <v>125</v>
      </c>
      <c r="H42" s="71">
        <v>44536000</v>
      </c>
      <c r="I42" s="311">
        <f>+H42/C42*100</f>
        <v>98.96888888888888</v>
      </c>
      <c r="J42" s="71">
        <v>44536000</v>
      </c>
      <c r="K42" s="179">
        <f>+J42/C42*100</f>
        <v>98.96888888888888</v>
      </c>
      <c r="L42" s="308">
        <v>100</v>
      </c>
      <c r="M42" s="64">
        <f>+J42/C42*100</f>
        <v>98.96888888888888</v>
      </c>
      <c r="N42" s="37">
        <f t="shared" si="7"/>
        <v>464000</v>
      </c>
      <c r="O42" s="343"/>
    </row>
    <row r="43" spans="1:15" ht="12" customHeight="1">
      <c r="A43" s="63"/>
      <c r="B43" s="73"/>
      <c r="C43" s="71"/>
      <c r="D43" s="264" t="s">
        <v>122</v>
      </c>
      <c r="E43" s="37">
        <v>15774000</v>
      </c>
      <c r="F43" s="195" t="s">
        <v>124</v>
      </c>
      <c r="G43" s="231" t="s">
        <v>125</v>
      </c>
      <c r="H43" s="71"/>
      <c r="I43" s="114"/>
      <c r="J43" s="71"/>
      <c r="K43" s="36"/>
      <c r="L43" s="37"/>
      <c r="M43" s="37"/>
      <c r="N43" s="37"/>
      <c r="O43" s="343"/>
    </row>
    <row r="44" spans="1:15" ht="12" customHeight="1">
      <c r="A44" s="63"/>
      <c r="B44" s="73"/>
      <c r="C44" s="71"/>
      <c r="D44" s="264" t="s">
        <v>123</v>
      </c>
      <c r="E44" s="37">
        <v>22000000</v>
      </c>
      <c r="F44" s="195" t="s">
        <v>124</v>
      </c>
      <c r="G44" s="231" t="s">
        <v>125</v>
      </c>
      <c r="H44" s="71"/>
      <c r="I44" s="114"/>
      <c r="J44" s="71"/>
      <c r="K44" s="36"/>
      <c r="L44" s="297"/>
      <c r="M44" s="37"/>
      <c r="N44" s="37"/>
      <c r="O44" s="343"/>
    </row>
    <row r="45" spans="1:15" ht="12" customHeight="1">
      <c r="A45" s="63">
        <v>3</v>
      </c>
      <c r="B45" s="73" t="s">
        <v>45</v>
      </c>
      <c r="C45" s="71">
        <v>239382000</v>
      </c>
      <c r="D45" s="264"/>
      <c r="E45" s="37"/>
      <c r="F45" s="195"/>
      <c r="G45" s="231"/>
      <c r="H45" s="71">
        <v>174523050</v>
      </c>
      <c r="I45" s="311">
        <f>+H45/C45*100</f>
        <v>72.90566959921799</v>
      </c>
      <c r="J45" s="71">
        <v>174523050</v>
      </c>
      <c r="K45" s="179">
        <f aca="true" t="shared" si="8" ref="K45:K51">+J45/C45*100</f>
        <v>72.90566959921799</v>
      </c>
      <c r="L45" s="308">
        <v>100</v>
      </c>
      <c r="M45" s="64">
        <f>+J45/C45*100</f>
        <v>72.90566959921799</v>
      </c>
      <c r="N45" s="37">
        <f>C45-J45</f>
        <v>64858950</v>
      </c>
      <c r="O45" s="343"/>
    </row>
    <row r="46" spans="1:15" ht="12" customHeight="1">
      <c r="A46" s="63">
        <v>4</v>
      </c>
      <c r="B46" s="73" t="s">
        <v>46</v>
      </c>
      <c r="C46" s="71">
        <v>370980000</v>
      </c>
      <c r="D46" s="213"/>
      <c r="E46" s="37"/>
      <c r="F46" s="195"/>
      <c r="G46" s="231"/>
      <c r="H46" s="7">
        <v>290055301</v>
      </c>
      <c r="I46" s="311">
        <f>+H46/C46*100</f>
        <v>78.18623672435172</v>
      </c>
      <c r="J46" s="7">
        <v>290055301</v>
      </c>
      <c r="K46" s="179">
        <f t="shared" si="8"/>
        <v>78.18623672435172</v>
      </c>
      <c r="L46" s="308">
        <v>100</v>
      </c>
      <c r="M46" s="64">
        <f>+J46/C46*100</f>
        <v>78.18623672435172</v>
      </c>
      <c r="N46" s="37">
        <f>C46-J46</f>
        <v>80924699</v>
      </c>
      <c r="O46" s="343"/>
    </row>
    <row r="47" spans="1:15" ht="12" customHeight="1">
      <c r="A47" s="63">
        <v>5</v>
      </c>
      <c r="B47" s="73" t="s">
        <v>47</v>
      </c>
      <c r="C47" s="71">
        <v>13050000</v>
      </c>
      <c r="D47" s="213"/>
      <c r="E47" s="37">
        <v>0</v>
      </c>
      <c r="F47" s="195">
        <v>0</v>
      </c>
      <c r="G47" s="231"/>
      <c r="H47" s="7">
        <v>3400000</v>
      </c>
      <c r="I47" s="311">
        <f>+H47/C47*100</f>
        <v>26.053639846743295</v>
      </c>
      <c r="J47" s="7">
        <v>3400000</v>
      </c>
      <c r="K47" s="179">
        <f t="shared" si="8"/>
        <v>26.053639846743295</v>
      </c>
      <c r="L47" s="308">
        <v>100</v>
      </c>
      <c r="M47" s="64">
        <f>+J47/C47*100</f>
        <v>26.053639846743295</v>
      </c>
      <c r="N47" s="37">
        <f>C47-J47</f>
        <v>9650000</v>
      </c>
      <c r="O47" s="343"/>
    </row>
    <row r="48" spans="1:15" ht="12" customHeight="1">
      <c r="A48" s="63">
        <v>6</v>
      </c>
      <c r="B48" s="73" t="s">
        <v>48</v>
      </c>
      <c r="C48" s="71">
        <v>7600000</v>
      </c>
      <c r="D48" s="213"/>
      <c r="E48" s="37"/>
      <c r="F48" s="195"/>
      <c r="G48" s="231"/>
      <c r="H48" s="71">
        <v>7599800</v>
      </c>
      <c r="I48" s="311">
        <f>+H48/C48*100</f>
        <v>99.99736842105264</v>
      </c>
      <c r="J48" s="71">
        <v>7599800</v>
      </c>
      <c r="K48" s="179">
        <f t="shared" si="8"/>
        <v>99.99736842105264</v>
      </c>
      <c r="L48" s="308">
        <v>100</v>
      </c>
      <c r="M48" s="64">
        <f>+J48/C48*100</f>
        <v>99.99736842105264</v>
      </c>
      <c r="N48" s="37">
        <f>C48-J48</f>
        <v>200</v>
      </c>
      <c r="O48" s="343"/>
    </row>
    <row r="49" spans="1:15" ht="12" customHeight="1">
      <c r="A49" s="63"/>
      <c r="B49" s="73"/>
      <c r="C49" s="71"/>
      <c r="D49" s="213"/>
      <c r="E49" s="37"/>
      <c r="F49" s="195"/>
      <c r="G49" s="231"/>
      <c r="H49" s="7"/>
      <c r="I49" s="114"/>
      <c r="J49" s="7"/>
      <c r="K49" s="36"/>
      <c r="L49" s="37"/>
      <c r="M49" s="37"/>
      <c r="N49" s="37">
        <f t="shared" si="7"/>
        <v>0</v>
      </c>
      <c r="O49" s="343"/>
    </row>
    <row r="50" spans="1:15" ht="12" customHeight="1">
      <c r="A50" s="68">
        <v>3</v>
      </c>
      <c r="B50" s="69" t="s">
        <v>49</v>
      </c>
      <c r="C50" s="39">
        <f>C51</f>
        <v>74570000</v>
      </c>
      <c r="D50" s="198"/>
      <c r="E50" s="39">
        <f>E51</f>
        <v>57200000</v>
      </c>
      <c r="F50" s="198"/>
      <c r="G50" s="234"/>
      <c r="H50" s="8">
        <f>H51</f>
        <v>73200000</v>
      </c>
      <c r="I50" s="311">
        <f>+H50/C50*100</f>
        <v>98.16280005364088</v>
      </c>
      <c r="J50" s="8">
        <f>J51</f>
        <v>73200000</v>
      </c>
      <c r="K50" s="179">
        <f t="shared" si="8"/>
        <v>98.16280005364088</v>
      </c>
      <c r="L50" s="308">
        <v>100</v>
      </c>
      <c r="M50" s="64">
        <f>+J50/C50*100</f>
        <v>98.16280005364088</v>
      </c>
      <c r="N50" s="37">
        <f t="shared" si="7"/>
        <v>1370000</v>
      </c>
      <c r="O50" s="343"/>
    </row>
    <row r="51" spans="1:15" ht="12" customHeight="1">
      <c r="A51" s="63"/>
      <c r="B51" s="55" t="s">
        <v>50</v>
      </c>
      <c r="C51" s="250">
        <v>74570000</v>
      </c>
      <c r="D51" s="265" t="s">
        <v>118</v>
      </c>
      <c r="E51" s="37">
        <v>57200000</v>
      </c>
      <c r="F51" s="263" t="s">
        <v>119</v>
      </c>
      <c r="G51" s="231" t="s">
        <v>120</v>
      </c>
      <c r="H51" s="10">
        <f>16000000+57200000</f>
        <v>73200000</v>
      </c>
      <c r="I51" s="311">
        <f>+H51/C51*100</f>
        <v>98.16280005364088</v>
      </c>
      <c r="J51" s="10">
        <f>16000000+57200000</f>
        <v>73200000</v>
      </c>
      <c r="K51" s="179">
        <f t="shared" si="8"/>
        <v>98.16280005364088</v>
      </c>
      <c r="L51" s="308">
        <v>100</v>
      </c>
      <c r="M51" s="64">
        <f>+J51/C51*100</f>
        <v>98.16280005364088</v>
      </c>
      <c r="N51" s="37">
        <f t="shared" si="7"/>
        <v>1370000</v>
      </c>
      <c r="O51" s="343"/>
    </row>
    <row r="52" spans="1:15" ht="12" customHeight="1">
      <c r="A52" s="286"/>
      <c r="B52" s="287"/>
      <c r="C52" s="288"/>
      <c r="D52" s="289"/>
      <c r="E52" s="290"/>
      <c r="F52" s="291"/>
      <c r="G52" s="292"/>
      <c r="H52" s="293"/>
      <c r="I52" s="313"/>
      <c r="J52" s="293"/>
      <c r="K52" s="294"/>
      <c r="L52" s="309"/>
      <c r="M52" s="295"/>
      <c r="N52" s="295"/>
      <c r="O52" s="343"/>
    </row>
    <row r="53" spans="1:15" ht="12" customHeight="1">
      <c r="A53" s="259">
        <v>4</v>
      </c>
      <c r="B53" s="280" t="s">
        <v>51</v>
      </c>
      <c r="C53" s="281">
        <f>C54+C59+C60</f>
        <v>4830000000</v>
      </c>
      <c r="D53" s="282"/>
      <c r="E53" s="281">
        <f>SUM(E54:E63)</f>
        <v>542250000</v>
      </c>
      <c r="F53" s="282"/>
      <c r="G53" s="283"/>
      <c r="H53" s="284">
        <f>SUM(H54:H60)</f>
        <v>1275844802</v>
      </c>
      <c r="I53" s="311">
        <f>+H53/C53*100</f>
        <v>26.415006252587993</v>
      </c>
      <c r="J53" s="284">
        <f>SUM(J54:J60)</f>
        <v>1275844802</v>
      </c>
      <c r="K53" s="179">
        <f>+J53/C53*100</f>
        <v>26.415006252587993</v>
      </c>
      <c r="L53" s="308">
        <v>100</v>
      </c>
      <c r="M53" s="64">
        <f>+J53/C53*100</f>
        <v>26.415006252587993</v>
      </c>
      <c r="N53" s="285">
        <f aca="true" t="shared" si="9" ref="N53:N97">C53-J53</f>
        <v>3554155198</v>
      </c>
      <c r="O53" s="343"/>
    </row>
    <row r="54" spans="1:15" ht="12" customHeight="1">
      <c r="A54" s="63">
        <v>1</v>
      </c>
      <c r="B54" s="21" t="s">
        <v>52</v>
      </c>
      <c r="C54" s="22">
        <v>3930000000</v>
      </c>
      <c r="D54" s="266" t="s">
        <v>111</v>
      </c>
      <c r="E54" s="22">
        <v>89375000</v>
      </c>
      <c r="F54" s="201" t="s">
        <v>114</v>
      </c>
      <c r="G54" s="267" t="s">
        <v>116</v>
      </c>
      <c r="H54" s="22">
        <f>18176400+79925000+108075000+89375000+198000000+98200000</f>
        <v>591751400</v>
      </c>
      <c r="I54" s="311">
        <f>+H54/C54*100</f>
        <v>15.057287531806615</v>
      </c>
      <c r="J54" s="22">
        <f>18176400+79925000+108075000+89375000+198000000+98200000</f>
        <v>591751400</v>
      </c>
      <c r="K54" s="179">
        <f>+J54/C54*100</f>
        <v>15.057287531806615</v>
      </c>
      <c r="L54" s="308">
        <v>100</v>
      </c>
      <c r="M54" s="64">
        <f>+J54/C54*100</f>
        <v>15.057287531806615</v>
      </c>
      <c r="N54" s="172">
        <f t="shared" si="9"/>
        <v>3338248600</v>
      </c>
      <c r="O54" s="343"/>
    </row>
    <row r="55" spans="1:19" ht="12" customHeight="1">
      <c r="A55" s="63"/>
      <c r="B55" s="21"/>
      <c r="C55" s="22"/>
      <c r="D55" s="266" t="s">
        <v>112</v>
      </c>
      <c r="E55" s="22">
        <v>198000000</v>
      </c>
      <c r="F55" s="201" t="s">
        <v>115</v>
      </c>
      <c r="G55" s="267" t="s">
        <v>117</v>
      </c>
      <c r="H55" s="22"/>
      <c r="I55" s="114"/>
      <c r="J55" s="22"/>
      <c r="K55" s="36"/>
      <c r="L55" s="307"/>
      <c r="M55" s="37"/>
      <c r="N55" s="172"/>
      <c r="O55" s="343"/>
      <c r="S55" s="22"/>
    </row>
    <row r="56" spans="1:19" ht="12" customHeight="1">
      <c r="A56" s="63"/>
      <c r="B56" s="21"/>
      <c r="C56" s="22"/>
      <c r="D56" s="266" t="s">
        <v>113</v>
      </c>
      <c r="E56" s="22">
        <v>108075000</v>
      </c>
      <c r="F56" s="201" t="s">
        <v>114</v>
      </c>
      <c r="G56" s="267" t="s">
        <v>116</v>
      </c>
      <c r="H56" s="22"/>
      <c r="I56" s="114"/>
      <c r="J56" s="22"/>
      <c r="K56" s="36"/>
      <c r="L56" s="307"/>
      <c r="M56" s="37"/>
      <c r="N56" s="172"/>
      <c r="O56" s="343"/>
      <c r="S56" s="22"/>
    </row>
    <row r="57" spans="1:19" ht="12" customHeight="1">
      <c r="A57" s="63"/>
      <c r="B57" s="21"/>
      <c r="C57" s="22"/>
      <c r="D57" s="274" t="s">
        <v>130</v>
      </c>
      <c r="E57" s="275">
        <v>98200000</v>
      </c>
      <c r="F57" s="276" t="s">
        <v>131</v>
      </c>
      <c r="G57" s="277">
        <v>43556</v>
      </c>
      <c r="H57" s="22"/>
      <c r="I57" s="114"/>
      <c r="J57" s="22"/>
      <c r="K57" s="36"/>
      <c r="L57" s="307"/>
      <c r="M57" s="37"/>
      <c r="N57" s="172"/>
      <c r="O57" s="343"/>
      <c r="S57" s="22"/>
    </row>
    <row r="58" spans="1:19" ht="12" customHeight="1">
      <c r="A58" s="63"/>
      <c r="B58" s="21"/>
      <c r="C58" s="22"/>
      <c r="D58" s="274"/>
      <c r="E58" s="275"/>
      <c r="F58" s="276"/>
      <c r="G58" s="279"/>
      <c r="H58" s="275"/>
      <c r="I58" s="114"/>
      <c r="J58" s="275"/>
      <c r="K58" s="36"/>
      <c r="L58" s="307"/>
      <c r="M58" s="37"/>
      <c r="N58" s="172"/>
      <c r="O58" s="343"/>
      <c r="S58" s="22"/>
    </row>
    <row r="59" spans="1:19" ht="12" customHeight="1">
      <c r="A59" s="63">
        <v>2</v>
      </c>
      <c r="B59" s="21" t="s">
        <v>53</v>
      </c>
      <c r="C59" s="22">
        <v>750000000</v>
      </c>
      <c r="D59" s="201"/>
      <c r="E59" s="32"/>
      <c r="F59" s="99"/>
      <c r="G59" s="235"/>
      <c r="H59" s="23">
        <v>604173402</v>
      </c>
      <c r="I59" s="311">
        <f>+H59/C59*100</f>
        <v>80.5564536</v>
      </c>
      <c r="J59" s="23">
        <v>604173402</v>
      </c>
      <c r="K59" s="179">
        <f>+J59/C59*100</f>
        <v>80.5564536</v>
      </c>
      <c r="L59" s="308">
        <v>100</v>
      </c>
      <c r="M59" s="64">
        <f>+J59/C59*100</f>
        <v>80.5564536</v>
      </c>
      <c r="N59" s="172">
        <f t="shared" si="9"/>
        <v>145826598</v>
      </c>
      <c r="O59" s="343"/>
      <c r="S59" s="275"/>
    </row>
    <row r="60" spans="1:20" ht="12" customHeight="1">
      <c r="A60" s="63">
        <v>3</v>
      </c>
      <c r="B60" s="21" t="s">
        <v>54</v>
      </c>
      <c r="C60" s="22">
        <v>150000000</v>
      </c>
      <c r="D60" s="201" t="s">
        <v>107</v>
      </c>
      <c r="E60" s="23">
        <v>48600000</v>
      </c>
      <c r="F60" s="99" t="s">
        <v>108</v>
      </c>
      <c r="G60" s="235">
        <v>43584</v>
      </c>
      <c r="H60" s="23">
        <v>79920000</v>
      </c>
      <c r="I60" s="311">
        <f>+H60/C60*100</f>
        <v>53.28000000000001</v>
      </c>
      <c r="J60" s="23">
        <v>79920000</v>
      </c>
      <c r="K60" s="179">
        <f>+J60/C60*100</f>
        <v>53.28000000000001</v>
      </c>
      <c r="L60" s="308">
        <v>100</v>
      </c>
      <c r="M60" s="64">
        <f>+J60/C60*100</f>
        <v>53.28000000000001</v>
      </c>
      <c r="N60" s="172">
        <f t="shared" si="9"/>
        <v>70080000</v>
      </c>
      <c r="O60" s="345"/>
      <c r="P60" s="1"/>
      <c r="S60" s="298"/>
      <c r="T60" s="299"/>
    </row>
    <row r="61" spans="1:20" ht="12" customHeight="1">
      <c r="A61" s="255"/>
      <c r="B61" s="246"/>
      <c r="C61" s="28"/>
      <c r="D61" s="215"/>
      <c r="E61" s="29"/>
      <c r="F61" s="134"/>
      <c r="G61" s="238"/>
      <c r="H61" s="29"/>
      <c r="I61" s="346"/>
      <c r="J61" s="29"/>
      <c r="K61" s="174"/>
      <c r="L61" s="308"/>
      <c r="M61" s="175"/>
      <c r="N61" s="172"/>
      <c r="O61" s="345"/>
      <c r="P61" s="1"/>
      <c r="S61" s="298"/>
      <c r="T61" s="299"/>
    </row>
    <row r="62" spans="1:20" ht="12" customHeight="1">
      <c r="A62" s="255"/>
      <c r="B62" s="246"/>
      <c r="C62" s="28"/>
      <c r="D62" s="215"/>
      <c r="E62" s="29"/>
      <c r="F62" s="134"/>
      <c r="G62" s="238"/>
      <c r="H62" s="29"/>
      <c r="I62" s="346"/>
      <c r="J62" s="29"/>
      <c r="K62" s="174"/>
      <c r="L62" s="308"/>
      <c r="M62" s="175"/>
      <c r="N62" s="172"/>
      <c r="O62" s="345"/>
      <c r="P62" s="1"/>
      <c r="S62" s="298"/>
      <c r="T62" s="299"/>
    </row>
    <row r="63" spans="1:16" ht="12" customHeight="1">
      <c r="A63" s="255"/>
      <c r="B63" s="246"/>
      <c r="C63" s="28"/>
      <c r="D63" s="215"/>
      <c r="E63" s="29"/>
      <c r="F63" s="134"/>
      <c r="G63" s="238"/>
      <c r="H63" s="29"/>
      <c r="I63" s="314"/>
      <c r="J63" s="29"/>
      <c r="K63" s="36"/>
      <c r="L63" s="307"/>
      <c r="M63" s="173"/>
      <c r="N63" s="172"/>
      <c r="O63" s="345"/>
      <c r="P63" s="1"/>
    </row>
    <row r="64" spans="1:15" ht="12" customHeight="1">
      <c r="A64" s="256">
        <v>5</v>
      </c>
      <c r="B64" s="97" t="s">
        <v>56</v>
      </c>
      <c r="C64" s="48">
        <f>SUM(C65:C78)</f>
        <v>1208500000</v>
      </c>
      <c r="D64" s="202"/>
      <c r="E64" s="48">
        <f>E65+E66+E67++E68+E69+E70+E71+E74+E76+E78+E73</f>
        <v>160501000</v>
      </c>
      <c r="F64" s="202"/>
      <c r="G64" s="239"/>
      <c r="H64" s="174">
        <f>SUM(H65:H78)</f>
        <v>443120049</v>
      </c>
      <c r="I64" s="311">
        <f aca="true" t="shared" si="10" ref="I64:I78">+H64/C64*100</f>
        <v>36.6669465453041</v>
      </c>
      <c r="J64" s="174">
        <f>SUM(J65:J78)</f>
        <v>678551049</v>
      </c>
      <c r="K64" s="179">
        <f aca="true" t="shared" si="11" ref="K64:K78">+J64/C64*100</f>
        <v>56.14820430285478</v>
      </c>
      <c r="L64" s="308">
        <v>100</v>
      </c>
      <c r="M64" s="64">
        <f aca="true" t="shared" si="12" ref="M64:M78">+J64/C64*100</f>
        <v>56.14820430285478</v>
      </c>
      <c r="N64" s="172">
        <f t="shared" si="9"/>
        <v>529948951</v>
      </c>
      <c r="O64" s="343"/>
    </row>
    <row r="65" spans="1:15" ht="12" customHeight="1">
      <c r="A65" s="63">
        <v>1</v>
      </c>
      <c r="B65" s="73" t="s">
        <v>57</v>
      </c>
      <c r="C65" s="71">
        <v>350000000</v>
      </c>
      <c r="D65" s="213"/>
      <c r="E65" s="71"/>
      <c r="F65" s="99"/>
      <c r="G65" s="235"/>
      <c r="H65" s="71">
        <v>131248900</v>
      </c>
      <c r="I65" s="311">
        <f t="shared" si="10"/>
        <v>37.49968571428571</v>
      </c>
      <c r="J65" s="71">
        <v>131248900</v>
      </c>
      <c r="K65" s="179">
        <f t="shared" si="11"/>
        <v>37.49968571428571</v>
      </c>
      <c r="L65" s="308">
        <v>100</v>
      </c>
      <c r="M65" s="64">
        <f t="shared" si="12"/>
        <v>37.49968571428571</v>
      </c>
      <c r="N65" s="172">
        <f t="shared" si="9"/>
        <v>218751100</v>
      </c>
      <c r="O65" s="343"/>
    </row>
    <row r="66" spans="1:15" ht="12" customHeight="1">
      <c r="A66" s="63">
        <v>2</v>
      </c>
      <c r="B66" s="98" t="s">
        <v>58</v>
      </c>
      <c r="C66" s="71">
        <v>165000000</v>
      </c>
      <c r="D66" s="213"/>
      <c r="E66" s="37"/>
      <c r="F66" s="99"/>
      <c r="G66" s="235"/>
      <c r="H66" s="71">
        <v>122001983</v>
      </c>
      <c r="I66" s="311">
        <f t="shared" si="10"/>
        <v>73.94059575757575</v>
      </c>
      <c r="J66" s="71">
        <v>122001983</v>
      </c>
      <c r="K66" s="179">
        <f t="shared" si="11"/>
        <v>73.94059575757575</v>
      </c>
      <c r="L66" s="308">
        <v>100</v>
      </c>
      <c r="M66" s="64">
        <f t="shared" si="12"/>
        <v>73.94059575757575</v>
      </c>
      <c r="N66" s="172">
        <f t="shared" si="9"/>
        <v>42998017</v>
      </c>
      <c r="O66" s="343"/>
    </row>
    <row r="67" spans="1:15" ht="12" customHeight="1">
      <c r="A67" s="63">
        <v>3</v>
      </c>
      <c r="B67" s="98" t="s">
        <v>59</v>
      </c>
      <c r="C67" s="71">
        <v>50000000</v>
      </c>
      <c r="D67" s="213"/>
      <c r="E67" s="37"/>
      <c r="F67" s="99"/>
      <c r="G67" s="235"/>
      <c r="H67" s="7">
        <v>22900000</v>
      </c>
      <c r="I67" s="311">
        <f t="shared" si="10"/>
        <v>45.800000000000004</v>
      </c>
      <c r="J67" s="7">
        <v>22900000</v>
      </c>
      <c r="K67" s="179">
        <f t="shared" si="11"/>
        <v>45.800000000000004</v>
      </c>
      <c r="L67" s="308">
        <v>100</v>
      </c>
      <c r="M67" s="64">
        <f t="shared" si="12"/>
        <v>45.800000000000004</v>
      </c>
      <c r="N67" s="172">
        <f t="shared" si="9"/>
        <v>27100000</v>
      </c>
      <c r="O67" s="343"/>
    </row>
    <row r="68" spans="1:15" ht="12" customHeight="1">
      <c r="A68" s="63">
        <v>4</v>
      </c>
      <c r="B68" s="73" t="s">
        <v>78</v>
      </c>
      <c r="C68" s="71">
        <v>80000000</v>
      </c>
      <c r="D68" s="213" t="s">
        <v>110</v>
      </c>
      <c r="E68" s="37">
        <v>11000000</v>
      </c>
      <c r="F68" s="99" t="s">
        <v>109</v>
      </c>
      <c r="G68" s="235">
        <v>43580</v>
      </c>
      <c r="H68" s="7">
        <v>29275000</v>
      </c>
      <c r="I68" s="311">
        <f t="shared" si="10"/>
        <v>36.59375</v>
      </c>
      <c r="J68" s="7">
        <v>29275000</v>
      </c>
      <c r="K68" s="179">
        <f t="shared" si="11"/>
        <v>36.59375</v>
      </c>
      <c r="L68" s="308">
        <v>100</v>
      </c>
      <c r="M68" s="64">
        <f t="shared" si="12"/>
        <v>36.59375</v>
      </c>
      <c r="N68" s="172">
        <f t="shared" si="9"/>
        <v>50725000</v>
      </c>
      <c r="O68" s="343"/>
    </row>
    <row r="69" spans="1:15" ht="12" customHeight="1">
      <c r="A69" s="63">
        <v>5</v>
      </c>
      <c r="B69" s="73" t="s">
        <v>79</v>
      </c>
      <c r="C69" s="71">
        <v>50000000</v>
      </c>
      <c r="D69" s="213"/>
      <c r="E69" s="37"/>
      <c r="F69" s="99"/>
      <c r="G69" s="235"/>
      <c r="H69" s="7">
        <v>10775000</v>
      </c>
      <c r="I69" s="311">
        <f t="shared" si="10"/>
        <v>21.55</v>
      </c>
      <c r="J69" s="7">
        <v>10775000</v>
      </c>
      <c r="K69" s="179">
        <f t="shared" si="11"/>
        <v>21.55</v>
      </c>
      <c r="L69" s="308">
        <v>100</v>
      </c>
      <c r="M69" s="64">
        <f t="shared" si="12"/>
        <v>21.55</v>
      </c>
      <c r="N69" s="172">
        <f t="shared" si="9"/>
        <v>39225000</v>
      </c>
      <c r="O69" s="343"/>
    </row>
    <row r="70" spans="1:15" ht="12" customHeight="1">
      <c r="A70" s="63">
        <v>6</v>
      </c>
      <c r="B70" s="73" t="s">
        <v>60</v>
      </c>
      <c r="C70" s="71">
        <v>50000000</v>
      </c>
      <c r="D70" s="213"/>
      <c r="E70" s="37"/>
      <c r="F70" s="99"/>
      <c r="G70" s="235"/>
      <c r="H70" s="7">
        <v>20860166</v>
      </c>
      <c r="I70" s="311">
        <f t="shared" si="10"/>
        <v>41.720332</v>
      </c>
      <c r="J70" s="7">
        <v>20860166</v>
      </c>
      <c r="K70" s="179">
        <f t="shared" si="11"/>
        <v>41.720332</v>
      </c>
      <c r="L70" s="308">
        <v>100</v>
      </c>
      <c r="M70" s="64">
        <f t="shared" si="12"/>
        <v>41.720332</v>
      </c>
      <c r="N70" s="172">
        <f t="shared" si="9"/>
        <v>29139834</v>
      </c>
      <c r="O70" s="343"/>
    </row>
    <row r="71" spans="1:15" ht="12" customHeight="1">
      <c r="A71" s="257">
        <v>7</v>
      </c>
      <c r="B71" s="122" t="s">
        <v>61</v>
      </c>
      <c r="C71" s="123">
        <v>50000000</v>
      </c>
      <c r="D71" s="216"/>
      <c r="E71" s="115"/>
      <c r="F71" s="203"/>
      <c r="G71" s="240"/>
      <c r="H71" s="124">
        <v>48600000</v>
      </c>
      <c r="I71" s="311">
        <f t="shared" si="10"/>
        <v>97.2</v>
      </c>
      <c r="J71" s="124">
        <v>48600000</v>
      </c>
      <c r="K71" s="179">
        <f t="shared" si="11"/>
        <v>97.2</v>
      </c>
      <c r="L71" s="308">
        <v>100</v>
      </c>
      <c r="M71" s="64">
        <f t="shared" si="12"/>
        <v>97.2</v>
      </c>
      <c r="N71" s="172">
        <f t="shared" si="9"/>
        <v>1400000</v>
      </c>
      <c r="O71" s="343"/>
    </row>
    <row r="72" spans="1:15" ht="12" customHeight="1">
      <c r="A72" s="63">
        <v>8</v>
      </c>
      <c r="B72" s="122" t="s">
        <v>85</v>
      </c>
      <c r="C72" s="123">
        <v>156700000</v>
      </c>
      <c r="D72" s="216"/>
      <c r="E72" s="115"/>
      <c r="F72" s="203"/>
      <c r="G72" s="240"/>
      <c r="H72" s="124">
        <v>0</v>
      </c>
      <c r="I72" s="311">
        <f t="shared" si="10"/>
        <v>0</v>
      </c>
      <c r="J72" s="124">
        <v>0</v>
      </c>
      <c r="K72" s="179">
        <f t="shared" si="11"/>
        <v>0</v>
      </c>
      <c r="L72" s="308">
        <v>100</v>
      </c>
      <c r="M72" s="64">
        <f t="shared" si="12"/>
        <v>0</v>
      </c>
      <c r="N72" s="172">
        <f t="shared" si="9"/>
        <v>156700000</v>
      </c>
      <c r="O72" s="343"/>
    </row>
    <row r="73" spans="1:15" ht="24" customHeight="1">
      <c r="A73" s="257"/>
      <c r="B73" s="122"/>
      <c r="C73" s="123"/>
      <c r="D73" s="331" t="s">
        <v>154</v>
      </c>
      <c r="E73" s="333">
        <v>149501000</v>
      </c>
      <c r="F73" s="334" t="s">
        <v>156</v>
      </c>
      <c r="G73" s="335" t="s">
        <v>155</v>
      </c>
      <c r="H73" s="336"/>
      <c r="I73" s="337"/>
      <c r="J73" s="333">
        <v>149501000</v>
      </c>
      <c r="K73" s="179"/>
      <c r="L73" s="308"/>
      <c r="M73" s="64"/>
      <c r="N73" s="172"/>
      <c r="O73" s="343"/>
    </row>
    <row r="74" spans="1:15" ht="12" customHeight="1">
      <c r="A74" s="257">
        <v>9</v>
      </c>
      <c r="B74" s="328" t="s">
        <v>80</v>
      </c>
      <c r="C74" s="181">
        <v>140000000</v>
      </c>
      <c r="D74" s="217"/>
      <c r="E74" s="182"/>
      <c r="F74" s="204"/>
      <c r="G74" s="241"/>
      <c r="H74" s="181">
        <v>14864000</v>
      </c>
      <c r="I74" s="311">
        <f t="shared" si="10"/>
        <v>10.617142857142857</v>
      </c>
      <c r="J74" s="181">
        <v>14864000</v>
      </c>
      <c r="K74" s="179">
        <f t="shared" si="11"/>
        <v>10.617142857142857</v>
      </c>
      <c r="L74" s="308">
        <v>100</v>
      </c>
      <c r="M74" s="64">
        <f t="shared" si="12"/>
        <v>10.617142857142857</v>
      </c>
      <c r="N74" s="181">
        <f t="shared" si="9"/>
        <v>125136000</v>
      </c>
      <c r="O74" s="343"/>
    </row>
    <row r="75" spans="1:15" ht="24" customHeight="1">
      <c r="A75" s="257"/>
      <c r="B75" s="328"/>
      <c r="C75" s="181"/>
      <c r="D75" s="330" t="s">
        <v>140</v>
      </c>
      <c r="E75" s="182">
        <v>85930000</v>
      </c>
      <c r="F75" s="329" t="s">
        <v>141</v>
      </c>
      <c r="G75" s="241">
        <v>43556</v>
      </c>
      <c r="H75" s="181"/>
      <c r="I75" s="311"/>
      <c r="J75" s="182">
        <v>85930000</v>
      </c>
      <c r="K75" s="179"/>
      <c r="L75" s="308"/>
      <c r="M75" s="64"/>
      <c r="N75" s="181"/>
      <c r="O75" s="343"/>
    </row>
    <row r="76" spans="1:15" ht="12" customHeight="1">
      <c r="A76" s="63">
        <v>10</v>
      </c>
      <c r="B76" s="73" t="s">
        <v>62</v>
      </c>
      <c r="C76" s="71">
        <v>68300000</v>
      </c>
      <c r="D76" s="213"/>
      <c r="E76" s="71"/>
      <c r="F76" s="99"/>
      <c r="G76" s="235"/>
      <c r="H76" s="7">
        <v>14545000</v>
      </c>
      <c r="I76" s="311">
        <f t="shared" si="10"/>
        <v>21.29575402635432</v>
      </c>
      <c r="J76" s="7">
        <v>14545000</v>
      </c>
      <c r="K76" s="179">
        <f t="shared" si="11"/>
        <v>21.29575402635432</v>
      </c>
      <c r="L76" s="308">
        <v>100</v>
      </c>
      <c r="M76" s="64">
        <f t="shared" si="12"/>
        <v>21.29575402635432</v>
      </c>
      <c r="N76" s="172">
        <f t="shared" si="9"/>
        <v>53755000</v>
      </c>
      <c r="O76" s="343"/>
    </row>
    <row r="77" spans="1:15" ht="12" customHeight="1">
      <c r="A77" s="257">
        <v>11</v>
      </c>
      <c r="B77" s="73" t="s">
        <v>81</v>
      </c>
      <c r="C77" s="38">
        <v>27500000</v>
      </c>
      <c r="D77" s="218"/>
      <c r="E77" s="71"/>
      <c r="F77" s="99"/>
      <c r="G77" s="235"/>
      <c r="H77" s="7">
        <v>15150000</v>
      </c>
      <c r="I77" s="311">
        <f t="shared" si="10"/>
        <v>55.09090909090909</v>
      </c>
      <c r="J77" s="7">
        <v>15150000</v>
      </c>
      <c r="K77" s="179">
        <f t="shared" si="11"/>
        <v>55.09090909090909</v>
      </c>
      <c r="L77" s="308">
        <v>100</v>
      </c>
      <c r="M77" s="64">
        <f t="shared" si="12"/>
        <v>55.09090909090909</v>
      </c>
      <c r="N77" s="172">
        <f t="shared" si="9"/>
        <v>12350000</v>
      </c>
      <c r="O77" s="343"/>
    </row>
    <row r="78" spans="1:15" ht="12" customHeight="1">
      <c r="A78" s="63">
        <v>12</v>
      </c>
      <c r="B78" s="73" t="s">
        <v>55</v>
      </c>
      <c r="C78" s="38">
        <v>21000000</v>
      </c>
      <c r="D78" s="218"/>
      <c r="E78" s="71"/>
      <c r="F78" s="99"/>
      <c r="G78" s="235"/>
      <c r="H78" s="7">
        <v>12900000</v>
      </c>
      <c r="I78" s="311">
        <f t="shared" si="10"/>
        <v>61.42857142857143</v>
      </c>
      <c r="J78" s="7">
        <v>12900000</v>
      </c>
      <c r="K78" s="179">
        <f t="shared" si="11"/>
        <v>61.42857142857143</v>
      </c>
      <c r="L78" s="308">
        <v>100</v>
      </c>
      <c r="M78" s="64">
        <f t="shared" si="12"/>
        <v>61.42857142857143</v>
      </c>
      <c r="N78" s="172">
        <f t="shared" si="9"/>
        <v>8100000</v>
      </c>
      <c r="O78" s="343"/>
    </row>
    <row r="79" spans="1:15" ht="12" customHeight="1">
      <c r="A79" s="258"/>
      <c r="B79" s="125"/>
      <c r="C79" s="22"/>
      <c r="D79" s="201"/>
      <c r="E79" s="32"/>
      <c r="F79" s="99"/>
      <c r="G79" s="235"/>
      <c r="H79" s="23"/>
      <c r="I79" s="315"/>
      <c r="J79" s="23"/>
      <c r="K79" s="7"/>
      <c r="L79" s="307"/>
      <c r="M79" s="145"/>
      <c r="N79" s="172">
        <f t="shared" si="9"/>
        <v>0</v>
      </c>
      <c r="O79" s="343"/>
    </row>
    <row r="80" spans="1:15" ht="12" customHeight="1">
      <c r="A80" s="259">
        <v>6</v>
      </c>
      <c r="B80" s="97" t="s">
        <v>63</v>
      </c>
      <c r="C80" s="48">
        <f>C81+C82+C83</f>
        <v>340000000</v>
      </c>
      <c r="D80" s="202"/>
      <c r="E80" s="48">
        <f>E81+E82+E83</f>
        <v>0</v>
      </c>
      <c r="F80" s="202"/>
      <c r="G80" s="239"/>
      <c r="H80" s="174">
        <f>SUM(H81:H83)</f>
        <v>302694000</v>
      </c>
      <c r="I80" s="311">
        <f>+H80/C80*100</f>
        <v>89.02764705882353</v>
      </c>
      <c r="J80" s="174">
        <f>SUM(J81:J83)</f>
        <v>302694000</v>
      </c>
      <c r="K80" s="179">
        <f>+J80/C80*100</f>
        <v>89.02764705882353</v>
      </c>
      <c r="L80" s="308">
        <v>100</v>
      </c>
      <c r="M80" s="64">
        <f>+J80/C80*100</f>
        <v>89.02764705882353</v>
      </c>
      <c r="N80" s="172">
        <f t="shared" si="9"/>
        <v>37306000</v>
      </c>
      <c r="O80" s="343"/>
    </row>
    <row r="81" spans="1:15" ht="12" customHeight="1">
      <c r="A81" s="63">
        <v>1</v>
      </c>
      <c r="B81" s="73" t="s">
        <v>64</v>
      </c>
      <c r="C81" s="38">
        <v>50000000</v>
      </c>
      <c r="D81" s="218"/>
      <c r="E81" s="38"/>
      <c r="F81" s="99"/>
      <c r="G81" s="235"/>
      <c r="H81" s="38">
        <v>37223000</v>
      </c>
      <c r="I81" s="311">
        <f>+H81/C81*100</f>
        <v>74.446</v>
      </c>
      <c r="J81" s="38">
        <v>37223000</v>
      </c>
      <c r="K81" s="179">
        <f>+J81/C81*100</f>
        <v>74.446</v>
      </c>
      <c r="L81" s="308">
        <v>100</v>
      </c>
      <c r="M81" s="64">
        <f>+J81/C81*100</f>
        <v>74.446</v>
      </c>
      <c r="N81" s="172">
        <f t="shared" si="9"/>
        <v>12777000</v>
      </c>
      <c r="O81" s="343"/>
    </row>
    <row r="82" spans="1:15" ht="12" customHeight="1">
      <c r="A82" s="63">
        <v>2</v>
      </c>
      <c r="B82" s="73" t="s">
        <v>65</v>
      </c>
      <c r="C82" s="38">
        <v>35000000</v>
      </c>
      <c r="D82" s="218"/>
      <c r="E82" s="32"/>
      <c r="F82" s="99"/>
      <c r="G82" s="235"/>
      <c r="H82" s="38">
        <f>8946000+20250000</f>
        <v>29196000</v>
      </c>
      <c r="I82" s="311">
        <f>+H82/C82*100</f>
        <v>83.41714285714286</v>
      </c>
      <c r="J82" s="38">
        <f>8946000+20250000</f>
        <v>29196000</v>
      </c>
      <c r="K82" s="179">
        <f>+J82/C82*100</f>
        <v>83.41714285714286</v>
      </c>
      <c r="L82" s="308">
        <v>100</v>
      </c>
      <c r="M82" s="64">
        <f>+J82/C82*100</f>
        <v>83.41714285714286</v>
      </c>
      <c r="N82" s="172">
        <f t="shared" si="9"/>
        <v>5804000</v>
      </c>
      <c r="O82" s="343"/>
    </row>
    <row r="83" spans="1:15" ht="12" customHeight="1">
      <c r="A83" s="63">
        <v>3</v>
      </c>
      <c r="B83" s="73" t="s">
        <v>66</v>
      </c>
      <c r="C83" s="71">
        <v>255000000</v>
      </c>
      <c r="D83" s="213"/>
      <c r="E83" s="71"/>
      <c r="F83" s="99"/>
      <c r="G83" s="235"/>
      <c r="H83" s="71">
        <v>236275000</v>
      </c>
      <c r="I83" s="311">
        <f>+H83/C83*100</f>
        <v>92.65686274509804</v>
      </c>
      <c r="J83" s="71">
        <v>236275000</v>
      </c>
      <c r="K83" s="179">
        <f>+J83/C83*100</f>
        <v>92.65686274509804</v>
      </c>
      <c r="L83" s="308">
        <v>100</v>
      </c>
      <c r="M83" s="64">
        <f>+J83/C83*100</f>
        <v>92.65686274509804</v>
      </c>
      <c r="N83" s="172">
        <f t="shared" si="9"/>
        <v>18725000</v>
      </c>
      <c r="O83" s="343"/>
    </row>
    <row r="84" spans="1:15" ht="12" customHeight="1">
      <c r="A84" s="255"/>
      <c r="B84" s="132"/>
      <c r="C84" s="133"/>
      <c r="D84" s="219"/>
      <c r="E84" s="133"/>
      <c r="F84" s="134"/>
      <c r="G84" s="238"/>
      <c r="H84" s="133"/>
      <c r="I84" s="314"/>
      <c r="J84" s="133"/>
      <c r="K84" s="36"/>
      <c r="L84" s="177"/>
      <c r="M84" s="173"/>
      <c r="N84" s="172">
        <f t="shared" si="9"/>
        <v>0</v>
      </c>
      <c r="O84" s="343"/>
    </row>
    <row r="85" spans="1:15" ht="12" customHeight="1">
      <c r="A85" s="259">
        <v>7</v>
      </c>
      <c r="B85" s="97" t="s">
        <v>67</v>
      </c>
      <c r="C85" s="48">
        <f>C86+C87</f>
        <v>520000000</v>
      </c>
      <c r="D85" s="202"/>
      <c r="E85" s="48">
        <f>SUM(E86:E94)</f>
        <v>455708000</v>
      </c>
      <c r="F85" s="202"/>
      <c r="G85" s="239"/>
      <c r="H85" s="174">
        <f>H86+H87</f>
        <v>197633000</v>
      </c>
      <c r="I85" s="311">
        <f>+H85/C85*100</f>
        <v>38.00634615384615</v>
      </c>
      <c r="J85" s="174">
        <f>J86+J87+J88+J89+J90+J91+J92+J93+J94</f>
        <v>505018000</v>
      </c>
      <c r="K85" s="338">
        <f>+J85/C85*100</f>
        <v>97.11884615384615</v>
      </c>
      <c r="L85" s="308">
        <v>100</v>
      </c>
      <c r="M85" s="64">
        <f>+J85/C85*100</f>
        <v>97.11884615384615</v>
      </c>
      <c r="N85" s="172">
        <f t="shared" si="9"/>
        <v>14982000</v>
      </c>
      <c r="O85" s="343"/>
    </row>
    <row r="86" spans="1:15" ht="12" customHeight="1">
      <c r="A86" s="258">
        <v>1</v>
      </c>
      <c r="B86" s="73" t="s">
        <v>68</v>
      </c>
      <c r="C86" s="71">
        <v>100000000</v>
      </c>
      <c r="D86" s="273" t="s">
        <v>129</v>
      </c>
      <c r="E86" s="22">
        <v>98395000</v>
      </c>
      <c r="F86" s="201" t="s">
        <v>128</v>
      </c>
      <c r="G86" s="237" t="s">
        <v>127</v>
      </c>
      <c r="H86" s="71">
        <v>99445000</v>
      </c>
      <c r="I86" s="340">
        <f>+H86/C86*100</f>
        <v>99.445</v>
      </c>
      <c r="J86" s="71">
        <v>99445000</v>
      </c>
      <c r="K86" s="71">
        <f>+J86/C86*100</f>
        <v>99.445</v>
      </c>
      <c r="L86" s="308">
        <v>100</v>
      </c>
      <c r="M86" s="37">
        <f>+J86/C86*100</f>
        <v>99.445</v>
      </c>
      <c r="N86" s="172">
        <f t="shared" si="9"/>
        <v>555000</v>
      </c>
      <c r="O86" s="343"/>
    </row>
    <row r="87" spans="1:15" ht="12" customHeight="1">
      <c r="A87" s="258">
        <v>2</v>
      </c>
      <c r="B87" s="73" t="s">
        <v>69</v>
      </c>
      <c r="C87" s="71">
        <v>420000000</v>
      </c>
      <c r="D87" s="331" t="s">
        <v>136</v>
      </c>
      <c r="E87" s="71">
        <v>98188000</v>
      </c>
      <c r="F87" s="99" t="s">
        <v>134</v>
      </c>
      <c r="G87" s="235" t="s">
        <v>135</v>
      </c>
      <c r="H87" s="71">
        <v>98188000</v>
      </c>
      <c r="I87" s="340">
        <f>+H87/C87*100</f>
        <v>23.378095238095238</v>
      </c>
      <c r="J87" s="71">
        <v>98188000</v>
      </c>
      <c r="K87" s="71">
        <f>+J87/C87*100</f>
        <v>23.378095238095238</v>
      </c>
      <c r="L87" s="308">
        <v>100</v>
      </c>
      <c r="M87" s="37">
        <f>+J87/C87*100</f>
        <v>23.378095238095238</v>
      </c>
      <c r="N87" s="172">
        <f t="shared" si="9"/>
        <v>321812000</v>
      </c>
      <c r="O87" s="343"/>
    </row>
    <row r="88" spans="1:15" ht="23.25" customHeight="1">
      <c r="A88" s="258"/>
      <c r="B88" s="73"/>
      <c r="C88" s="71"/>
      <c r="D88" s="331" t="s">
        <v>145</v>
      </c>
      <c r="E88" s="71">
        <v>48230000</v>
      </c>
      <c r="F88" s="99" t="s">
        <v>144</v>
      </c>
      <c r="G88" s="241" t="s">
        <v>143</v>
      </c>
      <c r="H88" s="71"/>
      <c r="I88" s="311"/>
      <c r="J88" s="71">
        <v>48230000</v>
      </c>
      <c r="K88" s="339">
        <f>+J88/C87*100</f>
        <v>11.483333333333333</v>
      </c>
      <c r="L88" s="308"/>
      <c r="M88" s="37">
        <f>+J88/C87*100</f>
        <v>11.483333333333333</v>
      </c>
      <c r="N88" s="172"/>
      <c r="O88" s="343"/>
    </row>
    <row r="89" spans="1:15" ht="23.25" customHeight="1">
      <c r="A89" s="258"/>
      <c r="B89" s="73"/>
      <c r="C89" s="71"/>
      <c r="D89" s="331" t="s">
        <v>142</v>
      </c>
      <c r="E89" s="71">
        <v>48150000</v>
      </c>
      <c r="F89" s="99" t="s">
        <v>146</v>
      </c>
      <c r="G89" s="241" t="s">
        <v>143</v>
      </c>
      <c r="H89" s="71"/>
      <c r="I89" s="311"/>
      <c r="J89" s="71">
        <v>48150000</v>
      </c>
      <c r="K89" s="339">
        <f>+J89/C87*100</f>
        <v>11.464285714285714</v>
      </c>
      <c r="L89" s="308"/>
      <c r="M89" s="37">
        <f>+J89/C87*100</f>
        <v>11.464285714285714</v>
      </c>
      <c r="N89" s="172"/>
      <c r="O89" s="343"/>
    </row>
    <row r="90" spans="1:15" ht="23.25" customHeight="1">
      <c r="A90" s="258"/>
      <c r="B90" s="73"/>
      <c r="C90" s="71"/>
      <c r="D90" s="331" t="s">
        <v>147</v>
      </c>
      <c r="E90" s="71">
        <v>38280000</v>
      </c>
      <c r="F90" s="332" t="s">
        <v>148</v>
      </c>
      <c r="G90" s="241">
        <v>43556</v>
      </c>
      <c r="H90" s="71"/>
      <c r="I90" s="311"/>
      <c r="J90" s="71">
        <v>38280000</v>
      </c>
      <c r="K90" s="339">
        <f>+J90/C87*100</f>
        <v>9.114285714285714</v>
      </c>
      <c r="L90" s="308"/>
      <c r="M90" s="37">
        <f>+J90/C87*100</f>
        <v>9.114285714285714</v>
      </c>
      <c r="N90" s="172"/>
      <c r="O90" s="343"/>
    </row>
    <row r="91" spans="1:15" ht="23.25" customHeight="1">
      <c r="A91" s="258"/>
      <c r="B91" s="73"/>
      <c r="C91" s="71"/>
      <c r="D91" s="331" t="s">
        <v>149</v>
      </c>
      <c r="F91" s="332" t="s">
        <v>148</v>
      </c>
      <c r="G91" s="241">
        <v>43556</v>
      </c>
      <c r="H91" s="71"/>
      <c r="I91" s="311"/>
      <c r="J91" s="71">
        <v>48260000</v>
      </c>
      <c r="K91" s="339">
        <f>+J91/C87*100</f>
        <v>11.49047619047619</v>
      </c>
      <c r="L91" s="308"/>
      <c r="M91" s="37">
        <f>+J91/C87*100</f>
        <v>11.49047619047619</v>
      </c>
      <c r="N91" s="172"/>
      <c r="O91" s="343"/>
    </row>
    <row r="92" spans="1:15" ht="23.25" customHeight="1">
      <c r="A92" s="258"/>
      <c r="B92" s="73"/>
      <c r="C92" s="71"/>
      <c r="D92" s="331" t="s">
        <v>150</v>
      </c>
      <c r="E92" s="71">
        <v>38170000</v>
      </c>
      <c r="F92" s="332" t="s">
        <v>148</v>
      </c>
      <c r="G92" s="241">
        <v>43556</v>
      </c>
      <c r="H92" s="71"/>
      <c r="I92" s="311"/>
      <c r="J92" s="71">
        <v>38170000</v>
      </c>
      <c r="K92" s="339">
        <f>+J92/C87*100</f>
        <v>9.088095238095239</v>
      </c>
      <c r="L92" s="308"/>
      <c r="M92" s="37">
        <f>+J92/C87*100</f>
        <v>9.088095238095239</v>
      </c>
      <c r="N92" s="172"/>
      <c r="O92" s="343"/>
    </row>
    <row r="93" spans="1:15" ht="23.25" customHeight="1">
      <c r="A93" s="258"/>
      <c r="B93" s="73"/>
      <c r="C93" s="71"/>
      <c r="D93" s="331" t="s">
        <v>151</v>
      </c>
      <c r="E93" s="71">
        <v>48125000</v>
      </c>
      <c r="F93" s="332" t="s">
        <v>152</v>
      </c>
      <c r="G93" s="241">
        <v>43556</v>
      </c>
      <c r="H93" s="71"/>
      <c r="I93" s="311"/>
      <c r="J93" s="71">
        <v>48125000</v>
      </c>
      <c r="K93" s="339">
        <f>+J93/C87*100</f>
        <v>11.458333333333332</v>
      </c>
      <c r="L93" s="308"/>
      <c r="M93" s="37">
        <f>+J93/C87*100</f>
        <v>11.458333333333332</v>
      </c>
      <c r="N93" s="172"/>
      <c r="O93" s="343"/>
    </row>
    <row r="94" spans="1:15" ht="23.25" customHeight="1">
      <c r="A94" s="258"/>
      <c r="B94" s="73"/>
      <c r="C94" s="71"/>
      <c r="D94" s="331" t="s">
        <v>153</v>
      </c>
      <c r="E94" s="71">
        <v>38170000</v>
      </c>
      <c r="F94" s="332" t="s">
        <v>152</v>
      </c>
      <c r="G94" s="241">
        <v>43556</v>
      </c>
      <c r="H94" s="71"/>
      <c r="I94" s="311"/>
      <c r="J94" s="71">
        <v>38170000</v>
      </c>
      <c r="K94" s="339">
        <f>+J94/C87*100</f>
        <v>9.088095238095239</v>
      </c>
      <c r="L94" s="308"/>
      <c r="M94" s="37">
        <f>+J94/C87*100</f>
        <v>9.088095238095239</v>
      </c>
      <c r="N94" s="172"/>
      <c r="O94" s="343"/>
    </row>
    <row r="95" spans="1:15" ht="12" customHeight="1">
      <c r="A95" s="258"/>
      <c r="B95" s="98"/>
      <c r="C95" s="71"/>
      <c r="D95" s="213"/>
      <c r="E95" s="32"/>
      <c r="F95" s="99"/>
      <c r="G95" s="235"/>
      <c r="H95" s="7"/>
      <c r="I95" s="315"/>
      <c r="J95" s="7"/>
      <c r="K95" s="7"/>
      <c r="L95" s="7"/>
      <c r="M95" s="145"/>
      <c r="N95" s="172">
        <f t="shared" si="9"/>
        <v>0</v>
      </c>
      <c r="O95" s="343"/>
    </row>
    <row r="96" spans="1:15" ht="12" customHeight="1">
      <c r="A96" s="254">
        <v>8</v>
      </c>
      <c r="B96" s="69" t="s">
        <v>70</v>
      </c>
      <c r="C96" s="39">
        <f>SUM(C97:C97)</f>
        <v>100000000</v>
      </c>
      <c r="D96" s="198"/>
      <c r="E96" s="39">
        <f>SUM(E97:E97)</f>
        <v>0</v>
      </c>
      <c r="F96" s="198"/>
      <c r="G96" s="234"/>
      <c r="H96" s="179">
        <f>SUM(H97:H97)</f>
        <v>1400000</v>
      </c>
      <c r="I96" s="311">
        <f>+H96/C96*100</f>
        <v>1.4000000000000001</v>
      </c>
      <c r="J96" s="179">
        <f>SUM(J97:J97)</f>
        <v>1400000</v>
      </c>
      <c r="K96" s="179">
        <f>+J96/C96*100</f>
        <v>1.4000000000000001</v>
      </c>
      <c r="L96" s="308">
        <v>100</v>
      </c>
      <c r="M96" s="64">
        <f>+J96/C96*100</f>
        <v>1.4000000000000001</v>
      </c>
      <c r="N96" s="172">
        <f t="shared" si="9"/>
        <v>98600000</v>
      </c>
      <c r="O96" s="343"/>
    </row>
    <row r="97" spans="1:19" ht="12" customHeight="1">
      <c r="A97" s="260"/>
      <c r="B97" s="52" t="s">
        <v>71</v>
      </c>
      <c r="C97" s="53">
        <v>100000000</v>
      </c>
      <c r="D97" s="220"/>
      <c r="E97" s="51"/>
      <c r="F97" s="205"/>
      <c r="G97" s="242"/>
      <c r="H97" s="54">
        <v>1400000</v>
      </c>
      <c r="I97" s="340">
        <f>+H97/C97*100</f>
        <v>1.4000000000000001</v>
      </c>
      <c r="J97" s="54">
        <v>1400000</v>
      </c>
      <c r="K97" s="71">
        <f>+J97/C97*100</f>
        <v>1.4000000000000001</v>
      </c>
      <c r="L97" s="308">
        <v>100</v>
      </c>
      <c r="M97" s="37">
        <f>+J97/C97*100</f>
        <v>1.4000000000000001</v>
      </c>
      <c r="N97" s="172">
        <f t="shared" si="9"/>
        <v>98600000</v>
      </c>
      <c r="O97" s="343"/>
      <c r="S97" s="298"/>
    </row>
    <row r="98" spans="1:15" ht="12" customHeight="1" thickBot="1">
      <c r="A98" s="63"/>
      <c r="B98" s="40"/>
      <c r="C98" s="41"/>
      <c r="D98" s="221"/>
      <c r="E98" s="37"/>
      <c r="F98" s="99"/>
      <c r="G98" s="235"/>
      <c r="H98" s="42"/>
      <c r="I98" s="320"/>
      <c r="J98" s="321"/>
      <c r="K98" s="322"/>
      <c r="L98" s="322"/>
      <c r="M98" s="322"/>
      <c r="N98" s="34"/>
      <c r="O98" s="343"/>
    </row>
    <row r="99" spans="1:15" ht="12" customHeight="1" thickBot="1">
      <c r="A99" s="102"/>
      <c r="B99" s="103"/>
      <c r="C99" s="269">
        <f>C12+C26</f>
        <v>12739320700</v>
      </c>
      <c r="D99" s="269"/>
      <c r="E99" s="269">
        <f>+E12+E26</f>
        <v>1259241000</v>
      </c>
      <c r="F99" s="269">
        <f>F27+F40+F50+F53+F64+F80+F85+F96</f>
        <v>0</v>
      </c>
      <c r="G99" s="270"/>
      <c r="H99" s="318">
        <f>+H12+H26</f>
        <v>5334356747</v>
      </c>
      <c r="I99" s="323">
        <f>+H99/C99*100</f>
        <v>41.873164767725804</v>
      </c>
      <c r="J99" s="324">
        <f>+J12+J26</f>
        <v>5877172747</v>
      </c>
      <c r="K99" s="325">
        <f>+J99/C99*100</f>
        <v>46.134114097622174</v>
      </c>
      <c r="L99" s="326">
        <v>100</v>
      </c>
      <c r="M99" s="325">
        <f>SUM(M26+M12)/2</f>
        <v>48.904731194725386</v>
      </c>
      <c r="N99" s="319">
        <f>N12+N26</f>
        <v>6862147953</v>
      </c>
      <c r="O99" s="343"/>
    </row>
    <row r="100" spans="1:14" ht="12" customHeight="1">
      <c r="A100" s="126"/>
      <c r="B100" s="127"/>
      <c r="C100" s="128"/>
      <c r="D100" s="206"/>
      <c r="E100" s="128"/>
      <c r="F100" s="206"/>
      <c r="G100" s="243"/>
      <c r="H100" s="128"/>
      <c r="I100" s="316"/>
      <c r="J100" s="128"/>
      <c r="K100" s="130"/>
      <c r="L100" s="128"/>
      <c r="M100" s="128"/>
      <c r="N100" s="128"/>
    </row>
    <row r="101" spans="1:14" ht="12" customHeight="1">
      <c r="A101" s="126"/>
      <c r="B101" s="135"/>
      <c r="C101" s="136"/>
      <c r="D101" s="208"/>
      <c r="E101" s="60"/>
      <c r="F101" s="207"/>
      <c r="G101" s="244"/>
      <c r="H101" s="44"/>
      <c r="I101" s="107"/>
      <c r="J101" s="1"/>
      <c r="K101" s="117"/>
      <c r="L101" s="117" t="s">
        <v>138</v>
      </c>
      <c r="M101" s="117"/>
      <c r="N101" s="117"/>
    </row>
    <row r="102" spans="1:14" ht="12" customHeight="1">
      <c r="A102" s="126"/>
      <c r="B102" s="138"/>
      <c r="C102" s="84"/>
      <c r="D102" s="199"/>
      <c r="E102" s="139"/>
      <c r="F102" s="207"/>
      <c r="G102" s="244"/>
      <c r="H102" s="45"/>
      <c r="I102" s="317"/>
      <c r="J102" s="1"/>
      <c r="K102" s="107"/>
      <c r="L102" s="107" t="s">
        <v>73</v>
      </c>
      <c r="M102" s="107"/>
      <c r="N102" s="107"/>
    </row>
    <row r="103" spans="1:14" ht="12" customHeight="1">
      <c r="A103" s="126"/>
      <c r="B103" s="105" t="s">
        <v>82</v>
      </c>
      <c r="C103" s="106">
        <f>H99/C99*100</f>
        <v>41.873164767725804</v>
      </c>
      <c r="D103" s="222"/>
      <c r="E103" s="60"/>
      <c r="F103" s="208"/>
      <c r="G103" s="224"/>
      <c r="H103" s="44"/>
      <c r="I103" s="107"/>
      <c r="J103" s="1"/>
      <c r="K103" s="107"/>
      <c r="L103" s="107" t="s">
        <v>72</v>
      </c>
      <c r="M103" s="107"/>
      <c r="N103" s="107"/>
    </row>
    <row r="104" spans="1:14" ht="12" customHeight="1">
      <c r="A104" s="126"/>
      <c r="B104" s="140"/>
      <c r="C104" s="141"/>
      <c r="D104" s="223"/>
      <c r="E104" s="60"/>
      <c r="F104" s="208"/>
      <c r="G104" s="224"/>
      <c r="H104" s="44"/>
      <c r="I104" s="107"/>
      <c r="J104" s="1"/>
      <c r="K104" s="107"/>
      <c r="L104" s="107"/>
      <c r="M104" s="107"/>
      <c r="N104" s="107"/>
    </row>
    <row r="105" spans="1:14" ht="12" customHeight="1">
      <c r="A105" s="126"/>
      <c r="B105" s="140"/>
      <c r="C105" s="141"/>
      <c r="D105" s="223"/>
      <c r="E105" s="60"/>
      <c r="F105" s="208"/>
      <c r="G105" s="224"/>
      <c r="H105" s="44"/>
      <c r="I105" s="107"/>
      <c r="J105" s="1"/>
      <c r="K105" s="107"/>
      <c r="L105" s="107"/>
      <c r="M105" s="107"/>
      <c r="N105" s="107"/>
    </row>
    <row r="106" spans="1:14" ht="12" customHeight="1">
      <c r="A106" s="126"/>
      <c r="B106" s="128"/>
      <c r="C106" s="84"/>
      <c r="D106" s="199"/>
      <c r="E106" s="60"/>
      <c r="F106" s="207"/>
      <c r="G106" s="244"/>
      <c r="H106" s="46"/>
      <c r="I106" s="107"/>
      <c r="J106" s="108"/>
      <c r="K106" s="108"/>
      <c r="L106" s="108" t="s">
        <v>74</v>
      </c>
      <c r="M106" s="1"/>
      <c r="N106" s="1"/>
    </row>
    <row r="107" spans="1:14" ht="12" customHeight="1">
      <c r="A107" s="126"/>
      <c r="B107" s="127"/>
      <c r="C107" s="84"/>
      <c r="D107" s="199"/>
      <c r="E107" s="60"/>
      <c r="F107" s="187"/>
      <c r="G107" s="224"/>
      <c r="H107" s="46"/>
      <c r="I107" s="107"/>
      <c r="J107" s="107"/>
      <c r="K107" s="107"/>
      <c r="L107" s="107" t="s">
        <v>75</v>
      </c>
      <c r="M107" s="1"/>
      <c r="N107" s="1"/>
    </row>
    <row r="108" spans="1:14" ht="12" customHeight="1">
      <c r="A108" s="126"/>
      <c r="B108" s="127"/>
      <c r="C108" s="84"/>
      <c r="D108" s="199"/>
      <c r="E108" s="60"/>
      <c r="F108" s="187"/>
      <c r="G108" s="224"/>
      <c r="H108" s="46"/>
      <c r="I108" s="107"/>
      <c r="J108" s="107"/>
      <c r="K108" s="107"/>
      <c r="L108" s="107"/>
      <c r="M108" s="1"/>
      <c r="N108" s="1"/>
    </row>
    <row r="109" spans="1:14" ht="12" customHeight="1">
      <c r="A109" s="126"/>
      <c r="B109" s="127"/>
      <c r="C109" s="84"/>
      <c r="D109" s="199"/>
      <c r="E109" s="60"/>
      <c r="F109" s="187"/>
      <c r="G109" s="224"/>
      <c r="H109" s="46"/>
      <c r="I109" s="107"/>
      <c r="J109" s="107"/>
      <c r="K109" s="107"/>
      <c r="L109" s="107"/>
      <c r="M109" s="1"/>
      <c r="N109" s="1"/>
    </row>
    <row r="110" spans="1:14" ht="12" customHeight="1">
      <c r="A110" s="126"/>
      <c r="B110" s="127"/>
      <c r="C110" s="84"/>
      <c r="D110" s="199"/>
      <c r="E110" s="60"/>
      <c r="F110" s="187"/>
      <c r="G110" s="224"/>
      <c r="H110" s="46"/>
      <c r="I110" s="107"/>
      <c r="J110" s="107"/>
      <c r="K110" s="107"/>
      <c r="L110" s="107"/>
      <c r="M110" s="1"/>
      <c r="N110" s="1"/>
    </row>
    <row r="111" spans="1:14" ht="12" customHeight="1">
      <c r="A111" s="126"/>
      <c r="B111" s="127"/>
      <c r="C111" s="84"/>
      <c r="D111" s="199"/>
      <c r="E111" s="60"/>
      <c r="F111" s="187"/>
      <c r="G111" s="224"/>
      <c r="H111" s="46"/>
      <c r="I111" s="107"/>
      <c r="J111" s="107"/>
      <c r="K111" s="107"/>
      <c r="L111" s="107"/>
      <c r="M111" s="1"/>
      <c r="N111" s="1"/>
    </row>
    <row r="112" spans="1:14" ht="12" customHeight="1">
      <c r="A112" s="126"/>
      <c r="B112" s="127"/>
      <c r="C112" s="84"/>
      <c r="D112" s="199"/>
      <c r="E112" s="60"/>
      <c r="F112" s="187"/>
      <c r="G112" s="224"/>
      <c r="H112" s="46"/>
      <c r="I112" s="107"/>
      <c r="J112" s="107"/>
      <c r="K112" s="107"/>
      <c r="L112" s="107"/>
      <c r="M112" s="1"/>
      <c r="N112" s="1"/>
    </row>
    <row r="113" spans="1:14" ht="12" customHeight="1">
      <c r="A113" s="126"/>
      <c r="B113" s="127"/>
      <c r="C113" s="84"/>
      <c r="D113" s="199"/>
      <c r="E113" s="60"/>
      <c r="F113" s="187"/>
      <c r="G113" s="224"/>
      <c r="H113" s="46"/>
      <c r="I113" s="107"/>
      <c r="J113" s="107"/>
      <c r="K113" s="107"/>
      <c r="L113" s="107"/>
      <c r="M113" s="1"/>
      <c r="N113" s="1"/>
    </row>
    <row r="114" spans="1:14" ht="12" customHeight="1">
      <c r="A114" s="126"/>
      <c r="B114" s="127"/>
      <c r="C114" s="84"/>
      <c r="D114" s="199"/>
      <c r="E114" s="60"/>
      <c r="F114" s="187"/>
      <c r="G114" s="224"/>
      <c r="H114" s="46"/>
      <c r="I114" s="107"/>
      <c r="J114" s="107"/>
      <c r="K114" s="107"/>
      <c r="L114" s="107"/>
      <c r="M114" s="1"/>
      <c r="N114" s="1"/>
    </row>
    <row r="115" spans="1:14" ht="12" customHeight="1">
      <c r="A115" s="126"/>
      <c r="B115" s="127"/>
      <c r="C115" s="84"/>
      <c r="D115" s="199"/>
      <c r="E115" s="60"/>
      <c r="F115" s="187"/>
      <c r="G115" s="224"/>
      <c r="H115" s="46"/>
      <c r="I115" s="107"/>
      <c r="J115" s="107"/>
      <c r="K115" s="107"/>
      <c r="L115" s="107"/>
      <c r="M115" s="1"/>
      <c r="N115" s="1"/>
    </row>
    <row r="116" spans="1:14" ht="12" customHeight="1">
      <c r="A116" s="126"/>
      <c r="B116" s="127"/>
      <c r="C116" s="84"/>
      <c r="D116" s="199"/>
      <c r="E116" s="60"/>
      <c r="F116" s="187"/>
      <c r="G116" s="224"/>
      <c r="H116" s="46"/>
      <c r="I116" s="107"/>
      <c r="J116" s="107"/>
      <c r="K116" s="107"/>
      <c r="L116" s="107"/>
      <c r="M116" s="1"/>
      <c r="N116" s="1"/>
    </row>
    <row r="117" spans="1:14" ht="12" customHeight="1">
      <c r="A117" s="126"/>
      <c r="B117" s="127"/>
      <c r="C117" s="84"/>
      <c r="D117" s="199"/>
      <c r="E117" s="60"/>
      <c r="F117" s="187"/>
      <c r="G117" s="224"/>
      <c r="H117" s="46"/>
      <c r="I117" s="107"/>
      <c r="J117" s="107"/>
      <c r="K117" s="107"/>
      <c r="L117" s="107"/>
      <c r="M117" s="1"/>
      <c r="N117" s="1"/>
    </row>
    <row r="118" spans="1:14" ht="12" customHeight="1">
      <c r="A118" s="126"/>
      <c r="B118" s="127"/>
      <c r="C118" s="84"/>
      <c r="D118" s="199"/>
      <c r="E118" s="60"/>
      <c r="F118" s="187"/>
      <c r="G118" s="224"/>
      <c r="H118" s="46"/>
      <c r="I118" s="107"/>
      <c r="J118" s="107"/>
      <c r="K118" s="107"/>
      <c r="L118" s="107"/>
      <c r="M118" s="1"/>
      <c r="N118" s="1"/>
    </row>
    <row r="119" spans="1:14" ht="17.25" customHeight="1">
      <c r="A119" s="811" t="s">
        <v>0</v>
      </c>
      <c r="B119" s="811"/>
      <c r="C119" s="811"/>
      <c r="D119" s="811"/>
      <c r="E119" s="811"/>
      <c r="F119" s="811"/>
      <c r="G119" s="811"/>
      <c r="H119" s="811"/>
      <c r="I119" s="811"/>
      <c r="J119" s="811"/>
      <c r="K119" s="811"/>
      <c r="L119" s="811"/>
      <c r="M119" s="811"/>
      <c r="N119" s="811"/>
    </row>
    <row r="120" spans="1:14" ht="12.75">
      <c r="A120" s="812" t="s">
        <v>83</v>
      </c>
      <c r="B120" s="812"/>
      <c r="C120" s="812"/>
      <c r="D120" s="812"/>
      <c r="E120" s="812"/>
      <c r="F120" s="812"/>
      <c r="G120" s="812"/>
      <c r="H120" s="812"/>
      <c r="I120" s="812"/>
      <c r="J120" s="812"/>
      <c r="K120" s="812"/>
      <c r="L120" s="812"/>
      <c r="M120" s="812"/>
      <c r="N120" s="812"/>
    </row>
    <row r="121" spans="1:14" ht="12.75">
      <c r="A121" s="813" t="s">
        <v>77</v>
      </c>
      <c r="B121" s="813"/>
      <c r="C121" s="813"/>
      <c r="D121" s="813"/>
      <c r="E121" s="813"/>
      <c r="F121" s="813"/>
      <c r="G121" s="813"/>
      <c r="H121" s="813"/>
      <c r="I121" s="813"/>
      <c r="J121" s="813"/>
      <c r="K121" s="813"/>
      <c r="L121" s="813"/>
      <c r="M121" s="813"/>
      <c r="N121" s="813"/>
    </row>
    <row r="122" spans="1:14" ht="12.75">
      <c r="A122" s="819" t="s">
        <v>161</v>
      </c>
      <c r="B122" s="823"/>
      <c r="C122" s="59"/>
      <c r="D122" s="188"/>
      <c r="E122" s="59"/>
      <c r="F122" s="188"/>
      <c r="G122" s="225"/>
      <c r="H122" s="59"/>
      <c r="I122" s="59"/>
      <c r="J122" s="59"/>
      <c r="K122" s="59"/>
      <c r="L122" s="59"/>
      <c r="M122" s="59"/>
      <c r="N122" s="59"/>
    </row>
    <row r="123" spans="1:14" ht="12.75">
      <c r="A123" s="819" t="s">
        <v>160</v>
      </c>
      <c r="B123" s="819"/>
      <c r="C123" s="59"/>
      <c r="D123" s="188"/>
      <c r="E123" s="59"/>
      <c r="F123" s="188"/>
      <c r="G123" s="225"/>
      <c r="H123" s="59"/>
      <c r="I123" s="59"/>
      <c r="J123" s="59"/>
      <c r="K123" s="59"/>
      <c r="L123" s="59"/>
      <c r="M123" s="59"/>
      <c r="N123" s="59"/>
    </row>
    <row r="124" spans="1:14" ht="12.75">
      <c r="A124" s="59"/>
      <c r="B124" s="1"/>
      <c r="C124" s="1"/>
      <c r="D124" s="187"/>
      <c r="E124" s="1"/>
      <c r="F124" s="187"/>
      <c r="G124" s="224"/>
      <c r="H124" s="1"/>
      <c r="I124" s="252"/>
      <c r="J124" s="1"/>
      <c r="K124" s="1"/>
      <c r="L124" s="1"/>
      <c r="M124" s="1"/>
      <c r="N124" s="1"/>
    </row>
    <row r="125" spans="1:15" ht="12.75">
      <c r="A125" s="808" t="s">
        <v>2</v>
      </c>
      <c r="B125" s="808" t="s">
        <v>3</v>
      </c>
      <c r="C125" s="808" t="s">
        <v>159</v>
      </c>
      <c r="D125" s="820" t="s">
        <v>104</v>
      </c>
      <c r="E125" s="808" t="s">
        <v>5</v>
      </c>
      <c r="F125" s="820" t="s">
        <v>6</v>
      </c>
      <c r="G125" s="824" t="s">
        <v>105</v>
      </c>
      <c r="H125" s="816" t="s">
        <v>7</v>
      </c>
      <c r="I125" s="817"/>
      <c r="J125" s="817"/>
      <c r="K125" s="818"/>
      <c r="L125" s="816" t="s">
        <v>8</v>
      </c>
      <c r="M125" s="818"/>
      <c r="N125" s="805" t="s">
        <v>87</v>
      </c>
      <c r="O125" s="827" t="s">
        <v>9</v>
      </c>
    </row>
    <row r="126" spans="1:15" ht="12.75">
      <c r="A126" s="806"/>
      <c r="B126" s="806"/>
      <c r="C126" s="806"/>
      <c r="D126" s="821"/>
      <c r="E126" s="814"/>
      <c r="F126" s="821"/>
      <c r="G126" s="825"/>
      <c r="H126" s="809" t="s">
        <v>10</v>
      </c>
      <c r="I126" s="808" t="s">
        <v>11</v>
      </c>
      <c r="J126" s="808" t="s">
        <v>12</v>
      </c>
      <c r="K126" s="808" t="s">
        <v>11</v>
      </c>
      <c r="L126" s="808" t="s">
        <v>13</v>
      </c>
      <c r="M126" s="820" t="s">
        <v>14</v>
      </c>
      <c r="N126" s="806"/>
      <c r="O126" s="828"/>
    </row>
    <row r="127" spans="1:15" ht="12.75">
      <c r="A127" s="807"/>
      <c r="B127" s="807"/>
      <c r="C127" s="807"/>
      <c r="D127" s="822"/>
      <c r="E127" s="815"/>
      <c r="F127" s="822"/>
      <c r="G127" s="826"/>
      <c r="H127" s="810"/>
      <c r="I127" s="807"/>
      <c r="J127" s="807"/>
      <c r="K127" s="807"/>
      <c r="L127" s="807"/>
      <c r="M127" s="822"/>
      <c r="N127" s="807"/>
      <c r="O127" s="828"/>
    </row>
    <row r="128" spans="1:15" ht="12.75">
      <c r="A128" s="2">
        <v>1</v>
      </c>
      <c r="B128" s="2">
        <v>2</v>
      </c>
      <c r="C128" s="2">
        <v>3</v>
      </c>
      <c r="D128" s="189"/>
      <c r="E128" s="2">
        <v>4</v>
      </c>
      <c r="F128" s="189">
        <v>5</v>
      </c>
      <c r="G128" s="226"/>
      <c r="H128" s="2">
        <v>6</v>
      </c>
      <c r="I128" s="2">
        <v>7</v>
      </c>
      <c r="J128" s="2">
        <v>8</v>
      </c>
      <c r="K128" s="2">
        <v>9</v>
      </c>
      <c r="L128" s="2">
        <v>10</v>
      </c>
      <c r="M128" s="2">
        <v>11</v>
      </c>
      <c r="N128" s="2">
        <v>12</v>
      </c>
      <c r="O128" s="2">
        <v>13</v>
      </c>
    </row>
    <row r="129" spans="1:15" ht="12.75">
      <c r="A129" s="3"/>
      <c r="B129" s="3"/>
      <c r="C129" s="3"/>
      <c r="D129" s="190"/>
      <c r="E129" s="3"/>
      <c r="F129" s="190"/>
      <c r="G129" s="227"/>
      <c r="H129" s="3"/>
      <c r="I129" s="3"/>
      <c r="J129" s="3"/>
      <c r="K129" s="3"/>
      <c r="L129" s="3"/>
      <c r="M129" s="3"/>
      <c r="N129" s="3"/>
      <c r="O129" s="343"/>
    </row>
    <row r="130" spans="1:15" ht="12.75">
      <c r="A130" s="61" t="s">
        <v>15</v>
      </c>
      <c r="B130" s="62" t="s">
        <v>16</v>
      </c>
      <c r="C130" s="4">
        <f>SUM(C131:C142)</f>
        <v>3542713200</v>
      </c>
      <c r="D130" s="210"/>
      <c r="E130" s="63"/>
      <c r="F130" s="191"/>
      <c r="G130" s="228"/>
      <c r="H130" s="4">
        <f>SUM(H131:H142)</f>
        <v>1953716664</v>
      </c>
      <c r="I130" s="341">
        <f>+H130/C130*100</f>
        <v>55.147469007652106</v>
      </c>
      <c r="J130" s="4">
        <f>SUM(J131:J142)</f>
        <v>1953716664</v>
      </c>
      <c r="K130" s="338">
        <f>+J130/C130*100</f>
        <v>55.147469007652106</v>
      </c>
      <c r="L130" s="308">
        <v>100</v>
      </c>
      <c r="M130" s="342">
        <f>+J130/C130*100</f>
        <v>55.147469007652106</v>
      </c>
      <c r="N130" s="4">
        <f>SUM(N131:N142)</f>
        <v>1725889676</v>
      </c>
      <c r="O130" s="344" t="s">
        <v>157</v>
      </c>
    </row>
    <row r="131" spans="1:15" ht="12.75">
      <c r="A131" s="63">
        <v>1</v>
      </c>
      <c r="B131" s="47" t="s">
        <v>17</v>
      </c>
      <c r="C131" s="5">
        <v>1958496000</v>
      </c>
      <c r="D131" s="211"/>
      <c r="E131" s="63"/>
      <c r="F131" s="192"/>
      <c r="G131" s="228"/>
      <c r="H131" s="114">
        <v>1093359315</v>
      </c>
      <c r="I131" s="340">
        <f>+H131/C131*100</f>
        <v>55.82647679648056</v>
      </c>
      <c r="J131" s="114">
        <v>1093359315</v>
      </c>
      <c r="K131" s="71">
        <f>+J131/C131*100</f>
        <v>55.82647679648056</v>
      </c>
      <c r="L131" s="357">
        <v>100</v>
      </c>
      <c r="M131" s="296">
        <f>+J131/C131*100</f>
        <v>55.82647679648056</v>
      </c>
      <c r="N131" s="37">
        <f>C131-J131</f>
        <v>865136685</v>
      </c>
      <c r="O131" s="344" t="s">
        <v>157</v>
      </c>
    </row>
    <row r="132" spans="1:15" ht="12.75">
      <c r="A132" s="63">
        <v>2</v>
      </c>
      <c r="B132" s="47" t="s">
        <v>18</v>
      </c>
      <c r="C132" s="5">
        <v>197477166</v>
      </c>
      <c r="D132" s="211"/>
      <c r="E132" s="63"/>
      <c r="F132" s="192"/>
      <c r="G132" s="228"/>
      <c r="H132" s="5">
        <v>122720070</v>
      </c>
      <c r="I132" s="340">
        <f aca="true" t="shared" si="13" ref="I132:I142">+H132/C132*100</f>
        <v>62.14392908595821</v>
      </c>
      <c r="J132" s="5">
        <v>122720070</v>
      </c>
      <c r="K132" s="71">
        <f aca="true" t="shared" si="14" ref="K132:K142">+J132/C132*100</f>
        <v>62.14392908595821</v>
      </c>
      <c r="L132" s="357">
        <v>100</v>
      </c>
      <c r="M132" s="296">
        <f aca="true" t="shared" si="15" ref="M132:M142">+J132/C132*100</f>
        <v>62.14392908595821</v>
      </c>
      <c r="N132" s="37">
        <f aca="true" t="shared" si="16" ref="N132:N142">C132-J132</f>
        <v>74757096</v>
      </c>
      <c r="O132" s="344" t="s">
        <v>157</v>
      </c>
    </row>
    <row r="133" spans="1:15" ht="12.75">
      <c r="A133" s="63">
        <v>3</v>
      </c>
      <c r="B133" s="47" t="s">
        <v>19</v>
      </c>
      <c r="C133" s="5">
        <v>172540000</v>
      </c>
      <c r="D133" s="211"/>
      <c r="E133" s="63"/>
      <c r="F133" s="192"/>
      <c r="G133" s="228"/>
      <c r="H133" s="5">
        <v>101925000</v>
      </c>
      <c r="I133" s="340">
        <f t="shared" si="13"/>
        <v>59.073258374869596</v>
      </c>
      <c r="J133" s="5">
        <v>101925000</v>
      </c>
      <c r="K133" s="71">
        <f t="shared" si="14"/>
        <v>59.073258374869596</v>
      </c>
      <c r="L133" s="357">
        <v>100</v>
      </c>
      <c r="M133" s="296">
        <f t="shared" si="15"/>
        <v>59.073258374869596</v>
      </c>
      <c r="N133" s="37">
        <f t="shared" si="16"/>
        <v>70615000</v>
      </c>
      <c r="O133" s="344" t="s">
        <v>157</v>
      </c>
    </row>
    <row r="134" spans="1:15" ht="12.75">
      <c r="A134" s="63">
        <v>4</v>
      </c>
      <c r="B134" s="47" t="s">
        <v>139</v>
      </c>
      <c r="C134" s="364">
        <v>8000000</v>
      </c>
      <c r="D134" s="211"/>
      <c r="E134" s="63"/>
      <c r="F134" s="192"/>
      <c r="G134" s="228"/>
      <c r="H134" s="5">
        <v>850000</v>
      </c>
      <c r="I134" s="340">
        <f t="shared" si="13"/>
        <v>10.625</v>
      </c>
      <c r="J134" s="5">
        <v>850000</v>
      </c>
      <c r="K134" s="71">
        <f t="shared" si="14"/>
        <v>10.625</v>
      </c>
      <c r="L134" s="357">
        <v>100</v>
      </c>
      <c r="M134" s="296">
        <f t="shared" si="15"/>
        <v>10.625</v>
      </c>
      <c r="N134" s="37">
        <f>C135-J134</f>
        <v>79540000</v>
      </c>
      <c r="O134" s="344" t="s">
        <v>157</v>
      </c>
    </row>
    <row r="135" spans="1:15" ht="12.75">
      <c r="A135" s="63">
        <v>5</v>
      </c>
      <c r="B135" s="47" t="s">
        <v>20</v>
      </c>
      <c r="C135" s="5">
        <v>80390000</v>
      </c>
      <c r="D135" s="211"/>
      <c r="E135" s="63"/>
      <c r="F135" s="192"/>
      <c r="G135" s="228"/>
      <c r="H135" s="5">
        <v>35945000</v>
      </c>
      <c r="I135" s="340">
        <f t="shared" si="13"/>
        <v>44.71327279512377</v>
      </c>
      <c r="J135" s="5">
        <v>35945000</v>
      </c>
      <c r="K135" s="71">
        <f t="shared" si="14"/>
        <v>44.71327279512377</v>
      </c>
      <c r="L135" s="357">
        <v>100</v>
      </c>
      <c r="M135" s="296">
        <f t="shared" si="15"/>
        <v>44.71327279512377</v>
      </c>
      <c r="N135" s="37">
        <f>C136-J135</f>
        <v>108948140</v>
      </c>
      <c r="O135" s="344" t="s">
        <v>157</v>
      </c>
    </row>
    <row r="136" spans="1:15" ht="12.75">
      <c r="A136" s="63">
        <v>6</v>
      </c>
      <c r="B136" s="47" t="s">
        <v>21</v>
      </c>
      <c r="C136" s="5">
        <v>144893140</v>
      </c>
      <c r="D136" s="211"/>
      <c r="E136" s="63"/>
      <c r="F136" s="192"/>
      <c r="G136" s="228"/>
      <c r="H136" s="5">
        <v>57356640</v>
      </c>
      <c r="I136" s="340">
        <f t="shared" si="13"/>
        <v>39.58547657949852</v>
      </c>
      <c r="J136" s="5">
        <v>57356640</v>
      </c>
      <c r="K136" s="71">
        <f t="shared" si="14"/>
        <v>39.58547657949852</v>
      </c>
      <c r="L136" s="357">
        <v>100</v>
      </c>
      <c r="M136" s="296">
        <f t="shared" si="15"/>
        <v>39.58547657949852</v>
      </c>
      <c r="N136" s="37">
        <f t="shared" si="16"/>
        <v>87536500</v>
      </c>
      <c r="O136" s="344" t="s">
        <v>157</v>
      </c>
    </row>
    <row r="137" spans="1:15" ht="12.75">
      <c r="A137" s="63">
        <v>7</v>
      </c>
      <c r="B137" s="47" t="s">
        <v>22</v>
      </c>
      <c r="C137" s="5">
        <v>10088184</v>
      </c>
      <c r="D137" s="211"/>
      <c r="E137" s="63"/>
      <c r="F137" s="192"/>
      <c r="G137" s="228"/>
      <c r="H137" s="5">
        <v>7605841</v>
      </c>
      <c r="I137" s="340">
        <f t="shared" si="13"/>
        <v>75.39355943547422</v>
      </c>
      <c r="J137" s="5">
        <v>7605841</v>
      </c>
      <c r="K137" s="71">
        <f t="shared" si="14"/>
        <v>75.39355943547422</v>
      </c>
      <c r="L137" s="357">
        <v>100</v>
      </c>
      <c r="M137" s="296">
        <f t="shared" si="15"/>
        <v>75.39355943547422</v>
      </c>
      <c r="N137" s="37">
        <f t="shared" si="16"/>
        <v>2482343</v>
      </c>
      <c r="O137" s="344" t="s">
        <v>157</v>
      </c>
    </row>
    <row r="138" spans="1:15" ht="12.75">
      <c r="A138" s="63">
        <v>8</v>
      </c>
      <c r="B138" s="47" t="s">
        <v>23</v>
      </c>
      <c r="C138" s="5">
        <v>174603</v>
      </c>
      <c r="D138" s="211"/>
      <c r="E138" s="63"/>
      <c r="F138" s="192"/>
      <c r="G138" s="228"/>
      <c r="H138" s="5">
        <v>19057</v>
      </c>
      <c r="I138" s="340">
        <f t="shared" si="13"/>
        <v>10.914474550838186</v>
      </c>
      <c r="J138" s="5">
        <v>19057</v>
      </c>
      <c r="K138" s="71">
        <f t="shared" si="14"/>
        <v>10.914474550838186</v>
      </c>
      <c r="L138" s="357">
        <v>100</v>
      </c>
      <c r="M138" s="296">
        <f t="shared" si="15"/>
        <v>10.914474550838186</v>
      </c>
      <c r="N138" s="37">
        <f t="shared" si="16"/>
        <v>155546</v>
      </c>
      <c r="O138" s="344" t="s">
        <v>157</v>
      </c>
    </row>
    <row r="139" spans="1:15" ht="12.75">
      <c r="A139" s="63">
        <v>9</v>
      </c>
      <c r="B139" s="47" t="s">
        <v>24</v>
      </c>
      <c r="C139" s="5">
        <v>61486359</v>
      </c>
      <c r="D139" s="211"/>
      <c r="E139" s="63"/>
      <c r="F139" s="192"/>
      <c r="G139" s="228"/>
      <c r="H139" s="5">
        <v>27756662</v>
      </c>
      <c r="I139" s="340">
        <f t="shared" si="13"/>
        <v>45.14279663233921</v>
      </c>
      <c r="J139" s="5">
        <v>27756662</v>
      </c>
      <c r="K139" s="71">
        <f t="shared" si="14"/>
        <v>45.14279663233921</v>
      </c>
      <c r="L139" s="357">
        <v>100</v>
      </c>
      <c r="M139" s="296">
        <f t="shared" si="15"/>
        <v>45.14279663233921</v>
      </c>
      <c r="N139" s="37">
        <f t="shared" si="16"/>
        <v>33729697</v>
      </c>
      <c r="O139" s="344" t="s">
        <v>157</v>
      </c>
    </row>
    <row r="140" spans="1:15" ht="12.75">
      <c r="A140" s="63">
        <v>10</v>
      </c>
      <c r="B140" s="47" t="s">
        <v>25</v>
      </c>
      <c r="C140" s="5">
        <v>6198197</v>
      </c>
      <c r="D140" s="211"/>
      <c r="E140" s="63"/>
      <c r="F140" s="192"/>
      <c r="G140" s="228"/>
      <c r="H140" s="5">
        <v>1996651</v>
      </c>
      <c r="I140" s="340">
        <f t="shared" si="13"/>
        <v>32.21341625637262</v>
      </c>
      <c r="J140" s="5">
        <v>1996651</v>
      </c>
      <c r="K140" s="71">
        <f t="shared" si="14"/>
        <v>32.21341625637262</v>
      </c>
      <c r="L140" s="357">
        <v>100</v>
      </c>
      <c r="M140" s="296">
        <f t="shared" si="15"/>
        <v>32.21341625637262</v>
      </c>
      <c r="N140" s="37">
        <f t="shared" si="16"/>
        <v>4201546</v>
      </c>
      <c r="O140" s="344" t="s">
        <v>157</v>
      </c>
    </row>
    <row r="141" spans="1:15" ht="12.75">
      <c r="A141" s="63">
        <v>11</v>
      </c>
      <c r="B141" s="47" t="s">
        <v>26</v>
      </c>
      <c r="C141" s="5">
        <v>12569551</v>
      </c>
      <c r="D141" s="211"/>
      <c r="E141" s="63"/>
      <c r="F141" s="192"/>
      <c r="G141" s="228"/>
      <c r="H141" s="5">
        <v>5989928</v>
      </c>
      <c r="I141" s="340">
        <f t="shared" si="13"/>
        <v>47.65427181925592</v>
      </c>
      <c r="J141" s="5">
        <v>5989928</v>
      </c>
      <c r="K141" s="71">
        <f t="shared" si="14"/>
        <v>47.65427181925592</v>
      </c>
      <c r="L141" s="357">
        <v>100</v>
      </c>
      <c r="M141" s="296">
        <f t="shared" si="15"/>
        <v>47.65427181925592</v>
      </c>
      <c r="N141" s="37">
        <f t="shared" si="16"/>
        <v>6579623</v>
      </c>
      <c r="O141" s="344" t="s">
        <v>157</v>
      </c>
    </row>
    <row r="142" spans="1:15" ht="12.75">
      <c r="A142" s="63">
        <v>12</v>
      </c>
      <c r="B142" s="47" t="s">
        <v>27</v>
      </c>
      <c r="C142" s="5">
        <v>890400000</v>
      </c>
      <c r="D142" s="211"/>
      <c r="E142" s="63"/>
      <c r="F142" s="192"/>
      <c r="G142" s="228"/>
      <c r="H142" s="5">
        <v>498192500</v>
      </c>
      <c r="I142" s="340">
        <f t="shared" si="13"/>
        <v>55.95153863432165</v>
      </c>
      <c r="J142" s="5">
        <v>498192500</v>
      </c>
      <c r="K142" s="71">
        <f t="shared" si="14"/>
        <v>55.95153863432165</v>
      </c>
      <c r="L142" s="357">
        <v>100</v>
      </c>
      <c r="M142" s="296">
        <f t="shared" si="15"/>
        <v>55.95153863432165</v>
      </c>
      <c r="N142" s="37">
        <f t="shared" si="16"/>
        <v>392207500</v>
      </c>
      <c r="O142" s="344" t="s">
        <v>157</v>
      </c>
    </row>
    <row r="143" spans="1:15" ht="12.75">
      <c r="A143" s="63"/>
      <c r="B143" s="47"/>
      <c r="C143" s="5"/>
      <c r="D143" s="211"/>
      <c r="E143" s="63"/>
      <c r="F143" s="192"/>
      <c r="G143" s="228"/>
      <c r="H143" s="5"/>
      <c r="I143" s="114"/>
      <c r="J143" s="5"/>
      <c r="K143" s="36"/>
      <c r="L143" s="307"/>
      <c r="M143" s="37"/>
      <c r="N143" s="37"/>
      <c r="O143" s="343"/>
    </row>
    <row r="144" spans="1:15" ht="12.75">
      <c r="A144" s="61" t="s">
        <v>28</v>
      </c>
      <c r="B144" s="62" t="s">
        <v>29</v>
      </c>
      <c r="C144" s="67">
        <f>C145+C158+C168+C171+C181+C197+C202+C213</f>
        <v>9196607500</v>
      </c>
      <c r="D144" s="212"/>
      <c r="E144" s="67">
        <f>E145+E158+E168+E171+E181+E197+E202+E213</f>
        <v>1259241000</v>
      </c>
      <c r="F144" s="192"/>
      <c r="G144" s="228"/>
      <c r="H144" s="67">
        <f>H145+H158+H168+H171+H181+H197+H202+H213</f>
        <v>3986141113</v>
      </c>
      <c r="I144" s="311">
        <f aca="true" t="shared" si="17" ref="I144:I156">+H144/C144*100</f>
        <v>43.3436037473601</v>
      </c>
      <c r="J144" s="67">
        <f>J145+J158+J168+J171+J181+J197+J202+J213</f>
        <v>4148460609</v>
      </c>
      <c r="K144" s="179">
        <f aca="true" t="shared" si="18" ref="K144:K156">+J144/C144*100</f>
        <v>45.108596936424654</v>
      </c>
      <c r="L144" s="308">
        <v>100</v>
      </c>
      <c r="M144" s="64">
        <f aca="true" t="shared" si="19" ref="M144:M156">+J144/C144*100</f>
        <v>45.108596936424654</v>
      </c>
      <c r="N144" s="67">
        <f>N145+N158+N168+N171+N181+N197+N202+N213</f>
        <v>5048146891</v>
      </c>
      <c r="O144" s="343"/>
    </row>
    <row r="145" spans="1:15" ht="12.75">
      <c r="A145" s="68">
        <v>1</v>
      </c>
      <c r="B145" s="69" t="s">
        <v>30</v>
      </c>
      <c r="C145" s="67">
        <f>SUM(C146:C156)</f>
        <v>1362525500</v>
      </c>
      <c r="D145" s="212"/>
      <c r="E145" s="67">
        <f>SUM(E146:E156)</f>
        <v>0</v>
      </c>
      <c r="F145" s="193"/>
      <c r="G145" s="229"/>
      <c r="H145" s="6">
        <f>SUM(H146:H156)</f>
        <v>633451393</v>
      </c>
      <c r="I145" s="311">
        <f t="shared" si="17"/>
        <v>46.490975251472356</v>
      </c>
      <c r="J145" s="6">
        <f>SUM(J146:J156)</f>
        <v>584765889</v>
      </c>
      <c r="K145" s="179">
        <f t="shared" si="18"/>
        <v>42.91779412568793</v>
      </c>
      <c r="L145" s="308">
        <v>100</v>
      </c>
      <c r="M145" s="64">
        <f t="shared" si="19"/>
        <v>42.91779412568793</v>
      </c>
      <c r="N145" s="6">
        <f>SUM(N146:N156)</f>
        <v>777759611</v>
      </c>
      <c r="O145" s="343"/>
    </row>
    <row r="146" spans="1:15" ht="12.75">
      <c r="A146" s="63">
        <v>1</v>
      </c>
      <c r="B146" s="55" t="s">
        <v>31</v>
      </c>
      <c r="C146" s="71">
        <v>6310000</v>
      </c>
      <c r="D146" s="213"/>
      <c r="E146" s="72" t="s">
        <v>32</v>
      </c>
      <c r="F146" s="194" t="s">
        <v>32</v>
      </c>
      <c r="G146" s="230"/>
      <c r="H146" s="185">
        <f>4296000+1980000</f>
        <v>6276000</v>
      </c>
      <c r="I146" s="340">
        <f t="shared" si="17"/>
        <v>99.46117274167987</v>
      </c>
      <c r="J146" s="185">
        <f>4296000+1980000</f>
        <v>6276000</v>
      </c>
      <c r="K146" s="71">
        <f t="shared" si="18"/>
        <v>99.46117274167987</v>
      </c>
      <c r="L146" s="357">
        <v>100</v>
      </c>
      <c r="M146" s="37">
        <f t="shared" si="19"/>
        <v>99.46117274167987</v>
      </c>
      <c r="N146" s="37">
        <f>C146-J146</f>
        <v>34000</v>
      </c>
      <c r="O146" s="343"/>
    </row>
    <row r="147" spans="1:15" ht="12.75">
      <c r="A147" s="63">
        <v>2</v>
      </c>
      <c r="B147" s="73" t="s">
        <v>76</v>
      </c>
      <c r="C147" s="71">
        <v>60000000</v>
      </c>
      <c r="D147" s="213"/>
      <c r="E147" s="37"/>
      <c r="F147" s="195"/>
      <c r="G147" s="231"/>
      <c r="H147" s="7">
        <f>40719206+6925758</f>
        <v>47644964</v>
      </c>
      <c r="I147" s="340">
        <f t="shared" si="17"/>
        <v>79.40827333333334</v>
      </c>
      <c r="J147" s="7">
        <f>40719206+6925758</f>
        <v>47644964</v>
      </c>
      <c r="K147" s="71">
        <f t="shared" si="18"/>
        <v>79.40827333333334</v>
      </c>
      <c r="L147" s="357">
        <v>100</v>
      </c>
      <c r="M147" s="37">
        <f t="shared" si="19"/>
        <v>79.40827333333334</v>
      </c>
      <c r="N147" s="37">
        <f aca="true" t="shared" si="20" ref="N147:N160">C147-J147</f>
        <v>12355036</v>
      </c>
      <c r="O147" s="343"/>
    </row>
    <row r="148" spans="1:15" ht="12.75">
      <c r="A148" s="63">
        <v>3</v>
      </c>
      <c r="B148" s="165" t="s">
        <v>33</v>
      </c>
      <c r="C148" s="166">
        <v>31435000</v>
      </c>
      <c r="D148" s="214"/>
      <c r="E148" s="167">
        <v>0</v>
      </c>
      <c r="F148" s="196">
        <v>0</v>
      </c>
      <c r="G148" s="232"/>
      <c r="H148" s="168">
        <v>14485000</v>
      </c>
      <c r="I148" s="340">
        <f t="shared" si="17"/>
        <v>46.07921107046286</v>
      </c>
      <c r="J148" s="168">
        <v>14485000</v>
      </c>
      <c r="K148" s="71">
        <f t="shared" si="18"/>
        <v>46.07921107046286</v>
      </c>
      <c r="L148" s="357">
        <v>100</v>
      </c>
      <c r="M148" s="37">
        <f t="shared" si="19"/>
        <v>46.07921107046286</v>
      </c>
      <c r="N148" s="37">
        <f t="shared" si="20"/>
        <v>16950000</v>
      </c>
      <c r="O148" s="343"/>
    </row>
    <row r="149" spans="1:15" ht="12.75">
      <c r="A149" s="63">
        <v>4</v>
      </c>
      <c r="B149" s="169" t="s">
        <v>34</v>
      </c>
      <c r="C149" s="166">
        <v>55000000</v>
      </c>
      <c r="D149" s="214"/>
      <c r="E149" s="167">
        <v>0</v>
      </c>
      <c r="F149" s="196">
        <v>0</v>
      </c>
      <c r="G149" s="232"/>
      <c r="H149" s="168">
        <f>34305000+13745800</f>
        <v>48050800</v>
      </c>
      <c r="I149" s="340">
        <f t="shared" si="17"/>
        <v>87.36509090909091</v>
      </c>
      <c r="J149" s="168">
        <f>34305000+13745800</f>
        <v>48050800</v>
      </c>
      <c r="K149" s="71">
        <f t="shared" si="18"/>
        <v>87.36509090909091</v>
      </c>
      <c r="L149" s="357">
        <v>100</v>
      </c>
      <c r="M149" s="37">
        <f t="shared" si="19"/>
        <v>87.36509090909091</v>
      </c>
      <c r="N149" s="37">
        <f t="shared" si="20"/>
        <v>6949200</v>
      </c>
      <c r="O149" s="343"/>
    </row>
    <row r="150" spans="1:15" ht="12.75">
      <c r="A150" s="63">
        <v>5</v>
      </c>
      <c r="B150" s="73" t="s">
        <v>35</v>
      </c>
      <c r="C150" s="71">
        <v>26676500</v>
      </c>
      <c r="D150" s="213"/>
      <c r="E150" s="37">
        <v>0</v>
      </c>
      <c r="F150" s="195">
        <v>0</v>
      </c>
      <c r="G150" s="231"/>
      <c r="H150" s="7">
        <f>14485300+8850000</f>
        <v>23335300</v>
      </c>
      <c r="I150" s="340">
        <f t="shared" si="17"/>
        <v>87.47511855003467</v>
      </c>
      <c r="J150" s="7">
        <f>14485300+8850000</f>
        <v>23335300</v>
      </c>
      <c r="K150" s="71">
        <f t="shared" si="18"/>
        <v>87.47511855003467</v>
      </c>
      <c r="L150" s="357">
        <v>100</v>
      </c>
      <c r="M150" s="37">
        <f t="shared" si="19"/>
        <v>87.47511855003467</v>
      </c>
      <c r="N150" s="37">
        <f t="shared" si="20"/>
        <v>3341200</v>
      </c>
      <c r="O150" s="343"/>
    </row>
    <row r="151" spans="1:15" ht="12.75">
      <c r="A151" s="63">
        <v>6</v>
      </c>
      <c r="B151" s="73" t="s">
        <v>36</v>
      </c>
      <c r="C151" s="71">
        <v>4000000</v>
      </c>
      <c r="D151" s="213"/>
      <c r="E151" s="37">
        <v>0</v>
      </c>
      <c r="F151" s="195">
        <v>0</v>
      </c>
      <c r="G151" s="231"/>
      <c r="H151" s="7">
        <f>1995200+2004800</f>
        <v>4000000</v>
      </c>
      <c r="I151" s="340">
        <f t="shared" si="17"/>
        <v>100</v>
      </c>
      <c r="J151" s="7">
        <f>1995200+2004800</f>
        <v>4000000</v>
      </c>
      <c r="K151" s="71">
        <f t="shared" si="18"/>
        <v>100</v>
      </c>
      <c r="L151" s="357">
        <v>100</v>
      </c>
      <c r="M151" s="37">
        <f t="shared" si="19"/>
        <v>100</v>
      </c>
      <c r="N151" s="37">
        <f t="shared" si="20"/>
        <v>0</v>
      </c>
      <c r="O151" s="343"/>
    </row>
    <row r="152" spans="1:15" ht="12.75">
      <c r="A152" s="63">
        <v>7</v>
      </c>
      <c r="B152" s="73" t="s">
        <v>37</v>
      </c>
      <c r="C152" s="71">
        <v>13076000</v>
      </c>
      <c r="D152" s="213"/>
      <c r="E152" s="37">
        <v>0</v>
      </c>
      <c r="F152" s="195">
        <v>0</v>
      </c>
      <c r="G152" s="231"/>
      <c r="H152" s="7">
        <f>8761950+4314050</f>
        <v>13076000</v>
      </c>
      <c r="I152" s="340">
        <f t="shared" si="17"/>
        <v>100</v>
      </c>
      <c r="J152" s="7">
        <f>8761950+4314050</f>
        <v>13076000</v>
      </c>
      <c r="K152" s="71">
        <f t="shared" si="18"/>
        <v>100</v>
      </c>
      <c r="L152" s="357">
        <v>100</v>
      </c>
      <c r="M152" s="37">
        <f t="shared" si="19"/>
        <v>100</v>
      </c>
      <c r="N152" s="37">
        <f t="shared" si="20"/>
        <v>0</v>
      </c>
      <c r="O152" s="343"/>
    </row>
    <row r="153" spans="1:15" ht="12.75">
      <c r="A153" s="63">
        <v>8</v>
      </c>
      <c r="B153" s="73" t="s">
        <v>38</v>
      </c>
      <c r="C153" s="71">
        <v>7500000</v>
      </c>
      <c r="D153" s="213"/>
      <c r="E153" s="37">
        <v>0</v>
      </c>
      <c r="F153" s="195">
        <v>0</v>
      </c>
      <c r="G153" s="231"/>
      <c r="H153" s="7">
        <f>2180000+3856000</f>
        <v>6036000</v>
      </c>
      <c r="I153" s="340">
        <f t="shared" si="17"/>
        <v>80.47999999999999</v>
      </c>
      <c r="J153" s="7">
        <f>2180000+3856000</f>
        <v>6036000</v>
      </c>
      <c r="K153" s="71">
        <f t="shared" si="18"/>
        <v>80.47999999999999</v>
      </c>
      <c r="L153" s="357">
        <v>100</v>
      </c>
      <c r="M153" s="37">
        <f t="shared" si="19"/>
        <v>80.47999999999999</v>
      </c>
      <c r="N153" s="37">
        <f t="shared" si="20"/>
        <v>1464000</v>
      </c>
      <c r="O153" s="343"/>
    </row>
    <row r="154" spans="1:15" ht="12.75">
      <c r="A154" s="63">
        <v>9</v>
      </c>
      <c r="B154" s="73" t="s">
        <v>39</v>
      </c>
      <c r="C154" s="71">
        <v>30000000</v>
      </c>
      <c r="D154" s="213"/>
      <c r="E154" s="37">
        <v>0</v>
      </c>
      <c r="F154" s="195">
        <v>0</v>
      </c>
      <c r="G154" s="231"/>
      <c r="H154" s="7">
        <f>18128200+7990000</f>
        <v>26118200</v>
      </c>
      <c r="I154" s="340">
        <f t="shared" si="17"/>
        <v>87.06066666666666</v>
      </c>
      <c r="J154" s="7">
        <f>18128200+7990000</f>
        <v>26118200</v>
      </c>
      <c r="K154" s="71">
        <f t="shared" si="18"/>
        <v>87.06066666666666</v>
      </c>
      <c r="L154" s="357">
        <v>100</v>
      </c>
      <c r="M154" s="37">
        <f t="shared" si="19"/>
        <v>87.06066666666666</v>
      </c>
      <c r="N154" s="37">
        <f t="shared" si="20"/>
        <v>3881800</v>
      </c>
      <c r="O154" s="343"/>
    </row>
    <row r="155" spans="1:15" ht="12.75">
      <c r="A155" s="63">
        <v>10</v>
      </c>
      <c r="B155" s="73" t="s">
        <v>40</v>
      </c>
      <c r="C155" s="71">
        <v>200000000</v>
      </c>
      <c r="D155" s="213"/>
      <c r="E155" s="37">
        <v>0</v>
      </c>
      <c r="F155" s="195">
        <v>0</v>
      </c>
      <c r="G155" s="231"/>
      <c r="H155" s="7">
        <f>91631161+15825000</f>
        <v>107456161</v>
      </c>
      <c r="I155" s="340">
        <f t="shared" si="17"/>
        <v>53.7280805</v>
      </c>
      <c r="J155" s="7">
        <f>91631161+15825000</f>
        <v>107456161</v>
      </c>
      <c r="K155" s="71">
        <f t="shared" si="18"/>
        <v>53.7280805</v>
      </c>
      <c r="L155" s="357">
        <v>100</v>
      </c>
      <c r="M155" s="37">
        <f t="shared" si="19"/>
        <v>53.7280805</v>
      </c>
      <c r="N155" s="37">
        <f t="shared" si="20"/>
        <v>92543839</v>
      </c>
      <c r="O155" s="343"/>
    </row>
    <row r="156" spans="1:15" ht="12.75">
      <c r="A156" s="63">
        <v>11</v>
      </c>
      <c r="B156" s="73" t="s">
        <v>41</v>
      </c>
      <c r="C156" s="71">
        <v>928528000</v>
      </c>
      <c r="D156" s="213"/>
      <c r="E156" s="37">
        <v>0</v>
      </c>
      <c r="F156" s="195">
        <v>0</v>
      </c>
      <c r="G156" s="231"/>
      <c r="H156" s="7">
        <v>336972968</v>
      </c>
      <c r="I156" s="340">
        <f t="shared" si="17"/>
        <v>36.29109386038978</v>
      </c>
      <c r="J156" s="7">
        <v>288287464</v>
      </c>
      <c r="K156" s="71">
        <f t="shared" si="18"/>
        <v>31.0477943583823</v>
      </c>
      <c r="L156" s="357">
        <v>100</v>
      </c>
      <c r="M156" s="37">
        <f t="shared" si="19"/>
        <v>31.0477943583823</v>
      </c>
      <c r="N156" s="37">
        <f t="shared" si="20"/>
        <v>640240536</v>
      </c>
      <c r="O156" s="343"/>
    </row>
    <row r="157" spans="1:15" ht="12.75">
      <c r="A157" s="253"/>
      <c r="B157" s="75"/>
      <c r="C157" s="71"/>
      <c r="D157" s="213"/>
      <c r="E157" s="37"/>
      <c r="F157" s="195"/>
      <c r="G157" s="231"/>
      <c r="H157" s="7"/>
      <c r="I157" s="114"/>
      <c r="J157" s="7"/>
      <c r="K157" s="36"/>
      <c r="L157" s="307"/>
      <c r="M157" s="37">
        <f>K157</f>
        <v>0</v>
      </c>
      <c r="N157" s="37">
        <f t="shared" si="20"/>
        <v>0</v>
      </c>
      <c r="O157" s="343"/>
    </row>
    <row r="158" spans="1:15" ht="12.75">
      <c r="A158" s="68">
        <v>2</v>
      </c>
      <c r="B158" s="69" t="s">
        <v>42</v>
      </c>
      <c r="C158" s="39">
        <f>SUM(C159:C166)</f>
        <v>761012000</v>
      </c>
      <c r="D158" s="198"/>
      <c r="E158" s="39">
        <f>SUM(E159:E166)</f>
        <v>43582000</v>
      </c>
      <c r="F158" s="197"/>
      <c r="G158" s="233"/>
      <c r="H158" s="39">
        <f>SUM(H159:H166)</f>
        <v>595891048</v>
      </c>
      <c r="I158" s="311">
        <f>+H158/C158*100</f>
        <v>78.30245094689703</v>
      </c>
      <c r="J158" s="39">
        <f>SUM(J159:J166)</f>
        <v>595891048</v>
      </c>
      <c r="K158" s="179">
        <f>+J158/C158*100</f>
        <v>78.30245094689703</v>
      </c>
      <c r="L158" s="308">
        <v>100</v>
      </c>
      <c r="M158" s="64">
        <f>+J158/C158*100</f>
        <v>78.30245094689703</v>
      </c>
      <c r="N158" s="37">
        <f t="shared" si="20"/>
        <v>165120952</v>
      </c>
      <c r="O158" s="343"/>
    </row>
    <row r="159" spans="1:15" ht="12.75">
      <c r="A159" s="63">
        <v>1</v>
      </c>
      <c r="B159" s="73" t="s">
        <v>43</v>
      </c>
      <c r="C159" s="71">
        <v>85000000</v>
      </c>
      <c r="D159" s="213"/>
      <c r="E159" s="37"/>
      <c r="F159" s="195"/>
      <c r="G159" s="231"/>
      <c r="H159" s="71">
        <f>47359600+266000</f>
        <v>47625600</v>
      </c>
      <c r="I159" s="340">
        <f>+H159/C159*100</f>
        <v>56.030117647058816</v>
      </c>
      <c r="J159" s="71">
        <f>47359600+266000</f>
        <v>47625600</v>
      </c>
      <c r="K159" s="71">
        <f>+J159/C159*100</f>
        <v>56.030117647058816</v>
      </c>
      <c r="L159" s="357">
        <v>100</v>
      </c>
      <c r="M159" s="37">
        <f>+J159/C159*100</f>
        <v>56.030117647058816</v>
      </c>
      <c r="N159" s="37">
        <f t="shared" si="20"/>
        <v>37374400</v>
      </c>
      <c r="O159" s="343"/>
    </row>
    <row r="160" spans="1:15" ht="12.75">
      <c r="A160" s="63">
        <v>2</v>
      </c>
      <c r="B160" s="73" t="s">
        <v>44</v>
      </c>
      <c r="C160" s="71">
        <v>45000000</v>
      </c>
      <c r="D160" s="264" t="s">
        <v>121</v>
      </c>
      <c r="E160" s="37">
        <v>5808000</v>
      </c>
      <c r="F160" s="195" t="s">
        <v>124</v>
      </c>
      <c r="G160" s="231" t="s">
        <v>125</v>
      </c>
      <c r="H160" s="71">
        <v>44536000</v>
      </c>
      <c r="I160" s="340">
        <f>+H160/C160*100</f>
        <v>98.96888888888888</v>
      </c>
      <c r="J160" s="71">
        <v>44536000</v>
      </c>
      <c r="K160" s="71">
        <f>+J160/C160*100</f>
        <v>98.96888888888888</v>
      </c>
      <c r="L160" s="357">
        <v>100</v>
      </c>
      <c r="M160" s="37">
        <f>+J160/C160*100</f>
        <v>98.96888888888888</v>
      </c>
      <c r="N160" s="37">
        <f t="shared" si="20"/>
        <v>464000</v>
      </c>
      <c r="O160" s="343"/>
    </row>
    <row r="161" spans="1:15" ht="12.75">
      <c r="A161" s="63"/>
      <c r="B161" s="73"/>
      <c r="C161" s="71"/>
      <c r="D161" s="264" t="s">
        <v>122</v>
      </c>
      <c r="E161" s="37">
        <v>15774000</v>
      </c>
      <c r="F161" s="195" t="s">
        <v>124</v>
      </c>
      <c r="G161" s="231" t="s">
        <v>125</v>
      </c>
      <c r="H161" s="71"/>
      <c r="I161" s="114"/>
      <c r="J161" s="71"/>
      <c r="K161" s="36"/>
      <c r="L161" s="37"/>
      <c r="M161" s="37"/>
      <c r="N161" s="37"/>
      <c r="O161" s="343"/>
    </row>
    <row r="162" spans="1:15" ht="12.75">
      <c r="A162" s="63"/>
      <c r="B162" s="73"/>
      <c r="C162" s="71"/>
      <c r="D162" s="264" t="s">
        <v>123</v>
      </c>
      <c r="E162" s="37">
        <v>22000000</v>
      </c>
      <c r="F162" s="195" t="s">
        <v>124</v>
      </c>
      <c r="G162" s="231" t="s">
        <v>125</v>
      </c>
      <c r="H162" s="71"/>
      <c r="I162" s="114"/>
      <c r="J162" s="71"/>
      <c r="K162" s="36"/>
      <c r="L162" s="358"/>
      <c r="M162" s="37"/>
      <c r="N162" s="37"/>
      <c r="O162" s="343"/>
    </row>
    <row r="163" spans="1:15" ht="12.75">
      <c r="A163" s="63">
        <v>3</v>
      </c>
      <c r="B163" s="73" t="s">
        <v>45</v>
      </c>
      <c r="C163" s="71">
        <v>239382000</v>
      </c>
      <c r="D163" s="264"/>
      <c r="E163" s="37"/>
      <c r="F163" s="195"/>
      <c r="G163" s="231"/>
      <c r="H163" s="71">
        <v>174523050</v>
      </c>
      <c r="I163" s="340">
        <f>+H163/C163*100</f>
        <v>72.90566959921799</v>
      </c>
      <c r="J163" s="71">
        <v>174523050</v>
      </c>
      <c r="K163" s="71">
        <f>+J163/C163*100</f>
        <v>72.90566959921799</v>
      </c>
      <c r="L163" s="357">
        <v>100</v>
      </c>
      <c r="M163" s="37">
        <f>+J163/C163*100</f>
        <v>72.90566959921799</v>
      </c>
      <c r="N163" s="37">
        <f aca="true" t="shared" si="21" ref="N163:N169">C163-J163</f>
        <v>64858950</v>
      </c>
      <c r="O163" s="343"/>
    </row>
    <row r="164" spans="1:15" ht="12.75">
      <c r="A164" s="63">
        <v>4</v>
      </c>
      <c r="B164" s="73" t="s">
        <v>46</v>
      </c>
      <c r="C164" s="71">
        <v>370980000</v>
      </c>
      <c r="D164" s="213"/>
      <c r="E164" s="37"/>
      <c r="F164" s="195"/>
      <c r="G164" s="231"/>
      <c r="H164" s="7">
        <f>290055301+20511297</f>
        <v>310566598</v>
      </c>
      <c r="I164" s="340">
        <f>+H164/C164*100</f>
        <v>83.71518626341043</v>
      </c>
      <c r="J164" s="7">
        <f>290055301+20511297</f>
        <v>310566598</v>
      </c>
      <c r="K164" s="71">
        <f>+J164/C164*100</f>
        <v>83.71518626341043</v>
      </c>
      <c r="L164" s="357">
        <v>100</v>
      </c>
      <c r="M164" s="37">
        <f>+J164/C164*100</f>
        <v>83.71518626341043</v>
      </c>
      <c r="N164" s="37">
        <f t="shared" si="21"/>
        <v>60413402</v>
      </c>
      <c r="O164" s="343"/>
    </row>
    <row r="165" spans="1:15" ht="12.75">
      <c r="A165" s="63">
        <v>5</v>
      </c>
      <c r="B165" s="73" t="s">
        <v>47</v>
      </c>
      <c r="C165" s="71">
        <v>13050000</v>
      </c>
      <c r="D165" s="213"/>
      <c r="E165" s="37">
        <v>0</v>
      </c>
      <c r="F165" s="195">
        <v>0</v>
      </c>
      <c r="G165" s="231"/>
      <c r="H165" s="7">
        <f>3400000+7640000</f>
        <v>11040000</v>
      </c>
      <c r="I165" s="340">
        <f>+H165/C165*100</f>
        <v>84.59770114942529</v>
      </c>
      <c r="J165" s="7">
        <f>3400000+7640000</f>
        <v>11040000</v>
      </c>
      <c r="K165" s="71">
        <f>+J165/C165*100</f>
        <v>84.59770114942529</v>
      </c>
      <c r="L165" s="357">
        <v>100</v>
      </c>
      <c r="M165" s="37">
        <f>+J165/C165*100</f>
        <v>84.59770114942529</v>
      </c>
      <c r="N165" s="37">
        <f t="shared" si="21"/>
        <v>2010000</v>
      </c>
      <c r="O165" s="343"/>
    </row>
    <row r="166" spans="1:15" ht="12.75">
      <c r="A166" s="63">
        <v>6</v>
      </c>
      <c r="B166" s="73" t="s">
        <v>48</v>
      </c>
      <c r="C166" s="71">
        <v>7600000</v>
      </c>
      <c r="D166" s="213"/>
      <c r="E166" s="37"/>
      <c r="F166" s="195"/>
      <c r="G166" s="231"/>
      <c r="H166" s="71">
        <v>7599800</v>
      </c>
      <c r="I166" s="340">
        <f>+H166/C166*100</f>
        <v>99.99736842105264</v>
      </c>
      <c r="J166" s="71">
        <v>7599800</v>
      </c>
      <c r="K166" s="71">
        <f>+J166/C166*100</f>
        <v>99.99736842105264</v>
      </c>
      <c r="L166" s="357">
        <v>100</v>
      </c>
      <c r="M166" s="37">
        <f>+J166/C166*100</f>
        <v>99.99736842105264</v>
      </c>
      <c r="N166" s="37">
        <f t="shared" si="21"/>
        <v>200</v>
      </c>
      <c r="O166" s="343"/>
    </row>
    <row r="167" spans="1:15" ht="12.75">
      <c r="A167" s="63"/>
      <c r="B167" s="73"/>
      <c r="C167" s="71"/>
      <c r="D167" s="213"/>
      <c r="E167" s="37"/>
      <c r="F167" s="195"/>
      <c r="G167" s="231"/>
      <c r="H167" s="7"/>
      <c r="I167" s="114"/>
      <c r="J167" s="7"/>
      <c r="K167" s="36"/>
      <c r="L167" s="37"/>
      <c r="M167" s="37"/>
      <c r="N167" s="37">
        <f t="shared" si="21"/>
        <v>0</v>
      </c>
      <c r="O167" s="343"/>
    </row>
    <row r="168" spans="1:15" ht="12.75">
      <c r="A168" s="68">
        <v>3</v>
      </c>
      <c r="B168" s="69" t="s">
        <v>49</v>
      </c>
      <c r="C168" s="39">
        <f>C169</f>
        <v>74570000</v>
      </c>
      <c r="D168" s="198"/>
      <c r="E168" s="39">
        <f>E169</f>
        <v>57200000</v>
      </c>
      <c r="F168" s="198"/>
      <c r="G168" s="234"/>
      <c r="H168" s="8">
        <f>H169</f>
        <v>73200000</v>
      </c>
      <c r="I168" s="311">
        <f>+H168/C168*100</f>
        <v>98.16280005364088</v>
      </c>
      <c r="J168" s="8">
        <f>J169</f>
        <v>73200000</v>
      </c>
      <c r="K168" s="179">
        <f>+J168/C168*100</f>
        <v>98.16280005364088</v>
      </c>
      <c r="L168" s="308">
        <v>100</v>
      </c>
      <c r="M168" s="64">
        <f>+J168/C168*100</f>
        <v>98.16280005364088</v>
      </c>
      <c r="N168" s="37">
        <f t="shared" si="21"/>
        <v>1370000</v>
      </c>
      <c r="O168" s="343"/>
    </row>
    <row r="169" spans="1:15" ht="12.75">
      <c r="A169" s="63"/>
      <c r="B169" s="55" t="s">
        <v>50</v>
      </c>
      <c r="C169" s="250">
        <v>74570000</v>
      </c>
      <c r="D169" s="265" t="s">
        <v>118</v>
      </c>
      <c r="E169" s="37">
        <v>57200000</v>
      </c>
      <c r="F169" s="263" t="s">
        <v>119</v>
      </c>
      <c r="G169" s="231" t="s">
        <v>120</v>
      </c>
      <c r="H169" s="10">
        <f>16000000+57200000</f>
        <v>73200000</v>
      </c>
      <c r="I169" s="340">
        <f>+H169/C169*100</f>
        <v>98.16280005364088</v>
      </c>
      <c r="J169" s="10">
        <f>16000000+57200000</f>
        <v>73200000</v>
      </c>
      <c r="K169" s="71">
        <f>+J169/C169*100</f>
        <v>98.16280005364088</v>
      </c>
      <c r="L169" s="357">
        <v>100</v>
      </c>
      <c r="M169" s="37">
        <f>+J169/C169*100</f>
        <v>98.16280005364088</v>
      </c>
      <c r="N169" s="37">
        <f t="shared" si="21"/>
        <v>1370000</v>
      </c>
      <c r="O169" s="343"/>
    </row>
    <row r="170" spans="1:15" ht="12.75">
      <c r="A170" s="257"/>
      <c r="B170" s="300"/>
      <c r="C170" s="301"/>
      <c r="D170" s="302"/>
      <c r="E170" s="303"/>
      <c r="F170" s="263"/>
      <c r="G170" s="304"/>
      <c r="H170" s="305"/>
      <c r="I170" s="355"/>
      <c r="J170" s="305"/>
      <c r="K170" s="356"/>
      <c r="L170" s="352"/>
      <c r="M170" s="303"/>
      <c r="N170" s="303"/>
      <c r="O170" s="343"/>
    </row>
    <row r="171" spans="1:15" ht="12.75">
      <c r="A171" s="259">
        <v>4</v>
      </c>
      <c r="B171" s="280" t="s">
        <v>51</v>
      </c>
      <c r="C171" s="281">
        <f>C172+C178+C179</f>
        <v>4830000000</v>
      </c>
      <c r="D171" s="282"/>
      <c r="E171" s="281">
        <f>SUM(E172:E180)</f>
        <v>542250000</v>
      </c>
      <c r="F171" s="282"/>
      <c r="G171" s="283"/>
      <c r="H171" s="284">
        <f>SUM(H172:H179)</f>
        <v>1282369802</v>
      </c>
      <c r="I171" s="340">
        <f>+H171/C171*100</f>
        <v>26.550099420289857</v>
      </c>
      <c r="J171" s="284">
        <f>SUM(J172:J179)</f>
        <v>1282369802</v>
      </c>
      <c r="K171" s="71">
        <f>+J171/C171*100</f>
        <v>26.550099420289857</v>
      </c>
      <c r="L171" s="308">
        <v>100</v>
      </c>
      <c r="M171" s="37">
        <f>+J171/C171*100</f>
        <v>26.550099420289857</v>
      </c>
      <c r="N171" s="285">
        <f>C171-J171</f>
        <v>3547630198</v>
      </c>
      <c r="O171" s="343"/>
    </row>
    <row r="172" spans="1:15" ht="12.75">
      <c r="A172" s="63">
        <v>1</v>
      </c>
      <c r="B172" s="21" t="s">
        <v>52</v>
      </c>
      <c r="C172" s="22">
        <v>3930000000</v>
      </c>
      <c r="D172" s="266" t="s">
        <v>111</v>
      </c>
      <c r="E172" s="22">
        <v>89375000</v>
      </c>
      <c r="F172" s="201" t="s">
        <v>114</v>
      </c>
      <c r="G172" s="267" t="s">
        <v>116</v>
      </c>
      <c r="H172" s="22">
        <f>18176400+79925000+108075000+89375000+198000000+98200000</f>
        <v>591751400</v>
      </c>
      <c r="I172" s="340">
        <f>+H172/C172*100</f>
        <v>15.057287531806615</v>
      </c>
      <c r="J172" s="22">
        <f>18176400+79925000+108075000+89375000+198000000+98200000</f>
        <v>591751400</v>
      </c>
      <c r="K172" s="71">
        <f>+J172/C172*100</f>
        <v>15.057287531806615</v>
      </c>
      <c r="L172" s="357">
        <v>100</v>
      </c>
      <c r="M172" s="37">
        <f>+J172/C172*100</f>
        <v>15.057287531806615</v>
      </c>
      <c r="N172" s="172">
        <f>C172-J172</f>
        <v>3338248600</v>
      </c>
      <c r="O172" s="343"/>
    </row>
    <row r="173" spans="1:15" ht="12.75">
      <c r="A173" s="63"/>
      <c r="B173" s="21"/>
      <c r="C173" s="22"/>
      <c r="D173" s="266" t="s">
        <v>112</v>
      </c>
      <c r="E173" s="22">
        <v>198000000</v>
      </c>
      <c r="F173" s="201" t="s">
        <v>115</v>
      </c>
      <c r="G173" s="267" t="s">
        <v>117</v>
      </c>
      <c r="H173" s="22"/>
      <c r="I173" s="114"/>
      <c r="J173" s="22"/>
      <c r="K173" s="36"/>
      <c r="L173" s="307"/>
      <c r="M173" s="37"/>
      <c r="N173" s="172"/>
      <c r="O173" s="343"/>
    </row>
    <row r="174" spans="1:15" ht="12.75">
      <c r="A174" s="63"/>
      <c r="B174" s="21"/>
      <c r="C174" s="22"/>
      <c r="D174" s="266" t="s">
        <v>113</v>
      </c>
      <c r="E174" s="22">
        <v>108075000</v>
      </c>
      <c r="F174" s="201" t="s">
        <v>114</v>
      </c>
      <c r="G174" s="267" t="s">
        <v>116</v>
      </c>
      <c r="H174" s="22"/>
      <c r="I174" s="114"/>
      <c r="J174" s="22"/>
      <c r="K174" s="36"/>
      <c r="L174" s="307"/>
      <c r="M174" s="37"/>
      <c r="N174" s="172"/>
      <c r="O174" s="343"/>
    </row>
    <row r="175" spans="1:15" ht="12.75">
      <c r="A175" s="63"/>
      <c r="B175" s="21"/>
      <c r="C175" s="22"/>
      <c r="D175" s="359" t="s">
        <v>130</v>
      </c>
      <c r="E175" s="22">
        <v>98200000</v>
      </c>
      <c r="F175" s="360" t="s">
        <v>131</v>
      </c>
      <c r="G175" s="361">
        <v>43556</v>
      </c>
      <c r="H175" s="22"/>
      <c r="I175" s="114"/>
      <c r="J175" s="22"/>
      <c r="K175" s="36"/>
      <c r="L175" s="307"/>
      <c r="M175" s="37"/>
      <c r="N175" s="172"/>
      <c r="O175" s="343"/>
    </row>
    <row r="176" spans="1:15" ht="12.75">
      <c r="A176" s="63"/>
      <c r="B176" s="21"/>
      <c r="C176" s="22"/>
      <c r="D176" s="359"/>
      <c r="E176" s="22"/>
      <c r="F176" s="360"/>
      <c r="G176" s="361"/>
      <c r="H176" s="22"/>
      <c r="I176" s="362"/>
      <c r="J176" s="22"/>
      <c r="K176" s="363"/>
      <c r="L176" s="307"/>
      <c r="M176" s="37"/>
      <c r="N176" s="172"/>
      <c r="O176" s="343"/>
    </row>
    <row r="177" spans="1:15" ht="12.75">
      <c r="A177" s="63"/>
      <c r="B177" s="21"/>
      <c r="C177" s="22"/>
      <c r="D177" s="359"/>
      <c r="E177" s="22"/>
      <c r="F177" s="360"/>
      <c r="G177" s="361"/>
      <c r="H177" s="22"/>
      <c r="I177" s="114"/>
      <c r="J177" s="275"/>
      <c r="K177" s="36"/>
      <c r="L177" s="307"/>
      <c r="M177" s="37"/>
      <c r="N177" s="172"/>
      <c r="O177" s="343"/>
    </row>
    <row r="178" spans="1:15" ht="13.5" customHeight="1">
      <c r="A178" s="63">
        <v>2</v>
      </c>
      <c r="B178" s="21" t="s">
        <v>53</v>
      </c>
      <c r="C178" s="22">
        <v>750000000</v>
      </c>
      <c r="D178" s="201"/>
      <c r="E178" s="32"/>
      <c r="F178" s="99"/>
      <c r="G178" s="235"/>
      <c r="H178" s="23">
        <v>604173402</v>
      </c>
      <c r="I178" s="340">
        <f>+H178/C178*100</f>
        <v>80.5564536</v>
      </c>
      <c r="J178" s="23">
        <v>604173402</v>
      </c>
      <c r="K178" s="71">
        <f>+J178/C178*100</f>
        <v>80.5564536</v>
      </c>
      <c r="L178" s="357">
        <v>100</v>
      </c>
      <c r="M178" s="37">
        <f>+J178/C178*100</f>
        <v>80.5564536</v>
      </c>
      <c r="N178" s="172">
        <f>C178-J178</f>
        <v>145826598</v>
      </c>
      <c r="O178" s="343"/>
    </row>
    <row r="179" spans="1:15" ht="14.25" customHeight="1">
      <c r="A179" s="63">
        <v>3</v>
      </c>
      <c r="B179" s="21" t="s">
        <v>54</v>
      </c>
      <c r="C179" s="22">
        <v>150000000</v>
      </c>
      <c r="D179" s="201" t="s">
        <v>107</v>
      </c>
      <c r="E179" s="23">
        <v>48600000</v>
      </c>
      <c r="F179" s="99" t="s">
        <v>108</v>
      </c>
      <c r="G179" s="235">
        <v>43584</v>
      </c>
      <c r="H179" s="23">
        <f>79920000+6525000</f>
        <v>86445000</v>
      </c>
      <c r="I179" s="340">
        <f>+H179/C179*100</f>
        <v>57.63</v>
      </c>
      <c r="J179" s="23">
        <f>79920000+6525000</f>
        <v>86445000</v>
      </c>
      <c r="K179" s="71">
        <f>+J179/C179*100</f>
        <v>57.63</v>
      </c>
      <c r="L179" s="357">
        <v>100</v>
      </c>
      <c r="M179" s="37">
        <f>+J179/C179*100</f>
        <v>57.63</v>
      </c>
      <c r="N179" s="172">
        <f>C179-J179</f>
        <v>63555000</v>
      </c>
      <c r="O179" s="345"/>
    </row>
    <row r="180" spans="1:15" ht="12.75">
      <c r="A180" s="255"/>
      <c r="B180" s="246"/>
      <c r="C180" s="28"/>
      <c r="D180" s="215"/>
      <c r="E180" s="29"/>
      <c r="F180" s="134"/>
      <c r="G180" s="238"/>
      <c r="H180" s="29"/>
      <c r="I180" s="314"/>
      <c r="J180" s="29"/>
      <c r="K180" s="36"/>
      <c r="L180" s="307"/>
      <c r="M180" s="173"/>
      <c r="N180" s="172"/>
      <c r="O180" s="345"/>
    </row>
    <row r="181" spans="1:15" ht="16.5" customHeight="1">
      <c r="A181" s="256">
        <v>5</v>
      </c>
      <c r="B181" s="97" t="s">
        <v>56</v>
      </c>
      <c r="C181" s="48">
        <f>SUM(C182:C195)</f>
        <v>1208500000</v>
      </c>
      <c r="D181" s="202"/>
      <c r="E181" s="48">
        <f>E182+E183+E184++E185+E186+E187+E188+E191+E193+E195+E190</f>
        <v>160501000</v>
      </c>
      <c r="F181" s="202"/>
      <c r="G181" s="239"/>
      <c r="H181" s="174">
        <f>SUM(H182:H195)</f>
        <v>742125370</v>
      </c>
      <c r="I181" s="311">
        <f aca="true" t="shared" si="22" ref="I181:I189">+H181/C181*100</f>
        <v>61.40880182043856</v>
      </c>
      <c r="J181" s="174">
        <f>SUM(J182:J195)</f>
        <v>742125370</v>
      </c>
      <c r="K181" s="179">
        <f aca="true" t="shared" si="23" ref="K181:K189">+J181/C181*100</f>
        <v>61.40880182043856</v>
      </c>
      <c r="L181" s="308">
        <v>100</v>
      </c>
      <c r="M181" s="64">
        <f aca="true" t="shared" si="24" ref="M181:M189">+J181/C181*100</f>
        <v>61.40880182043856</v>
      </c>
      <c r="N181" s="172">
        <f aca="true" t="shared" si="25" ref="N181:N189">C181-J181</f>
        <v>466374630</v>
      </c>
      <c r="O181" s="343"/>
    </row>
    <row r="182" spans="1:15" ht="12.75">
      <c r="A182" s="63">
        <v>1</v>
      </c>
      <c r="B182" s="73" t="s">
        <v>57</v>
      </c>
      <c r="C182" s="71">
        <v>350000000</v>
      </c>
      <c r="D182" s="213"/>
      <c r="E182" s="71"/>
      <c r="F182" s="99"/>
      <c r="G182" s="235"/>
      <c r="H182" s="71">
        <f>131248900+21300000</f>
        <v>152548900</v>
      </c>
      <c r="I182" s="340">
        <f t="shared" si="22"/>
        <v>43.5854</v>
      </c>
      <c r="J182" s="71">
        <f>131248900+21300000</f>
        <v>152548900</v>
      </c>
      <c r="K182" s="71">
        <f t="shared" si="23"/>
        <v>43.5854</v>
      </c>
      <c r="L182" s="308">
        <v>100</v>
      </c>
      <c r="M182" s="37">
        <f t="shared" si="24"/>
        <v>43.5854</v>
      </c>
      <c r="N182" s="172">
        <f t="shared" si="25"/>
        <v>197451100</v>
      </c>
      <c r="O182" s="343"/>
    </row>
    <row r="183" spans="1:15" ht="12.75">
      <c r="A183" s="63">
        <v>2</v>
      </c>
      <c r="B183" s="98" t="s">
        <v>58</v>
      </c>
      <c r="C183" s="71">
        <v>165000000</v>
      </c>
      <c r="D183" s="213"/>
      <c r="E183" s="37"/>
      <c r="F183" s="99"/>
      <c r="G183" s="235"/>
      <c r="H183" s="71">
        <f>122001983+1342421</f>
        <v>123344404</v>
      </c>
      <c r="I183" s="340">
        <f t="shared" si="22"/>
        <v>74.75418424242423</v>
      </c>
      <c r="J183" s="71">
        <f>122001983+1342421</f>
        <v>123344404</v>
      </c>
      <c r="K183" s="71">
        <f t="shared" si="23"/>
        <v>74.75418424242423</v>
      </c>
      <c r="L183" s="308">
        <v>100</v>
      </c>
      <c r="M183" s="37">
        <f t="shared" si="24"/>
        <v>74.75418424242423</v>
      </c>
      <c r="N183" s="172">
        <f t="shared" si="25"/>
        <v>41655596</v>
      </c>
      <c r="O183" s="343"/>
    </row>
    <row r="184" spans="1:15" ht="12.75">
      <c r="A184" s="63">
        <v>3</v>
      </c>
      <c r="B184" s="98" t="s">
        <v>59</v>
      </c>
      <c r="C184" s="71">
        <v>50000000</v>
      </c>
      <c r="D184" s="213"/>
      <c r="E184" s="37"/>
      <c r="F184" s="99"/>
      <c r="G184" s="235"/>
      <c r="H184" s="7">
        <f>22900000+1375000</f>
        <v>24275000</v>
      </c>
      <c r="I184" s="340">
        <f t="shared" si="22"/>
        <v>48.55</v>
      </c>
      <c r="J184" s="7">
        <f>22900000+1375000</f>
        <v>24275000</v>
      </c>
      <c r="K184" s="71">
        <f t="shared" si="23"/>
        <v>48.55</v>
      </c>
      <c r="L184" s="308">
        <v>100</v>
      </c>
      <c r="M184" s="37">
        <f t="shared" si="24"/>
        <v>48.55</v>
      </c>
      <c r="N184" s="172">
        <f t="shared" si="25"/>
        <v>25725000</v>
      </c>
      <c r="O184" s="343"/>
    </row>
    <row r="185" spans="1:15" ht="12.75">
      <c r="A185" s="63">
        <v>4</v>
      </c>
      <c r="B185" s="73" t="s">
        <v>78</v>
      </c>
      <c r="C185" s="71">
        <v>80000000</v>
      </c>
      <c r="D185" s="213" t="s">
        <v>110</v>
      </c>
      <c r="E185" s="37">
        <v>11000000</v>
      </c>
      <c r="F185" s="99" t="s">
        <v>109</v>
      </c>
      <c r="G185" s="235">
        <v>43580</v>
      </c>
      <c r="H185" s="7">
        <f>29275000+25799900</f>
        <v>55074900</v>
      </c>
      <c r="I185" s="340">
        <f t="shared" si="22"/>
        <v>68.843625</v>
      </c>
      <c r="J185" s="7">
        <f>29275000+25799900</f>
        <v>55074900</v>
      </c>
      <c r="K185" s="71">
        <f t="shared" si="23"/>
        <v>68.843625</v>
      </c>
      <c r="L185" s="308">
        <v>100</v>
      </c>
      <c r="M185" s="37">
        <f t="shared" si="24"/>
        <v>68.843625</v>
      </c>
      <c r="N185" s="172">
        <f t="shared" si="25"/>
        <v>24925100</v>
      </c>
      <c r="O185" s="343"/>
    </row>
    <row r="186" spans="1:15" ht="12.75">
      <c r="A186" s="63">
        <v>5</v>
      </c>
      <c r="B186" s="73" t="s">
        <v>79</v>
      </c>
      <c r="C186" s="71">
        <v>50000000</v>
      </c>
      <c r="D186" s="213"/>
      <c r="E186" s="37"/>
      <c r="F186" s="99"/>
      <c r="G186" s="235"/>
      <c r="H186" s="7">
        <f>10775000+4950000</f>
        <v>15725000</v>
      </c>
      <c r="I186" s="340">
        <f t="shared" si="22"/>
        <v>31.45</v>
      </c>
      <c r="J186" s="7">
        <f>10775000+4950000</f>
        <v>15725000</v>
      </c>
      <c r="K186" s="71">
        <f t="shared" si="23"/>
        <v>31.45</v>
      </c>
      <c r="L186" s="308">
        <v>100</v>
      </c>
      <c r="M186" s="37">
        <f t="shared" si="24"/>
        <v>31.45</v>
      </c>
      <c r="N186" s="172">
        <f t="shared" si="25"/>
        <v>34275000</v>
      </c>
      <c r="O186" s="343"/>
    </row>
    <row r="187" spans="1:15" ht="12.75">
      <c r="A187" s="63">
        <v>6</v>
      </c>
      <c r="B187" s="73" t="s">
        <v>60</v>
      </c>
      <c r="C187" s="71">
        <v>50000000</v>
      </c>
      <c r="D187" s="213"/>
      <c r="E187" s="37"/>
      <c r="F187" s="99"/>
      <c r="G187" s="235"/>
      <c r="H187" s="7">
        <f>20860166+1435000</f>
        <v>22295166</v>
      </c>
      <c r="I187" s="340">
        <f t="shared" si="22"/>
        <v>44.590332</v>
      </c>
      <c r="J187" s="7">
        <f>20860166+1435000</f>
        <v>22295166</v>
      </c>
      <c r="K187" s="71">
        <f t="shared" si="23"/>
        <v>44.590332</v>
      </c>
      <c r="L187" s="308">
        <v>100</v>
      </c>
      <c r="M187" s="37">
        <f t="shared" si="24"/>
        <v>44.590332</v>
      </c>
      <c r="N187" s="172">
        <f t="shared" si="25"/>
        <v>27704834</v>
      </c>
      <c r="O187" s="343"/>
    </row>
    <row r="188" spans="1:15" ht="12.75">
      <c r="A188" s="257">
        <v>7</v>
      </c>
      <c r="B188" s="122" t="s">
        <v>61</v>
      </c>
      <c r="C188" s="123">
        <v>50000000</v>
      </c>
      <c r="D188" s="216"/>
      <c r="E188" s="115"/>
      <c r="F188" s="203"/>
      <c r="G188" s="240"/>
      <c r="H188" s="124">
        <v>48600000</v>
      </c>
      <c r="I188" s="340">
        <f t="shared" si="22"/>
        <v>97.2</v>
      </c>
      <c r="J188" s="124">
        <v>48600000</v>
      </c>
      <c r="K188" s="71">
        <f t="shared" si="23"/>
        <v>97.2</v>
      </c>
      <c r="L188" s="308">
        <v>100</v>
      </c>
      <c r="M188" s="37">
        <f t="shared" si="24"/>
        <v>97.2</v>
      </c>
      <c r="N188" s="172">
        <f t="shared" si="25"/>
        <v>1400000</v>
      </c>
      <c r="O188" s="343"/>
    </row>
    <row r="189" spans="1:15" ht="12.75">
      <c r="A189" s="63">
        <v>8</v>
      </c>
      <c r="B189" s="122" t="s">
        <v>85</v>
      </c>
      <c r="C189" s="123">
        <v>156700000</v>
      </c>
      <c r="D189" s="216"/>
      <c r="E189" s="115"/>
      <c r="F189" s="203"/>
      <c r="G189" s="240"/>
      <c r="H189" s="124">
        <v>149501000</v>
      </c>
      <c r="I189" s="340">
        <f t="shared" si="22"/>
        <v>95.40587109125718</v>
      </c>
      <c r="J189" s="124">
        <v>149501000</v>
      </c>
      <c r="K189" s="71">
        <f t="shared" si="23"/>
        <v>95.40587109125718</v>
      </c>
      <c r="L189" s="308">
        <v>100</v>
      </c>
      <c r="M189" s="37">
        <f t="shared" si="24"/>
        <v>95.40587109125718</v>
      </c>
      <c r="N189" s="172">
        <f t="shared" si="25"/>
        <v>7199000</v>
      </c>
      <c r="O189" s="343"/>
    </row>
    <row r="190" spans="1:15" ht="16.5" customHeight="1">
      <c r="A190" s="257"/>
      <c r="B190" s="122"/>
      <c r="C190" s="123"/>
      <c r="D190" s="331" t="s">
        <v>154</v>
      </c>
      <c r="E190" s="333">
        <v>149501000</v>
      </c>
      <c r="F190" s="334" t="s">
        <v>156</v>
      </c>
      <c r="G190" s="335" t="s">
        <v>155</v>
      </c>
      <c r="H190" s="336"/>
      <c r="I190" s="354"/>
      <c r="J190" s="336"/>
      <c r="K190" s="71"/>
      <c r="L190" s="308"/>
      <c r="M190" s="37"/>
      <c r="N190" s="172"/>
      <c r="O190" s="343"/>
    </row>
    <row r="191" spans="1:15" ht="12.75">
      <c r="A191" s="257">
        <v>9</v>
      </c>
      <c r="B191" s="328" t="s">
        <v>80</v>
      </c>
      <c r="C191" s="181">
        <v>140000000</v>
      </c>
      <c r="D191" s="217"/>
      <c r="E191" s="182"/>
      <c r="F191" s="204"/>
      <c r="G191" s="241"/>
      <c r="H191" s="181">
        <v>108166000</v>
      </c>
      <c r="I191" s="353">
        <f>(H191)/C191*100</f>
        <v>77.26142857142857</v>
      </c>
      <c r="J191" s="181">
        <f>14864000+7372000</f>
        <v>22236000</v>
      </c>
      <c r="K191" s="339">
        <f>(J191+J192)/C191*100</f>
        <v>77.26142857142857</v>
      </c>
      <c r="L191" s="308">
        <v>100</v>
      </c>
      <c r="M191" s="37">
        <f>(J191+J192)/C191*100</f>
        <v>77.26142857142857</v>
      </c>
      <c r="N191" s="181">
        <f>C191-J191-J192</f>
        <v>31834000</v>
      </c>
      <c r="O191" s="343"/>
    </row>
    <row r="192" spans="1:15" ht="15" customHeight="1">
      <c r="A192" s="257"/>
      <c r="B192" s="328"/>
      <c r="C192" s="181"/>
      <c r="D192" s="330" t="s">
        <v>140</v>
      </c>
      <c r="E192" s="182">
        <v>85930000</v>
      </c>
      <c r="F192" s="329" t="s">
        <v>141</v>
      </c>
      <c r="G192" s="241">
        <v>43556</v>
      </c>
      <c r="H192" s="182"/>
      <c r="I192" s="340"/>
      <c r="J192" s="182">
        <v>85930000</v>
      </c>
      <c r="K192" s="71"/>
      <c r="L192" s="308"/>
      <c r="M192" s="37"/>
      <c r="N192" s="181"/>
      <c r="O192" s="343"/>
    </row>
    <row r="193" spans="1:15" ht="12.75">
      <c r="A193" s="63">
        <v>10</v>
      </c>
      <c r="B193" s="73" t="s">
        <v>62</v>
      </c>
      <c r="C193" s="71">
        <v>68300000</v>
      </c>
      <c r="D193" s="213"/>
      <c r="E193" s="71"/>
      <c r="F193" s="99"/>
      <c r="G193" s="235"/>
      <c r="H193" s="7">
        <v>14545000</v>
      </c>
      <c r="I193" s="340">
        <f>+H193/C193*100</f>
        <v>21.29575402635432</v>
      </c>
      <c r="J193" s="7">
        <v>14545000</v>
      </c>
      <c r="K193" s="71">
        <f>+J193/C193*100</f>
        <v>21.29575402635432</v>
      </c>
      <c r="L193" s="308">
        <v>100</v>
      </c>
      <c r="M193" s="37">
        <f>+J193/C193*100</f>
        <v>21.29575402635432</v>
      </c>
      <c r="N193" s="172">
        <f aca="true" t="shared" si="26" ref="N193:N203">C193-J193</f>
        <v>53755000</v>
      </c>
      <c r="O193" s="343"/>
    </row>
    <row r="194" spans="1:15" ht="13.5" customHeight="1">
      <c r="A194" s="257">
        <v>11</v>
      </c>
      <c r="B194" s="73" t="s">
        <v>81</v>
      </c>
      <c r="C194" s="38">
        <v>27500000</v>
      </c>
      <c r="D194" s="218"/>
      <c r="E194" s="71"/>
      <c r="F194" s="99"/>
      <c r="G194" s="235"/>
      <c r="H194" s="7">
        <v>15150000</v>
      </c>
      <c r="I194" s="340">
        <f>+H194/C194*100</f>
        <v>55.09090909090909</v>
      </c>
      <c r="J194" s="7">
        <v>15150000</v>
      </c>
      <c r="K194" s="71">
        <f>+J194/C194*100</f>
        <v>55.09090909090909</v>
      </c>
      <c r="L194" s="308">
        <v>100</v>
      </c>
      <c r="M194" s="37">
        <f>+J194/C194*100</f>
        <v>55.09090909090909</v>
      </c>
      <c r="N194" s="172">
        <f t="shared" si="26"/>
        <v>12350000</v>
      </c>
      <c r="O194" s="343"/>
    </row>
    <row r="195" spans="1:15" ht="12.75">
      <c r="A195" s="63">
        <v>12</v>
      </c>
      <c r="B195" s="73" t="s">
        <v>55</v>
      </c>
      <c r="C195" s="38">
        <v>21000000</v>
      </c>
      <c r="D195" s="218"/>
      <c r="E195" s="71"/>
      <c r="F195" s="99"/>
      <c r="G195" s="235"/>
      <c r="H195" s="7">
        <v>12900000</v>
      </c>
      <c r="I195" s="340">
        <f>+H195/C195*100</f>
        <v>61.42857142857143</v>
      </c>
      <c r="J195" s="7">
        <v>12900000</v>
      </c>
      <c r="K195" s="71">
        <f>+J195/C195*100</f>
        <v>61.42857142857143</v>
      </c>
      <c r="L195" s="308">
        <v>100</v>
      </c>
      <c r="M195" s="37">
        <f>+J195/C195*100</f>
        <v>61.42857142857143</v>
      </c>
      <c r="N195" s="172">
        <f t="shared" si="26"/>
        <v>8100000</v>
      </c>
      <c r="O195" s="343"/>
    </row>
    <row r="196" spans="1:15" ht="12.75">
      <c r="A196" s="258"/>
      <c r="B196" s="125"/>
      <c r="C196" s="22"/>
      <c r="D196" s="201"/>
      <c r="E196" s="32"/>
      <c r="F196" s="99"/>
      <c r="G196" s="235"/>
      <c r="H196" s="23"/>
      <c r="I196" s="315"/>
      <c r="J196" s="23"/>
      <c r="K196" s="7"/>
      <c r="L196" s="307"/>
      <c r="M196" s="7"/>
      <c r="N196" s="172">
        <f t="shared" si="26"/>
        <v>0</v>
      </c>
      <c r="O196" s="343"/>
    </row>
    <row r="197" spans="1:15" ht="12.75">
      <c r="A197" s="259">
        <v>6</v>
      </c>
      <c r="B197" s="97" t="s">
        <v>63</v>
      </c>
      <c r="C197" s="48">
        <f>C198+C199+C200</f>
        <v>340000000</v>
      </c>
      <c r="D197" s="202"/>
      <c r="E197" s="48">
        <f>E198+E199+E200</f>
        <v>0</v>
      </c>
      <c r="F197" s="202"/>
      <c r="G197" s="239"/>
      <c r="H197" s="174">
        <f>SUM(H198:H200)</f>
        <v>316194000</v>
      </c>
      <c r="I197" s="340">
        <f>+H197/C197*100</f>
        <v>92.99823529411765</v>
      </c>
      <c r="J197" s="174">
        <f>SUM(J198:J200)</f>
        <v>316194000</v>
      </c>
      <c r="K197" s="71">
        <f>+J197/C197*100</f>
        <v>92.99823529411765</v>
      </c>
      <c r="L197" s="308">
        <v>100</v>
      </c>
      <c r="M197" s="37">
        <f>+J197/C197*100</f>
        <v>92.99823529411765</v>
      </c>
      <c r="N197" s="172">
        <f t="shared" si="26"/>
        <v>23806000</v>
      </c>
      <c r="O197" s="343"/>
    </row>
    <row r="198" spans="1:15" ht="12.75">
      <c r="A198" s="63">
        <v>1</v>
      </c>
      <c r="B198" s="73" t="s">
        <v>64</v>
      </c>
      <c r="C198" s="38">
        <v>50000000</v>
      </c>
      <c r="D198" s="218"/>
      <c r="E198" s="38"/>
      <c r="F198" s="99"/>
      <c r="G198" s="235"/>
      <c r="H198" s="38">
        <f>37223000+3525000+5525000</f>
        <v>46273000</v>
      </c>
      <c r="I198" s="340">
        <f>+H198/C198*100</f>
        <v>92.54599999999999</v>
      </c>
      <c r="J198" s="38">
        <f>37223000+3525000+5525000</f>
        <v>46273000</v>
      </c>
      <c r="K198" s="71">
        <f>+J198/C198*100</f>
        <v>92.54599999999999</v>
      </c>
      <c r="L198" s="308">
        <v>100</v>
      </c>
      <c r="M198" s="37">
        <f>+J198/C198*100</f>
        <v>92.54599999999999</v>
      </c>
      <c r="N198" s="172">
        <f t="shared" si="26"/>
        <v>3727000</v>
      </c>
      <c r="O198" s="343"/>
    </row>
    <row r="199" spans="1:15" ht="12.75">
      <c r="A199" s="63">
        <v>2</v>
      </c>
      <c r="B199" s="73" t="s">
        <v>65</v>
      </c>
      <c r="C199" s="38">
        <v>35000000</v>
      </c>
      <c r="D199" s="218"/>
      <c r="E199" s="32"/>
      <c r="F199" s="99"/>
      <c r="G199" s="235"/>
      <c r="H199" s="38">
        <f>8946000+20250000</f>
        <v>29196000</v>
      </c>
      <c r="I199" s="340">
        <f>+H199/C199*100</f>
        <v>83.41714285714286</v>
      </c>
      <c r="J199" s="38">
        <f>8946000+20250000</f>
        <v>29196000</v>
      </c>
      <c r="K199" s="71">
        <f>+J199/C199*100</f>
        <v>83.41714285714286</v>
      </c>
      <c r="L199" s="308">
        <v>100</v>
      </c>
      <c r="M199" s="37">
        <f>+J199/C199*100</f>
        <v>83.41714285714286</v>
      </c>
      <c r="N199" s="172">
        <f t="shared" si="26"/>
        <v>5804000</v>
      </c>
      <c r="O199" s="343"/>
    </row>
    <row r="200" spans="1:15" ht="12.75">
      <c r="A200" s="63">
        <v>3</v>
      </c>
      <c r="B200" s="73" t="s">
        <v>66</v>
      </c>
      <c r="C200" s="71">
        <v>255000000</v>
      </c>
      <c r="D200" s="213"/>
      <c r="E200" s="71"/>
      <c r="F200" s="99"/>
      <c r="G200" s="235"/>
      <c r="H200" s="71">
        <f>236275000+4450000</f>
        <v>240725000</v>
      </c>
      <c r="I200" s="340">
        <f>+H200/C200*100</f>
        <v>94.40196078431372</v>
      </c>
      <c r="J200" s="71">
        <f>236275000+4450000</f>
        <v>240725000</v>
      </c>
      <c r="K200" s="71">
        <f>+J200/C200*100</f>
        <v>94.40196078431372</v>
      </c>
      <c r="L200" s="308">
        <v>100</v>
      </c>
      <c r="M200" s="37">
        <f>+J200/C200*100</f>
        <v>94.40196078431372</v>
      </c>
      <c r="N200" s="172">
        <f t="shared" si="26"/>
        <v>14275000</v>
      </c>
      <c r="O200" s="343"/>
    </row>
    <row r="201" spans="1:15" ht="12.75">
      <c r="A201" s="255"/>
      <c r="B201" s="132"/>
      <c r="C201" s="133"/>
      <c r="D201" s="219"/>
      <c r="E201" s="133"/>
      <c r="F201" s="134"/>
      <c r="G201" s="238"/>
      <c r="H201" s="133">
        <v>0</v>
      </c>
      <c r="I201" s="314"/>
      <c r="J201" s="133"/>
      <c r="K201" s="36"/>
      <c r="L201" s="177"/>
      <c r="M201" s="173"/>
      <c r="N201" s="172">
        <f t="shared" si="26"/>
        <v>0</v>
      </c>
      <c r="O201" s="343"/>
    </row>
    <row r="202" spans="1:15" ht="16.5" customHeight="1">
      <c r="A202" s="259">
        <v>7</v>
      </c>
      <c r="B202" s="97" t="s">
        <v>67</v>
      </c>
      <c r="C202" s="48">
        <f>C203+C204</f>
        <v>520000000</v>
      </c>
      <c r="D202" s="202"/>
      <c r="E202" s="48">
        <f>SUM(E203:E211)</f>
        <v>455708000</v>
      </c>
      <c r="F202" s="202"/>
      <c r="G202" s="239"/>
      <c r="H202" s="174">
        <f>SUM(H203:H211)</f>
        <v>294013000</v>
      </c>
      <c r="I202" s="311">
        <f>+H202/C202*100</f>
        <v>56.540961538461545</v>
      </c>
      <c r="J202" s="174">
        <f>J203+J204+J205+J206+J207+J208+J209+J210+J211</f>
        <v>505018000</v>
      </c>
      <c r="K202" s="338">
        <f>+J202/C202*100</f>
        <v>97.11884615384615</v>
      </c>
      <c r="L202" s="308">
        <v>100</v>
      </c>
      <c r="M202" s="64">
        <f>+J202/C202*100</f>
        <v>97.11884615384615</v>
      </c>
      <c r="N202" s="172">
        <f t="shared" si="26"/>
        <v>14982000</v>
      </c>
      <c r="O202" s="343"/>
    </row>
    <row r="203" spans="1:15" ht="14.25" customHeight="1">
      <c r="A203" s="258">
        <v>1</v>
      </c>
      <c r="B203" s="73" t="s">
        <v>68</v>
      </c>
      <c r="C203" s="71">
        <v>100000000</v>
      </c>
      <c r="D203" s="273" t="s">
        <v>129</v>
      </c>
      <c r="E203" s="22">
        <v>98395000</v>
      </c>
      <c r="F203" s="273" t="s">
        <v>128</v>
      </c>
      <c r="G203" s="237" t="s">
        <v>127</v>
      </c>
      <c r="H203" s="71">
        <v>99445000</v>
      </c>
      <c r="I203" s="340">
        <f>+H203/C203*100</f>
        <v>99.445</v>
      </c>
      <c r="J203" s="71">
        <v>99445000</v>
      </c>
      <c r="K203" s="71">
        <f>+J203/C203*100</f>
        <v>99.445</v>
      </c>
      <c r="L203" s="308">
        <v>100</v>
      </c>
      <c r="M203" s="37">
        <f>+J203/C203*100</f>
        <v>99.445</v>
      </c>
      <c r="N203" s="172">
        <f t="shared" si="26"/>
        <v>555000</v>
      </c>
      <c r="O203" s="343"/>
    </row>
    <row r="204" spans="1:15" ht="14.25" customHeight="1">
      <c r="A204" s="258">
        <v>2</v>
      </c>
      <c r="B204" s="73" t="s">
        <v>69</v>
      </c>
      <c r="C204" s="71">
        <v>420000000</v>
      </c>
      <c r="D204" s="331" t="s">
        <v>136</v>
      </c>
      <c r="E204" s="71">
        <v>98188000</v>
      </c>
      <c r="F204" s="347" t="s">
        <v>134</v>
      </c>
      <c r="G204" s="235" t="s">
        <v>135</v>
      </c>
      <c r="H204" s="71">
        <v>98188000</v>
      </c>
      <c r="I204" s="340">
        <f>+H204/C204*100</f>
        <v>23.378095238095238</v>
      </c>
      <c r="J204" s="71">
        <v>98188000</v>
      </c>
      <c r="K204" s="71">
        <f>+J204/C204*100</f>
        <v>23.378095238095238</v>
      </c>
      <c r="L204" s="308">
        <v>100</v>
      </c>
      <c r="M204" s="37">
        <f>+J204/C204*100</f>
        <v>23.378095238095238</v>
      </c>
      <c r="N204" s="172">
        <f>C204-(J204+J205+J206+J207+J208+J209+J210+J211)</f>
        <v>14427000</v>
      </c>
      <c r="O204" s="343"/>
    </row>
    <row r="205" spans="1:15" ht="12.75" customHeight="1">
      <c r="A205" s="258"/>
      <c r="B205" s="73"/>
      <c r="C205" s="71"/>
      <c r="D205" s="331" t="s">
        <v>145</v>
      </c>
      <c r="E205" s="71">
        <v>48230000</v>
      </c>
      <c r="F205" s="347" t="s">
        <v>144</v>
      </c>
      <c r="G205" s="241" t="s">
        <v>143</v>
      </c>
      <c r="H205" s="71">
        <v>48230000</v>
      </c>
      <c r="I205" s="353">
        <f>+H205/C204*100</f>
        <v>11.483333333333333</v>
      </c>
      <c r="J205" s="71">
        <v>48230000</v>
      </c>
      <c r="K205" s="339">
        <f>+J205/C204*100</f>
        <v>11.483333333333333</v>
      </c>
      <c r="L205" s="308"/>
      <c r="M205" s="37">
        <f>+J205/C204*100</f>
        <v>11.483333333333333</v>
      </c>
      <c r="N205" s="172"/>
      <c r="O205" s="343"/>
    </row>
    <row r="206" spans="1:15" ht="15" customHeight="1">
      <c r="A206" s="258"/>
      <c r="B206" s="73"/>
      <c r="C206" s="71"/>
      <c r="D206" s="331" t="s">
        <v>142</v>
      </c>
      <c r="E206" s="71">
        <v>48150000</v>
      </c>
      <c r="F206" s="347" t="s">
        <v>146</v>
      </c>
      <c r="G206" s="241" t="s">
        <v>143</v>
      </c>
      <c r="H206" s="71">
        <v>48150000</v>
      </c>
      <c r="I206" s="353">
        <f>+H206/C204*100</f>
        <v>11.464285714285714</v>
      </c>
      <c r="J206" s="71">
        <v>48150000</v>
      </c>
      <c r="K206" s="339">
        <f>+J206/C204*100</f>
        <v>11.464285714285714</v>
      </c>
      <c r="L206" s="308"/>
      <c r="M206" s="37">
        <f>+J206/C204*100</f>
        <v>11.464285714285714</v>
      </c>
      <c r="N206" s="172"/>
      <c r="O206" s="343"/>
    </row>
    <row r="207" spans="1:15" ht="15" customHeight="1">
      <c r="A207" s="258"/>
      <c r="B207" s="73"/>
      <c r="C207" s="71"/>
      <c r="D207" s="331" t="s">
        <v>147</v>
      </c>
      <c r="E207" s="71">
        <v>38280000</v>
      </c>
      <c r="F207" s="349" t="s">
        <v>148</v>
      </c>
      <c r="G207" s="241">
        <v>43556</v>
      </c>
      <c r="H207" s="71">
        <v>0</v>
      </c>
      <c r="I207" s="353">
        <f>+H207/C204*100</f>
        <v>0</v>
      </c>
      <c r="J207" s="71">
        <v>38280000</v>
      </c>
      <c r="K207" s="339">
        <f>+J207/C204*100</f>
        <v>9.114285714285714</v>
      </c>
      <c r="L207" s="308"/>
      <c r="M207" s="37">
        <f>+J207/C204*100</f>
        <v>9.114285714285714</v>
      </c>
      <c r="N207" s="172"/>
      <c r="O207" s="343"/>
    </row>
    <row r="208" spans="1:15" ht="14.25" customHeight="1">
      <c r="A208" s="258"/>
      <c r="B208" s="73"/>
      <c r="C208" s="71"/>
      <c r="D208" s="331" t="s">
        <v>149</v>
      </c>
      <c r="F208" s="349" t="s">
        <v>148</v>
      </c>
      <c r="G208" s="241">
        <v>43556</v>
      </c>
      <c r="H208" s="71">
        <v>0</v>
      </c>
      <c r="I208" s="353">
        <f>+H208/C204*100</f>
        <v>0</v>
      </c>
      <c r="J208" s="71">
        <v>48260000</v>
      </c>
      <c r="K208" s="339">
        <f>+J208/C204*100</f>
        <v>11.49047619047619</v>
      </c>
      <c r="L208" s="308"/>
      <c r="M208" s="37">
        <f>+J208/C204*100</f>
        <v>11.49047619047619</v>
      </c>
      <c r="N208" s="172"/>
      <c r="O208" s="343"/>
    </row>
    <row r="209" spans="1:15" ht="14.25" customHeight="1">
      <c r="A209" s="258"/>
      <c r="B209" s="73"/>
      <c r="C209" s="71"/>
      <c r="D209" s="331" t="s">
        <v>150</v>
      </c>
      <c r="E209" s="71">
        <v>38170000</v>
      </c>
      <c r="F209" s="349" t="s">
        <v>148</v>
      </c>
      <c r="G209" s="241">
        <v>43556</v>
      </c>
      <c r="H209" s="71">
        <v>0</v>
      </c>
      <c r="I209" s="353">
        <f>+H209/C204*100</f>
        <v>0</v>
      </c>
      <c r="J209" s="71">
        <v>38170000</v>
      </c>
      <c r="K209" s="339">
        <f>+J209/C204*100</f>
        <v>9.088095238095239</v>
      </c>
      <c r="L209" s="308"/>
      <c r="M209" s="37">
        <f>+J209/C204*100</f>
        <v>9.088095238095239</v>
      </c>
      <c r="N209" s="172"/>
      <c r="O209" s="343"/>
    </row>
    <row r="210" spans="1:15" ht="14.25" customHeight="1">
      <c r="A210" s="258"/>
      <c r="B210" s="73"/>
      <c r="C210" s="71"/>
      <c r="D210" s="331" t="s">
        <v>151</v>
      </c>
      <c r="E210" s="71">
        <v>48125000</v>
      </c>
      <c r="F210" s="348" t="s">
        <v>152</v>
      </c>
      <c r="G210" s="241">
        <v>43556</v>
      </c>
      <c r="H210" s="71">
        <v>0</v>
      </c>
      <c r="I210" s="353">
        <f>+H210/C204*100</f>
        <v>0</v>
      </c>
      <c r="J210" s="71">
        <v>48125000</v>
      </c>
      <c r="K210" s="339">
        <f>+J210/C204*100</f>
        <v>11.458333333333332</v>
      </c>
      <c r="L210" s="308"/>
      <c r="M210" s="37">
        <f>+J210/C204*100</f>
        <v>11.458333333333332</v>
      </c>
      <c r="N210" s="172"/>
      <c r="O210" s="343"/>
    </row>
    <row r="211" spans="1:15" ht="14.25" customHeight="1">
      <c r="A211" s="258"/>
      <c r="B211" s="73"/>
      <c r="C211" s="71"/>
      <c r="D211" s="331" t="s">
        <v>153</v>
      </c>
      <c r="E211" s="71">
        <v>38170000</v>
      </c>
      <c r="F211" s="348" t="s">
        <v>152</v>
      </c>
      <c r="G211" s="241">
        <v>43556</v>
      </c>
      <c r="H211" s="71">
        <v>0</v>
      </c>
      <c r="I211" s="353">
        <f>+H211/C204*100</f>
        <v>0</v>
      </c>
      <c r="J211" s="71">
        <v>38170000</v>
      </c>
      <c r="K211" s="339">
        <f>+J211/C204*100</f>
        <v>9.088095238095239</v>
      </c>
      <c r="L211" s="308"/>
      <c r="M211" s="37">
        <f>+J211/C204*100</f>
        <v>9.088095238095239</v>
      </c>
      <c r="N211" s="172"/>
      <c r="O211" s="343"/>
    </row>
    <row r="212" spans="1:15" ht="12.75">
      <c r="A212" s="258"/>
      <c r="B212" s="98"/>
      <c r="C212" s="71"/>
      <c r="D212" s="213"/>
      <c r="E212" s="32"/>
      <c r="F212" s="99"/>
      <c r="G212" s="235"/>
      <c r="H212" s="7"/>
      <c r="I212" s="315"/>
      <c r="J212" s="7"/>
      <c r="K212" s="7"/>
      <c r="L212" s="7"/>
      <c r="M212" s="145"/>
      <c r="N212" s="172">
        <f>C212-J212</f>
        <v>0</v>
      </c>
      <c r="O212" s="343"/>
    </row>
    <row r="213" spans="1:15" ht="12.75">
      <c r="A213" s="254">
        <v>8</v>
      </c>
      <c r="B213" s="69" t="s">
        <v>70</v>
      </c>
      <c r="C213" s="39">
        <f>SUM(C214:C214)</f>
        <v>100000000</v>
      </c>
      <c r="D213" s="198"/>
      <c r="E213" s="39">
        <f>SUM(E214:E214)</f>
        <v>0</v>
      </c>
      <c r="F213" s="198"/>
      <c r="G213" s="234"/>
      <c r="H213" s="179">
        <f>SUM(H214:H214)</f>
        <v>48896500</v>
      </c>
      <c r="I213" s="311">
        <f>+H213/C213*100</f>
        <v>48.896499999999996</v>
      </c>
      <c r="J213" s="179">
        <f>SUM(J214:J214)</f>
        <v>48896500</v>
      </c>
      <c r="K213" s="179">
        <f>+J213/C213*100</f>
        <v>48.896499999999996</v>
      </c>
      <c r="L213" s="308">
        <v>100</v>
      </c>
      <c r="M213" s="64">
        <f>+J213/C213*100</f>
        <v>48.896499999999996</v>
      </c>
      <c r="N213" s="172">
        <f>C213-J213</f>
        <v>51103500</v>
      </c>
      <c r="O213" s="343"/>
    </row>
    <row r="214" spans="1:15" ht="12.75">
      <c r="A214" s="260"/>
      <c r="B214" s="52" t="s">
        <v>71</v>
      </c>
      <c r="C214" s="53">
        <v>100000000</v>
      </c>
      <c r="D214" s="220"/>
      <c r="E214" s="51"/>
      <c r="F214" s="205"/>
      <c r="G214" s="242"/>
      <c r="H214" s="54">
        <f>1400000+47496500</f>
        <v>48896500</v>
      </c>
      <c r="I214" s="340">
        <f>+H214/C214*100</f>
        <v>48.896499999999996</v>
      </c>
      <c r="J214" s="54">
        <f>1400000+47496500</f>
        <v>48896500</v>
      </c>
      <c r="K214" s="71">
        <f>+J214/C214*100</f>
        <v>48.896499999999996</v>
      </c>
      <c r="L214" s="308">
        <v>100</v>
      </c>
      <c r="M214" s="37">
        <f>+J214/C214*100</f>
        <v>48.896499999999996</v>
      </c>
      <c r="N214" s="172">
        <f>C214-J214</f>
        <v>51103500</v>
      </c>
      <c r="O214" s="343"/>
    </row>
    <row r="215" spans="1:15" ht="13.5" thickBot="1">
      <c r="A215" s="63"/>
      <c r="B215" s="40"/>
      <c r="C215" s="41"/>
      <c r="D215" s="221"/>
      <c r="E215" s="37"/>
      <c r="F215" s="99"/>
      <c r="G215" s="235"/>
      <c r="H215" s="42"/>
      <c r="I215" s="320"/>
      <c r="J215" s="321"/>
      <c r="K215" s="322"/>
      <c r="L215" s="322"/>
      <c r="M215" s="322"/>
      <c r="N215" s="34"/>
      <c r="O215" s="343"/>
    </row>
    <row r="216" spans="1:15" ht="13.5" thickBot="1">
      <c r="A216" s="102"/>
      <c r="B216" s="103"/>
      <c r="C216" s="43">
        <f>C130+C144</f>
        <v>12739320700</v>
      </c>
      <c r="D216" s="43"/>
      <c r="E216" s="43">
        <f>+E130+E144</f>
        <v>1259241000</v>
      </c>
      <c r="F216" s="43">
        <f>F145+F158+F168+F171+F181+F197+F202+F213</f>
        <v>0</v>
      </c>
      <c r="G216" s="350"/>
      <c r="H216" s="351">
        <f>+H130+H144</f>
        <v>5939857777</v>
      </c>
      <c r="I216" s="323">
        <f>+H216/C216*100</f>
        <v>46.626173536866844</v>
      </c>
      <c r="J216" s="324">
        <f>+J130+J144</f>
        <v>6102177273</v>
      </c>
      <c r="K216" s="325">
        <f>+J216/C216*100</f>
        <v>47.900334850664365</v>
      </c>
      <c r="L216" s="326">
        <v>100</v>
      </c>
      <c r="M216" s="325">
        <f>SUM(M144+M130)/2</f>
        <v>50.12803297203838</v>
      </c>
      <c r="N216" s="319">
        <f>N130+N144</f>
        <v>6774036567</v>
      </c>
      <c r="O216" s="343"/>
    </row>
    <row r="217" spans="1:14" ht="12.75">
      <c r="A217" s="126"/>
      <c r="B217" s="127"/>
      <c r="C217" s="128"/>
      <c r="D217" s="206"/>
      <c r="E217" s="128"/>
      <c r="F217" s="206"/>
      <c r="G217" s="243"/>
      <c r="H217" s="128"/>
      <c r="I217" s="316"/>
      <c r="J217" s="128"/>
      <c r="K217" s="130"/>
      <c r="L217" s="128"/>
      <c r="M217" s="128"/>
      <c r="N217" s="128"/>
    </row>
    <row r="218" spans="1:14" ht="12.75">
      <c r="A218" s="126"/>
      <c r="B218" s="135"/>
      <c r="C218" s="136"/>
      <c r="D218" s="208"/>
      <c r="E218" s="60"/>
      <c r="F218" s="207"/>
      <c r="G218" s="244"/>
      <c r="H218" s="44"/>
      <c r="I218" s="107"/>
      <c r="J218" s="1"/>
      <c r="K218" s="117"/>
      <c r="L218" s="117" t="s">
        <v>158</v>
      </c>
      <c r="M218" s="117"/>
      <c r="N218" s="117"/>
    </row>
    <row r="219" spans="1:14" ht="12.75">
      <c r="A219" s="126"/>
      <c r="B219" s="138"/>
      <c r="C219" s="84"/>
      <c r="D219" s="199"/>
      <c r="E219" s="139"/>
      <c r="F219" s="207"/>
      <c r="G219" s="244"/>
      <c r="H219" s="45"/>
      <c r="I219" s="317"/>
      <c r="J219" s="1"/>
      <c r="K219" s="107"/>
      <c r="L219" s="107" t="s">
        <v>73</v>
      </c>
      <c r="M219" s="107"/>
      <c r="N219" s="107"/>
    </row>
    <row r="220" spans="1:14" ht="12.75">
      <c r="A220" s="126"/>
      <c r="B220" s="105" t="s">
        <v>82</v>
      </c>
      <c r="C220" s="106">
        <f>H216/C216*100</f>
        <v>46.626173536866844</v>
      </c>
      <c r="D220" s="222"/>
      <c r="E220" s="60"/>
      <c r="F220" s="208"/>
      <c r="G220" s="224"/>
      <c r="H220" s="44"/>
      <c r="I220" s="107"/>
      <c r="J220" s="1"/>
      <c r="K220" s="107"/>
      <c r="L220" s="107" t="s">
        <v>72</v>
      </c>
      <c r="M220" s="107"/>
      <c r="N220" s="107"/>
    </row>
    <row r="221" spans="1:14" ht="12.75">
      <c r="A221" s="126"/>
      <c r="B221" s="140"/>
      <c r="C221" s="141"/>
      <c r="D221" s="223"/>
      <c r="E221" s="60"/>
      <c r="F221" s="208"/>
      <c r="G221" s="224"/>
      <c r="H221" s="44"/>
      <c r="I221" s="107"/>
      <c r="J221" s="1"/>
      <c r="K221" s="107"/>
      <c r="L221" s="107"/>
      <c r="M221" s="107"/>
      <c r="N221" s="107"/>
    </row>
    <row r="222" spans="1:14" ht="12.75">
      <c r="A222" s="126"/>
      <c r="B222" s="140"/>
      <c r="C222" s="141"/>
      <c r="D222" s="223"/>
      <c r="E222" s="60"/>
      <c r="F222" s="208"/>
      <c r="G222" s="224"/>
      <c r="H222" s="44"/>
      <c r="I222" s="107"/>
      <c r="J222" s="1"/>
      <c r="K222" s="107"/>
      <c r="L222" s="107"/>
      <c r="M222" s="107"/>
      <c r="N222" s="107"/>
    </row>
    <row r="223" spans="1:14" ht="12.75">
      <c r="A223" s="126"/>
      <c r="B223" s="128"/>
      <c r="C223" s="84"/>
      <c r="D223" s="199"/>
      <c r="E223" s="60"/>
      <c r="F223" s="207"/>
      <c r="G223" s="244"/>
      <c r="H223" s="46"/>
      <c r="I223" s="107"/>
      <c r="J223" s="108"/>
      <c r="K223" s="108"/>
      <c r="L223" s="108" t="s">
        <v>74</v>
      </c>
      <c r="M223" s="1"/>
      <c r="N223" s="1"/>
    </row>
    <row r="224" spans="1:14" ht="12.75">
      <c r="A224" s="126"/>
      <c r="B224" s="127"/>
      <c r="C224" s="84"/>
      <c r="D224" s="199"/>
      <c r="E224" s="60"/>
      <c r="F224" s="187"/>
      <c r="G224" s="224"/>
      <c r="H224" s="46"/>
      <c r="I224" s="107"/>
      <c r="J224" s="107"/>
      <c r="K224" s="107"/>
      <c r="L224" s="107" t="s">
        <v>75</v>
      </c>
      <c r="M224" s="1"/>
      <c r="N224" s="1"/>
    </row>
    <row r="225" spans="1:14" ht="12.75">
      <c r="A225" s="126"/>
      <c r="B225" s="127"/>
      <c r="C225" s="84"/>
      <c r="D225" s="199"/>
      <c r="E225" s="60"/>
      <c r="F225" s="187"/>
      <c r="G225" s="224"/>
      <c r="H225" s="46"/>
      <c r="I225" s="107"/>
      <c r="J225" s="107"/>
      <c r="K225" s="107"/>
      <c r="L225" s="107"/>
      <c r="M225" s="1"/>
      <c r="N225" s="1"/>
    </row>
  </sheetData>
  <sheetProtection/>
  <mergeCells count="44">
    <mergeCell ref="A1:N1"/>
    <mergeCell ref="A2:N2"/>
    <mergeCell ref="A3:N3"/>
    <mergeCell ref="A4:B4"/>
    <mergeCell ref="A5:B5"/>
    <mergeCell ref="A7:A9"/>
    <mergeCell ref="B7:B9"/>
    <mergeCell ref="C7:C9"/>
    <mergeCell ref="M8:M9"/>
    <mergeCell ref="D7:D9"/>
    <mergeCell ref="O7:O9"/>
    <mergeCell ref="F7:F9"/>
    <mergeCell ref="G7:G9"/>
    <mergeCell ref="H7:K7"/>
    <mergeCell ref="L7:M7"/>
    <mergeCell ref="N7:N9"/>
    <mergeCell ref="H8:H9"/>
    <mergeCell ref="I8:I9"/>
    <mergeCell ref="J8:J9"/>
    <mergeCell ref="K8:K9"/>
    <mergeCell ref="E7:E9"/>
    <mergeCell ref="L8:L9"/>
    <mergeCell ref="F125:F127"/>
    <mergeCell ref="G125:G127"/>
    <mergeCell ref="A119:N119"/>
    <mergeCell ref="A120:N120"/>
    <mergeCell ref="A121:N121"/>
    <mergeCell ref="A122:B122"/>
    <mergeCell ref="A123:B123"/>
    <mergeCell ref="A125:A127"/>
    <mergeCell ref="B125:B127"/>
    <mergeCell ref="C125:C127"/>
    <mergeCell ref="D125:D127"/>
    <mergeCell ref="E125:E127"/>
    <mergeCell ref="H125:K125"/>
    <mergeCell ref="L125:M125"/>
    <mergeCell ref="N125:N127"/>
    <mergeCell ref="O125:O127"/>
    <mergeCell ref="H126:H127"/>
    <mergeCell ref="I126:I127"/>
    <mergeCell ref="J126:J127"/>
    <mergeCell ref="K126:K127"/>
    <mergeCell ref="L126:L127"/>
    <mergeCell ref="M126:M127"/>
  </mergeCells>
  <printOptions horizontalCentered="1"/>
  <pageMargins left="0.2" right="0.7" top="0.75" bottom="0.5" header="0.3" footer="0.3"/>
  <pageSetup orientation="landscape" paperSize="5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4"/>
  <sheetViews>
    <sheetView zoomScalePageLayoutView="0" workbookViewId="0" topLeftCell="A37">
      <selection activeCell="H59" sqref="H59"/>
    </sheetView>
  </sheetViews>
  <sheetFormatPr defaultColWidth="9.140625" defaultRowHeight="12.75"/>
  <cols>
    <col min="1" max="1" width="3.140625" style="0" customWidth="1"/>
    <col min="2" max="2" width="60.00390625" style="0" customWidth="1"/>
    <col min="3" max="3" width="14.7109375" style="0" customWidth="1"/>
    <col min="4" max="4" width="17.57421875" style="0" customWidth="1"/>
    <col min="5" max="5" width="15.00390625" style="0" customWidth="1"/>
    <col min="6" max="6" width="17.140625" style="0" customWidth="1"/>
    <col min="7" max="7" width="13.00390625" style="0" customWidth="1"/>
    <col min="8" max="8" width="14.28125" style="0" customWidth="1"/>
    <col min="9" max="9" width="6.7109375" style="0" customWidth="1"/>
    <col min="10" max="10" width="15.00390625" style="0" customWidth="1"/>
    <col min="11" max="11" width="6.421875" style="0" customWidth="1"/>
    <col min="12" max="13" width="6.7109375" style="0" customWidth="1"/>
    <col min="14" max="14" width="13.7109375" style="0" customWidth="1"/>
    <col min="15" max="15" width="14.421875" style="0" customWidth="1"/>
  </cols>
  <sheetData>
    <row r="1" spans="1:14" ht="15.75">
      <c r="A1" s="811" t="s">
        <v>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</row>
    <row r="2" spans="1:14" ht="12.75">
      <c r="A2" s="812" t="s">
        <v>83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</row>
    <row r="3" spans="1:14" ht="12.75">
      <c r="A3" s="813" t="s">
        <v>77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</row>
    <row r="4" spans="1:14" ht="12.75">
      <c r="A4" s="819" t="s">
        <v>161</v>
      </c>
      <c r="B4" s="823"/>
      <c r="C4" s="59"/>
      <c r="D4" s="188"/>
      <c r="E4" s="59"/>
      <c r="F4" s="188"/>
      <c r="G4" s="225"/>
      <c r="H4" s="59"/>
      <c r="I4" s="59"/>
      <c r="J4" s="59"/>
      <c r="K4" s="59"/>
      <c r="L4" s="59"/>
      <c r="M4" s="59"/>
      <c r="N4" s="59"/>
    </row>
    <row r="5" spans="1:14" ht="12.75">
      <c r="A5" s="819" t="s">
        <v>160</v>
      </c>
      <c r="B5" s="819"/>
      <c r="C5" s="59"/>
      <c r="D5" s="188"/>
      <c r="E5" s="59"/>
      <c r="F5" s="188"/>
      <c r="G5" s="225"/>
      <c r="H5" s="59"/>
      <c r="I5" s="59"/>
      <c r="J5" s="59"/>
      <c r="K5" s="59"/>
      <c r="L5" s="59"/>
      <c r="M5" s="59"/>
      <c r="N5" s="59"/>
    </row>
    <row r="6" spans="1:14" ht="12.75">
      <c r="A6" s="59"/>
      <c r="B6" s="1"/>
      <c r="C6" s="1"/>
      <c r="D6" s="187"/>
      <c r="E6" s="1"/>
      <c r="F6" s="187"/>
      <c r="G6" s="224"/>
      <c r="H6" s="1"/>
      <c r="I6" s="252"/>
      <c r="J6" s="1"/>
      <c r="K6" s="1"/>
      <c r="L6" s="1"/>
      <c r="M6" s="1"/>
      <c r="N6" s="1"/>
    </row>
    <row r="7" spans="1:15" ht="12.75">
      <c r="A7" s="808" t="s">
        <v>2</v>
      </c>
      <c r="B7" s="808" t="s">
        <v>3</v>
      </c>
      <c r="C7" s="808" t="s">
        <v>159</v>
      </c>
      <c r="D7" s="820" t="s">
        <v>104</v>
      </c>
      <c r="E7" s="808" t="s">
        <v>5</v>
      </c>
      <c r="F7" s="820" t="s">
        <v>6</v>
      </c>
      <c r="G7" s="824" t="s">
        <v>105</v>
      </c>
      <c r="H7" s="816" t="s">
        <v>7</v>
      </c>
      <c r="I7" s="817"/>
      <c r="J7" s="817"/>
      <c r="K7" s="818"/>
      <c r="L7" s="816" t="s">
        <v>8</v>
      </c>
      <c r="M7" s="818"/>
      <c r="N7" s="805" t="s">
        <v>87</v>
      </c>
      <c r="O7" s="829" t="s">
        <v>9</v>
      </c>
    </row>
    <row r="8" spans="1:15" ht="12.75">
      <c r="A8" s="806"/>
      <c r="B8" s="806"/>
      <c r="C8" s="806"/>
      <c r="D8" s="821"/>
      <c r="E8" s="814"/>
      <c r="F8" s="821"/>
      <c r="G8" s="825"/>
      <c r="H8" s="809" t="s">
        <v>10</v>
      </c>
      <c r="I8" s="808" t="s">
        <v>11</v>
      </c>
      <c r="J8" s="808" t="s">
        <v>12</v>
      </c>
      <c r="K8" s="808" t="s">
        <v>11</v>
      </c>
      <c r="L8" s="808" t="s">
        <v>13</v>
      </c>
      <c r="M8" s="820" t="s">
        <v>14</v>
      </c>
      <c r="N8" s="806"/>
      <c r="O8" s="830"/>
    </row>
    <row r="9" spans="1:15" ht="12.75">
      <c r="A9" s="807"/>
      <c r="B9" s="807"/>
      <c r="C9" s="807"/>
      <c r="D9" s="822"/>
      <c r="E9" s="815"/>
      <c r="F9" s="822"/>
      <c r="G9" s="826"/>
      <c r="H9" s="810"/>
      <c r="I9" s="807"/>
      <c r="J9" s="807"/>
      <c r="K9" s="807"/>
      <c r="L9" s="807"/>
      <c r="M9" s="822"/>
      <c r="N9" s="807"/>
      <c r="O9" s="831"/>
    </row>
    <row r="10" spans="1:15" ht="12.75">
      <c r="A10" s="2">
        <v>1</v>
      </c>
      <c r="B10" s="2">
        <v>2</v>
      </c>
      <c r="C10" s="2">
        <v>3</v>
      </c>
      <c r="D10" s="189"/>
      <c r="E10" s="2">
        <v>4</v>
      </c>
      <c r="F10" s="189">
        <v>5</v>
      </c>
      <c r="G10" s="226"/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382">
        <v>13</v>
      </c>
    </row>
    <row r="11" spans="1:15" ht="12.75">
      <c r="A11" s="3"/>
      <c r="B11" s="3"/>
      <c r="C11" s="3"/>
      <c r="D11" s="190"/>
      <c r="E11" s="3"/>
      <c r="F11" s="190"/>
      <c r="G11" s="227"/>
      <c r="H11" s="3"/>
      <c r="I11" s="3"/>
      <c r="J11" s="3"/>
      <c r="K11" s="3"/>
      <c r="L11" s="3"/>
      <c r="M11" s="3"/>
      <c r="N11" s="374"/>
      <c r="O11" s="383"/>
    </row>
    <row r="12" spans="1:15" ht="12.75">
      <c r="A12" s="61" t="s">
        <v>15</v>
      </c>
      <c r="B12" s="62" t="s">
        <v>16</v>
      </c>
      <c r="C12" s="4">
        <f>SUM(C13:C24)</f>
        <v>2320392000</v>
      </c>
      <c r="D12" s="210"/>
      <c r="E12" s="63"/>
      <c r="F12" s="191"/>
      <c r="G12" s="228"/>
      <c r="H12" s="4">
        <f>SUM(H13:H24)</f>
        <v>1953716664</v>
      </c>
      <c r="I12" s="341">
        <f>+H12/C12*100</f>
        <v>84.19769866470837</v>
      </c>
      <c r="J12" s="4">
        <f>SUM(J13:J24)</f>
        <v>1953716664</v>
      </c>
      <c r="K12" s="338">
        <f>+J12/C12*100</f>
        <v>84.19769866470837</v>
      </c>
      <c r="L12" s="308">
        <v>100</v>
      </c>
      <c r="M12" s="342">
        <f>+J12/C12*100</f>
        <v>84.19769866470837</v>
      </c>
      <c r="N12" s="375">
        <f>SUM(N13:N24)</f>
        <v>366675336</v>
      </c>
      <c r="O12" s="268" t="s">
        <v>162</v>
      </c>
    </row>
    <row r="13" spans="1:15" ht="12.75">
      <c r="A13" s="63">
        <v>1</v>
      </c>
      <c r="B13" s="47" t="s">
        <v>17</v>
      </c>
      <c r="C13" s="5">
        <v>1209000000</v>
      </c>
      <c r="D13" s="211"/>
      <c r="E13" s="63"/>
      <c r="F13" s="192"/>
      <c r="G13" s="228"/>
      <c r="H13" s="114">
        <v>1093359315</v>
      </c>
      <c r="I13" s="340">
        <f>+H13/C13*100</f>
        <v>90.43501364764268</v>
      </c>
      <c r="J13" s="114">
        <v>1093359315</v>
      </c>
      <c r="K13" s="71">
        <f>+J13/C13*100</f>
        <v>90.43501364764268</v>
      </c>
      <c r="L13" s="357">
        <v>100</v>
      </c>
      <c r="M13" s="296">
        <f>+J13/C13*100</f>
        <v>90.43501364764268</v>
      </c>
      <c r="N13" s="376">
        <f>C13-J13</f>
        <v>115640685</v>
      </c>
      <c r="O13" s="268" t="s">
        <v>162</v>
      </c>
    </row>
    <row r="14" spans="1:15" ht="12.75">
      <c r="A14" s="63">
        <v>2</v>
      </c>
      <c r="B14" s="47" t="s">
        <v>18</v>
      </c>
      <c r="C14" s="5">
        <v>132000000</v>
      </c>
      <c r="D14" s="211"/>
      <c r="E14" s="63"/>
      <c r="F14" s="192"/>
      <c r="G14" s="228"/>
      <c r="H14" s="5">
        <v>122720070</v>
      </c>
      <c r="I14" s="340">
        <f aca="true" t="shared" si="0" ref="I14:I24">+H14/C14*100</f>
        <v>92.96974999999999</v>
      </c>
      <c r="J14" s="5">
        <v>122720070</v>
      </c>
      <c r="K14" s="71">
        <f aca="true" t="shared" si="1" ref="K14:K24">+J14/C14*100</f>
        <v>92.96974999999999</v>
      </c>
      <c r="L14" s="357">
        <v>100</v>
      </c>
      <c r="M14" s="296">
        <f aca="true" t="shared" si="2" ref="M14:M24">+J14/C14*100</f>
        <v>92.96974999999999</v>
      </c>
      <c r="N14" s="376">
        <f aca="true" t="shared" si="3" ref="N14:N24">C14-J14</f>
        <v>9279930</v>
      </c>
      <c r="O14" s="268" t="s">
        <v>162</v>
      </c>
    </row>
    <row r="15" spans="1:15" ht="12.75">
      <c r="A15" s="63">
        <v>3</v>
      </c>
      <c r="B15" s="47" t="s">
        <v>19</v>
      </c>
      <c r="C15" s="5">
        <v>165000000</v>
      </c>
      <c r="D15" s="211"/>
      <c r="E15" s="63"/>
      <c r="F15" s="192"/>
      <c r="G15" s="228"/>
      <c r="H15" s="5">
        <v>101925000</v>
      </c>
      <c r="I15" s="340">
        <f t="shared" si="0"/>
        <v>61.772727272727266</v>
      </c>
      <c r="J15" s="5">
        <v>101925000</v>
      </c>
      <c r="K15" s="71">
        <f t="shared" si="1"/>
        <v>61.772727272727266</v>
      </c>
      <c r="L15" s="357">
        <v>100</v>
      </c>
      <c r="M15" s="296">
        <f t="shared" si="2"/>
        <v>61.772727272727266</v>
      </c>
      <c r="N15" s="376">
        <f t="shared" si="3"/>
        <v>63075000</v>
      </c>
      <c r="O15" s="268" t="s">
        <v>162</v>
      </c>
    </row>
    <row r="16" spans="1:15" ht="12.75">
      <c r="A16" s="63">
        <v>4</v>
      </c>
      <c r="B16" s="47" t="s">
        <v>139</v>
      </c>
      <c r="C16" s="364">
        <v>0</v>
      </c>
      <c r="D16" s="211"/>
      <c r="E16" s="63"/>
      <c r="F16" s="192"/>
      <c r="G16" s="228"/>
      <c r="H16" s="5">
        <v>850000</v>
      </c>
      <c r="I16" s="340">
        <v>100</v>
      </c>
      <c r="J16" s="5">
        <v>850000</v>
      </c>
      <c r="K16" s="71">
        <v>100</v>
      </c>
      <c r="L16" s="357">
        <v>100</v>
      </c>
      <c r="M16" s="387">
        <v>100</v>
      </c>
      <c r="N16" s="376">
        <f t="shared" si="3"/>
        <v>-850000</v>
      </c>
      <c r="O16" s="268" t="s">
        <v>162</v>
      </c>
    </row>
    <row r="17" spans="1:15" ht="12.75">
      <c r="A17" s="63">
        <v>5</v>
      </c>
      <c r="B17" s="47" t="s">
        <v>20</v>
      </c>
      <c r="C17" s="5">
        <v>23000000</v>
      </c>
      <c r="D17" s="211"/>
      <c r="E17" s="63"/>
      <c r="F17" s="192"/>
      <c r="G17" s="228"/>
      <c r="H17" s="5">
        <v>35945000</v>
      </c>
      <c r="I17" s="340">
        <f t="shared" si="0"/>
        <v>156.2826086956522</v>
      </c>
      <c r="J17" s="5">
        <v>35945000</v>
      </c>
      <c r="K17" s="71">
        <f t="shared" si="1"/>
        <v>156.2826086956522</v>
      </c>
      <c r="L17" s="357">
        <v>100</v>
      </c>
      <c r="M17" s="387">
        <f t="shared" si="2"/>
        <v>156.2826086956522</v>
      </c>
      <c r="N17" s="376">
        <f t="shared" si="3"/>
        <v>-12945000</v>
      </c>
      <c r="O17" s="268" t="s">
        <v>162</v>
      </c>
    </row>
    <row r="18" spans="1:15" ht="12.75">
      <c r="A18" s="63">
        <v>6</v>
      </c>
      <c r="B18" s="47" t="s">
        <v>21</v>
      </c>
      <c r="C18" s="5">
        <v>64000000</v>
      </c>
      <c r="D18" s="211"/>
      <c r="E18" s="63"/>
      <c r="F18" s="192"/>
      <c r="G18" s="228"/>
      <c r="H18" s="5">
        <v>57356640</v>
      </c>
      <c r="I18" s="340">
        <f t="shared" si="0"/>
        <v>89.61975</v>
      </c>
      <c r="J18" s="5">
        <v>57356640</v>
      </c>
      <c r="K18" s="71">
        <f t="shared" si="1"/>
        <v>89.61975</v>
      </c>
      <c r="L18" s="357">
        <v>100</v>
      </c>
      <c r="M18" s="296">
        <f t="shared" si="2"/>
        <v>89.61975</v>
      </c>
      <c r="N18" s="376">
        <f t="shared" si="3"/>
        <v>6643360</v>
      </c>
      <c r="O18" s="268" t="s">
        <v>162</v>
      </c>
    </row>
    <row r="19" spans="1:15" ht="12.75">
      <c r="A19" s="63">
        <v>7</v>
      </c>
      <c r="B19" s="47" t="s">
        <v>22</v>
      </c>
      <c r="C19" s="5">
        <v>10045000</v>
      </c>
      <c r="D19" s="211"/>
      <c r="E19" s="63"/>
      <c r="F19" s="192"/>
      <c r="G19" s="228"/>
      <c r="H19" s="5">
        <v>7605841</v>
      </c>
      <c r="I19" s="340">
        <f t="shared" si="0"/>
        <v>75.71768043802886</v>
      </c>
      <c r="J19" s="5">
        <v>7605841</v>
      </c>
      <c r="K19" s="71">
        <f t="shared" si="1"/>
        <v>75.71768043802886</v>
      </c>
      <c r="L19" s="357">
        <v>100</v>
      </c>
      <c r="M19" s="296">
        <f t="shared" si="2"/>
        <v>75.71768043802886</v>
      </c>
      <c r="N19" s="376">
        <f t="shared" si="3"/>
        <v>2439159</v>
      </c>
      <c r="O19" s="268" t="s">
        <v>162</v>
      </c>
    </row>
    <row r="20" spans="1:15" ht="12.75">
      <c r="A20" s="63">
        <v>8</v>
      </c>
      <c r="B20" s="47" t="s">
        <v>23</v>
      </c>
      <c r="C20" s="5">
        <v>157000</v>
      </c>
      <c r="D20" s="211"/>
      <c r="E20" s="63"/>
      <c r="F20" s="192"/>
      <c r="G20" s="228"/>
      <c r="H20" s="5">
        <v>19057</v>
      </c>
      <c r="I20" s="340">
        <f t="shared" si="0"/>
        <v>12.138216560509555</v>
      </c>
      <c r="J20" s="5">
        <v>19057</v>
      </c>
      <c r="K20" s="71">
        <f t="shared" si="1"/>
        <v>12.138216560509555</v>
      </c>
      <c r="L20" s="357">
        <v>100</v>
      </c>
      <c r="M20" s="296">
        <f t="shared" si="2"/>
        <v>12.138216560509555</v>
      </c>
      <c r="N20" s="376">
        <f t="shared" si="3"/>
        <v>137943</v>
      </c>
      <c r="O20" s="268" t="s">
        <v>162</v>
      </c>
    </row>
    <row r="21" spans="1:15" ht="12.75">
      <c r="A21" s="63">
        <v>9</v>
      </c>
      <c r="B21" s="47" t="s">
        <v>24</v>
      </c>
      <c r="C21" s="5">
        <v>35000000</v>
      </c>
      <c r="D21" s="211"/>
      <c r="E21" s="63"/>
      <c r="F21" s="192"/>
      <c r="G21" s="228"/>
      <c r="H21" s="5">
        <v>27756662</v>
      </c>
      <c r="I21" s="340">
        <f t="shared" si="0"/>
        <v>79.30474857142858</v>
      </c>
      <c r="J21" s="5">
        <v>27756662</v>
      </c>
      <c r="K21" s="71">
        <f t="shared" si="1"/>
        <v>79.30474857142858</v>
      </c>
      <c r="L21" s="357">
        <v>100</v>
      </c>
      <c r="M21" s="296">
        <f t="shared" si="2"/>
        <v>79.30474857142858</v>
      </c>
      <c r="N21" s="376">
        <f t="shared" si="3"/>
        <v>7243338</v>
      </c>
      <c r="O21" s="268" t="s">
        <v>162</v>
      </c>
    </row>
    <row r="22" spans="1:15" ht="12.75">
      <c r="A22" s="63">
        <v>10</v>
      </c>
      <c r="B22" s="47" t="s">
        <v>25</v>
      </c>
      <c r="C22" s="5">
        <v>4305000</v>
      </c>
      <c r="D22" s="211"/>
      <c r="E22" s="63"/>
      <c r="F22" s="192"/>
      <c r="G22" s="228"/>
      <c r="H22" s="5">
        <v>1996651</v>
      </c>
      <c r="I22" s="340">
        <f t="shared" si="0"/>
        <v>46.37981416957027</v>
      </c>
      <c r="J22" s="5">
        <v>1996651</v>
      </c>
      <c r="K22" s="71">
        <f t="shared" si="1"/>
        <v>46.37981416957027</v>
      </c>
      <c r="L22" s="357">
        <v>100</v>
      </c>
      <c r="M22" s="296">
        <f t="shared" si="2"/>
        <v>46.37981416957027</v>
      </c>
      <c r="N22" s="376">
        <f t="shared" si="3"/>
        <v>2308349</v>
      </c>
      <c r="O22" s="268" t="s">
        <v>162</v>
      </c>
    </row>
    <row r="23" spans="1:15" ht="12.75">
      <c r="A23" s="63">
        <v>11</v>
      </c>
      <c r="B23" s="47" t="s">
        <v>26</v>
      </c>
      <c r="C23" s="5">
        <v>5885000</v>
      </c>
      <c r="D23" s="211"/>
      <c r="E23" s="63"/>
      <c r="F23" s="192"/>
      <c r="G23" s="228"/>
      <c r="H23" s="5">
        <v>5989928</v>
      </c>
      <c r="I23" s="340">
        <f t="shared" si="0"/>
        <v>101.78297366185217</v>
      </c>
      <c r="J23" s="5">
        <v>5989928</v>
      </c>
      <c r="K23" s="71">
        <f t="shared" si="1"/>
        <v>101.78297366185217</v>
      </c>
      <c r="L23" s="357">
        <v>100</v>
      </c>
      <c r="M23" s="387">
        <f t="shared" si="2"/>
        <v>101.78297366185217</v>
      </c>
      <c r="N23" s="376">
        <f t="shared" si="3"/>
        <v>-104928</v>
      </c>
      <c r="O23" s="268" t="s">
        <v>162</v>
      </c>
    </row>
    <row r="24" spans="1:15" ht="12.75">
      <c r="A24" s="63">
        <v>12</v>
      </c>
      <c r="B24" s="47" t="s">
        <v>27</v>
      </c>
      <c r="C24" s="5">
        <v>672000000</v>
      </c>
      <c r="D24" s="211"/>
      <c r="E24" s="63"/>
      <c r="F24" s="192"/>
      <c r="G24" s="228"/>
      <c r="H24" s="5">
        <v>498192500</v>
      </c>
      <c r="I24" s="340">
        <f t="shared" si="0"/>
        <v>74.13578869047619</v>
      </c>
      <c r="J24" s="5">
        <v>498192500</v>
      </c>
      <c r="K24" s="71">
        <f t="shared" si="1"/>
        <v>74.13578869047619</v>
      </c>
      <c r="L24" s="357">
        <v>100</v>
      </c>
      <c r="M24" s="296">
        <f t="shared" si="2"/>
        <v>74.13578869047619</v>
      </c>
      <c r="N24" s="376">
        <f t="shared" si="3"/>
        <v>173807500</v>
      </c>
      <c r="O24" s="268" t="s">
        <v>162</v>
      </c>
    </row>
    <row r="25" spans="1:15" ht="12.75">
      <c r="A25" s="63"/>
      <c r="B25" s="47"/>
      <c r="C25" s="5"/>
      <c r="D25" s="211"/>
      <c r="E25" s="63"/>
      <c r="F25" s="192"/>
      <c r="G25" s="228"/>
      <c r="H25" s="5"/>
      <c r="I25" s="114"/>
      <c r="J25" s="5"/>
      <c r="K25" s="36"/>
      <c r="L25" s="307"/>
      <c r="M25" s="37"/>
      <c r="N25" s="376"/>
      <c r="O25" s="384"/>
    </row>
    <row r="26" spans="1:15" ht="12.75">
      <c r="A26" s="61" t="s">
        <v>28</v>
      </c>
      <c r="B26" s="62" t="s">
        <v>29</v>
      </c>
      <c r="C26" s="67">
        <f>C27+C40+C50+C53+C61+C77+C82+C93</f>
        <v>9196607500</v>
      </c>
      <c r="D26" s="212"/>
      <c r="E26" s="67">
        <f>E27+E40+E50+E53+E61+E77+E82+E93</f>
        <v>1259241000</v>
      </c>
      <c r="F26" s="192"/>
      <c r="G26" s="228"/>
      <c r="H26" s="67">
        <f>H27+H40+H50+H53+H61+H77+H82+H93</f>
        <v>3986141113</v>
      </c>
      <c r="I26" s="311">
        <f aca="true" t="shared" si="4" ref="I26:I38">+H26/C26*100</f>
        <v>43.3436037473601</v>
      </c>
      <c r="J26" s="67">
        <f>J27+J40+J50+J53+J61+J77+J82+J93</f>
        <v>4148460609</v>
      </c>
      <c r="K26" s="179">
        <f aca="true" t="shared" si="5" ref="K26:K38">+J26/C26*100</f>
        <v>45.108596936424654</v>
      </c>
      <c r="L26" s="308">
        <v>100</v>
      </c>
      <c r="M26" s="64">
        <f aca="true" t="shared" si="6" ref="M26:M38">+J26/C26*100</f>
        <v>45.108596936424654</v>
      </c>
      <c r="N26" s="377">
        <f>N27+N40+N50+N53+N61+N77+N82+N93</f>
        <v>5048146891</v>
      </c>
      <c r="O26" s="384"/>
    </row>
    <row r="27" spans="1:15" ht="12.75">
      <c r="A27" s="68">
        <v>1</v>
      </c>
      <c r="B27" s="69" t="s">
        <v>30</v>
      </c>
      <c r="C27" s="67">
        <f>SUM(C28:C38)</f>
        <v>1362525500</v>
      </c>
      <c r="D27" s="212"/>
      <c r="E27" s="67">
        <f>SUM(E28:E38)</f>
        <v>0</v>
      </c>
      <c r="F27" s="193"/>
      <c r="G27" s="229"/>
      <c r="H27" s="6">
        <f>SUM(H28:H38)</f>
        <v>633451393</v>
      </c>
      <c r="I27" s="311">
        <f t="shared" si="4"/>
        <v>46.490975251472356</v>
      </c>
      <c r="J27" s="6">
        <f>SUM(J28:J38)</f>
        <v>584765889</v>
      </c>
      <c r="K27" s="179">
        <f t="shared" si="5"/>
        <v>42.91779412568793</v>
      </c>
      <c r="L27" s="308">
        <v>100</v>
      </c>
      <c r="M27" s="64">
        <f t="shared" si="6"/>
        <v>42.91779412568793</v>
      </c>
      <c r="N27" s="378">
        <f>SUM(N28:N38)</f>
        <v>777759611</v>
      </c>
      <c r="O27" s="384"/>
    </row>
    <row r="28" spans="1:15" ht="12.75">
      <c r="A28" s="63">
        <v>1</v>
      </c>
      <c r="B28" s="55" t="s">
        <v>31</v>
      </c>
      <c r="C28" s="71">
        <v>6310000</v>
      </c>
      <c r="D28" s="213"/>
      <c r="E28" s="72" t="s">
        <v>32</v>
      </c>
      <c r="F28" s="194" t="s">
        <v>32</v>
      </c>
      <c r="G28" s="230"/>
      <c r="H28" s="185">
        <f>4296000+1980000</f>
        <v>6276000</v>
      </c>
      <c r="I28" s="340">
        <f t="shared" si="4"/>
        <v>99.46117274167987</v>
      </c>
      <c r="J28" s="185">
        <f>4296000+1980000</f>
        <v>6276000</v>
      </c>
      <c r="K28" s="71">
        <f t="shared" si="5"/>
        <v>99.46117274167987</v>
      </c>
      <c r="L28" s="357">
        <v>100</v>
      </c>
      <c r="M28" s="37">
        <f t="shared" si="6"/>
        <v>99.46117274167987</v>
      </c>
      <c r="N28" s="376">
        <f>C28-J28</f>
        <v>34000</v>
      </c>
      <c r="O28" s="384"/>
    </row>
    <row r="29" spans="1:15" ht="12.75">
      <c r="A29" s="63">
        <v>2</v>
      </c>
      <c r="B29" s="73" t="s">
        <v>76</v>
      </c>
      <c r="C29" s="71">
        <v>60000000</v>
      </c>
      <c r="D29" s="213"/>
      <c r="E29" s="37"/>
      <c r="F29" s="195"/>
      <c r="G29" s="231"/>
      <c r="H29" s="7">
        <f>40719206+6925758</f>
        <v>47644964</v>
      </c>
      <c r="I29" s="340">
        <f t="shared" si="4"/>
        <v>79.40827333333334</v>
      </c>
      <c r="J29" s="7">
        <f>40719206+6925758</f>
        <v>47644964</v>
      </c>
      <c r="K29" s="71">
        <f t="shared" si="5"/>
        <v>79.40827333333334</v>
      </c>
      <c r="L29" s="357">
        <v>100</v>
      </c>
      <c r="M29" s="37">
        <f t="shared" si="6"/>
        <v>79.40827333333334</v>
      </c>
      <c r="N29" s="376">
        <f aca="true" t="shared" si="7" ref="N29:N42">C29-J29</f>
        <v>12355036</v>
      </c>
      <c r="O29" s="384"/>
    </row>
    <row r="30" spans="1:15" ht="12.75">
      <c r="A30" s="63">
        <v>3</v>
      </c>
      <c r="B30" s="165" t="s">
        <v>33</v>
      </c>
      <c r="C30" s="166">
        <v>31435000</v>
      </c>
      <c r="D30" s="214"/>
      <c r="E30" s="167">
        <v>0</v>
      </c>
      <c r="F30" s="196">
        <v>0</v>
      </c>
      <c r="G30" s="232"/>
      <c r="H30" s="168">
        <v>14485000</v>
      </c>
      <c r="I30" s="340">
        <f t="shared" si="4"/>
        <v>46.07921107046286</v>
      </c>
      <c r="J30" s="168">
        <v>14485000</v>
      </c>
      <c r="K30" s="71">
        <f t="shared" si="5"/>
        <v>46.07921107046286</v>
      </c>
      <c r="L30" s="357">
        <v>100</v>
      </c>
      <c r="M30" s="37">
        <f t="shared" si="6"/>
        <v>46.07921107046286</v>
      </c>
      <c r="N30" s="376">
        <f t="shared" si="7"/>
        <v>16950000</v>
      </c>
      <c r="O30" s="384"/>
    </row>
    <row r="31" spans="1:15" ht="12.75">
      <c r="A31" s="63">
        <v>4</v>
      </c>
      <c r="B31" s="169" t="s">
        <v>34</v>
      </c>
      <c r="C31" s="166">
        <v>55000000</v>
      </c>
      <c r="D31" s="214"/>
      <c r="E31" s="167">
        <v>0</v>
      </c>
      <c r="F31" s="196">
        <v>0</v>
      </c>
      <c r="G31" s="232"/>
      <c r="H31" s="168">
        <f>34305000+13745800</f>
        <v>48050800</v>
      </c>
      <c r="I31" s="340">
        <f t="shared" si="4"/>
        <v>87.36509090909091</v>
      </c>
      <c r="J31" s="168">
        <f>34305000+13745800</f>
        <v>48050800</v>
      </c>
      <c r="K31" s="71">
        <f t="shared" si="5"/>
        <v>87.36509090909091</v>
      </c>
      <c r="L31" s="357">
        <v>100</v>
      </c>
      <c r="M31" s="37">
        <f t="shared" si="6"/>
        <v>87.36509090909091</v>
      </c>
      <c r="N31" s="376">
        <f t="shared" si="7"/>
        <v>6949200</v>
      </c>
      <c r="O31" s="384"/>
    </row>
    <row r="32" spans="1:15" ht="12.75">
      <c r="A32" s="63">
        <v>5</v>
      </c>
      <c r="B32" s="73" t="s">
        <v>35</v>
      </c>
      <c r="C32" s="71">
        <v>26676500</v>
      </c>
      <c r="D32" s="213"/>
      <c r="E32" s="37">
        <v>0</v>
      </c>
      <c r="F32" s="195">
        <v>0</v>
      </c>
      <c r="G32" s="231"/>
      <c r="H32" s="7">
        <f>14485300+8850000</f>
        <v>23335300</v>
      </c>
      <c r="I32" s="340">
        <f t="shared" si="4"/>
        <v>87.47511855003467</v>
      </c>
      <c r="J32" s="7">
        <f>14485300+8850000</f>
        <v>23335300</v>
      </c>
      <c r="K32" s="71">
        <f t="shared" si="5"/>
        <v>87.47511855003467</v>
      </c>
      <c r="L32" s="357">
        <v>100</v>
      </c>
      <c r="M32" s="37">
        <f t="shared" si="6"/>
        <v>87.47511855003467</v>
      </c>
      <c r="N32" s="376">
        <f t="shared" si="7"/>
        <v>3341200</v>
      </c>
      <c r="O32" s="384"/>
    </row>
    <row r="33" spans="1:15" ht="12.75">
      <c r="A33" s="63">
        <v>6</v>
      </c>
      <c r="B33" s="73" t="s">
        <v>36</v>
      </c>
      <c r="C33" s="71">
        <v>4000000</v>
      </c>
      <c r="D33" s="213"/>
      <c r="E33" s="37">
        <v>0</v>
      </c>
      <c r="F33" s="195">
        <v>0</v>
      </c>
      <c r="G33" s="231"/>
      <c r="H33" s="7">
        <f>1995200+2004800</f>
        <v>4000000</v>
      </c>
      <c r="I33" s="340">
        <f t="shared" si="4"/>
        <v>100</v>
      </c>
      <c r="J33" s="7">
        <f>1995200+2004800</f>
        <v>4000000</v>
      </c>
      <c r="K33" s="71">
        <f t="shared" si="5"/>
        <v>100</v>
      </c>
      <c r="L33" s="357">
        <v>100</v>
      </c>
      <c r="M33" s="37">
        <f t="shared" si="6"/>
        <v>100</v>
      </c>
      <c r="N33" s="376">
        <f t="shared" si="7"/>
        <v>0</v>
      </c>
      <c r="O33" s="384"/>
    </row>
    <row r="34" spans="1:15" ht="12.75">
      <c r="A34" s="63">
        <v>7</v>
      </c>
      <c r="B34" s="73" t="s">
        <v>37</v>
      </c>
      <c r="C34" s="71">
        <v>13076000</v>
      </c>
      <c r="D34" s="213"/>
      <c r="E34" s="37">
        <v>0</v>
      </c>
      <c r="F34" s="195">
        <v>0</v>
      </c>
      <c r="G34" s="231"/>
      <c r="H34" s="7">
        <f>8761950+4314050</f>
        <v>13076000</v>
      </c>
      <c r="I34" s="340">
        <f t="shared" si="4"/>
        <v>100</v>
      </c>
      <c r="J34" s="7">
        <f>8761950+4314050</f>
        <v>13076000</v>
      </c>
      <c r="K34" s="71">
        <f t="shared" si="5"/>
        <v>100</v>
      </c>
      <c r="L34" s="357">
        <v>100</v>
      </c>
      <c r="M34" s="37">
        <f t="shared" si="6"/>
        <v>100</v>
      </c>
      <c r="N34" s="376">
        <f t="shared" si="7"/>
        <v>0</v>
      </c>
      <c r="O34" s="384"/>
    </row>
    <row r="35" spans="1:15" ht="12.75">
      <c r="A35" s="63">
        <v>8</v>
      </c>
      <c r="B35" s="73" t="s">
        <v>38</v>
      </c>
      <c r="C35" s="71">
        <v>7500000</v>
      </c>
      <c r="D35" s="213"/>
      <c r="E35" s="37">
        <v>0</v>
      </c>
      <c r="F35" s="195">
        <v>0</v>
      </c>
      <c r="G35" s="231"/>
      <c r="H35" s="7">
        <f>2180000+3856000</f>
        <v>6036000</v>
      </c>
      <c r="I35" s="340">
        <f t="shared" si="4"/>
        <v>80.47999999999999</v>
      </c>
      <c r="J35" s="7">
        <f>2180000+3856000</f>
        <v>6036000</v>
      </c>
      <c r="K35" s="71">
        <f t="shared" si="5"/>
        <v>80.47999999999999</v>
      </c>
      <c r="L35" s="357">
        <v>100</v>
      </c>
      <c r="M35" s="37">
        <f t="shared" si="6"/>
        <v>80.47999999999999</v>
      </c>
      <c r="N35" s="376">
        <f t="shared" si="7"/>
        <v>1464000</v>
      </c>
      <c r="O35" s="384"/>
    </row>
    <row r="36" spans="1:15" ht="12.75">
      <c r="A36" s="63">
        <v>9</v>
      </c>
      <c r="B36" s="73" t="s">
        <v>39</v>
      </c>
      <c r="C36" s="71">
        <v>30000000</v>
      </c>
      <c r="D36" s="213"/>
      <c r="E36" s="37">
        <v>0</v>
      </c>
      <c r="F36" s="195">
        <v>0</v>
      </c>
      <c r="G36" s="231"/>
      <c r="H36" s="7">
        <f>18128200+7990000</f>
        <v>26118200</v>
      </c>
      <c r="I36" s="340">
        <f t="shared" si="4"/>
        <v>87.06066666666666</v>
      </c>
      <c r="J36" s="7">
        <f>18128200+7990000</f>
        <v>26118200</v>
      </c>
      <c r="K36" s="71">
        <f t="shared" si="5"/>
        <v>87.06066666666666</v>
      </c>
      <c r="L36" s="357">
        <v>100</v>
      </c>
      <c r="M36" s="37">
        <f t="shared" si="6"/>
        <v>87.06066666666666</v>
      </c>
      <c r="N36" s="376">
        <f t="shared" si="7"/>
        <v>3881800</v>
      </c>
      <c r="O36" s="384"/>
    </row>
    <row r="37" spans="1:15" ht="12.75">
      <c r="A37" s="63">
        <v>10</v>
      </c>
      <c r="B37" s="73" t="s">
        <v>40</v>
      </c>
      <c r="C37" s="71">
        <v>200000000</v>
      </c>
      <c r="D37" s="213"/>
      <c r="E37" s="37">
        <v>0</v>
      </c>
      <c r="F37" s="195">
        <v>0</v>
      </c>
      <c r="G37" s="231"/>
      <c r="H37" s="7">
        <f>91631161+15825000</f>
        <v>107456161</v>
      </c>
      <c r="I37" s="340">
        <f t="shared" si="4"/>
        <v>53.7280805</v>
      </c>
      <c r="J37" s="7">
        <f>91631161+15825000</f>
        <v>107456161</v>
      </c>
      <c r="K37" s="71">
        <f t="shared" si="5"/>
        <v>53.7280805</v>
      </c>
      <c r="L37" s="357">
        <v>100</v>
      </c>
      <c r="M37" s="37">
        <f t="shared" si="6"/>
        <v>53.7280805</v>
      </c>
      <c r="N37" s="376">
        <f t="shared" si="7"/>
        <v>92543839</v>
      </c>
      <c r="O37" s="384"/>
    </row>
    <row r="38" spans="1:15" ht="12.75">
      <c r="A38" s="63">
        <v>11</v>
      </c>
      <c r="B38" s="73" t="s">
        <v>41</v>
      </c>
      <c r="C38" s="71">
        <v>928528000</v>
      </c>
      <c r="D38" s="213"/>
      <c r="E38" s="37">
        <v>0</v>
      </c>
      <c r="F38" s="195">
        <v>0</v>
      </c>
      <c r="G38" s="231"/>
      <c r="H38" s="7">
        <v>336972968</v>
      </c>
      <c r="I38" s="340">
        <f t="shared" si="4"/>
        <v>36.29109386038978</v>
      </c>
      <c r="J38" s="7">
        <v>288287464</v>
      </c>
      <c r="K38" s="71">
        <f t="shared" si="5"/>
        <v>31.0477943583823</v>
      </c>
      <c r="L38" s="357">
        <v>100</v>
      </c>
      <c r="M38" s="37">
        <f t="shared" si="6"/>
        <v>31.0477943583823</v>
      </c>
      <c r="N38" s="376">
        <f t="shared" si="7"/>
        <v>640240536</v>
      </c>
      <c r="O38" s="384"/>
    </row>
    <row r="39" spans="1:15" ht="12.75">
      <c r="A39" s="253"/>
      <c r="B39" s="75"/>
      <c r="C39" s="71"/>
      <c r="D39" s="213"/>
      <c r="E39" s="37"/>
      <c r="F39" s="195"/>
      <c r="G39" s="231"/>
      <c r="H39" s="7"/>
      <c r="I39" s="114"/>
      <c r="J39" s="7"/>
      <c r="K39" s="36"/>
      <c r="L39" s="307"/>
      <c r="M39" s="37">
        <f>K39</f>
        <v>0</v>
      </c>
      <c r="N39" s="376">
        <f t="shared" si="7"/>
        <v>0</v>
      </c>
      <c r="O39" s="384"/>
    </row>
    <row r="40" spans="1:15" ht="12.75">
      <c r="A40" s="68">
        <v>2</v>
      </c>
      <c r="B40" s="69" t="s">
        <v>42</v>
      </c>
      <c r="C40" s="39">
        <f>SUM(C41:C48)</f>
        <v>761012000</v>
      </c>
      <c r="D40" s="198"/>
      <c r="E40" s="39">
        <f>SUM(E41:E48)</f>
        <v>43582000</v>
      </c>
      <c r="F40" s="197"/>
      <c r="G40" s="233"/>
      <c r="H40" s="39">
        <f>SUM(H41:H48)</f>
        <v>595891048</v>
      </c>
      <c r="I40" s="311">
        <f>+H40/C40*100</f>
        <v>78.30245094689703</v>
      </c>
      <c r="J40" s="39">
        <f>SUM(J41:J48)</f>
        <v>595891048</v>
      </c>
      <c r="K40" s="179">
        <f>+J40/C40*100</f>
        <v>78.30245094689703</v>
      </c>
      <c r="L40" s="308">
        <v>100</v>
      </c>
      <c r="M40" s="64">
        <f>+J40/C40*100</f>
        <v>78.30245094689703</v>
      </c>
      <c r="N40" s="376">
        <f t="shared" si="7"/>
        <v>165120952</v>
      </c>
      <c r="O40" s="384"/>
    </row>
    <row r="41" spans="1:15" ht="12.75">
      <c r="A41" s="63">
        <v>1</v>
      </c>
      <c r="B41" s="73" t="s">
        <v>43</v>
      </c>
      <c r="C41" s="71">
        <v>85000000</v>
      </c>
      <c r="D41" s="213"/>
      <c r="E41" s="37"/>
      <c r="F41" s="195"/>
      <c r="G41" s="231"/>
      <c r="H41" s="71">
        <f>47359600+266000</f>
        <v>47625600</v>
      </c>
      <c r="I41" s="340">
        <f>+H41/C41*100</f>
        <v>56.030117647058816</v>
      </c>
      <c r="J41" s="71">
        <f>47359600+266000</f>
        <v>47625600</v>
      </c>
      <c r="K41" s="71">
        <f>+J41/C41*100</f>
        <v>56.030117647058816</v>
      </c>
      <c r="L41" s="357">
        <v>100</v>
      </c>
      <c r="M41" s="37">
        <f>+J41/C41*100</f>
        <v>56.030117647058816</v>
      </c>
      <c r="N41" s="376">
        <f t="shared" si="7"/>
        <v>37374400</v>
      </c>
      <c r="O41" s="384"/>
    </row>
    <row r="42" spans="1:15" ht="12.75">
      <c r="A42" s="63">
        <v>2</v>
      </c>
      <c r="B42" s="73" t="s">
        <v>44</v>
      </c>
      <c r="C42" s="71">
        <v>45000000</v>
      </c>
      <c r="D42" s="264" t="s">
        <v>121</v>
      </c>
      <c r="E42" s="37">
        <v>5808000</v>
      </c>
      <c r="F42" s="195" t="s">
        <v>124</v>
      </c>
      <c r="G42" s="231" t="s">
        <v>125</v>
      </c>
      <c r="H42" s="71">
        <v>44536000</v>
      </c>
      <c r="I42" s="340">
        <f>+H42/C42*100</f>
        <v>98.96888888888888</v>
      </c>
      <c r="J42" s="71">
        <v>44536000</v>
      </c>
      <c r="K42" s="71">
        <f>+J42/C42*100</f>
        <v>98.96888888888888</v>
      </c>
      <c r="L42" s="357">
        <v>100</v>
      </c>
      <c r="M42" s="37">
        <f>+J42/C42*100</f>
        <v>98.96888888888888</v>
      </c>
      <c r="N42" s="376">
        <f t="shared" si="7"/>
        <v>464000</v>
      </c>
      <c r="O42" s="384"/>
    </row>
    <row r="43" spans="1:15" ht="12.75">
      <c r="A43" s="63"/>
      <c r="B43" s="73"/>
      <c r="C43" s="71"/>
      <c r="D43" s="264" t="s">
        <v>122</v>
      </c>
      <c r="E43" s="37">
        <v>15774000</v>
      </c>
      <c r="F43" s="195" t="s">
        <v>124</v>
      </c>
      <c r="G43" s="231" t="s">
        <v>125</v>
      </c>
      <c r="H43" s="71"/>
      <c r="I43" s="114"/>
      <c r="J43" s="71"/>
      <c r="K43" s="36"/>
      <c r="L43" s="37"/>
      <c r="M43" s="37"/>
      <c r="N43" s="376"/>
      <c r="O43" s="384"/>
    </row>
    <row r="44" spans="1:15" ht="12.75">
      <c r="A44" s="63"/>
      <c r="B44" s="73"/>
      <c r="C44" s="71"/>
      <c r="D44" s="264" t="s">
        <v>123</v>
      </c>
      <c r="E44" s="37">
        <v>22000000</v>
      </c>
      <c r="F44" s="195" t="s">
        <v>124</v>
      </c>
      <c r="G44" s="231" t="s">
        <v>125</v>
      </c>
      <c r="H44" s="71"/>
      <c r="I44" s="114"/>
      <c r="J44" s="71"/>
      <c r="K44" s="36"/>
      <c r="L44" s="358"/>
      <c r="M44" s="37"/>
      <c r="N44" s="376"/>
      <c r="O44" s="384"/>
    </row>
    <row r="45" spans="1:15" ht="12.75">
      <c r="A45" s="63">
        <v>3</v>
      </c>
      <c r="B45" s="73" t="s">
        <v>45</v>
      </c>
      <c r="C45" s="71">
        <v>239382000</v>
      </c>
      <c r="D45" s="264"/>
      <c r="E45" s="37"/>
      <c r="F45" s="195"/>
      <c r="G45" s="231"/>
      <c r="H45" s="71">
        <v>174523050</v>
      </c>
      <c r="I45" s="340">
        <f>+H45/C45*100</f>
        <v>72.90566959921799</v>
      </c>
      <c r="J45" s="71">
        <v>174523050</v>
      </c>
      <c r="K45" s="71">
        <f>+J45/C45*100</f>
        <v>72.90566959921799</v>
      </c>
      <c r="L45" s="357">
        <v>100</v>
      </c>
      <c r="M45" s="37">
        <f>+J45/C45*100</f>
        <v>72.90566959921799</v>
      </c>
      <c r="N45" s="376">
        <f aca="true" t="shared" si="8" ref="N45:N51">C45-J45</f>
        <v>64858950</v>
      </c>
      <c r="O45" s="384"/>
    </row>
    <row r="46" spans="1:15" ht="12.75">
      <c r="A46" s="63">
        <v>4</v>
      </c>
      <c r="B46" s="73" t="s">
        <v>46</v>
      </c>
      <c r="C46" s="71">
        <v>370980000</v>
      </c>
      <c r="D46" s="213"/>
      <c r="E46" s="37"/>
      <c r="F46" s="195"/>
      <c r="G46" s="231"/>
      <c r="H46" s="7">
        <f>290055301+20511297</f>
        <v>310566598</v>
      </c>
      <c r="I46" s="340">
        <f>+H46/C46*100</f>
        <v>83.71518626341043</v>
      </c>
      <c r="J46" s="7">
        <f>290055301+20511297</f>
        <v>310566598</v>
      </c>
      <c r="K46" s="71">
        <f>+J46/C46*100</f>
        <v>83.71518626341043</v>
      </c>
      <c r="L46" s="357">
        <v>100</v>
      </c>
      <c r="M46" s="37">
        <f>+J46/C46*100</f>
        <v>83.71518626341043</v>
      </c>
      <c r="N46" s="376">
        <f t="shared" si="8"/>
        <v>60413402</v>
      </c>
      <c r="O46" s="384"/>
    </row>
    <row r="47" spans="1:15" ht="12.75">
      <c r="A47" s="63">
        <v>5</v>
      </c>
      <c r="B47" s="73" t="s">
        <v>47</v>
      </c>
      <c r="C47" s="71">
        <v>13050000</v>
      </c>
      <c r="D47" s="213"/>
      <c r="E47" s="37">
        <v>0</v>
      </c>
      <c r="F47" s="195">
        <v>0</v>
      </c>
      <c r="G47" s="231"/>
      <c r="H47" s="7">
        <f>3400000+7640000</f>
        <v>11040000</v>
      </c>
      <c r="I47" s="340">
        <f>+H47/C47*100</f>
        <v>84.59770114942529</v>
      </c>
      <c r="J47" s="7">
        <f>3400000+7640000</f>
        <v>11040000</v>
      </c>
      <c r="K47" s="71">
        <f>+J47/C47*100</f>
        <v>84.59770114942529</v>
      </c>
      <c r="L47" s="357">
        <v>100</v>
      </c>
      <c r="M47" s="37">
        <f>+J47/C47*100</f>
        <v>84.59770114942529</v>
      </c>
      <c r="N47" s="376">
        <f t="shared" si="8"/>
        <v>2010000</v>
      </c>
      <c r="O47" s="384"/>
    </row>
    <row r="48" spans="1:15" ht="12.75">
      <c r="A48" s="63">
        <v>6</v>
      </c>
      <c r="B48" s="73" t="s">
        <v>48</v>
      </c>
      <c r="C48" s="71">
        <v>7600000</v>
      </c>
      <c r="D48" s="213"/>
      <c r="E48" s="37"/>
      <c r="F48" s="195"/>
      <c r="G48" s="231"/>
      <c r="H48" s="71">
        <v>7599800</v>
      </c>
      <c r="I48" s="340">
        <f>+H48/C48*100</f>
        <v>99.99736842105264</v>
      </c>
      <c r="J48" s="71">
        <v>7599800</v>
      </c>
      <c r="K48" s="71">
        <f>+J48/C48*100</f>
        <v>99.99736842105264</v>
      </c>
      <c r="L48" s="357">
        <v>100</v>
      </c>
      <c r="M48" s="37">
        <f>+J48/C48*100</f>
        <v>99.99736842105264</v>
      </c>
      <c r="N48" s="376">
        <f t="shared" si="8"/>
        <v>200</v>
      </c>
      <c r="O48" s="384"/>
    </row>
    <row r="49" spans="1:15" ht="12.75">
      <c r="A49" s="63"/>
      <c r="B49" s="73"/>
      <c r="C49" s="71"/>
      <c r="D49" s="213"/>
      <c r="E49" s="37"/>
      <c r="F49" s="195"/>
      <c r="G49" s="231"/>
      <c r="H49" s="7"/>
      <c r="I49" s="114"/>
      <c r="J49" s="7"/>
      <c r="K49" s="36"/>
      <c r="L49" s="37"/>
      <c r="M49" s="37"/>
      <c r="N49" s="376">
        <f t="shared" si="8"/>
        <v>0</v>
      </c>
      <c r="O49" s="384"/>
    </row>
    <row r="50" spans="1:15" ht="12.75">
      <c r="A50" s="68">
        <v>3</v>
      </c>
      <c r="B50" s="69" t="s">
        <v>49</v>
      </c>
      <c r="C50" s="39">
        <f>C51</f>
        <v>74570000</v>
      </c>
      <c r="D50" s="198"/>
      <c r="E50" s="39">
        <f>E51</f>
        <v>57200000</v>
      </c>
      <c r="F50" s="198"/>
      <c r="G50" s="234"/>
      <c r="H50" s="8">
        <f>H51</f>
        <v>73200000</v>
      </c>
      <c r="I50" s="311">
        <f>+H50/C50*100</f>
        <v>98.16280005364088</v>
      </c>
      <c r="J50" s="8">
        <f>J51</f>
        <v>73200000</v>
      </c>
      <c r="K50" s="179">
        <f>+J50/C50*100</f>
        <v>98.16280005364088</v>
      </c>
      <c r="L50" s="308">
        <v>100</v>
      </c>
      <c r="M50" s="64">
        <f>+J50/C50*100</f>
        <v>98.16280005364088</v>
      </c>
      <c r="N50" s="376">
        <f t="shared" si="8"/>
        <v>1370000</v>
      </c>
      <c r="O50" s="384"/>
    </row>
    <row r="51" spans="1:15" ht="12.75">
      <c r="A51" s="257"/>
      <c r="B51" s="76" t="s">
        <v>50</v>
      </c>
      <c r="C51" s="388">
        <v>74570000</v>
      </c>
      <c r="D51" s="302" t="s">
        <v>118</v>
      </c>
      <c r="E51" s="115">
        <v>57200000</v>
      </c>
      <c r="F51" s="263" t="s">
        <v>119</v>
      </c>
      <c r="G51" s="389" t="s">
        <v>120</v>
      </c>
      <c r="H51" s="390">
        <f>16000000+57200000</f>
        <v>73200000</v>
      </c>
      <c r="I51" s="391">
        <f>+H51/C51*100</f>
        <v>98.16280005364088</v>
      </c>
      <c r="J51" s="390">
        <f>16000000+57200000</f>
        <v>73200000</v>
      </c>
      <c r="K51" s="123">
        <f>+J51/C51*100</f>
        <v>98.16280005364088</v>
      </c>
      <c r="L51" s="392">
        <v>100</v>
      </c>
      <c r="M51" s="115">
        <f>+J51/C51*100</f>
        <v>98.16280005364088</v>
      </c>
      <c r="N51" s="393">
        <f t="shared" si="8"/>
        <v>1370000</v>
      </c>
      <c r="O51" s="384"/>
    </row>
    <row r="52" spans="1:15" ht="12.75">
      <c r="A52" s="394"/>
      <c r="B52" s="55"/>
      <c r="C52" s="9"/>
      <c r="D52" s="395"/>
      <c r="E52" s="37"/>
      <c r="F52" s="396"/>
      <c r="G52" s="231"/>
      <c r="H52" s="397"/>
      <c r="I52" s="340"/>
      <c r="J52" s="397"/>
      <c r="K52" s="404"/>
      <c r="L52" s="405"/>
      <c r="M52" s="376"/>
      <c r="N52" s="37"/>
      <c r="O52" s="384"/>
    </row>
    <row r="53" spans="1:15" ht="15" customHeight="1">
      <c r="A53" s="398">
        <v>4</v>
      </c>
      <c r="B53" s="24" t="s">
        <v>51</v>
      </c>
      <c r="C53" s="25">
        <f>C54+C58+C59</f>
        <v>4830000000</v>
      </c>
      <c r="D53" s="399"/>
      <c r="E53" s="25">
        <f>SUM(E54:E60)</f>
        <v>542250000</v>
      </c>
      <c r="F53" s="399"/>
      <c r="G53" s="236"/>
      <c r="H53" s="400">
        <f>SUM(H54:H59)</f>
        <v>1282369802</v>
      </c>
      <c r="I53" s="340">
        <f>+H53/C53*100</f>
        <v>26.550099420289857</v>
      </c>
      <c r="J53" s="400">
        <f>SUM(J54:J59)</f>
        <v>1282369802</v>
      </c>
      <c r="K53" s="404">
        <f>+J53/C53*100</f>
        <v>26.550099420289857</v>
      </c>
      <c r="L53" s="405">
        <v>100</v>
      </c>
      <c r="M53" s="376">
        <f>+J53/C53*100</f>
        <v>26.550099420289857</v>
      </c>
      <c r="N53" s="172">
        <f>C53-J53</f>
        <v>3547630198</v>
      </c>
      <c r="O53" s="384"/>
    </row>
    <row r="54" spans="1:15" ht="12.75">
      <c r="A54" s="394">
        <v>1</v>
      </c>
      <c r="B54" s="21" t="s">
        <v>52</v>
      </c>
      <c r="C54" s="22">
        <v>3930000000</v>
      </c>
      <c r="D54" s="402" t="s">
        <v>111</v>
      </c>
      <c r="E54" s="22">
        <v>89375000</v>
      </c>
      <c r="F54" s="403" t="s">
        <v>114</v>
      </c>
      <c r="G54" s="267" t="s">
        <v>116</v>
      </c>
      <c r="H54" s="401">
        <f>18176400+79925000+108075000+89375000+198000000+98200000</f>
        <v>591751400</v>
      </c>
      <c r="I54" s="340">
        <f>+H54/C54*100</f>
        <v>15.057287531806615</v>
      </c>
      <c r="J54" s="401">
        <f>18176400+79925000+108075000+89375000+198000000+98200000</f>
        <v>591751400</v>
      </c>
      <c r="K54" s="404">
        <f>+J54/C54*100</f>
        <v>15.057287531806615</v>
      </c>
      <c r="L54" s="406">
        <v>100</v>
      </c>
      <c r="M54" s="376">
        <f>+J54/C54*100</f>
        <v>15.057287531806615</v>
      </c>
      <c r="N54" s="172">
        <f>C54-J54</f>
        <v>3338248600</v>
      </c>
      <c r="O54" s="384"/>
    </row>
    <row r="55" spans="1:15" ht="12.75">
      <c r="A55" s="394"/>
      <c r="B55" s="21"/>
      <c r="C55" s="22"/>
      <c r="D55" s="266" t="s">
        <v>112</v>
      </c>
      <c r="E55" s="22">
        <v>198000000</v>
      </c>
      <c r="F55" s="201" t="s">
        <v>115</v>
      </c>
      <c r="G55" s="267" t="s">
        <v>117</v>
      </c>
      <c r="H55" s="22"/>
      <c r="I55" s="114"/>
      <c r="J55" s="22"/>
      <c r="K55" s="36"/>
      <c r="L55" s="307"/>
      <c r="M55" s="37"/>
      <c r="N55" s="379"/>
      <c r="O55" s="384"/>
    </row>
    <row r="56" spans="1:15" ht="12.75">
      <c r="A56" s="63"/>
      <c r="B56" s="21"/>
      <c r="C56" s="22"/>
      <c r="D56" s="266" t="s">
        <v>113</v>
      </c>
      <c r="E56" s="22">
        <v>108075000</v>
      </c>
      <c r="F56" s="201" t="s">
        <v>114</v>
      </c>
      <c r="G56" s="267" t="s">
        <v>116</v>
      </c>
      <c r="H56" s="22"/>
      <c r="I56" s="114"/>
      <c r="J56" s="22"/>
      <c r="K56" s="36"/>
      <c r="L56" s="307"/>
      <c r="M56" s="37"/>
      <c r="N56" s="379"/>
      <c r="O56" s="384"/>
    </row>
    <row r="57" spans="1:15" ht="12.75">
      <c r="A57" s="63"/>
      <c r="B57" s="21"/>
      <c r="C57" s="22"/>
      <c r="D57" s="359" t="s">
        <v>130</v>
      </c>
      <c r="E57" s="22">
        <v>98200000</v>
      </c>
      <c r="F57" s="360" t="s">
        <v>131</v>
      </c>
      <c r="G57" s="361">
        <v>43556</v>
      </c>
      <c r="H57" s="22"/>
      <c r="I57" s="114"/>
      <c r="J57" s="22"/>
      <c r="K57" s="36"/>
      <c r="L57" s="307"/>
      <c r="M57" s="37"/>
      <c r="N57" s="379"/>
      <c r="O57" s="384"/>
    </row>
    <row r="58" spans="1:15" ht="14.25" customHeight="1">
      <c r="A58" s="63">
        <v>2</v>
      </c>
      <c r="B58" s="21" t="s">
        <v>53</v>
      </c>
      <c r="C58" s="22">
        <v>750000000</v>
      </c>
      <c r="D58" s="201"/>
      <c r="E58" s="32"/>
      <c r="F58" s="99"/>
      <c r="G58" s="235"/>
      <c r="H58" s="23">
        <v>604173402</v>
      </c>
      <c r="I58" s="340">
        <f>+H58/C58*100</f>
        <v>80.5564536</v>
      </c>
      <c r="J58" s="23">
        <v>604173402</v>
      </c>
      <c r="K58" s="71">
        <f>+J58/C58*100</f>
        <v>80.5564536</v>
      </c>
      <c r="L58" s="357">
        <v>100</v>
      </c>
      <c r="M58" s="37">
        <f>+J58/C58*100</f>
        <v>80.5564536</v>
      </c>
      <c r="N58" s="379">
        <f>C58-J58</f>
        <v>145826598</v>
      </c>
      <c r="O58" s="384"/>
    </row>
    <row r="59" spans="1:15" ht="14.25" customHeight="1">
      <c r="A59" s="63">
        <v>3</v>
      </c>
      <c r="B59" s="21" t="s">
        <v>54</v>
      </c>
      <c r="C59" s="22">
        <v>150000000</v>
      </c>
      <c r="D59" s="201" t="s">
        <v>107</v>
      </c>
      <c r="E59" s="23">
        <v>48600000</v>
      </c>
      <c r="F59" s="99" t="s">
        <v>108</v>
      </c>
      <c r="G59" s="235">
        <v>43584</v>
      </c>
      <c r="H59" s="23">
        <f>79920000+6525000</f>
        <v>86445000</v>
      </c>
      <c r="I59" s="340">
        <f>+H59/C59*100</f>
        <v>57.63</v>
      </c>
      <c r="J59" s="23">
        <f>79920000+6525000</f>
        <v>86445000</v>
      </c>
      <c r="K59" s="71">
        <f>+J59/C59*100</f>
        <v>57.63</v>
      </c>
      <c r="L59" s="357">
        <v>100</v>
      </c>
      <c r="M59" s="37">
        <f>+J59/C59*100</f>
        <v>57.63</v>
      </c>
      <c r="N59" s="379">
        <f>C59-J59</f>
        <v>63555000</v>
      </c>
      <c r="O59" s="384"/>
    </row>
    <row r="60" spans="1:15" ht="12.75">
      <c r="A60" s="255"/>
      <c r="B60" s="246"/>
      <c r="C60" s="28"/>
      <c r="D60" s="215"/>
      <c r="E60" s="29"/>
      <c r="F60" s="134"/>
      <c r="G60" s="238"/>
      <c r="H60" s="29"/>
      <c r="I60" s="314"/>
      <c r="J60" s="29"/>
      <c r="K60" s="36"/>
      <c r="L60" s="307"/>
      <c r="M60" s="173"/>
      <c r="N60" s="379"/>
      <c r="O60" s="384"/>
    </row>
    <row r="61" spans="1:15" ht="12.75">
      <c r="A61" s="256">
        <v>5</v>
      </c>
      <c r="B61" s="97" t="s">
        <v>56</v>
      </c>
      <c r="C61" s="48">
        <f>SUM(C62:C75)</f>
        <v>1208500000</v>
      </c>
      <c r="D61" s="202"/>
      <c r="E61" s="48">
        <f>E62+E63+E64++E65+E66+E67+E68+E71+E73+E75+E70</f>
        <v>160501000</v>
      </c>
      <c r="F61" s="202"/>
      <c r="G61" s="239"/>
      <c r="H61" s="174">
        <f>SUM(H62:H75)</f>
        <v>742125370</v>
      </c>
      <c r="I61" s="311">
        <f aca="true" t="shared" si="9" ref="I61:I69">+H61/C61*100</f>
        <v>61.40880182043856</v>
      </c>
      <c r="J61" s="174">
        <f>SUM(J62:J75)</f>
        <v>742125370</v>
      </c>
      <c r="K61" s="179">
        <f aca="true" t="shared" si="10" ref="K61:K69">+J61/C61*100</f>
        <v>61.40880182043856</v>
      </c>
      <c r="L61" s="308">
        <v>100</v>
      </c>
      <c r="M61" s="64">
        <f aca="true" t="shared" si="11" ref="M61:M69">+J61/C61*100</f>
        <v>61.40880182043856</v>
      </c>
      <c r="N61" s="379">
        <f aca="true" t="shared" si="12" ref="N61:N69">C61-J61</f>
        <v>466374630</v>
      </c>
      <c r="O61" s="384"/>
    </row>
    <row r="62" spans="1:15" ht="12.75">
      <c r="A62" s="63">
        <v>1</v>
      </c>
      <c r="B62" s="73" t="s">
        <v>57</v>
      </c>
      <c r="C62" s="71">
        <v>350000000</v>
      </c>
      <c r="D62" s="213"/>
      <c r="E62" s="71"/>
      <c r="F62" s="99"/>
      <c r="G62" s="235"/>
      <c r="H62" s="71">
        <f>131248900+21300000</f>
        <v>152548900</v>
      </c>
      <c r="I62" s="340">
        <f t="shared" si="9"/>
        <v>43.5854</v>
      </c>
      <c r="J62" s="71">
        <f>131248900+21300000</f>
        <v>152548900</v>
      </c>
      <c r="K62" s="71">
        <f t="shared" si="10"/>
        <v>43.5854</v>
      </c>
      <c r="L62" s="308">
        <v>100</v>
      </c>
      <c r="M62" s="37">
        <f t="shared" si="11"/>
        <v>43.5854</v>
      </c>
      <c r="N62" s="379">
        <f t="shared" si="12"/>
        <v>197451100</v>
      </c>
      <c r="O62" s="384"/>
    </row>
    <row r="63" spans="1:15" ht="12.75">
      <c r="A63" s="63">
        <v>2</v>
      </c>
      <c r="B63" s="98" t="s">
        <v>58</v>
      </c>
      <c r="C63" s="71">
        <v>165000000</v>
      </c>
      <c r="D63" s="213"/>
      <c r="E63" s="37"/>
      <c r="F63" s="99"/>
      <c r="G63" s="235"/>
      <c r="H63" s="71">
        <f>122001983+1342421</f>
        <v>123344404</v>
      </c>
      <c r="I63" s="340">
        <f t="shared" si="9"/>
        <v>74.75418424242423</v>
      </c>
      <c r="J63" s="71">
        <f>122001983+1342421</f>
        <v>123344404</v>
      </c>
      <c r="K63" s="71">
        <f t="shared" si="10"/>
        <v>74.75418424242423</v>
      </c>
      <c r="L63" s="308">
        <v>100</v>
      </c>
      <c r="M63" s="37">
        <f t="shared" si="11"/>
        <v>74.75418424242423</v>
      </c>
      <c r="N63" s="379">
        <f t="shared" si="12"/>
        <v>41655596</v>
      </c>
      <c r="O63" s="384"/>
    </row>
    <row r="64" spans="1:15" ht="12.75">
      <c r="A64" s="63">
        <v>3</v>
      </c>
      <c r="B64" s="98" t="s">
        <v>59</v>
      </c>
      <c r="C64" s="71">
        <v>50000000</v>
      </c>
      <c r="D64" s="213"/>
      <c r="E64" s="37"/>
      <c r="F64" s="99"/>
      <c r="G64" s="235"/>
      <c r="H64" s="7">
        <f>22900000+1375000</f>
        <v>24275000</v>
      </c>
      <c r="I64" s="340">
        <f t="shared" si="9"/>
        <v>48.55</v>
      </c>
      <c r="J64" s="7">
        <f>22900000+1375000</f>
        <v>24275000</v>
      </c>
      <c r="K64" s="71">
        <f t="shared" si="10"/>
        <v>48.55</v>
      </c>
      <c r="L64" s="308">
        <v>100</v>
      </c>
      <c r="M64" s="37">
        <f t="shared" si="11"/>
        <v>48.55</v>
      </c>
      <c r="N64" s="379">
        <f t="shared" si="12"/>
        <v>25725000</v>
      </c>
      <c r="O64" s="384"/>
    </row>
    <row r="65" spans="1:15" ht="12.75">
      <c r="A65" s="63">
        <v>4</v>
      </c>
      <c r="B65" s="73" t="s">
        <v>78</v>
      </c>
      <c r="C65" s="71">
        <v>80000000</v>
      </c>
      <c r="D65" s="213" t="s">
        <v>110</v>
      </c>
      <c r="E65" s="37">
        <v>11000000</v>
      </c>
      <c r="F65" s="99" t="s">
        <v>109</v>
      </c>
      <c r="G65" s="235">
        <v>43580</v>
      </c>
      <c r="H65" s="7">
        <f>29275000+25799900</f>
        <v>55074900</v>
      </c>
      <c r="I65" s="340">
        <f t="shared" si="9"/>
        <v>68.843625</v>
      </c>
      <c r="J65" s="7">
        <f>29275000+25799900</f>
        <v>55074900</v>
      </c>
      <c r="K65" s="71">
        <f t="shared" si="10"/>
        <v>68.843625</v>
      </c>
      <c r="L65" s="308">
        <v>100</v>
      </c>
      <c r="M65" s="37">
        <f t="shared" si="11"/>
        <v>68.843625</v>
      </c>
      <c r="N65" s="379">
        <f t="shared" si="12"/>
        <v>24925100</v>
      </c>
      <c r="O65" s="384"/>
    </row>
    <row r="66" spans="1:15" ht="12.75">
      <c r="A66" s="63">
        <v>5</v>
      </c>
      <c r="B66" s="73" t="s">
        <v>79</v>
      </c>
      <c r="C66" s="71">
        <v>50000000</v>
      </c>
      <c r="D66" s="213"/>
      <c r="E66" s="37"/>
      <c r="F66" s="99"/>
      <c r="G66" s="235"/>
      <c r="H66" s="7">
        <f>10775000+4950000</f>
        <v>15725000</v>
      </c>
      <c r="I66" s="340">
        <f t="shared" si="9"/>
        <v>31.45</v>
      </c>
      <c r="J66" s="7">
        <f>10775000+4950000</f>
        <v>15725000</v>
      </c>
      <c r="K66" s="71">
        <f t="shared" si="10"/>
        <v>31.45</v>
      </c>
      <c r="L66" s="308">
        <v>100</v>
      </c>
      <c r="M66" s="37">
        <f t="shared" si="11"/>
        <v>31.45</v>
      </c>
      <c r="N66" s="379">
        <f t="shared" si="12"/>
        <v>34275000</v>
      </c>
      <c r="O66" s="384"/>
    </row>
    <row r="67" spans="1:15" ht="12.75">
      <c r="A67" s="63">
        <v>6</v>
      </c>
      <c r="B67" s="73" t="s">
        <v>60</v>
      </c>
      <c r="C67" s="71">
        <v>50000000</v>
      </c>
      <c r="D67" s="213"/>
      <c r="E67" s="37"/>
      <c r="F67" s="99"/>
      <c r="G67" s="235"/>
      <c r="H67" s="7">
        <f>20860166+1435000</f>
        <v>22295166</v>
      </c>
      <c r="I67" s="340">
        <f t="shared" si="9"/>
        <v>44.590332</v>
      </c>
      <c r="J67" s="7">
        <f>20860166+1435000</f>
        <v>22295166</v>
      </c>
      <c r="K67" s="71">
        <f t="shared" si="10"/>
        <v>44.590332</v>
      </c>
      <c r="L67" s="308">
        <v>100</v>
      </c>
      <c r="M67" s="37">
        <f t="shared" si="11"/>
        <v>44.590332</v>
      </c>
      <c r="N67" s="379">
        <f t="shared" si="12"/>
        <v>27704834</v>
      </c>
      <c r="O67" s="384"/>
    </row>
    <row r="68" spans="1:15" ht="12.75">
      <c r="A68" s="257">
        <v>7</v>
      </c>
      <c r="B68" s="122" t="s">
        <v>61</v>
      </c>
      <c r="C68" s="123">
        <v>50000000</v>
      </c>
      <c r="D68" s="216"/>
      <c r="E68" s="115"/>
      <c r="F68" s="203"/>
      <c r="G68" s="240"/>
      <c r="H68" s="124">
        <v>48600000</v>
      </c>
      <c r="I68" s="340">
        <f t="shared" si="9"/>
        <v>97.2</v>
      </c>
      <c r="J68" s="124">
        <v>48600000</v>
      </c>
      <c r="K68" s="71">
        <f t="shared" si="10"/>
        <v>97.2</v>
      </c>
      <c r="L68" s="308">
        <v>100</v>
      </c>
      <c r="M68" s="37">
        <f t="shared" si="11"/>
        <v>97.2</v>
      </c>
      <c r="N68" s="379">
        <f t="shared" si="12"/>
        <v>1400000</v>
      </c>
      <c r="O68" s="384"/>
    </row>
    <row r="69" spans="1:15" ht="12.75">
      <c r="A69" s="63">
        <v>8</v>
      </c>
      <c r="B69" s="122" t="s">
        <v>85</v>
      </c>
      <c r="C69" s="123">
        <v>156700000</v>
      </c>
      <c r="D69" s="216"/>
      <c r="E69" s="115"/>
      <c r="F69" s="203"/>
      <c r="G69" s="240"/>
      <c r="H69" s="124">
        <v>149501000</v>
      </c>
      <c r="I69" s="340">
        <f t="shared" si="9"/>
        <v>95.40587109125718</v>
      </c>
      <c r="J69" s="124">
        <v>149501000</v>
      </c>
      <c r="K69" s="71">
        <f t="shared" si="10"/>
        <v>95.40587109125718</v>
      </c>
      <c r="L69" s="308">
        <v>100</v>
      </c>
      <c r="M69" s="37">
        <f t="shared" si="11"/>
        <v>95.40587109125718</v>
      </c>
      <c r="N69" s="379">
        <f t="shared" si="12"/>
        <v>7199000</v>
      </c>
      <c r="O69" s="384"/>
    </row>
    <row r="70" spans="1:15" ht="14.25" customHeight="1">
      <c r="A70" s="257"/>
      <c r="B70" s="122"/>
      <c r="C70" s="123"/>
      <c r="D70" s="331" t="s">
        <v>154</v>
      </c>
      <c r="E70" s="333">
        <v>149501000</v>
      </c>
      <c r="F70" s="334" t="s">
        <v>156</v>
      </c>
      <c r="G70" s="335" t="s">
        <v>155</v>
      </c>
      <c r="H70" s="336"/>
      <c r="I70" s="354"/>
      <c r="J70" s="336"/>
      <c r="K70" s="71"/>
      <c r="L70" s="308"/>
      <c r="M70" s="37"/>
      <c r="N70" s="379"/>
      <c r="O70" s="384"/>
    </row>
    <row r="71" spans="1:15" ht="12.75">
      <c r="A71" s="257">
        <v>9</v>
      </c>
      <c r="B71" s="328" t="s">
        <v>80</v>
      </c>
      <c r="C71" s="181">
        <v>140000000</v>
      </c>
      <c r="D71" s="217"/>
      <c r="E71" s="182"/>
      <c r="F71" s="204"/>
      <c r="G71" s="241"/>
      <c r="H71" s="181">
        <v>108166000</v>
      </c>
      <c r="I71" s="353">
        <f>(H71)/C71*100</f>
        <v>77.26142857142857</v>
      </c>
      <c r="J71" s="181">
        <f>14864000+7372000</f>
        <v>22236000</v>
      </c>
      <c r="K71" s="339">
        <f>(J71+J72)/C71*100</f>
        <v>77.26142857142857</v>
      </c>
      <c r="L71" s="308">
        <v>100</v>
      </c>
      <c r="M71" s="37">
        <f>(J71+J72)/C71*100</f>
        <v>77.26142857142857</v>
      </c>
      <c r="N71" s="380">
        <f>C71-J71-J72</f>
        <v>31834000</v>
      </c>
      <c r="O71" s="384"/>
    </row>
    <row r="72" spans="1:15" ht="13.5" customHeight="1">
      <c r="A72" s="257"/>
      <c r="B72" s="328"/>
      <c r="C72" s="181"/>
      <c r="D72" s="330" t="s">
        <v>140</v>
      </c>
      <c r="E72" s="182">
        <v>85930000</v>
      </c>
      <c r="F72" s="329" t="s">
        <v>141</v>
      </c>
      <c r="G72" s="241">
        <v>43556</v>
      </c>
      <c r="H72" s="182"/>
      <c r="I72" s="340"/>
      <c r="J72" s="182">
        <v>85930000</v>
      </c>
      <c r="K72" s="71"/>
      <c r="L72" s="308"/>
      <c r="M72" s="37"/>
      <c r="N72" s="380"/>
      <c r="O72" s="384"/>
    </row>
    <row r="73" spans="1:15" ht="12.75">
      <c r="A73" s="63">
        <v>10</v>
      </c>
      <c r="B73" s="73" t="s">
        <v>62</v>
      </c>
      <c r="C73" s="71">
        <v>68300000</v>
      </c>
      <c r="D73" s="213"/>
      <c r="E73" s="71"/>
      <c r="F73" s="99"/>
      <c r="G73" s="235"/>
      <c r="H73" s="7">
        <v>14545000</v>
      </c>
      <c r="I73" s="340">
        <f>+H73/C73*100</f>
        <v>21.29575402635432</v>
      </c>
      <c r="J73" s="7">
        <v>14545000</v>
      </c>
      <c r="K73" s="71">
        <f>+J73/C73*100</f>
        <v>21.29575402635432</v>
      </c>
      <c r="L73" s="308">
        <v>100</v>
      </c>
      <c r="M73" s="37">
        <f>+J73/C73*100</f>
        <v>21.29575402635432</v>
      </c>
      <c r="N73" s="379">
        <f aca="true" t="shared" si="13" ref="N73:N83">C73-J73</f>
        <v>53755000</v>
      </c>
      <c r="O73" s="384"/>
    </row>
    <row r="74" spans="1:15" ht="13.5" customHeight="1">
      <c r="A74" s="257">
        <v>11</v>
      </c>
      <c r="B74" s="75" t="s">
        <v>81</v>
      </c>
      <c r="C74" s="38">
        <v>27500000</v>
      </c>
      <c r="D74" s="218"/>
      <c r="E74" s="71"/>
      <c r="F74" s="99"/>
      <c r="G74" s="235"/>
      <c r="H74" s="7">
        <v>15150000</v>
      </c>
      <c r="I74" s="340">
        <f>+H74/C74*100</f>
        <v>55.09090909090909</v>
      </c>
      <c r="J74" s="7">
        <v>15150000</v>
      </c>
      <c r="K74" s="71">
        <f>+J74/C74*100</f>
        <v>55.09090909090909</v>
      </c>
      <c r="L74" s="308">
        <v>100</v>
      </c>
      <c r="M74" s="37">
        <f>+J74/C74*100</f>
        <v>55.09090909090909</v>
      </c>
      <c r="N74" s="379">
        <f t="shared" si="13"/>
        <v>12350000</v>
      </c>
      <c r="O74" s="384"/>
    </row>
    <row r="75" spans="1:15" ht="12.75">
      <c r="A75" s="63">
        <v>12</v>
      </c>
      <c r="B75" s="73" t="s">
        <v>55</v>
      </c>
      <c r="C75" s="38">
        <v>21000000</v>
      </c>
      <c r="D75" s="218"/>
      <c r="E75" s="71"/>
      <c r="F75" s="99"/>
      <c r="G75" s="235"/>
      <c r="H75" s="7">
        <v>12900000</v>
      </c>
      <c r="I75" s="340">
        <f>+H75/C75*100</f>
        <v>61.42857142857143</v>
      </c>
      <c r="J75" s="7">
        <v>12900000</v>
      </c>
      <c r="K75" s="71">
        <f>+J75/C75*100</f>
        <v>61.42857142857143</v>
      </c>
      <c r="L75" s="308">
        <v>100</v>
      </c>
      <c r="M75" s="37">
        <f>+J75/C75*100</f>
        <v>61.42857142857143</v>
      </c>
      <c r="N75" s="379">
        <f t="shared" si="13"/>
        <v>8100000</v>
      </c>
      <c r="O75" s="384"/>
    </row>
    <row r="76" spans="1:15" ht="12.75">
      <c r="A76" s="258"/>
      <c r="B76" s="125"/>
      <c r="C76" s="22"/>
      <c r="D76" s="201"/>
      <c r="E76" s="32"/>
      <c r="F76" s="99"/>
      <c r="G76" s="235"/>
      <c r="H76" s="23"/>
      <c r="I76" s="315"/>
      <c r="J76" s="23"/>
      <c r="K76" s="7"/>
      <c r="L76" s="307"/>
      <c r="M76" s="7"/>
      <c r="N76" s="379">
        <f t="shared" si="13"/>
        <v>0</v>
      </c>
      <c r="O76" s="384"/>
    </row>
    <row r="77" spans="1:15" ht="12.75">
      <c r="A77" s="259">
        <v>6</v>
      </c>
      <c r="B77" s="97" t="s">
        <v>63</v>
      </c>
      <c r="C77" s="48">
        <f>C78+C79+C80</f>
        <v>340000000</v>
      </c>
      <c r="D77" s="202"/>
      <c r="E77" s="48">
        <f>E78+E79+E80</f>
        <v>0</v>
      </c>
      <c r="F77" s="202"/>
      <c r="G77" s="239"/>
      <c r="H77" s="174">
        <f>SUM(H78:H80)</f>
        <v>316194000</v>
      </c>
      <c r="I77" s="340">
        <f>+H77/C77*100</f>
        <v>92.99823529411765</v>
      </c>
      <c r="J77" s="174">
        <f>SUM(J78:J80)</f>
        <v>316194000</v>
      </c>
      <c r="K77" s="71">
        <f>+J77/C77*100</f>
        <v>92.99823529411765</v>
      </c>
      <c r="L77" s="308">
        <v>100</v>
      </c>
      <c r="M77" s="37">
        <f>+J77/C77*100</f>
        <v>92.99823529411765</v>
      </c>
      <c r="N77" s="379">
        <f t="shared" si="13"/>
        <v>23806000</v>
      </c>
      <c r="O77" s="384"/>
    </row>
    <row r="78" spans="1:15" ht="12.75">
      <c r="A78" s="63">
        <v>1</v>
      </c>
      <c r="B78" s="73" t="s">
        <v>64</v>
      </c>
      <c r="C78" s="38">
        <v>50000000</v>
      </c>
      <c r="D78" s="218"/>
      <c r="E78" s="38"/>
      <c r="F78" s="99"/>
      <c r="G78" s="235"/>
      <c r="H78" s="38">
        <f>37223000+3525000+5525000</f>
        <v>46273000</v>
      </c>
      <c r="I78" s="340">
        <f>+H78/C78*100</f>
        <v>92.54599999999999</v>
      </c>
      <c r="J78" s="38">
        <f>37223000+3525000+5525000</f>
        <v>46273000</v>
      </c>
      <c r="K78" s="71">
        <f>+J78/C78*100</f>
        <v>92.54599999999999</v>
      </c>
      <c r="L78" s="308">
        <v>100</v>
      </c>
      <c r="M78" s="37">
        <f>+J78/C78*100</f>
        <v>92.54599999999999</v>
      </c>
      <c r="N78" s="379">
        <f t="shared" si="13"/>
        <v>3727000</v>
      </c>
      <c r="O78" s="384"/>
    </row>
    <row r="79" spans="1:15" ht="12.75">
      <c r="A79" s="63">
        <v>2</v>
      </c>
      <c r="B79" s="73" t="s">
        <v>65</v>
      </c>
      <c r="C79" s="38">
        <v>35000000</v>
      </c>
      <c r="D79" s="218"/>
      <c r="E79" s="32"/>
      <c r="F79" s="99"/>
      <c r="G79" s="235"/>
      <c r="H79" s="38">
        <f>8946000+20250000</f>
        <v>29196000</v>
      </c>
      <c r="I79" s="340">
        <f>+H79/C79*100</f>
        <v>83.41714285714286</v>
      </c>
      <c r="J79" s="38">
        <f>8946000+20250000</f>
        <v>29196000</v>
      </c>
      <c r="K79" s="71">
        <f>+J79/C79*100</f>
        <v>83.41714285714286</v>
      </c>
      <c r="L79" s="308">
        <v>100</v>
      </c>
      <c r="M79" s="37">
        <f>+J79/C79*100</f>
        <v>83.41714285714286</v>
      </c>
      <c r="N79" s="379">
        <f t="shared" si="13"/>
        <v>5804000</v>
      </c>
      <c r="O79" s="384"/>
    </row>
    <row r="80" spans="1:15" ht="12.75">
      <c r="A80" s="63">
        <v>3</v>
      </c>
      <c r="B80" s="73" t="s">
        <v>66</v>
      </c>
      <c r="C80" s="71">
        <v>255000000</v>
      </c>
      <c r="D80" s="213"/>
      <c r="E80" s="71"/>
      <c r="F80" s="99"/>
      <c r="G80" s="235"/>
      <c r="H80" s="71">
        <f>236275000+4450000</f>
        <v>240725000</v>
      </c>
      <c r="I80" s="340">
        <f>+H80/C80*100</f>
        <v>94.40196078431372</v>
      </c>
      <c r="J80" s="71">
        <f>236275000+4450000</f>
        <v>240725000</v>
      </c>
      <c r="K80" s="71">
        <f>+J80/C80*100</f>
        <v>94.40196078431372</v>
      </c>
      <c r="L80" s="308">
        <v>100</v>
      </c>
      <c r="M80" s="37">
        <f>+J80/C80*100</f>
        <v>94.40196078431372</v>
      </c>
      <c r="N80" s="379">
        <f t="shared" si="13"/>
        <v>14275000</v>
      </c>
      <c r="O80" s="384"/>
    </row>
    <row r="81" spans="1:15" ht="12.75">
      <c r="A81" s="255"/>
      <c r="B81" s="132"/>
      <c r="C81" s="133"/>
      <c r="D81" s="219"/>
      <c r="E81" s="133"/>
      <c r="F81" s="134"/>
      <c r="G81" s="238"/>
      <c r="H81" s="133">
        <v>0</v>
      </c>
      <c r="I81" s="314"/>
      <c r="J81" s="133"/>
      <c r="K81" s="36"/>
      <c r="L81" s="177"/>
      <c r="M81" s="173"/>
      <c r="N81" s="379">
        <f t="shared" si="13"/>
        <v>0</v>
      </c>
      <c r="O81" s="384"/>
    </row>
    <row r="82" spans="1:15" s="373" customFormat="1" ht="22.5" customHeight="1">
      <c r="A82" s="365">
        <v>7</v>
      </c>
      <c r="B82" s="97" t="s">
        <v>67</v>
      </c>
      <c r="C82" s="366">
        <f>C83+C84</f>
        <v>520000000</v>
      </c>
      <c r="D82" s="367"/>
      <c r="E82" s="366">
        <f>SUM(E83:E91)</f>
        <v>455708000</v>
      </c>
      <c r="F82" s="367"/>
      <c r="G82" s="368"/>
      <c r="H82" s="369">
        <f>SUM(H83:H91)</f>
        <v>294013000</v>
      </c>
      <c r="I82" s="337">
        <f>+H82/C82*100</f>
        <v>56.540961538461545</v>
      </c>
      <c r="J82" s="369">
        <f>J83+J84+J85+J86+J87+J88+J89+J90+J91</f>
        <v>505018000</v>
      </c>
      <c r="K82" s="370">
        <f>+J82/C82*100</f>
        <v>97.11884615384615</v>
      </c>
      <c r="L82" s="371">
        <v>100</v>
      </c>
      <c r="M82" s="372">
        <f>+J82/C82*100</f>
        <v>97.11884615384615</v>
      </c>
      <c r="N82" s="380">
        <f t="shared" si="13"/>
        <v>14982000</v>
      </c>
      <c r="O82" s="385"/>
    </row>
    <row r="83" spans="1:15" ht="16.5" customHeight="1">
      <c r="A83" s="258">
        <v>1</v>
      </c>
      <c r="B83" s="73" t="s">
        <v>68</v>
      </c>
      <c r="C83" s="71">
        <v>100000000</v>
      </c>
      <c r="D83" s="273" t="s">
        <v>129</v>
      </c>
      <c r="E83" s="22">
        <v>98395000</v>
      </c>
      <c r="F83" s="273" t="s">
        <v>128</v>
      </c>
      <c r="G83" s="237" t="s">
        <v>127</v>
      </c>
      <c r="H83" s="71">
        <v>99445000</v>
      </c>
      <c r="I83" s="340">
        <f>+H83/C83*100</f>
        <v>99.445</v>
      </c>
      <c r="J83" s="71">
        <v>99445000</v>
      </c>
      <c r="K83" s="71">
        <f>+J83/C83*100</f>
        <v>99.445</v>
      </c>
      <c r="L83" s="308">
        <v>100</v>
      </c>
      <c r="M83" s="37">
        <f>+J83/C83*100</f>
        <v>99.445</v>
      </c>
      <c r="N83" s="379">
        <f t="shared" si="13"/>
        <v>555000</v>
      </c>
      <c r="O83" s="384"/>
    </row>
    <row r="84" spans="1:15" ht="16.5" customHeight="1">
      <c r="A84" s="258">
        <v>2</v>
      </c>
      <c r="B84" s="73" t="s">
        <v>69</v>
      </c>
      <c r="C84" s="71">
        <v>420000000</v>
      </c>
      <c r="D84" s="331" t="s">
        <v>136</v>
      </c>
      <c r="E84" s="71">
        <v>98188000</v>
      </c>
      <c r="F84" s="347" t="s">
        <v>134</v>
      </c>
      <c r="G84" s="235" t="s">
        <v>135</v>
      </c>
      <c r="H84" s="71">
        <v>98188000</v>
      </c>
      <c r="I84" s="340">
        <f>+H84/C84*100</f>
        <v>23.378095238095238</v>
      </c>
      <c r="J84" s="71">
        <v>98188000</v>
      </c>
      <c r="K84" s="71">
        <f>+J84/C84*100</f>
        <v>23.378095238095238</v>
      </c>
      <c r="L84" s="308">
        <v>100</v>
      </c>
      <c r="M84" s="37">
        <f>+J84/C84*100</f>
        <v>23.378095238095238</v>
      </c>
      <c r="N84" s="379">
        <f>C84-(J84+J85+J86+J87+J88+J89+J90+J91)</f>
        <v>14427000</v>
      </c>
      <c r="O84" s="384"/>
    </row>
    <row r="85" spans="1:15" ht="15.75" customHeight="1">
      <c r="A85" s="258"/>
      <c r="B85" s="73"/>
      <c r="C85" s="71"/>
      <c r="D85" s="331" t="s">
        <v>145</v>
      </c>
      <c r="E85" s="71">
        <v>48230000</v>
      </c>
      <c r="F85" s="347" t="s">
        <v>144</v>
      </c>
      <c r="G85" s="241" t="s">
        <v>143</v>
      </c>
      <c r="H85" s="71">
        <v>48230000</v>
      </c>
      <c r="I85" s="353">
        <f>+H85/C84*100</f>
        <v>11.483333333333333</v>
      </c>
      <c r="J85" s="71">
        <v>48230000</v>
      </c>
      <c r="K85" s="339">
        <f>+J85/C84*100</f>
        <v>11.483333333333333</v>
      </c>
      <c r="L85" s="308"/>
      <c r="M85" s="37">
        <f>+J85/C84*100</f>
        <v>11.483333333333333</v>
      </c>
      <c r="N85" s="379"/>
      <c r="O85" s="384"/>
    </row>
    <row r="86" spans="1:15" ht="12.75" customHeight="1">
      <c r="A86" s="258"/>
      <c r="B86" s="73"/>
      <c r="C86" s="71"/>
      <c r="D86" s="331" t="s">
        <v>142</v>
      </c>
      <c r="E86" s="71">
        <v>48150000</v>
      </c>
      <c r="F86" s="347" t="s">
        <v>146</v>
      </c>
      <c r="G86" s="241" t="s">
        <v>143</v>
      </c>
      <c r="H86" s="71">
        <v>48150000</v>
      </c>
      <c r="I86" s="353">
        <f>+H86/C84*100</f>
        <v>11.464285714285714</v>
      </c>
      <c r="J86" s="71">
        <v>48150000</v>
      </c>
      <c r="K86" s="339">
        <f>+J86/C84*100</f>
        <v>11.464285714285714</v>
      </c>
      <c r="L86" s="308"/>
      <c r="M86" s="37">
        <f>+J86/C84*100</f>
        <v>11.464285714285714</v>
      </c>
      <c r="N86" s="379"/>
      <c r="O86" s="384"/>
    </row>
    <row r="87" spans="1:15" ht="12" customHeight="1">
      <c r="A87" s="258"/>
      <c r="B87" s="73"/>
      <c r="C87" s="71"/>
      <c r="D87" s="331" t="s">
        <v>147</v>
      </c>
      <c r="E87" s="71">
        <v>38280000</v>
      </c>
      <c r="F87" s="349" t="s">
        <v>148</v>
      </c>
      <c r="G87" s="241">
        <v>43556</v>
      </c>
      <c r="H87" s="71">
        <v>0</v>
      </c>
      <c r="I87" s="353">
        <f>+H87/C84*100</f>
        <v>0</v>
      </c>
      <c r="J87" s="71">
        <v>38280000</v>
      </c>
      <c r="K87" s="339">
        <f>+J87/C84*100</f>
        <v>9.114285714285714</v>
      </c>
      <c r="L87" s="308"/>
      <c r="M87" s="37">
        <f>+J87/C84*100</f>
        <v>9.114285714285714</v>
      </c>
      <c r="N87" s="379"/>
      <c r="O87" s="384"/>
    </row>
    <row r="88" spans="1:15" ht="12.75" customHeight="1">
      <c r="A88" s="258"/>
      <c r="B88" s="73"/>
      <c r="C88" s="71"/>
      <c r="D88" s="331" t="s">
        <v>149</v>
      </c>
      <c r="F88" s="349" t="s">
        <v>148</v>
      </c>
      <c r="G88" s="241">
        <v>43556</v>
      </c>
      <c r="H88" s="71">
        <v>0</v>
      </c>
      <c r="I88" s="353">
        <f>+H88/C84*100</f>
        <v>0</v>
      </c>
      <c r="J88" s="71">
        <v>48260000</v>
      </c>
      <c r="K88" s="339">
        <f>+J88/C84*100</f>
        <v>11.49047619047619</v>
      </c>
      <c r="L88" s="308"/>
      <c r="M88" s="37">
        <f>+J88/C84*100</f>
        <v>11.49047619047619</v>
      </c>
      <c r="N88" s="379"/>
      <c r="O88" s="384"/>
    </row>
    <row r="89" spans="1:15" ht="14.25" customHeight="1">
      <c r="A89" s="258"/>
      <c r="B89" s="73"/>
      <c r="C89" s="71"/>
      <c r="D89" s="331" t="s">
        <v>150</v>
      </c>
      <c r="E89" s="71">
        <v>38170000</v>
      </c>
      <c r="F89" s="349" t="s">
        <v>148</v>
      </c>
      <c r="G89" s="241">
        <v>43556</v>
      </c>
      <c r="H89" s="71">
        <v>0</v>
      </c>
      <c r="I89" s="353">
        <f>+H89/C84*100</f>
        <v>0</v>
      </c>
      <c r="J89" s="71">
        <v>38170000</v>
      </c>
      <c r="K89" s="339">
        <f>+J89/C84*100</f>
        <v>9.088095238095239</v>
      </c>
      <c r="L89" s="308"/>
      <c r="M89" s="37">
        <f>+J89/C84*100</f>
        <v>9.088095238095239</v>
      </c>
      <c r="N89" s="379"/>
      <c r="O89" s="384"/>
    </row>
    <row r="90" spans="1:15" ht="15.75" customHeight="1">
      <c r="A90" s="258"/>
      <c r="B90" s="73"/>
      <c r="C90" s="71"/>
      <c r="D90" s="331" t="s">
        <v>151</v>
      </c>
      <c r="E90" s="71">
        <v>48125000</v>
      </c>
      <c r="F90" s="348" t="s">
        <v>152</v>
      </c>
      <c r="G90" s="241">
        <v>43556</v>
      </c>
      <c r="H90" s="71">
        <v>0</v>
      </c>
      <c r="I90" s="353">
        <f>+H90/C84*100</f>
        <v>0</v>
      </c>
      <c r="J90" s="71">
        <v>48125000</v>
      </c>
      <c r="K90" s="339">
        <f>+J90/C84*100</f>
        <v>11.458333333333332</v>
      </c>
      <c r="L90" s="308"/>
      <c r="M90" s="37">
        <f>+J90/C84*100</f>
        <v>11.458333333333332</v>
      </c>
      <c r="N90" s="379"/>
      <c r="O90" s="384"/>
    </row>
    <row r="91" spans="1:15" ht="14.25" customHeight="1">
      <c r="A91" s="258"/>
      <c r="B91" s="73"/>
      <c r="C91" s="71"/>
      <c r="D91" s="331" t="s">
        <v>153</v>
      </c>
      <c r="E91" s="71">
        <v>38170000</v>
      </c>
      <c r="F91" s="348" t="s">
        <v>152</v>
      </c>
      <c r="G91" s="241">
        <v>43556</v>
      </c>
      <c r="H91" s="71">
        <v>0</v>
      </c>
      <c r="I91" s="353">
        <f>+H91/C84*100</f>
        <v>0</v>
      </c>
      <c r="J91" s="71">
        <v>38170000</v>
      </c>
      <c r="K91" s="339">
        <f>+J91/C84*100</f>
        <v>9.088095238095239</v>
      </c>
      <c r="L91" s="308"/>
      <c r="M91" s="37">
        <f>+J91/C84*100</f>
        <v>9.088095238095239</v>
      </c>
      <c r="N91" s="379"/>
      <c r="O91" s="384"/>
    </row>
    <row r="92" spans="1:15" ht="12.75">
      <c r="A92" s="258"/>
      <c r="B92" s="98"/>
      <c r="C92" s="71"/>
      <c r="D92" s="213"/>
      <c r="E92" s="32"/>
      <c r="F92" s="99"/>
      <c r="G92" s="235"/>
      <c r="H92" s="7"/>
      <c r="I92" s="315"/>
      <c r="J92" s="7"/>
      <c r="K92" s="7"/>
      <c r="L92" s="7"/>
      <c r="M92" s="145"/>
      <c r="N92" s="379">
        <f>C92-J92</f>
        <v>0</v>
      </c>
      <c r="O92" s="384"/>
    </row>
    <row r="93" spans="1:15" ht="12.75">
      <c r="A93" s="254">
        <v>8</v>
      </c>
      <c r="B93" s="69" t="s">
        <v>70</v>
      </c>
      <c r="C93" s="39">
        <f>SUM(C94:C94)</f>
        <v>100000000</v>
      </c>
      <c r="D93" s="198"/>
      <c r="E93" s="39">
        <f>SUM(E94:E94)</f>
        <v>0</v>
      </c>
      <c r="F93" s="198"/>
      <c r="G93" s="234"/>
      <c r="H93" s="179">
        <f>SUM(H94:H94)</f>
        <v>48896500</v>
      </c>
      <c r="I93" s="311">
        <f>+H93/C93*100</f>
        <v>48.896499999999996</v>
      </c>
      <c r="J93" s="179">
        <f>SUM(J94:J94)</f>
        <v>48896500</v>
      </c>
      <c r="K93" s="179">
        <f>+J93/C93*100</f>
        <v>48.896499999999996</v>
      </c>
      <c r="L93" s="308">
        <v>100</v>
      </c>
      <c r="M93" s="64">
        <f>+J93/C93*100</f>
        <v>48.896499999999996</v>
      </c>
      <c r="N93" s="379">
        <f>C93-J93</f>
        <v>51103500</v>
      </c>
      <c r="O93" s="384"/>
    </row>
    <row r="94" spans="1:15" ht="12.75">
      <c r="A94" s="260"/>
      <c r="B94" s="52" t="s">
        <v>71</v>
      </c>
      <c r="C94" s="53">
        <v>100000000</v>
      </c>
      <c r="D94" s="220"/>
      <c r="E94" s="51"/>
      <c r="F94" s="205"/>
      <c r="G94" s="242"/>
      <c r="H94" s="54">
        <f>1400000+47496500</f>
        <v>48896500</v>
      </c>
      <c r="I94" s="340">
        <f>+H94/C94*100</f>
        <v>48.896499999999996</v>
      </c>
      <c r="J94" s="54">
        <f>1400000+47496500</f>
        <v>48896500</v>
      </c>
      <c r="K94" s="71">
        <f>+J94/C94*100</f>
        <v>48.896499999999996</v>
      </c>
      <c r="L94" s="308">
        <v>100</v>
      </c>
      <c r="M94" s="37">
        <f>+J94/C94*100</f>
        <v>48.896499999999996</v>
      </c>
      <c r="N94" s="379">
        <f>C94-J94</f>
        <v>51103500</v>
      </c>
      <c r="O94" s="384"/>
    </row>
    <row r="95" spans="1:15" ht="13.5" thickBot="1">
      <c r="A95" s="63"/>
      <c r="B95" s="40"/>
      <c r="C95" s="41"/>
      <c r="D95" s="221"/>
      <c r="E95" s="37"/>
      <c r="F95" s="99"/>
      <c r="G95" s="235"/>
      <c r="H95" s="42"/>
      <c r="I95" s="320"/>
      <c r="J95" s="321"/>
      <c r="K95" s="322"/>
      <c r="L95" s="322"/>
      <c r="M95" s="322"/>
      <c r="N95" s="381"/>
      <c r="O95" s="386"/>
    </row>
    <row r="96" spans="1:15" ht="13.5" thickBot="1">
      <c r="A96" s="102"/>
      <c r="B96" s="103"/>
      <c r="C96" s="43">
        <f>C12+C26</f>
        <v>11516999500</v>
      </c>
      <c r="D96" s="43"/>
      <c r="E96" s="43">
        <f>+E12+E26</f>
        <v>1259241000</v>
      </c>
      <c r="F96" s="43">
        <f>F27+F40+F50+F53+F61+F77+F82+F93</f>
        <v>0</v>
      </c>
      <c r="G96" s="350"/>
      <c r="H96" s="351">
        <f>+H12+H26</f>
        <v>5939857777</v>
      </c>
      <c r="I96" s="323">
        <f>+H96/C96*100</f>
        <v>51.57469857491962</v>
      </c>
      <c r="J96" s="324">
        <f>+J12+J26</f>
        <v>6102177273</v>
      </c>
      <c r="K96" s="325">
        <f>+J96/C96*100</f>
        <v>52.98408906764301</v>
      </c>
      <c r="L96" s="326">
        <v>100</v>
      </c>
      <c r="M96" s="325">
        <f>SUM(M26+M12)/2</f>
        <v>64.65314780056652</v>
      </c>
      <c r="N96" s="319">
        <f>N12+N26</f>
        <v>5414822227</v>
      </c>
      <c r="O96" s="343"/>
    </row>
    <row r="97" spans="1:14" ht="12.75">
      <c r="A97" s="126"/>
      <c r="B97" s="127"/>
      <c r="C97" s="128"/>
      <c r="D97" s="206"/>
      <c r="E97" s="128"/>
      <c r="F97" s="206"/>
      <c r="G97" s="243"/>
      <c r="H97" s="128"/>
      <c r="I97" s="316"/>
      <c r="J97" s="128"/>
      <c r="K97" s="130"/>
      <c r="L97" s="128"/>
      <c r="M97" s="128"/>
      <c r="N97" s="128"/>
    </row>
    <row r="98" spans="1:14" ht="12.75">
      <c r="A98" s="126"/>
      <c r="B98" s="135"/>
      <c r="C98" s="136"/>
      <c r="D98" s="208"/>
      <c r="E98" s="60"/>
      <c r="F98" s="207"/>
      <c r="G98" s="244"/>
      <c r="H98" s="44"/>
      <c r="I98" s="107"/>
      <c r="J98" s="1"/>
      <c r="K98" s="117"/>
      <c r="L98" s="117" t="s">
        <v>158</v>
      </c>
      <c r="M98" s="117"/>
      <c r="N98" s="117"/>
    </row>
    <row r="99" spans="1:14" ht="12.75">
      <c r="A99" s="126"/>
      <c r="B99" s="138"/>
      <c r="C99" s="84"/>
      <c r="D99" s="199"/>
      <c r="E99" s="139"/>
      <c r="F99" s="207"/>
      <c r="G99" s="244"/>
      <c r="H99" s="45"/>
      <c r="I99" s="317"/>
      <c r="J99" s="1"/>
      <c r="K99" s="107"/>
      <c r="L99" s="107" t="s">
        <v>73</v>
      </c>
      <c r="M99" s="107"/>
      <c r="N99" s="107"/>
    </row>
    <row r="100" spans="1:14" ht="12.75">
      <c r="A100" s="126"/>
      <c r="B100" s="105" t="s">
        <v>82</v>
      </c>
      <c r="C100" s="106">
        <f>H96/C96*100</f>
        <v>51.57469857491962</v>
      </c>
      <c r="D100" s="222"/>
      <c r="E100" s="60"/>
      <c r="F100" s="208"/>
      <c r="G100" s="224"/>
      <c r="H100" s="44"/>
      <c r="I100" s="107"/>
      <c r="J100" s="1"/>
      <c r="K100" s="107"/>
      <c r="L100" s="107" t="s">
        <v>72</v>
      </c>
      <c r="M100" s="107"/>
      <c r="N100" s="107"/>
    </row>
    <row r="101" spans="1:14" ht="12.75">
      <c r="A101" s="126"/>
      <c r="B101" s="140"/>
      <c r="C101" s="141"/>
      <c r="D101" s="223"/>
      <c r="E101" s="60"/>
      <c r="F101" s="208"/>
      <c r="G101" s="224"/>
      <c r="H101" s="44"/>
      <c r="I101" s="107"/>
      <c r="J101" s="1"/>
      <c r="K101" s="107"/>
      <c r="L101" s="107"/>
      <c r="M101" s="107"/>
      <c r="N101" s="107"/>
    </row>
    <row r="102" spans="1:14" ht="12.75">
      <c r="A102" s="126"/>
      <c r="B102" s="140"/>
      <c r="C102" s="141"/>
      <c r="D102" s="223"/>
      <c r="E102" s="60"/>
      <c r="F102" s="208"/>
      <c r="G102" s="224"/>
      <c r="H102" s="44"/>
      <c r="I102" s="107"/>
      <c r="J102" s="1"/>
      <c r="K102" s="107"/>
      <c r="L102" s="107"/>
      <c r="M102" s="107"/>
      <c r="N102" s="107"/>
    </row>
    <row r="103" spans="1:14" ht="12.75">
      <c r="A103" s="126"/>
      <c r="B103" s="128"/>
      <c r="C103" s="84"/>
      <c r="D103" s="199"/>
      <c r="E103" s="60"/>
      <c r="F103" s="207"/>
      <c r="G103" s="244"/>
      <c r="H103" s="46"/>
      <c r="I103" s="107"/>
      <c r="J103" s="108"/>
      <c r="K103" s="108"/>
      <c r="L103" s="108" t="s">
        <v>74</v>
      </c>
      <c r="M103" s="1"/>
      <c r="N103" s="1"/>
    </row>
    <row r="104" spans="1:14" ht="12.75">
      <c r="A104" s="126"/>
      <c r="B104" s="127"/>
      <c r="C104" s="84"/>
      <c r="D104" s="199"/>
      <c r="E104" s="60"/>
      <c r="F104" s="187"/>
      <c r="G104" s="224"/>
      <c r="H104" s="46"/>
      <c r="I104" s="107"/>
      <c r="J104" s="107"/>
      <c r="K104" s="107"/>
      <c r="L104" s="107" t="s">
        <v>75</v>
      </c>
      <c r="M104" s="1"/>
      <c r="N104" s="1"/>
    </row>
  </sheetData>
  <sheetProtection/>
  <mergeCells count="22">
    <mergeCell ref="L8:L9"/>
    <mergeCell ref="M8:M9"/>
    <mergeCell ref="J8:J9"/>
    <mergeCell ref="K8:K9"/>
    <mergeCell ref="D7:D9"/>
    <mergeCell ref="E7:E9"/>
    <mergeCell ref="O7:O9"/>
    <mergeCell ref="F7:F9"/>
    <mergeCell ref="G7:G9"/>
    <mergeCell ref="H7:K7"/>
    <mergeCell ref="L7:M7"/>
    <mergeCell ref="N7:N9"/>
    <mergeCell ref="B7:B9"/>
    <mergeCell ref="C7:C9"/>
    <mergeCell ref="H8:H9"/>
    <mergeCell ref="I8:I9"/>
    <mergeCell ref="A1:N1"/>
    <mergeCell ref="A2:N2"/>
    <mergeCell ref="A3:N3"/>
    <mergeCell ref="A4:B4"/>
    <mergeCell ref="A5:B5"/>
    <mergeCell ref="A7:A9"/>
  </mergeCells>
  <printOptions horizontalCentered="1"/>
  <pageMargins left="0.2" right="0.2" top="0.75" bottom="0.75" header="0.3" footer="0.3"/>
  <pageSetup orientation="landscape" paperSize="5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43">
      <selection activeCell="H59" sqref="H59"/>
    </sheetView>
  </sheetViews>
  <sheetFormatPr defaultColWidth="11.28125" defaultRowHeight="12" customHeight="1"/>
  <cols>
    <col min="1" max="1" width="3.8515625" style="0" customWidth="1"/>
    <col min="2" max="2" width="52.7109375" style="0" customWidth="1"/>
    <col min="3" max="3" width="15.7109375" style="0" customWidth="1"/>
    <col min="4" max="4" width="15.00390625" style="0" customWidth="1"/>
    <col min="5" max="5" width="14.00390625" style="0" customWidth="1"/>
    <col min="6" max="6" width="14.28125" style="0" customWidth="1"/>
    <col min="7" max="7" width="11.28125" style="0" customWidth="1"/>
    <col min="8" max="8" width="13.7109375" style="0" customWidth="1"/>
    <col min="9" max="9" width="6.57421875" style="0" customWidth="1"/>
    <col min="10" max="10" width="13.57421875" style="0" customWidth="1"/>
    <col min="11" max="11" width="6.57421875" style="0" customWidth="1"/>
    <col min="12" max="12" width="6.421875" style="0" customWidth="1"/>
    <col min="13" max="13" width="7.140625" style="0" customWidth="1"/>
    <col min="14" max="14" width="13.7109375" style="0" customWidth="1"/>
    <col min="15" max="15" width="14.8515625" style="0" customWidth="1"/>
    <col min="16" max="17" width="12.28125" style="0" bestFit="1" customWidth="1"/>
  </cols>
  <sheetData>
    <row r="1" spans="1:14" ht="12" customHeight="1">
      <c r="A1" s="811" t="s">
        <v>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</row>
    <row r="2" spans="1:14" ht="12" customHeight="1">
      <c r="A2" s="812" t="s">
        <v>83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</row>
    <row r="3" spans="1:14" ht="12" customHeight="1">
      <c r="A3" s="813" t="s">
        <v>77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</row>
    <row r="4" spans="1:14" ht="12" customHeight="1">
      <c r="A4" s="819" t="s">
        <v>161</v>
      </c>
      <c r="B4" s="823"/>
      <c r="C4" s="59"/>
      <c r="D4" s="188"/>
      <c r="E4" s="59"/>
      <c r="F4" s="188"/>
      <c r="G4" s="225"/>
      <c r="H4" s="59"/>
      <c r="I4" s="59"/>
      <c r="J4" s="59"/>
      <c r="K4" s="59"/>
      <c r="L4" s="59"/>
      <c r="M4" s="59"/>
      <c r="N4" s="59"/>
    </row>
    <row r="5" spans="1:14" ht="12" customHeight="1">
      <c r="A5" s="819" t="s">
        <v>164</v>
      </c>
      <c r="B5" s="819"/>
      <c r="C5" s="59"/>
      <c r="D5" s="188"/>
      <c r="E5" s="59"/>
      <c r="F5" s="188"/>
      <c r="G5" s="225"/>
      <c r="H5" s="59"/>
      <c r="I5" s="59"/>
      <c r="J5" s="59"/>
      <c r="K5" s="59"/>
      <c r="L5" s="59"/>
      <c r="M5" s="59"/>
      <c r="N5" s="59"/>
    </row>
    <row r="6" spans="1:14" ht="12" customHeight="1">
      <c r="A6" s="59"/>
      <c r="B6" s="1"/>
      <c r="C6" s="1"/>
      <c r="D6" s="187"/>
      <c r="E6" s="1"/>
      <c r="F6" s="187"/>
      <c r="G6" s="224"/>
      <c r="H6" s="1"/>
      <c r="I6" s="252"/>
      <c r="J6" s="1"/>
      <c r="K6" s="1"/>
      <c r="L6" s="1"/>
      <c r="M6" s="1"/>
      <c r="N6" s="1"/>
    </row>
    <row r="7" spans="1:15" ht="12" customHeight="1">
      <c r="A7" s="808" t="s">
        <v>2</v>
      </c>
      <c r="B7" s="808" t="s">
        <v>3</v>
      </c>
      <c r="C7" s="808" t="s">
        <v>159</v>
      </c>
      <c r="D7" s="820" t="s">
        <v>104</v>
      </c>
      <c r="E7" s="808" t="s">
        <v>5</v>
      </c>
      <c r="F7" s="820" t="s">
        <v>6</v>
      </c>
      <c r="G7" s="824" t="s">
        <v>105</v>
      </c>
      <c r="H7" s="816" t="s">
        <v>7</v>
      </c>
      <c r="I7" s="817"/>
      <c r="J7" s="817"/>
      <c r="K7" s="818"/>
      <c r="L7" s="816" t="s">
        <v>8</v>
      </c>
      <c r="M7" s="818"/>
      <c r="N7" s="805" t="s">
        <v>87</v>
      </c>
      <c r="O7" s="827" t="s">
        <v>9</v>
      </c>
    </row>
    <row r="8" spans="1:15" ht="12" customHeight="1">
      <c r="A8" s="806"/>
      <c r="B8" s="806"/>
      <c r="C8" s="806"/>
      <c r="D8" s="821"/>
      <c r="E8" s="814"/>
      <c r="F8" s="821"/>
      <c r="G8" s="825"/>
      <c r="H8" s="809" t="s">
        <v>10</v>
      </c>
      <c r="I8" s="808" t="s">
        <v>11</v>
      </c>
      <c r="J8" s="808" t="s">
        <v>12</v>
      </c>
      <c r="K8" s="808" t="s">
        <v>11</v>
      </c>
      <c r="L8" s="808" t="s">
        <v>13</v>
      </c>
      <c r="M8" s="820" t="s">
        <v>14</v>
      </c>
      <c r="N8" s="806"/>
      <c r="O8" s="828"/>
    </row>
    <row r="9" spans="1:15" ht="12" customHeight="1">
      <c r="A9" s="807"/>
      <c r="B9" s="807"/>
      <c r="C9" s="807"/>
      <c r="D9" s="822"/>
      <c r="E9" s="815"/>
      <c r="F9" s="822"/>
      <c r="G9" s="826"/>
      <c r="H9" s="810"/>
      <c r="I9" s="807"/>
      <c r="J9" s="807"/>
      <c r="K9" s="807"/>
      <c r="L9" s="807"/>
      <c r="M9" s="822"/>
      <c r="N9" s="807"/>
      <c r="O9" s="828"/>
    </row>
    <row r="10" spans="1:15" ht="12" customHeight="1">
      <c r="A10" s="2">
        <v>1</v>
      </c>
      <c r="B10" s="2">
        <v>2</v>
      </c>
      <c r="C10" s="2">
        <v>3</v>
      </c>
      <c r="D10" s="189"/>
      <c r="E10" s="2">
        <v>4</v>
      </c>
      <c r="F10" s="189">
        <v>5</v>
      </c>
      <c r="G10" s="226"/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2">
        <v>13</v>
      </c>
    </row>
    <row r="11" spans="1:15" ht="12" customHeight="1">
      <c r="A11" s="3"/>
      <c r="B11" s="3"/>
      <c r="C11" s="3"/>
      <c r="D11" s="190"/>
      <c r="E11" s="3"/>
      <c r="F11" s="190"/>
      <c r="G11" s="227"/>
      <c r="H11" s="3"/>
      <c r="I11" s="3"/>
      <c r="J11" s="3"/>
      <c r="K11" s="3"/>
      <c r="L11" s="3"/>
      <c r="M11" s="3"/>
      <c r="N11" s="3"/>
      <c r="O11" s="343"/>
    </row>
    <row r="12" spans="1:15" ht="12" customHeight="1">
      <c r="A12" s="61" t="s">
        <v>15</v>
      </c>
      <c r="B12" s="62" t="s">
        <v>16</v>
      </c>
      <c r="C12" s="4">
        <f>SUM(C13:C24)</f>
        <v>3542713200</v>
      </c>
      <c r="D12" s="210"/>
      <c r="E12" s="63"/>
      <c r="F12" s="191"/>
      <c r="G12" s="228"/>
      <c r="H12" s="4">
        <f>SUM(H13:H24)</f>
        <v>2129374126</v>
      </c>
      <c r="I12" s="341">
        <f>+H12/C12*100</f>
        <v>60.10574398175952</v>
      </c>
      <c r="J12" s="4">
        <f>SUM(J13:J24)</f>
        <v>2129374126</v>
      </c>
      <c r="K12" s="338">
        <f>+J12/C12*100</f>
        <v>60.10574398175952</v>
      </c>
      <c r="L12" s="308">
        <v>100</v>
      </c>
      <c r="M12" s="342">
        <f>+J12/C12*100</f>
        <v>60.10574398175952</v>
      </c>
      <c r="N12" s="4">
        <f>SUM(N13:N24)</f>
        <v>1550232214</v>
      </c>
      <c r="O12" s="344" t="s">
        <v>157</v>
      </c>
    </row>
    <row r="13" spans="1:15" ht="12" customHeight="1">
      <c r="A13" s="63">
        <v>1</v>
      </c>
      <c r="B13" s="47" t="s">
        <v>17</v>
      </c>
      <c r="C13" s="5">
        <v>1958496000</v>
      </c>
      <c r="D13" s="211"/>
      <c r="E13" s="63"/>
      <c r="F13" s="192"/>
      <c r="G13" s="228"/>
      <c r="H13" s="114">
        <v>1222262715</v>
      </c>
      <c r="I13" s="340">
        <f>+H13/C13*100</f>
        <v>62.408231367334935</v>
      </c>
      <c r="J13" s="114">
        <v>1222262715</v>
      </c>
      <c r="K13" s="71">
        <f>+J13/C13*100</f>
        <v>62.408231367334935</v>
      </c>
      <c r="L13" s="357">
        <v>100</v>
      </c>
      <c r="M13" s="296">
        <f>+J13/C13*100</f>
        <v>62.408231367334935</v>
      </c>
      <c r="N13" s="37">
        <f>C13-J13</f>
        <v>736233285</v>
      </c>
      <c r="O13" s="344" t="s">
        <v>157</v>
      </c>
    </row>
    <row r="14" spans="1:15" ht="12" customHeight="1">
      <c r="A14" s="63">
        <v>2</v>
      </c>
      <c r="B14" s="47" t="s">
        <v>18</v>
      </c>
      <c r="C14" s="5">
        <v>197477166</v>
      </c>
      <c r="D14" s="211"/>
      <c r="E14" s="63"/>
      <c r="F14" s="192"/>
      <c r="G14" s="228"/>
      <c r="H14" s="5">
        <v>137241378</v>
      </c>
      <c r="I14" s="340">
        <f aca="true" t="shared" si="0" ref="I14:I24">+H14/C14*100</f>
        <v>69.49734026464608</v>
      </c>
      <c r="J14" s="5">
        <v>137241378</v>
      </c>
      <c r="K14" s="71">
        <f aca="true" t="shared" si="1" ref="K14:K24">+J14/C14*100</f>
        <v>69.49734026464608</v>
      </c>
      <c r="L14" s="357">
        <v>100</v>
      </c>
      <c r="M14" s="296">
        <f aca="true" t="shared" si="2" ref="M14:M24">+J14/C14*100</f>
        <v>69.49734026464608</v>
      </c>
      <c r="N14" s="37">
        <f aca="true" t="shared" si="3" ref="N14:N24">C14-J14</f>
        <v>60235788</v>
      </c>
      <c r="O14" s="344" t="s">
        <v>157</v>
      </c>
    </row>
    <row r="15" spans="1:15" ht="12" customHeight="1">
      <c r="A15" s="63">
        <v>3</v>
      </c>
      <c r="B15" s="47" t="s">
        <v>19</v>
      </c>
      <c r="C15" s="5">
        <v>172540000</v>
      </c>
      <c r="D15" s="211"/>
      <c r="E15" s="63"/>
      <c r="F15" s="192"/>
      <c r="G15" s="228"/>
      <c r="H15" s="5">
        <v>113550000</v>
      </c>
      <c r="I15" s="340">
        <f t="shared" si="0"/>
        <v>65.81082647502029</v>
      </c>
      <c r="J15" s="5">
        <v>113550000</v>
      </c>
      <c r="K15" s="71">
        <f t="shared" si="1"/>
        <v>65.81082647502029</v>
      </c>
      <c r="L15" s="357">
        <v>100</v>
      </c>
      <c r="M15" s="296">
        <f t="shared" si="2"/>
        <v>65.81082647502029</v>
      </c>
      <c r="N15" s="37">
        <f t="shared" si="3"/>
        <v>58990000</v>
      </c>
      <c r="O15" s="344" t="s">
        <v>157</v>
      </c>
    </row>
    <row r="16" spans="1:15" ht="12" customHeight="1">
      <c r="A16" s="63">
        <v>4</v>
      </c>
      <c r="B16" s="47" t="s">
        <v>139</v>
      </c>
      <c r="C16" s="364">
        <v>8000000</v>
      </c>
      <c r="D16" s="211"/>
      <c r="E16" s="63"/>
      <c r="F16" s="192"/>
      <c r="G16" s="228"/>
      <c r="H16" s="5">
        <v>1700000</v>
      </c>
      <c r="I16" s="340">
        <f t="shared" si="0"/>
        <v>21.25</v>
      </c>
      <c r="J16" s="5">
        <v>1700000</v>
      </c>
      <c r="K16" s="71">
        <f t="shared" si="1"/>
        <v>21.25</v>
      </c>
      <c r="L16" s="357">
        <v>100</v>
      </c>
      <c r="M16" s="296">
        <f t="shared" si="2"/>
        <v>21.25</v>
      </c>
      <c r="N16" s="37">
        <f>C17-J16</f>
        <v>78690000</v>
      </c>
      <c r="O16" s="344" t="s">
        <v>157</v>
      </c>
    </row>
    <row r="17" spans="1:15" ht="12" customHeight="1">
      <c r="A17" s="63">
        <v>5</v>
      </c>
      <c r="B17" s="47" t="s">
        <v>20</v>
      </c>
      <c r="C17" s="5">
        <v>80390000</v>
      </c>
      <c r="D17" s="211"/>
      <c r="E17" s="63"/>
      <c r="F17" s="192"/>
      <c r="G17" s="228"/>
      <c r="H17" s="5">
        <v>40400000</v>
      </c>
      <c r="I17" s="340">
        <f t="shared" si="0"/>
        <v>50.255006841646974</v>
      </c>
      <c r="J17" s="5">
        <v>40400000</v>
      </c>
      <c r="K17" s="71">
        <f t="shared" si="1"/>
        <v>50.255006841646974</v>
      </c>
      <c r="L17" s="357">
        <v>100</v>
      </c>
      <c r="M17" s="296">
        <f t="shared" si="2"/>
        <v>50.255006841646974</v>
      </c>
      <c r="N17" s="37">
        <f>C18-J17</f>
        <v>104493140</v>
      </c>
      <c r="O17" s="344" t="s">
        <v>157</v>
      </c>
    </row>
    <row r="18" spans="1:15" ht="12" customHeight="1">
      <c r="A18" s="63">
        <v>6</v>
      </c>
      <c r="B18" s="47" t="s">
        <v>21</v>
      </c>
      <c r="C18" s="5">
        <v>144893140</v>
      </c>
      <c r="D18" s="211"/>
      <c r="E18" s="63"/>
      <c r="F18" s="192"/>
      <c r="G18" s="228"/>
      <c r="H18" s="5">
        <v>66843660</v>
      </c>
      <c r="I18" s="340">
        <f t="shared" si="0"/>
        <v>46.13307434706709</v>
      </c>
      <c r="J18" s="5">
        <v>66843660</v>
      </c>
      <c r="K18" s="71">
        <f t="shared" si="1"/>
        <v>46.13307434706709</v>
      </c>
      <c r="L18" s="357">
        <v>100</v>
      </c>
      <c r="M18" s="296">
        <f t="shared" si="2"/>
        <v>46.13307434706709</v>
      </c>
      <c r="N18" s="37">
        <f t="shared" si="3"/>
        <v>78049480</v>
      </c>
      <c r="O18" s="344" t="s">
        <v>157</v>
      </c>
    </row>
    <row r="19" spans="1:15" ht="12" customHeight="1">
      <c r="A19" s="63">
        <v>7</v>
      </c>
      <c r="B19" s="47" t="s">
        <v>22</v>
      </c>
      <c r="C19" s="5">
        <v>10088184</v>
      </c>
      <c r="D19" s="211"/>
      <c r="E19" s="63"/>
      <c r="F19" s="192"/>
      <c r="G19" s="228"/>
      <c r="H19" s="5">
        <v>7878924</v>
      </c>
      <c r="I19" s="340">
        <f t="shared" si="0"/>
        <v>78.1005183886416</v>
      </c>
      <c r="J19" s="5">
        <v>7878924</v>
      </c>
      <c r="K19" s="71">
        <f t="shared" si="1"/>
        <v>78.1005183886416</v>
      </c>
      <c r="L19" s="357">
        <v>100</v>
      </c>
      <c r="M19" s="296">
        <f t="shared" si="2"/>
        <v>78.1005183886416</v>
      </c>
      <c r="N19" s="37">
        <f t="shared" si="3"/>
        <v>2209260</v>
      </c>
      <c r="O19" s="344" t="s">
        <v>157</v>
      </c>
    </row>
    <row r="20" spans="1:15" ht="12" customHeight="1">
      <c r="A20" s="63">
        <v>8</v>
      </c>
      <c r="B20" s="47" t="s">
        <v>23</v>
      </c>
      <c r="C20" s="5">
        <v>174603</v>
      </c>
      <c r="D20" s="211"/>
      <c r="E20" s="63"/>
      <c r="F20" s="192"/>
      <c r="G20" s="228"/>
      <c r="H20" s="5">
        <v>21497</v>
      </c>
      <c r="I20" s="340">
        <f t="shared" si="0"/>
        <v>12.311930493748676</v>
      </c>
      <c r="J20" s="5">
        <v>21497</v>
      </c>
      <c r="K20" s="71">
        <f t="shared" si="1"/>
        <v>12.311930493748676</v>
      </c>
      <c r="L20" s="357">
        <v>100</v>
      </c>
      <c r="M20" s="296">
        <f t="shared" si="2"/>
        <v>12.311930493748676</v>
      </c>
      <c r="N20" s="37">
        <f t="shared" si="3"/>
        <v>153106</v>
      </c>
      <c r="O20" s="344" t="s">
        <v>157</v>
      </c>
    </row>
    <row r="21" spans="1:15" ht="12" customHeight="1">
      <c r="A21" s="63">
        <v>9</v>
      </c>
      <c r="B21" s="47" t="s">
        <v>24</v>
      </c>
      <c r="C21" s="5">
        <v>61486359</v>
      </c>
      <c r="D21" s="211"/>
      <c r="E21" s="63"/>
      <c r="F21" s="192"/>
      <c r="G21" s="228"/>
      <c r="H21" s="5">
        <v>32059403</v>
      </c>
      <c r="I21" s="340">
        <f t="shared" si="0"/>
        <v>52.14067562530415</v>
      </c>
      <c r="J21" s="5">
        <v>32059403</v>
      </c>
      <c r="K21" s="71">
        <f t="shared" si="1"/>
        <v>52.14067562530415</v>
      </c>
      <c r="L21" s="357">
        <v>100</v>
      </c>
      <c r="M21" s="296">
        <f t="shared" si="2"/>
        <v>52.14067562530415</v>
      </c>
      <c r="N21" s="37">
        <f t="shared" si="3"/>
        <v>29426956</v>
      </c>
      <c r="O21" s="344" t="s">
        <v>157</v>
      </c>
    </row>
    <row r="22" spans="1:15" ht="12" customHeight="1">
      <c r="A22" s="63">
        <v>10</v>
      </c>
      <c r="B22" s="47" t="s">
        <v>25</v>
      </c>
      <c r="C22" s="5">
        <v>6198197</v>
      </c>
      <c r="D22" s="211"/>
      <c r="E22" s="63"/>
      <c r="F22" s="192"/>
      <c r="G22" s="228"/>
      <c r="H22" s="5">
        <v>2306018</v>
      </c>
      <c r="I22" s="340">
        <f t="shared" si="0"/>
        <v>37.204658064272564</v>
      </c>
      <c r="J22" s="5">
        <v>2306018</v>
      </c>
      <c r="K22" s="71">
        <f t="shared" si="1"/>
        <v>37.204658064272564</v>
      </c>
      <c r="L22" s="357">
        <v>100</v>
      </c>
      <c r="M22" s="296">
        <f t="shared" si="2"/>
        <v>37.204658064272564</v>
      </c>
      <c r="N22" s="37">
        <f t="shared" si="3"/>
        <v>3892179</v>
      </c>
      <c r="O22" s="344" t="s">
        <v>157</v>
      </c>
    </row>
    <row r="23" spans="1:15" ht="12" customHeight="1">
      <c r="A23" s="63">
        <v>11</v>
      </c>
      <c r="B23" s="47" t="s">
        <v>26</v>
      </c>
      <c r="C23" s="5">
        <v>12569551</v>
      </c>
      <c r="D23" s="211"/>
      <c r="E23" s="63"/>
      <c r="F23" s="192"/>
      <c r="G23" s="228"/>
      <c r="H23" s="5">
        <v>6918031</v>
      </c>
      <c r="I23" s="340">
        <f t="shared" si="0"/>
        <v>55.038012097647716</v>
      </c>
      <c r="J23" s="5">
        <v>6918031</v>
      </c>
      <c r="K23" s="71">
        <f t="shared" si="1"/>
        <v>55.038012097647716</v>
      </c>
      <c r="L23" s="357">
        <v>100</v>
      </c>
      <c r="M23" s="296">
        <f t="shared" si="2"/>
        <v>55.038012097647716</v>
      </c>
      <c r="N23" s="37">
        <f t="shared" si="3"/>
        <v>5651520</v>
      </c>
      <c r="O23" s="344" t="s">
        <v>157</v>
      </c>
    </row>
    <row r="24" spans="1:15" ht="12" customHeight="1">
      <c r="A24" s="63">
        <v>12</v>
      </c>
      <c r="B24" s="47" t="s">
        <v>27</v>
      </c>
      <c r="C24" s="5">
        <v>890400000</v>
      </c>
      <c r="D24" s="211"/>
      <c r="E24" s="63"/>
      <c r="F24" s="192"/>
      <c r="G24" s="228"/>
      <c r="H24" s="5">
        <v>498192500</v>
      </c>
      <c r="I24" s="340">
        <f t="shared" si="0"/>
        <v>55.95153863432165</v>
      </c>
      <c r="J24" s="5">
        <v>498192500</v>
      </c>
      <c r="K24" s="71">
        <f t="shared" si="1"/>
        <v>55.95153863432165</v>
      </c>
      <c r="L24" s="357">
        <v>100</v>
      </c>
      <c r="M24" s="296">
        <f t="shared" si="2"/>
        <v>55.95153863432165</v>
      </c>
      <c r="N24" s="37">
        <f t="shared" si="3"/>
        <v>392207500</v>
      </c>
      <c r="O24" s="344" t="s">
        <v>157</v>
      </c>
    </row>
    <row r="25" spans="1:15" ht="12" customHeight="1">
      <c r="A25" s="63"/>
      <c r="B25" s="47"/>
      <c r="C25" s="5"/>
      <c r="D25" s="211"/>
      <c r="E25" s="63"/>
      <c r="F25" s="192"/>
      <c r="G25" s="228"/>
      <c r="H25" s="5"/>
      <c r="I25" s="114"/>
      <c r="J25" s="5"/>
      <c r="K25" s="36"/>
      <c r="L25" s="307"/>
      <c r="M25" s="37"/>
      <c r="N25" s="37"/>
      <c r="O25" s="343"/>
    </row>
    <row r="26" spans="1:15" ht="12" customHeight="1">
      <c r="A26" s="61" t="s">
        <v>28</v>
      </c>
      <c r="B26" s="62" t="s">
        <v>29</v>
      </c>
      <c r="C26" s="67">
        <f>C27+C40+C50+C53+C61+C77+C82+C93</f>
        <v>9196607500</v>
      </c>
      <c r="D26" s="212"/>
      <c r="E26" s="67">
        <f>E27+E40+E50+E53+E61+E77+E82+E93</f>
        <v>1269331000</v>
      </c>
      <c r="F26" s="192"/>
      <c r="G26" s="228"/>
      <c r="H26" s="67">
        <f>H27+H40+H50+H53+H61+H77+H82+H93</f>
        <v>4470848589</v>
      </c>
      <c r="I26" s="311">
        <f aca="true" t="shared" si="4" ref="I26:I38">+H26/C26*100</f>
        <v>48.614106767087755</v>
      </c>
      <c r="J26" s="67">
        <f>J27+J40+J50+J53+J61+J77+J82+J93</f>
        <v>4470848589</v>
      </c>
      <c r="K26" s="179">
        <f aca="true" t="shared" si="5" ref="K26:K38">+J26/C26*100</f>
        <v>48.614106767087755</v>
      </c>
      <c r="L26" s="308">
        <v>100</v>
      </c>
      <c r="M26" s="64">
        <f aca="true" t="shared" si="6" ref="M26:M38">+J26/C26*100</f>
        <v>48.614106767087755</v>
      </c>
      <c r="N26" s="67">
        <f>N27+N40+N50+N53+N61+N77+N82+N93</f>
        <v>4725758911</v>
      </c>
      <c r="O26" s="343"/>
    </row>
    <row r="27" spans="1:15" ht="12" customHeight="1">
      <c r="A27" s="68">
        <v>1</v>
      </c>
      <c r="B27" s="69" t="s">
        <v>30</v>
      </c>
      <c r="C27" s="67">
        <f>SUM(C28:C38)</f>
        <v>1362525500</v>
      </c>
      <c r="D27" s="212"/>
      <c r="E27" s="67">
        <f>SUM(E28:E38)</f>
        <v>0</v>
      </c>
      <c r="F27" s="193"/>
      <c r="G27" s="229"/>
      <c r="H27" s="6">
        <f>SUM(H28:H38)</f>
        <v>711612008</v>
      </c>
      <c r="I27" s="311">
        <f t="shared" si="4"/>
        <v>52.22742678944358</v>
      </c>
      <c r="J27" s="6">
        <f>SUM(J28:J38)</f>
        <v>711612008</v>
      </c>
      <c r="K27" s="179">
        <f t="shared" si="5"/>
        <v>52.22742678944358</v>
      </c>
      <c r="L27" s="308">
        <v>100</v>
      </c>
      <c r="M27" s="64">
        <f t="shared" si="6"/>
        <v>52.22742678944358</v>
      </c>
      <c r="N27" s="6">
        <f>SUM(N28:N38)</f>
        <v>650913492</v>
      </c>
      <c r="O27" s="343"/>
    </row>
    <row r="28" spans="1:15" ht="12" customHeight="1">
      <c r="A28" s="63">
        <v>1</v>
      </c>
      <c r="B28" s="55" t="s">
        <v>31</v>
      </c>
      <c r="C28" s="71">
        <v>6310000</v>
      </c>
      <c r="D28" s="213"/>
      <c r="E28" s="72" t="s">
        <v>32</v>
      </c>
      <c r="F28" s="194" t="s">
        <v>32</v>
      </c>
      <c r="G28" s="230"/>
      <c r="H28" s="185">
        <f>4296000+1980000</f>
        <v>6276000</v>
      </c>
      <c r="I28" s="340">
        <f t="shared" si="4"/>
        <v>99.46117274167987</v>
      </c>
      <c r="J28" s="185">
        <f>4296000+1980000</f>
        <v>6276000</v>
      </c>
      <c r="K28" s="71">
        <f t="shared" si="5"/>
        <v>99.46117274167987</v>
      </c>
      <c r="L28" s="357">
        <v>100</v>
      </c>
      <c r="M28" s="37">
        <f t="shared" si="6"/>
        <v>99.46117274167987</v>
      </c>
      <c r="N28" s="37">
        <f>C28-J28</f>
        <v>34000</v>
      </c>
      <c r="O28" s="343"/>
    </row>
    <row r="29" spans="1:15" ht="12" customHeight="1">
      <c r="A29" s="63">
        <v>2</v>
      </c>
      <c r="B29" s="73" t="s">
        <v>76</v>
      </c>
      <c r="C29" s="71">
        <v>60000000</v>
      </c>
      <c r="D29" s="213"/>
      <c r="E29" s="37"/>
      <c r="F29" s="195"/>
      <c r="G29" s="231"/>
      <c r="H29" s="7">
        <f>40719206+6925758+3674586</f>
        <v>51319550</v>
      </c>
      <c r="I29" s="340">
        <f t="shared" si="4"/>
        <v>85.53258333333333</v>
      </c>
      <c r="J29" s="7">
        <f>40719206+6925758+3674586</f>
        <v>51319550</v>
      </c>
      <c r="K29" s="71">
        <f t="shared" si="5"/>
        <v>85.53258333333333</v>
      </c>
      <c r="L29" s="357">
        <v>100</v>
      </c>
      <c r="M29" s="37">
        <f t="shared" si="6"/>
        <v>85.53258333333333</v>
      </c>
      <c r="N29" s="37">
        <f aca="true" t="shared" si="7" ref="N29:N42">C29-J29</f>
        <v>8680450</v>
      </c>
      <c r="O29" s="343"/>
    </row>
    <row r="30" spans="1:15" ht="12" customHeight="1">
      <c r="A30" s="63">
        <v>3</v>
      </c>
      <c r="B30" s="165" t="s">
        <v>33</v>
      </c>
      <c r="C30" s="166">
        <v>31435000</v>
      </c>
      <c r="D30" s="214"/>
      <c r="E30" s="167">
        <v>0</v>
      </c>
      <c r="F30" s="196">
        <v>0</v>
      </c>
      <c r="G30" s="232"/>
      <c r="H30" s="168">
        <v>14485000</v>
      </c>
      <c r="I30" s="340">
        <f t="shared" si="4"/>
        <v>46.07921107046286</v>
      </c>
      <c r="J30" s="168">
        <v>14485000</v>
      </c>
      <c r="K30" s="71">
        <f t="shared" si="5"/>
        <v>46.07921107046286</v>
      </c>
      <c r="L30" s="357">
        <v>100</v>
      </c>
      <c r="M30" s="37">
        <f t="shared" si="6"/>
        <v>46.07921107046286</v>
      </c>
      <c r="N30" s="37">
        <f t="shared" si="7"/>
        <v>16950000</v>
      </c>
      <c r="O30" s="343"/>
    </row>
    <row r="31" spans="1:15" ht="12" customHeight="1">
      <c r="A31" s="63">
        <v>4</v>
      </c>
      <c r="B31" s="169" t="s">
        <v>34</v>
      </c>
      <c r="C31" s="166">
        <v>55000000</v>
      </c>
      <c r="D31" s="214"/>
      <c r="E31" s="167">
        <v>0</v>
      </c>
      <c r="F31" s="196">
        <v>0</v>
      </c>
      <c r="G31" s="232"/>
      <c r="H31" s="168">
        <f>34305000+13745800</f>
        <v>48050800</v>
      </c>
      <c r="I31" s="340">
        <f t="shared" si="4"/>
        <v>87.36509090909091</v>
      </c>
      <c r="J31" s="168">
        <f>34305000+13745800</f>
        <v>48050800</v>
      </c>
      <c r="K31" s="71">
        <f t="shared" si="5"/>
        <v>87.36509090909091</v>
      </c>
      <c r="L31" s="357">
        <v>100</v>
      </c>
      <c r="M31" s="37">
        <f t="shared" si="6"/>
        <v>87.36509090909091</v>
      </c>
      <c r="N31" s="37">
        <f t="shared" si="7"/>
        <v>6949200</v>
      </c>
      <c r="O31" s="343"/>
    </row>
    <row r="32" spans="1:15" ht="12" customHeight="1">
      <c r="A32" s="63">
        <v>5</v>
      </c>
      <c r="B32" s="73" t="s">
        <v>35</v>
      </c>
      <c r="C32" s="71">
        <v>26676500</v>
      </c>
      <c r="D32" s="213"/>
      <c r="E32" s="37">
        <v>0</v>
      </c>
      <c r="F32" s="195">
        <v>0</v>
      </c>
      <c r="G32" s="231"/>
      <c r="H32" s="7">
        <f>14485300+8850000+567000</f>
        <v>23902300</v>
      </c>
      <c r="I32" s="340">
        <f t="shared" si="4"/>
        <v>89.60058478436078</v>
      </c>
      <c r="J32" s="7">
        <f>14485300+8850000+567000</f>
        <v>23902300</v>
      </c>
      <c r="K32" s="71">
        <f t="shared" si="5"/>
        <v>89.60058478436078</v>
      </c>
      <c r="L32" s="357">
        <v>100</v>
      </c>
      <c r="M32" s="37">
        <f t="shared" si="6"/>
        <v>89.60058478436078</v>
      </c>
      <c r="N32" s="37">
        <f t="shared" si="7"/>
        <v>2774200</v>
      </c>
      <c r="O32" s="343"/>
    </row>
    <row r="33" spans="1:15" ht="12" customHeight="1">
      <c r="A33" s="63">
        <v>6</v>
      </c>
      <c r="B33" s="73" t="s">
        <v>36</v>
      </c>
      <c r="C33" s="71">
        <v>4000000</v>
      </c>
      <c r="D33" s="213"/>
      <c r="E33" s="37">
        <v>0</v>
      </c>
      <c r="F33" s="195">
        <v>0</v>
      </c>
      <c r="G33" s="231"/>
      <c r="H33" s="7">
        <f>1995200+2004800</f>
        <v>4000000</v>
      </c>
      <c r="I33" s="340">
        <f t="shared" si="4"/>
        <v>100</v>
      </c>
      <c r="J33" s="7">
        <f>1995200+2004800</f>
        <v>4000000</v>
      </c>
      <c r="K33" s="71">
        <f t="shared" si="5"/>
        <v>100</v>
      </c>
      <c r="L33" s="357">
        <v>100</v>
      </c>
      <c r="M33" s="37">
        <f t="shared" si="6"/>
        <v>100</v>
      </c>
      <c r="N33" s="37">
        <f t="shared" si="7"/>
        <v>0</v>
      </c>
      <c r="O33" s="343"/>
    </row>
    <row r="34" spans="1:15" ht="12" customHeight="1">
      <c r="A34" s="63">
        <v>7</v>
      </c>
      <c r="B34" s="73" t="s">
        <v>37</v>
      </c>
      <c r="C34" s="71">
        <v>13076000</v>
      </c>
      <c r="D34" s="213"/>
      <c r="E34" s="37">
        <v>0</v>
      </c>
      <c r="F34" s="195">
        <v>0</v>
      </c>
      <c r="G34" s="231"/>
      <c r="H34" s="7">
        <f>8761950+4314050</f>
        <v>13076000</v>
      </c>
      <c r="I34" s="340">
        <f t="shared" si="4"/>
        <v>100</v>
      </c>
      <c r="J34" s="7">
        <f>8761950+4314050</f>
        <v>13076000</v>
      </c>
      <c r="K34" s="71">
        <f t="shared" si="5"/>
        <v>100</v>
      </c>
      <c r="L34" s="357">
        <v>100</v>
      </c>
      <c r="M34" s="37">
        <f t="shared" si="6"/>
        <v>100</v>
      </c>
      <c r="N34" s="37">
        <f t="shared" si="7"/>
        <v>0</v>
      </c>
      <c r="O34" s="343"/>
    </row>
    <row r="35" spans="1:15" ht="12" customHeight="1">
      <c r="A35" s="63">
        <v>8</v>
      </c>
      <c r="B35" s="73" t="s">
        <v>38</v>
      </c>
      <c r="C35" s="71">
        <v>7500000</v>
      </c>
      <c r="D35" s="213"/>
      <c r="E35" s="37">
        <v>0</v>
      </c>
      <c r="F35" s="195">
        <v>0</v>
      </c>
      <c r="G35" s="231"/>
      <c r="H35" s="7">
        <f>2180000+3856000</f>
        <v>6036000</v>
      </c>
      <c r="I35" s="340">
        <f t="shared" si="4"/>
        <v>80.47999999999999</v>
      </c>
      <c r="J35" s="7">
        <f>2180000+3856000</f>
        <v>6036000</v>
      </c>
      <c r="K35" s="71">
        <f t="shared" si="5"/>
        <v>80.47999999999999</v>
      </c>
      <c r="L35" s="357">
        <v>100</v>
      </c>
      <c r="M35" s="37">
        <f t="shared" si="6"/>
        <v>80.47999999999999</v>
      </c>
      <c r="N35" s="37">
        <f t="shared" si="7"/>
        <v>1464000</v>
      </c>
      <c r="O35" s="343"/>
    </row>
    <row r="36" spans="1:15" ht="12" customHeight="1">
      <c r="A36" s="63">
        <v>9</v>
      </c>
      <c r="B36" s="73" t="s">
        <v>39</v>
      </c>
      <c r="C36" s="71">
        <v>30000000</v>
      </c>
      <c r="D36" s="213"/>
      <c r="E36" s="37">
        <v>0</v>
      </c>
      <c r="F36" s="195">
        <v>0</v>
      </c>
      <c r="G36" s="231"/>
      <c r="H36" s="7">
        <f>18128200+7990000</f>
        <v>26118200</v>
      </c>
      <c r="I36" s="340">
        <f t="shared" si="4"/>
        <v>87.06066666666666</v>
      </c>
      <c r="J36" s="7">
        <f>18128200+7990000</f>
        <v>26118200</v>
      </c>
      <c r="K36" s="71">
        <f t="shared" si="5"/>
        <v>87.06066666666666</v>
      </c>
      <c r="L36" s="357">
        <v>100</v>
      </c>
      <c r="M36" s="37">
        <f t="shared" si="6"/>
        <v>87.06066666666666</v>
      </c>
      <c r="N36" s="37">
        <f t="shared" si="7"/>
        <v>3881800</v>
      </c>
      <c r="O36" s="343"/>
    </row>
    <row r="37" spans="1:15" ht="12" customHeight="1">
      <c r="A37" s="63">
        <v>10</v>
      </c>
      <c r="B37" s="73" t="s">
        <v>40</v>
      </c>
      <c r="C37" s="71">
        <v>200000000</v>
      </c>
      <c r="D37" s="213"/>
      <c r="E37" s="37">
        <v>0</v>
      </c>
      <c r="F37" s="195">
        <v>0</v>
      </c>
      <c r="G37" s="231"/>
      <c r="H37" s="7">
        <f>91631161+15825000+25233525</f>
        <v>132689686</v>
      </c>
      <c r="I37" s="340">
        <f t="shared" si="4"/>
        <v>66.344843</v>
      </c>
      <c r="J37" s="7">
        <f>91631161+15825000+25233525</f>
        <v>132689686</v>
      </c>
      <c r="K37" s="71">
        <f t="shared" si="5"/>
        <v>66.344843</v>
      </c>
      <c r="L37" s="357">
        <v>100</v>
      </c>
      <c r="M37" s="37">
        <f t="shared" si="6"/>
        <v>66.344843</v>
      </c>
      <c r="N37" s="37">
        <f t="shared" si="7"/>
        <v>67310314</v>
      </c>
      <c r="O37" s="343"/>
    </row>
    <row r="38" spans="1:15" ht="12" customHeight="1">
      <c r="A38" s="63">
        <v>11</v>
      </c>
      <c r="B38" s="73" t="s">
        <v>41</v>
      </c>
      <c r="C38" s="71">
        <v>928528000</v>
      </c>
      <c r="D38" s="213"/>
      <c r="E38" s="37">
        <v>0</v>
      </c>
      <c r="F38" s="195">
        <v>0</v>
      </c>
      <c r="G38" s="231"/>
      <c r="H38" s="7">
        <v>385658472</v>
      </c>
      <c r="I38" s="340">
        <f t="shared" si="4"/>
        <v>41.53439336239726</v>
      </c>
      <c r="J38" s="7">
        <v>385658472</v>
      </c>
      <c r="K38" s="71">
        <f t="shared" si="5"/>
        <v>41.53439336239726</v>
      </c>
      <c r="L38" s="357">
        <v>100</v>
      </c>
      <c r="M38" s="37">
        <f t="shared" si="6"/>
        <v>41.53439336239726</v>
      </c>
      <c r="N38" s="37">
        <f t="shared" si="7"/>
        <v>542869528</v>
      </c>
      <c r="O38" s="343"/>
    </row>
    <row r="39" spans="1:15" ht="12" customHeight="1">
      <c r="A39" s="253"/>
      <c r="B39" s="75"/>
      <c r="C39" s="71"/>
      <c r="D39" s="213"/>
      <c r="E39" s="37"/>
      <c r="F39" s="195"/>
      <c r="G39" s="231"/>
      <c r="H39" s="7"/>
      <c r="I39" s="114"/>
      <c r="J39" s="7"/>
      <c r="K39" s="36"/>
      <c r="L39" s="307"/>
      <c r="M39" s="37">
        <f>K39</f>
        <v>0</v>
      </c>
      <c r="N39" s="37">
        <f t="shared" si="7"/>
        <v>0</v>
      </c>
      <c r="O39" s="343"/>
    </row>
    <row r="40" spans="1:15" ht="12" customHeight="1">
      <c r="A40" s="68">
        <v>2</v>
      </c>
      <c r="B40" s="69" t="s">
        <v>42</v>
      </c>
      <c r="C40" s="39">
        <f>SUM(C41:C48)</f>
        <v>761012000</v>
      </c>
      <c r="D40" s="198"/>
      <c r="E40" s="39">
        <f>SUM(E41:E48)</f>
        <v>43582000</v>
      </c>
      <c r="F40" s="197"/>
      <c r="G40" s="233"/>
      <c r="H40" s="39">
        <f>SUM(H41:H48)</f>
        <v>602697297</v>
      </c>
      <c r="I40" s="311">
        <f>+H40/C40*100</f>
        <v>79.19681910403516</v>
      </c>
      <c r="J40" s="39">
        <f>SUM(J41:J48)</f>
        <v>602697297</v>
      </c>
      <c r="K40" s="179">
        <f>+J40/C40*100</f>
        <v>79.19681910403516</v>
      </c>
      <c r="L40" s="308">
        <v>100</v>
      </c>
      <c r="M40" s="64">
        <f>+J40/C40*100</f>
        <v>79.19681910403516</v>
      </c>
      <c r="N40" s="37">
        <f t="shared" si="7"/>
        <v>158314703</v>
      </c>
      <c r="O40" s="343"/>
    </row>
    <row r="41" spans="1:15" ht="12" customHeight="1">
      <c r="A41" s="63">
        <v>1</v>
      </c>
      <c r="B41" s="73" t="s">
        <v>43</v>
      </c>
      <c r="C41" s="71">
        <v>85000000</v>
      </c>
      <c r="D41" s="213"/>
      <c r="E41" s="37"/>
      <c r="F41" s="195"/>
      <c r="G41" s="231"/>
      <c r="H41" s="71">
        <v>54043200</v>
      </c>
      <c r="I41" s="340">
        <f>+H41/C41*100</f>
        <v>63.58023529411765</v>
      </c>
      <c r="J41" s="71">
        <f>47359600+266000+6417600</f>
        <v>54043200</v>
      </c>
      <c r="K41" s="71">
        <f>+J41/C41*100</f>
        <v>63.58023529411765</v>
      </c>
      <c r="L41" s="357">
        <v>100</v>
      </c>
      <c r="M41" s="37">
        <f>+J41/C41*100</f>
        <v>63.58023529411765</v>
      </c>
      <c r="N41" s="37">
        <f t="shared" si="7"/>
        <v>30956800</v>
      </c>
      <c r="O41" s="343"/>
    </row>
    <row r="42" spans="1:15" ht="12" customHeight="1">
      <c r="A42" s="63">
        <v>2</v>
      </c>
      <c r="B42" s="73" t="s">
        <v>44</v>
      </c>
      <c r="C42" s="71">
        <v>45000000</v>
      </c>
      <c r="D42" s="264" t="s">
        <v>121</v>
      </c>
      <c r="E42" s="37">
        <v>5808000</v>
      </c>
      <c r="F42" s="195" t="s">
        <v>124</v>
      </c>
      <c r="G42" s="231" t="s">
        <v>125</v>
      </c>
      <c r="H42" s="71">
        <v>44536000</v>
      </c>
      <c r="I42" s="340">
        <f>+H42/C42*100</f>
        <v>98.96888888888888</v>
      </c>
      <c r="J42" s="71">
        <v>44536000</v>
      </c>
      <c r="K42" s="71">
        <f>+J42/C42*100</f>
        <v>98.96888888888888</v>
      </c>
      <c r="L42" s="357">
        <v>100</v>
      </c>
      <c r="M42" s="37">
        <f>+J42/C42*100</f>
        <v>98.96888888888888</v>
      </c>
      <c r="N42" s="37">
        <f t="shared" si="7"/>
        <v>464000</v>
      </c>
      <c r="O42" s="343"/>
    </row>
    <row r="43" spans="1:15" ht="12" customHeight="1">
      <c r="A43" s="63"/>
      <c r="B43" s="73"/>
      <c r="C43" s="71"/>
      <c r="D43" s="264" t="s">
        <v>122</v>
      </c>
      <c r="E43" s="37">
        <v>15774000</v>
      </c>
      <c r="F43" s="195" t="s">
        <v>124</v>
      </c>
      <c r="G43" s="231" t="s">
        <v>125</v>
      </c>
      <c r="H43" s="71"/>
      <c r="I43" s="114"/>
      <c r="J43" s="71"/>
      <c r="K43" s="36"/>
      <c r="L43" s="37"/>
      <c r="M43" s="37"/>
      <c r="N43" s="37"/>
      <c r="O43" s="343"/>
    </row>
    <row r="44" spans="1:15" ht="12" customHeight="1">
      <c r="A44" s="63"/>
      <c r="B44" s="73"/>
      <c r="C44" s="71"/>
      <c r="D44" s="264" t="s">
        <v>123</v>
      </c>
      <c r="E44" s="37">
        <v>22000000</v>
      </c>
      <c r="F44" s="195" t="s">
        <v>124</v>
      </c>
      <c r="G44" s="231" t="s">
        <v>125</v>
      </c>
      <c r="H44" s="71"/>
      <c r="I44" s="114"/>
      <c r="J44" s="71"/>
      <c r="K44" s="36"/>
      <c r="L44" s="358"/>
      <c r="M44" s="37"/>
      <c r="N44" s="37"/>
      <c r="O44" s="343"/>
    </row>
    <row r="45" spans="1:15" ht="12" customHeight="1">
      <c r="A45" s="63">
        <v>3</v>
      </c>
      <c r="B45" s="73" t="s">
        <v>45</v>
      </c>
      <c r="C45" s="71">
        <v>239382000</v>
      </c>
      <c r="D45" s="264"/>
      <c r="E45" s="37"/>
      <c r="F45" s="195"/>
      <c r="G45" s="231"/>
      <c r="H45" s="71">
        <v>174523050</v>
      </c>
      <c r="I45" s="340">
        <f>+H45/C45*100</f>
        <v>72.90566959921799</v>
      </c>
      <c r="J45" s="71">
        <v>174523050</v>
      </c>
      <c r="K45" s="71">
        <f>+J45/C45*100</f>
        <v>72.90566959921799</v>
      </c>
      <c r="L45" s="357">
        <v>100</v>
      </c>
      <c r="M45" s="37">
        <f>+J45/C45*100</f>
        <v>72.90566959921799</v>
      </c>
      <c r="N45" s="37">
        <f aca="true" t="shared" si="8" ref="N45:N51">C45-J45</f>
        <v>64858950</v>
      </c>
      <c r="O45" s="343"/>
    </row>
    <row r="46" spans="1:15" ht="12" customHeight="1">
      <c r="A46" s="63">
        <v>4</v>
      </c>
      <c r="B46" s="73" t="s">
        <v>46</v>
      </c>
      <c r="C46" s="71">
        <v>370980000</v>
      </c>
      <c r="D46" s="213"/>
      <c r="E46" s="37"/>
      <c r="F46" s="195"/>
      <c r="G46" s="231"/>
      <c r="H46" s="7">
        <f>290055301+20511297+388649</f>
        <v>310955247</v>
      </c>
      <c r="I46" s="340">
        <f>+H46/C46*100</f>
        <v>83.81994905385734</v>
      </c>
      <c r="J46" s="7">
        <f>290055301+20511297+388649</f>
        <v>310955247</v>
      </c>
      <c r="K46" s="71">
        <f>+J46/C46*100</f>
        <v>83.81994905385734</v>
      </c>
      <c r="L46" s="357">
        <v>100</v>
      </c>
      <c r="M46" s="37">
        <f>+J46/C46*100</f>
        <v>83.81994905385734</v>
      </c>
      <c r="N46" s="37">
        <f t="shared" si="8"/>
        <v>60024753</v>
      </c>
      <c r="O46" s="343"/>
    </row>
    <row r="47" spans="1:15" ht="12" customHeight="1">
      <c r="A47" s="63">
        <v>5</v>
      </c>
      <c r="B47" s="73" t="s">
        <v>47</v>
      </c>
      <c r="C47" s="71">
        <v>13050000</v>
      </c>
      <c r="D47" s="213"/>
      <c r="E47" s="37">
        <v>0</v>
      </c>
      <c r="F47" s="195">
        <v>0</v>
      </c>
      <c r="G47" s="231"/>
      <c r="H47" s="7">
        <f>3400000+7640000</f>
        <v>11040000</v>
      </c>
      <c r="I47" s="340">
        <f>+H47/C47*100</f>
        <v>84.59770114942529</v>
      </c>
      <c r="J47" s="7">
        <f>3400000+7640000</f>
        <v>11040000</v>
      </c>
      <c r="K47" s="71">
        <f>+J47/C47*100</f>
        <v>84.59770114942529</v>
      </c>
      <c r="L47" s="357">
        <v>100</v>
      </c>
      <c r="M47" s="37">
        <f>+J47/C47*100</f>
        <v>84.59770114942529</v>
      </c>
      <c r="N47" s="37">
        <f t="shared" si="8"/>
        <v>2010000</v>
      </c>
      <c r="O47" s="343"/>
    </row>
    <row r="48" spans="1:15" ht="12" customHeight="1">
      <c r="A48" s="63">
        <v>6</v>
      </c>
      <c r="B48" s="73" t="s">
        <v>48</v>
      </c>
      <c r="C48" s="71">
        <v>7600000</v>
      </c>
      <c r="D48" s="213"/>
      <c r="E48" s="37"/>
      <c r="F48" s="195"/>
      <c r="G48" s="231"/>
      <c r="H48" s="71">
        <v>7599800</v>
      </c>
      <c r="I48" s="340">
        <f>+H48/C48*100</f>
        <v>99.99736842105264</v>
      </c>
      <c r="J48" s="71">
        <v>7599800</v>
      </c>
      <c r="K48" s="71">
        <f>+J48/C48*100</f>
        <v>99.99736842105264</v>
      </c>
      <c r="L48" s="357">
        <v>100</v>
      </c>
      <c r="M48" s="37">
        <f>+J48/C48*100</f>
        <v>99.99736842105264</v>
      </c>
      <c r="N48" s="37">
        <f t="shared" si="8"/>
        <v>200</v>
      </c>
      <c r="O48" s="343"/>
    </row>
    <row r="49" spans="1:15" ht="12" customHeight="1">
      <c r="A49" s="63"/>
      <c r="B49" s="73"/>
      <c r="C49" s="71"/>
      <c r="D49" s="213"/>
      <c r="E49" s="37"/>
      <c r="F49" s="195"/>
      <c r="G49" s="231"/>
      <c r="H49" s="7"/>
      <c r="I49" s="114"/>
      <c r="J49" s="7"/>
      <c r="K49" s="36"/>
      <c r="L49" s="37"/>
      <c r="M49" s="37"/>
      <c r="N49" s="37">
        <f t="shared" si="8"/>
        <v>0</v>
      </c>
      <c r="O49" s="343"/>
    </row>
    <row r="50" spans="1:15" ht="12" customHeight="1">
      <c r="A50" s="68">
        <v>3</v>
      </c>
      <c r="B50" s="69" t="s">
        <v>49</v>
      </c>
      <c r="C50" s="39">
        <f>C51</f>
        <v>74570000</v>
      </c>
      <c r="D50" s="198"/>
      <c r="E50" s="39">
        <f>E51</f>
        <v>57200000</v>
      </c>
      <c r="F50" s="198"/>
      <c r="G50" s="234"/>
      <c r="H50" s="8">
        <f>H51</f>
        <v>73200000</v>
      </c>
      <c r="I50" s="311">
        <f>+H50/C50*100</f>
        <v>98.16280005364088</v>
      </c>
      <c r="J50" s="8">
        <f>J51</f>
        <v>73200000</v>
      </c>
      <c r="K50" s="179">
        <f>+J50/C50*100</f>
        <v>98.16280005364088</v>
      </c>
      <c r="L50" s="308">
        <v>100</v>
      </c>
      <c r="M50" s="64">
        <f>+J50/C50*100</f>
        <v>98.16280005364088</v>
      </c>
      <c r="N50" s="37">
        <f t="shared" si="8"/>
        <v>1370000</v>
      </c>
      <c r="O50" s="343"/>
    </row>
    <row r="51" spans="1:15" ht="12" customHeight="1">
      <c r="A51" s="63"/>
      <c r="B51" s="55" t="s">
        <v>50</v>
      </c>
      <c r="C51" s="250">
        <v>74570000</v>
      </c>
      <c r="D51" s="265" t="s">
        <v>118</v>
      </c>
      <c r="E51" s="37">
        <v>57200000</v>
      </c>
      <c r="F51" s="263" t="s">
        <v>119</v>
      </c>
      <c r="G51" s="231" t="s">
        <v>120</v>
      </c>
      <c r="H51" s="10">
        <f>16000000+57200000</f>
        <v>73200000</v>
      </c>
      <c r="I51" s="340">
        <f>+H51/C51*100</f>
        <v>98.16280005364088</v>
      </c>
      <c r="J51" s="10">
        <f>16000000+57200000</f>
        <v>73200000</v>
      </c>
      <c r="K51" s="71">
        <f>+J51/C51*100</f>
        <v>98.16280005364088</v>
      </c>
      <c r="L51" s="357">
        <v>100</v>
      </c>
      <c r="M51" s="37">
        <f>+J51/C51*100</f>
        <v>98.16280005364088</v>
      </c>
      <c r="N51" s="37">
        <f t="shared" si="8"/>
        <v>1370000</v>
      </c>
      <c r="O51" s="343"/>
    </row>
    <row r="52" spans="1:15" ht="12" customHeight="1">
      <c r="A52" s="257"/>
      <c r="B52" s="300"/>
      <c r="C52" s="301"/>
      <c r="D52" s="302"/>
      <c r="E52" s="303"/>
      <c r="F52" s="263"/>
      <c r="G52" s="304"/>
      <c r="H52" s="305"/>
      <c r="I52" s="355"/>
      <c r="J52" s="305"/>
      <c r="K52" s="356"/>
      <c r="L52" s="352"/>
      <c r="M52" s="303"/>
      <c r="N52" s="303"/>
      <c r="O52" s="343"/>
    </row>
    <row r="53" spans="1:15" ht="12" customHeight="1">
      <c r="A53" s="259">
        <v>4</v>
      </c>
      <c r="B53" s="280" t="s">
        <v>51</v>
      </c>
      <c r="C53" s="281">
        <f>C54+C58+C59</f>
        <v>4830000000</v>
      </c>
      <c r="D53" s="282"/>
      <c r="E53" s="281">
        <f>SUM(E54:E60)</f>
        <v>542250000</v>
      </c>
      <c r="F53" s="282"/>
      <c r="G53" s="283"/>
      <c r="H53" s="284">
        <f>SUM(H54:H59)</f>
        <v>1407526302</v>
      </c>
      <c r="I53" s="340">
        <f>+H53/C53*100</f>
        <v>29.14133130434783</v>
      </c>
      <c r="J53" s="284">
        <f>SUM(J54:J59)</f>
        <v>1407526302</v>
      </c>
      <c r="K53" s="71">
        <f>+J53/C53*100</f>
        <v>29.14133130434783</v>
      </c>
      <c r="L53" s="308">
        <v>100</v>
      </c>
      <c r="M53" s="37">
        <f>+J53/C53*100</f>
        <v>29.14133130434783</v>
      </c>
      <c r="N53" s="285">
        <f>C53-J53</f>
        <v>3422473698</v>
      </c>
      <c r="O53" s="343"/>
    </row>
    <row r="54" spans="1:15" ht="12" customHeight="1">
      <c r="A54" s="63">
        <v>1</v>
      </c>
      <c r="B54" s="21" t="s">
        <v>52</v>
      </c>
      <c r="C54" s="22">
        <v>3930000000</v>
      </c>
      <c r="D54" s="266" t="s">
        <v>111</v>
      </c>
      <c r="E54" s="22">
        <v>89375000</v>
      </c>
      <c r="F54" s="201" t="s">
        <v>114</v>
      </c>
      <c r="G54" s="267" t="s">
        <v>116</v>
      </c>
      <c r="H54" s="22">
        <f>18176400+79925000+108075000+89375000+198000000+98200000+3000000</f>
        <v>594751400</v>
      </c>
      <c r="I54" s="340">
        <f>+H54/C54*100</f>
        <v>15.13362340966921</v>
      </c>
      <c r="J54" s="22">
        <f>18176400+79925000+108075000+89375000+198000000+98200000+3000000</f>
        <v>594751400</v>
      </c>
      <c r="K54" s="71">
        <f>+J54/C54*100</f>
        <v>15.13362340966921</v>
      </c>
      <c r="L54" s="357">
        <v>100</v>
      </c>
      <c r="M54" s="37">
        <f>+J54/C54*100</f>
        <v>15.13362340966921</v>
      </c>
      <c r="N54" s="172">
        <f>C54-J54</f>
        <v>3335248600</v>
      </c>
      <c r="O54" s="343"/>
    </row>
    <row r="55" spans="1:15" ht="12" customHeight="1">
      <c r="A55" s="63"/>
      <c r="B55" s="21"/>
      <c r="C55" s="22"/>
      <c r="D55" s="266" t="s">
        <v>112</v>
      </c>
      <c r="E55" s="22">
        <v>198000000</v>
      </c>
      <c r="F55" s="201" t="s">
        <v>115</v>
      </c>
      <c r="G55" s="267" t="s">
        <v>117</v>
      </c>
      <c r="H55" s="22"/>
      <c r="I55" s="114"/>
      <c r="J55" s="22"/>
      <c r="K55" s="36"/>
      <c r="L55" s="307"/>
      <c r="M55" s="37"/>
      <c r="N55" s="172"/>
      <c r="O55" s="343"/>
    </row>
    <row r="56" spans="1:15" ht="12" customHeight="1">
      <c r="A56" s="63"/>
      <c r="B56" s="21"/>
      <c r="C56" s="22"/>
      <c r="D56" s="266" t="s">
        <v>113</v>
      </c>
      <c r="E56" s="22">
        <v>108075000</v>
      </c>
      <c r="F56" s="201" t="s">
        <v>114</v>
      </c>
      <c r="G56" s="267" t="s">
        <v>116</v>
      </c>
      <c r="H56" s="22"/>
      <c r="I56" s="114"/>
      <c r="J56" s="22"/>
      <c r="K56" s="36"/>
      <c r="L56" s="307"/>
      <c r="M56" s="37"/>
      <c r="N56" s="172"/>
      <c r="O56" s="343"/>
    </row>
    <row r="57" spans="1:16" ht="12" customHeight="1">
      <c r="A57" s="63"/>
      <c r="B57" s="21"/>
      <c r="C57" s="22"/>
      <c r="D57" s="359" t="s">
        <v>130</v>
      </c>
      <c r="E57" s="22">
        <v>98200000</v>
      </c>
      <c r="F57" s="360" t="s">
        <v>131</v>
      </c>
      <c r="G57" s="361">
        <v>43556</v>
      </c>
      <c r="H57" s="22"/>
      <c r="I57" s="114"/>
      <c r="J57" s="22"/>
      <c r="K57" s="36"/>
      <c r="L57" s="307"/>
      <c r="M57" s="37"/>
      <c r="N57" s="172"/>
      <c r="O57" s="343"/>
      <c r="P57" s="441" t="s">
        <v>165</v>
      </c>
    </row>
    <row r="58" spans="1:16" ht="12" customHeight="1">
      <c r="A58" s="63">
        <v>2</v>
      </c>
      <c r="B58" s="21" t="s">
        <v>53</v>
      </c>
      <c r="C58" s="22">
        <v>750000000</v>
      </c>
      <c r="D58" s="201"/>
      <c r="E58" s="32"/>
      <c r="F58" s="99"/>
      <c r="G58" s="235"/>
      <c r="H58" s="23">
        <f>604173402+100000000+6406500</f>
        <v>710579902</v>
      </c>
      <c r="I58" s="340">
        <f>+H58/C58*100</f>
        <v>94.74398693333333</v>
      </c>
      <c r="J58" s="23">
        <f>604173402+100000000+6406500</f>
        <v>710579902</v>
      </c>
      <c r="K58" s="71">
        <f>+J58/C58*100</f>
        <v>94.74398693333333</v>
      </c>
      <c r="L58" s="357">
        <v>100</v>
      </c>
      <c r="M58" s="37">
        <f>+J58/C58*100</f>
        <v>94.74398693333333</v>
      </c>
      <c r="N58" s="172">
        <f>C58-J58</f>
        <v>39420098</v>
      </c>
      <c r="O58" s="343"/>
      <c r="P58" t="s">
        <v>166</v>
      </c>
    </row>
    <row r="59" spans="1:16" ht="12" customHeight="1">
      <c r="A59" s="63">
        <v>3</v>
      </c>
      <c r="B59" s="21" t="s">
        <v>54</v>
      </c>
      <c r="C59" s="22">
        <v>150000000</v>
      </c>
      <c r="D59" s="201" t="s">
        <v>107</v>
      </c>
      <c r="E59" s="23">
        <v>48600000</v>
      </c>
      <c r="F59" s="99" t="s">
        <v>108</v>
      </c>
      <c r="G59" s="235">
        <v>43584</v>
      </c>
      <c r="H59" s="23">
        <f>79920000+6525000+15750000</f>
        <v>102195000</v>
      </c>
      <c r="I59" s="340">
        <f>+H59/C59*100</f>
        <v>68.13</v>
      </c>
      <c r="J59" s="23">
        <f>79920000+6525000+15750000</f>
        <v>102195000</v>
      </c>
      <c r="K59" s="71">
        <f>+J59/C59*100</f>
        <v>68.13</v>
      </c>
      <c r="L59" s="357">
        <v>100</v>
      </c>
      <c r="M59" s="37">
        <f>+J59/C59*100</f>
        <v>68.13</v>
      </c>
      <c r="N59" s="172">
        <f>C59-J59</f>
        <v>47805000</v>
      </c>
      <c r="O59" s="345"/>
      <c r="P59" t="s">
        <v>167</v>
      </c>
    </row>
    <row r="60" spans="1:15" ht="12" customHeight="1">
      <c r="A60" s="255"/>
      <c r="B60" s="246"/>
      <c r="C60" s="28"/>
      <c r="D60" s="215"/>
      <c r="E60" s="29"/>
      <c r="F60" s="134"/>
      <c r="G60" s="238"/>
      <c r="H60" s="29"/>
      <c r="I60" s="314"/>
      <c r="J60" s="29"/>
      <c r="K60" s="36"/>
      <c r="L60" s="307"/>
      <c r="M60" s="173"/>
      <c r="N60" s="172"/>
      <c r="O60" s="345"/>
    </row>
    <row r="61" spans="1:15" ht="12" customHeight="1">
      <c r="A61" s="256">
        <v>5</v>
      </c>
      <c r="B61" s="97" t="s">
        <v>56</v>
      </c>
      <c r="C61" s="48">
        <f>SUM(C62:C75)</f>
        <v>1208500000</v>
      </c>
      <c r="D61" s="202"/>
      <c r="E61" s="48">
        <f>E62+E63+E64++E65+E66+E67+E68+E71+E73+E75+E70</f>
        <v>160501000</v>
      </c>
      <c r="F61" s="202"/>
      <c r="G61" s="239"/>
      <c r="H61" s="174">
        <f>SUM(H62:H75)</f>
        <v>762767001</v>
      </c>
      <c r="I61" s="311">
        <f aca="true" t="shared" si="9" ref="I61:I69">+H61/C61*100</f>
        <v>63.11683913942905</v>
      </c>
      <c r="J61" s="174">
        <f>SUM(J62:J75)</f>
        <v>762767001</v>
      </c>
      <c r="K61" s="179">
        <f aca="true" t="shared" si="10" ref="K61:K69">+J61/C61*100</f>
        <v>63.11683913942905</v>
      </c>
      <c r="L61" s="308">
        <v>100</v>
      </c>
      <c r="M61" s="64">
        <f aca="true" t="shared" si="11" ref="M61:M69">+J61/C61*100</f>
        <v>63.11683913942905</v>
      </c>
      <c r="N61" s="172">
        <f aca="true" t="shared" si="12" ref="N61:N69">C61-J61</f>
        <v>445732999</v>
      </c>
      <c r="O61" s="343"/>
    </row>
    <row r="62" spans="1:15" ht="12" customHeight="1">
      <c r="A62" s="63">
        <v>1</v>
      </c>
      <c r="B62" s="73" t="s">
        <v>57</v>
      </c>
      <c r="C62" s="71">
        <v>350000000</v>
      </c>
      <c r="D62" s="213"/>
      <c r="E62" s="71"/>
      <c r="F62" s="99"/>
      <c r="G62" s="235"/>
      <c r="H62" s="71">
        <f>131248900+21300000</f>
        <v>152548900</v>
      </c>
      <c r="I62" s="340">
        <f t="shared" si="9"/>
        <v>43.5854</v>
      </c>
      <c r="J62" s="71">
        <f>131248900+21300000</f>
        <v>152548900</v>
      </c>
      <c r="K62" s="71">
        <f t="shared" si="10"/>
        <v>43.5854</v>
      </c>
      <c r="L62" s="308">
        <v>100</v>
      </c>
      <c r="M62" s="37">
        <f t="shared" si="11"/>
        <v>43.5854</v>
      </c>
      <c r="N62" s="172">
        <f t="shared" si="12"/>
        <v>197451100</v>
      </c>
      <c r="O62" s="343"/>
    </row>
    <row r="63" spans="1:19" ht="12" customHeight="1">
      <c r="A63" s="63">
        <v>2</v>
      </c>
      <c r="B63" s="98" t="s">
        <v>58</v>
      </c>
      <c r="C63" s="71">
        <v>165000000</v>
      </c>
      <c r="D63" s="213"/>
      <c r="E63" s="37"/>
      <c r="F63" s="99"/>
      <c r="G63" s="235"/>
      <c r="H63" s="71">
        <f>122001983+1342421+2100000</f>
        <v>125444404</v>
      </c>
      <c r="I63" s="340">
        <f t="shared" si="9"/>
        <v>76.02691151515153</v>
      </c>
      <c r="J63" s="71">
        <f>122001983+1342421+2100000</f>
        <v>125444404</v>
      </c>
      <c r="K63" s="71">
        <f t="shared" si="10"/>
        <v>76.02691151515153</v>
      </c>
      <c r="L63" s="308">
        <v>100</v>
      </c>
      <c r="M63" s="37">
        <f t="shared" si="11"/>
        <v>76.02691151515153</v>
      </c>
      <c r="N63" s="172">
        <f t="shared" si="12"/>
        <v>39555596</v>
      </c>
      <c r="O63" s="343"/>
      <c r="S63" s="428">
        <v>85930000</v>
      </c>
    </row>
    <row r="64" spans="1:18" s="441" customFormat="1" ht="12" customHeight="1">
      <c r="A64" s="438">
        <v>3</v>
      </c>
      <c r="B64" s="436" t="s">
        <v>59</v>
      </c>
      <c r="C64" s="408">
        <v>50000000</v>
      </c>
      <c r="D64" s="409"/>
      <c r="E64" s="415"/>
      <c r="F64" s="410"/>
      <c r="G64" s="411"/>
      <c r="H64" s="412">
        <f>22900000+1375000+2400000</f>
        <v>26675000</v>
      </c>
      <c r="I64" s="413">
        <f t="shared" si="9"/>
        <v>53.349999999999994</v>
      </c>
      <c r="J64" s="412">
        <f>22900000+1375000+2400000</f>
        <v>26675000</v>
      </c>
      <c r="K64" s="408">
        <f t="shared" si="10"/>
        <v>53.349999999999994</v>
      </c>
      <c r="L64" s="414">
        <v>100</v>
      </c>
      <c r="M64" s="415">
        <f t="shared" si="11"/>
        <v>53.349999999999994</v>
      </c>
      <c r="N64" s="416">
        <f t="shared" si="12"/>
        <v>23325000</v>
      </c>
      <c r="O64" s="439"/>
      <c r="P64" s="440">
        <f>+C64</f>
        <v>50000000</v>
      </c>
      <c r="Q64" s="444">
        <f>+J64</f>
        <v>26675000</v>
      </c>
      <c r="R64" s="441" t="s">
        <v>165</v>
      </c>
    </row>
    <row r="65" spans="1:15" s="472" customFormat="1" ht="12" customHeight="1">
      <c r="A65" s="460">
        <v>4</v>
      </c>
      <c r="B65" s="461" t="s">
        <v>78</v>
      </c>
      <c r="C65" s="462">
        <v>80000000</v>
      </c>
      <c r="D65" s="463" t="s">
        <v>110</v>
      </c>
      <c r="E65" s="464">
        <v>11000000</v>
      </c>
      <c r="F65" s="465" t="s">
        <v>109</v>
      </c>
      <c r="G65" s="466">
        <v>43580</v>
      </c>
      <c r="H65" s="467">
        <f>29275000+25799900+8675000</f>
        <v>63749900</v>
      </c>
      <c r="I65" s="468">
        <f t="shared" si="9"/>
        <v>79.687375</v>
      </c>
      <c r="J65" s="467">
        <f>29275000+25799900+8675000</f>
        <v>63749900</v>
      </c>
      <c r="K65" s="462">
        <f t="shared" si="10"/>
        <v>79.687375</v>
      </c>
      <c r="L65" s="469">
        <v>100</v>
      </c>
      <c r="M65" s="464">
        <f t="shared" si="11"/>
        <v>79.687375</v>
      </c>
      <c r="N65" s="470">
        <f t="shared" si="12"/>
        <v>16250100</v>
      </c>
      <c r="O65" s="471"/>
    </row>
    <row r="66" spans="1:17" s="441" customFormat="1" ht="12" customHeight="1">
      <c r="A66" s="438">
        <v>5</v>
      </c>
      <c r="B66" s="407" t="s">
        <v>79</v>
      </c>
      <c r="C66" s="408">
        <v>50000000</v>
      </c>
      <c r="D66" s="409"/>
      <c r="E66" s="415"/>
      <c r="F66" s="410"/>
      <c r="G66" s="411"/>
      <c r="H66" s="412">
        <f>10775000+4950000</f>
        <v>15725000</v>
      </c>
      <c r="I66" s="413">
        <f t="shared" si="9"/>
        <v>31.45</v>
      </c>
      <c r="J66" s="412">
        <f>10775000+4950000</f>
        <v>15725000</v>
      </c>
      <c r="K66" s="408">
        <f t="shared" si="10"/>
        <v>31.45</v>
      </c>
      <c r="L66" s="414">
        <v>100</v>
      </c>
      <c r="M66" s="415">
        <f t="shared" si="11"/>
        <v>31.45</v>
      </c>
      <c r="N66" s="416">
        <f t="shared" si="12"/>
        <v>34275000</v>
      </c>
      <c r="O66" s="439"/>
      <c r="P66" s="440">
        <f>+C66</f>
        <v>50000000</v>
      </c>
      <c r="Q66" s="444">
        <f>+J66</f>
        <v>15725000</v>
      </c>
    </row>
    <row r="67" spans="1:15" ht="12" customHeight="1">
      <c r="A67" s="63">
        <v>6</v>
      </c>
      <c r="B67" s="73" t="s">
        <v>60</v>
      </c>
      <c r="C67" s="71">
        <v>50000000</v>
      </c>
      <c r="D67" s="213"/>
      <c r="E67" s="37"/>
      <c r="F67" s="99"/>
      <c r="G67" s="235"/>
      <c r="H67" s="7">
        <f>20860166+1435000+2766631</f>
        <v>25061797</v>
      </c>
      <c r="I67" s="340">
        <f t="shared" si="9"/>
        <v>50.123594000000004</v>
      </c>
      <c r="J67" s="7">
        <f>20860166+1435000+2766631</f>
        <v>25061797</v>
      </c>
      <c r="K67" s="71">
        <f t="shared" si="10"/>
        <v>50.123594000000004</v>
      </c>
      <c r="L67" s="308">
        <v>100</v>
      </c>
      <c r="M67" s="37">
        <f t="shared" si="11"/>
        <v>50.123594000000004</v>
      </c>
      <c r="N67" s="172">
        <f t="shared" si="12"/>
        <v>24938203</v>
      </c>
      <c r="O67" s="343"/>
    </row>
    <row r="68" spans="1:15" ht="12" customHeight="1">
      <c r="A68" s="257">
        <v>7</v>
      </c>
      <c r="B68" s="122" t="s">
        <v>61</v>
      </c>
      <c r="C68" s="123">
        <v>50000000</v>
      </c>
      <c r="D68" s="216"/>
      <c r="E68" s="115"/>
      <c r="F68" s="203"/>
      <c r="G68" s="240"/>
      <c r="H68" s="124">
        <v>48600000</v>
      </c>
      <c r="I68" s="340">
        <f t="shared" si="9"/>
        <v>97.2</v>
      </c>
      <c r="J68" s="124">
        <v>48600000</v>
      </c>
      <c r="K68" s="71">
        <f t="shared" si="10"/>
        <v>97.2</v>
      </c>
      <c r="L68" s="308">
        <v>100</v>
      </c>
      <c r="M68" s="37">
        <f t="shared" si="11"/>
        <v>97.2</v>
      </c>
      <c r="N68" s="172">
        <f t="shared" si="12"/>
        <v>1400000</v>
      </c>
      <c r="O68" s="343"/>
    </row>
    <row r="69" spans="1:15" ht="12" customHeight="1">
      <c r="A69" s="63">
        <v>8</v>
      </c>
      <c r="B69" s="122" t="s">
        <v>85</v>
      </c>
      <c r="C69" s="123">
        <v>156700000</v>
      </c>
      <c r="D69" s="216"/>
      <c r="E69" s="115"/>
      <c r="F69" s="203"/>
      <c r="G69" s="240"/>
      <c r="H69" s="124">
        <f>149501000+4700000</f>
        <v>154201000</v>
      </c>
      <c r="I69" s="340">
        <f t="shared" si="9"/>
        <v>98.40523292916401</v>
      </c>
      <c r="J69" s="124">
        <f>149501000+4700000</f>
        <v>154201000</v>
      </c>
      <c r="K69" s="71">
        <f t="shared" si="10"/>
        <v>98.40523292916401</v>
      </c>
      <c r="L69" s="308">
        <v>100</v>
      </c>
      <c r="M69" s="37">
        <f t="shared" si="11"/>
        <v>98.40523292916401</v>
      </c>
      <c r="N69" s="172">
        <f t="shared" si="12"/>
        <v>2499000</v>
      </c>
      <c r="O69" s="343"/>
    </row>
    <row r="70" spans="1:15" ht="12" customHeight="1">
      <c r="A70" s="257"/>
      <c r="B70" s="417"/>
      <c r="C70" s="418"/>
      <c r="D70" s="419" t="s">
        <v>154</v>
      </c>
      <c r="E70" s="420">
        <v>149501000</v>
      </c>
      <c r="F70" s="421" t="s">
        <v>156</v>
      </c>
      <c r="G70" s="422" t="s">
        <v>155</v>
      </c>
      <c r="H70" s="423"/>
      <c r="I70" s="424"/>
      <c r="J70" s="423"/>
      <c r="K70" s="71"/>
      <c r="L70" s="308"/>
      <c r="M70" s="37"/>
      <c r="N70" s="172"/>
      <c r="O70" s="343"/>
    </row>
    <row r="71" spans="1:17" s="441" customFormat="1" ht="12" customHeight="1">
      <c r="A71" s="442">
        <v>9</v>
      </c>
      <c r="B71" s="425" t="s">
        <v>80</v>
      </c>
      <c r="C71" s="426">
        <v>140000000</v>
      </c>
      <c r="D71" s="427"/>
      <c r="E71" s="428">
        <v>0</v>
      </c>
      <c r="F71" s="429"/>
      <c r="G71" s="430"/>
      <c r="H71" s="426">
        <v>108166000</v>
      </c>
      <c r="I71" s="431">
        <f>(H71)/C71*100</f>
        <v>77.26142857142857</v>
      </c>
      <c r="J71" s="426">
        <f>108166000</f>
        <v>108166000</v>
      </c>
      <c r="K71" s="443">
        <f>(J71+J72)/C71*100</f>
        <v>77.26142857142857</v>
      </c>
      <c r="L71" s="414">
        <v>100</v>
      </c>
      <c r="M71" s="415">
        <f>(J71+J72)/C71*100</f>
        <v>77.26142857142857</v>
      </c>
      <c r="N71" s="426">
        <f>C71-J71-J72</f>
        <v>31834000</v>
      </c>
      <c r="O71" s="439"/>
      <c r="P71" s="440">
        <f>+C71</f>
        <v>140000000</v>
      </c>
      <c r="Q71" s="440">
        <f>+J71</f>
        <v>108166000</v>
      </c>
    </row>
    <row r="72" spans="1:15" ht="22.5" customHeight="1">
      <c r="A72" s="257"/>
      <c r="B72" s="425"/>
      <c r="C72" s="426"/>
      <c r="D72" s="432" t="s">
        <v>140</v>
      </c>
      <c r="E72" s="428">
        <v>85930000</v>
      </c>
      <c r="F72" s="433" t="s">
        <v>141</v>
      </c>
      <c r="G72" s="430">
        <v>43556</v>
      </c>
      <c r="H72" s="428"/>
      <c r="I72" s="413"/>
      <c r="J72" s="428">
        <v>0</v>
      </c>
      <c r="K72" s="71"/>
      <c r="L72" s="308"/>
      <c r="M72" s="37"/>
      <c r="N72" s="181"/>
      <c r="O72" s="343"/>
    </row>
    <row r="73" spans="1:17" s="441" customFormat="1" ht="12" customHeight="1">
      <c r="A73" s="438">
        <v>10</v>
      </c>
      <c r="B73" s="407" t="s">
        <v>62</v>
      </c>
      <c r="C73" s="408">
        <v>68300000</v>
      </c>
      <c r="D73" s="409"/>
      <c r="E73" s="408"/>
      <c r="F73" s="410"/>
      <c r="G73" s="411"/>
      <c r="H73" s="412">
        <v>14545000</v>
      </c>
      <c r="I73" s="413">
        <f>+H73/C73*100</f>
        <v>21.29575402635432</v>
      </c>
      <c r="J73" s="412">
        <v>14545000</v>
      </c>
      <c r="K73" s="408">
        <f>+J73/C73*100</f>
        <v>21.29575402635432</v>
      </c>
      <c r="L73" s="414">
        <v>100</v>
      </c>
      <c r="M73" s="415">
        <f>+J73/C73*100</f>
        <v>21.29575402635432</v>
      </c>
      <c r="N73" s="416">
        <f aca="true" t="shared" si="13" ref="N73:N83">C73-J73</f>
        <v>53755000</v>
      </c>
      <c r="O73" s="439"/>
      <c r="P73" s="440">
        <f>+C73</f>
        <v>68300000</v>
      </c>
      <c r="Q73" s="444">
        <f>+J73</f>
        <v>14545000</v>
      </c>
    </row>
    <row r="74" spans="1:17" s="441" customFormat="1" ht="12" customHeight="1">
      <c r="A74" s="442">
        <v>11</v>
      </c>
      <c r="B74" s="407" t="s">
        <v>81</v>
      </c>
      <c r="C74" s="434">
        <v>27500000</v>
      </c>
      <c r="D74" s="435"/>
      <c r="E74" s="408"/>
      <c r="F74" s="410"/>
      <c r="G74" s="411"/>
      <c r="H74" s="412">
        <v>15150000</v>
      </c>
      <c r="I74" s="413">
        <f>+H74/C74*100</f>
        <v>55.09090909090909</v>
      </c>
      <c r="J74" s="412">
        <v>15150000</v>
      </c>
      <c r="K74" s="408">
        <f>+J74/C74*100</f>
        <v>55.09090909090909</v>
      </c>
      <c r="L74" s="414">
        <v>100</v>
      </c>
      <c r="M74" s="415">
        <f>+J74/C74*100</f>
        <v>55.09090909090909</v>
      </c>
      <c r="N74" s="416">
        <f t="shared" si="13"/>
        <v>12350000</v>
      </c>
      <c r="O74" s="439"/>
      <c r="P74" s="440">
        <f>+C74</f>
        <v>27500000</v>
      </c>
      <c r="Q74" s="444">
        <f>+J74</f>
        <v>15150000</v>
      </c>
    </row>
    <row r="75" spans="1:17" ht="12" customHeight="1">
      <c r="A75" s="63">
        <v>12</v>
      </c>
      <c r="B75" s="73" t="s">
        <v>55</v>
      </c>
      <c r="C75" s="38">
        <v>21000000</v>
      </c>
      <c r="D75" s="218"/>
      <c r="E75" s="71"/>
      <c r="F75" s="99"/>
      <c r="G75" s="235"/>
      <c r="H75" s="7">
        <v>12900000</v>
      </c>
      <c r="I75" s="340">
        <f>+H75/C75*100</f>
        <v>61.42857142857143</v>
      </c>
      <c r="J75" s="7">
        <v>12900000</v>
      </c>
      <c r="K75" s="71">
        <f>+J75/C75*100</f>
        <v>61.42857142857143</v>
      </c>
      <c r="L75" s="308">
        <v>100</v>
      </c>
      <c r="M75" s="37">
        <f>+J75/C75*100</f>
        <v>61.42857142857143</v>
      </c>
      <c r="N75" s="172">
        <f t="shared" si="13"/>
        <v>8100000</v>
      </c>
      <c r="O75" s="343"/>
      <c r="P75" s="437">
        <f>SUM(P64:P74)</f>
        <v>335800000</v>
      </c>
      <c r="Q75" s="437">
        <f>SUM(Q64:Q74)</f>
        <v>180261000</v>
      </c>
    </row>
    <row r="76" spans="1:17" ht="12" customHeight="1">
      <c r="A76" s="258"/>
      <c r="B76" s="125"/>
      <c r="C76" s="22"/>
      <c r="D76" s="201"/>
      <c r="E76" s="32"/>
      <c r="F76" s="99"/>
      <c r="G76" s="235"/>
      <c r="H76" s="23"/>
      <c r="I76" s="315"/>
      <c r="J76" s="23"/>
      <c r="K76" s="7"/>
      <c r="L76" s="307"/>
      <c r="M76" s="7"/>
      <c r="N76" s="172">
        <f t="shared" si="13"/>
        <v>0</v>
      </c>
      <c r="O76" s="343"/>
      <c r="Q76" s="299">
        <f>+Q75/P75*100</f>
        <v>53.68106015485408</v>
      </c>
    </row>
    <row r="77" spans="1:15" ht="12" customHeight="1">
      <c r="A77" s="259">
        <v>6</v>
      </c>
      <c r="B77" s="97" t="s">
        <v>63</v>
      </c>
      <c r="C77" s="48">
        <f>C78+C79+C80</f>
        <v>340000000</v>
      </c>
      <c r="D77" s="202"/>
      <c r="E77" s="48">
        <f>E78+E79+E80</f>
        <v>0</v>
      </c>
      <c r="F77" s="202"/>
      <c r="G77" s="239"/>
      <c r="H77" s="174">
        <f>SUM(H78:H80)</f>
        <v>319944000</v>
      </c>
      <c r="I77" s="340">
        <f>+H77/C77*100</f>
        <v>94.10117647058823</v>
      </c>
      <c r="J77" s="174">
        <f>SUM(J78:J80)</f>
        <v>319944000</v>
      </c>
      <c r="K77" s="71">
        <f>+J77/C77*100</f>
        <v>94.10117647058823</v>
      </c>
      <c r="L77" s="308">
        <v>100</v>
      </c>
      <c r="M77" s="37">
        <f>+J77/C77*100</f>
        <v>94.10117647058823</v>
      </c>
      <c r="N77" s="172">
        <f t="shared" si="13"/>
        <v>20056000</v>
      </c>
      <c r="O77" s="343"/>
    </row>
    <row r="78" spans="1:15" ht="12" customHeight="1">
      <c r="A78" s="63">
        <v>1</v>
      </c>
      <c r="B78" s="73" t="s">
        <v>64</v>
      </c>
      <c r="C78" s="38">
        <v>50000000</v>
      </c>
      <c r="D78" s="218"/>
      <c r="E78" s="38"/>
      <c r="F78" s="99"/>
      <c r="G78" s="235"/>
      <c r="H78" s="38">
        <f>37223000+3525000+5525000</f>
        <v>46273000</v>
      </c>
      <c r="I78" s="340">
        <f>+H78/C78*100</f>
        <v>92.54599999999999</v>
      </c>
      <c r="J78" s="38">
        <f>37223000+3525000+5525000</f>
        <v>46273000</v>
      </c>
      <c r="K78" s="71">
        <f>+J78/C78*100</f>
        <v>92.54599999999999</v>
      </c>
      <c r="L78" s="308">
        <v>100</v>
      </c>
      <c r="M78" s="37">
        <f>+J78/C78*100</f>
        <v>92.54599999999999</v>
      </c>
      <c r="N78" s="172">
        <f t="shared" si="13"/>
        <v>3727000</v>
      </c>
      <c r="O78" s="343"/>
    </row>
    <row r="79" spans="1:15" ht="12" customHeight="1">
      <c r="A79" s="63">
        <v>2</v>
      </c>
      <c r="B79" s="73" t="s">
        <v>65</v>
      </c>
      <c r="C79" s="38">
        <v>35000000</v>
      </c>
      <c r="D79" s="218"/>
      <c r="E79" s="32"/>
      <c r="F79" s="99"/>
      <c r="G79" s="235"/>
      <c r="H79" s="38">
        <f>8946000+20250000</f>
        <v>29196000</v>
      </c>
      <c r="I79" s="340">
        <f>+H79/C79*100</f>
        <v>83.41714285714286</v>
      </c>
      <c r="J79" s="38">
        <f>8946000+20250000</f>
        <v>29196000</v>
      </c>
      <c r="K79" s="71">
        <f>+J79/C79*100</f>
        <v>83.41714285714286</v>
      </c>
      <c r="L79" s="308">
        <v>100</v>
      </c>
      <c r="M79" s="37">
        <f>+J79/C79*100</f>
        <v>83.41714285714286</v>
      </c>
      <c r="N79" s="172">
        <f t="shared" si="13"/>
        <v>5804000</v>
      </c>
      <c r="O79" s="343"/>
    </row>
    <row r="80" spans="1:15" ht="12" customHeight="1">
      <c r="A80" s="63">
        <v>3</v>
      </c>
      <c r="B80" s="73" t="s">
        <v>66</v>
      </c>
      <c r="C80" s="71">
        <v>255000000</v>
      </c>
      <c r="D80" s="213"/>
      <c r="E80" s="71"/>
      <c r="F80" s="99"/>
      <c r="G80" s="235"/>
      <c r="H80" s="71">
        <f>236275000+4450000+3750000</f>
        <v>244475000</v>
      </c>
      <c r="I80" s="340">
        <f>+H80/C80*100</f>
        <v>95.87254901960785</v>
      </c>
      <c r="J80" s="71">
        <f>236275000+4450000+3750000</f>
        <v>244475000</v>
      </c>
      <c r="K80" s="71">
        <f>+J80/C80*100</f>
        <v>95.87254901960785</v>
      </c>
      <c r="L80" s="308">
        <v>100</v>
      </c>
      <c r="M80" s="37">
        <f>+J80/C80*100</f>
        <v>95.87254901960785</v>
      </c>
      <c r="N80" s="172">
        <f t="shared" si="13"/>
        <v>10525000</v>
      </c>
      <c r="O80" s="343"/>
    </row>
    <row r="81" spans="1:15" ht="12" customHeight="1">
      <c r="A81" s="255"/>
      <c r="B81" s="132"/>
      <c r="C81" s="133"/>
      <c r="D81" s="219"/>
      <c r="E81" s="133"/>
      <c r="F81" s="134"/>
      <c r="G81" s="238"/>
      <c r="H81" s="133">
        <v>0</v>
      </c>
      <c r="I81" s="314"/>
      <c r="J81" s="133"/>
      <c r="K81" s="36"/>
      <c r="L81" s="177"/>
      <c r="M81" s="173"/>
      <c r="N81" s="172">
        <f t="shared" si="13"/>
        <v>0</v>
      </c>
      <c r="O81" s="343"/>
    </row>
    <row r="82" spans="1:15" ht="12" customHeight="1">
      <c r="A82" s="259">
        <v>7</v>
      </c>
      <c r="B82" s="97" t="s">
        <v>67</v>
      </c>
      <c r="C82" s="48">
        <f>C83+C84</f>
        <v>520000000</v>
      </c>
      <c r="D82" s="202"/>
      <c r="E82" s="48">
        <f>SUM(E83:E91)</f>
        <v>465798000</v>
      </c>
      <c r="F82" s="202"/>
      <c r="G82" s="239"/>
      <c r="H82" s="174">
        <f>SUM(H83:H91)</f>
        <v>505018000</v>
      </c>
      <c r="I82" s="311">
        <f>+H82/C82*100</f>
        <v>97.11884615384615</v>
      </c>
      <c r="J82" s="174">
        <f>J83+J84+J85+J86+J87+J88+J89+J90+J91</f>
        <v>505018000</v>
      </c>
      <c r="K82" s="338">
        <f>+J82/C82*100</f>
        <v>97.11884615384615</v>
      </c>
      <c r="L82" s="308">
        <v>100</v>
      </c>
      <c r="M82" s="64">
        <f>+J82/C82*100</f>
        <v>97.11884615384615</v>
      </c>
      <c r="N82" s="172">
        <f t="shared" si="13"/>
        <v>14982000</v>
      </c>
      <c r="O82" s="343"/>
    </row>
    <row r="83" spans="1:15" ht="12" customHeight="1">
      <c r="A83" s="258">
        <v>1</v>
      </c>
      <c r="B83" s="73" t="s">
        <v>68</v>
      </c>
      <c r="C83" s="71">
        <v>100000000</v>
      </c>
      <c r="D83" s="273" t="s">
        <v>129</v>
      </c>
      <c r="E83" s="22">
        <v>98395000</v>
      </c>
      <c r="F83" s="273" t="s">
        <v>128</v>
      </c>
      <c r="G83" s="237" t="s">
        <v>127</v>
      </c>
      <c r="H83" s="71">
        <v>99445000</v>
      </c>
      <c r="I83" s="340">
        <f>+H83/C83*100</f>
        <v>99.445</v>
      </c>
      <c r="J83" s="71">
        <v>99445000</v>
      </c>
      <c r="K83" s="71">
        <f>+J83/C83*100</f>
        <v>99.445</v>
      </c>
      <c r="L83" s="308">
        <v>100</v>
      </c>
      <c r="M83" s="37">
        <f>+J83/C83*100</f>
        <v>99.445</v>
      </c>
      <c r="N83" s="172">
        <f t="shared" si="13"/>
        <v>555000</v>
      </c>
      <c r="O83" s="343"/>
    </row>
    <row r="84" spans="1:15" ht="12" customHeight="1">
      <c r="A84" s="258">
        <v>2</v>
      </c>
      <c r="B84" s="73" t="s">
        <v>69</v>
      </c>
      <c r="C84" s="71">
        <v>420000000</v>
      </c>
      <c r="D84" s="331" t="s">
        <v>136</v>
      </c>
      <c r="E84" s="71">
        <v>98188000</v>
      </c>
      <c r="F84" s="347" t="s">
        <v>134</v>
      </c>
      <c r="G84" s="235" t="s">
        <v>135</v>
      </c>
      <c r="H84" s="71">
        <v>98188000</v>
      </c>
      <c r="I84" s="340">
        <f>+H84/C84*100</f>
        <v>23.378095238095238</v>
      </c>
      <c r="J84" s="71">
        <v>98188000</v>
      </c>
      <c r="K84" s="71">
        <f>+J84/C84*100</f>
        <v>23.378095238095238</v>
      </c>
      <c r="L84" s="308">
        <v>100</v>
      </c>
      <c r="M84" s="37">
        <f>+J84/C84*100</f>
        <v>23.378095238095238</v>
      </c>
      <c r="N84" s="172">
        <f>C84-(J84+J85+J86+J87+J88+J89+J90+J91)</f>
        <v>14427000</v>
      </c>
      <c r="O84" s="343"/>
    </row>
    <row r="85" spans="1:15" ht="12" customHeight="1">
      <c r="A85" s="258"/>
      <c r="B85" s="73"/>
      <c r="C85" s="71"/>
      <c r="D85" s="331" t="s">
        <v>145</v>
      </c>
      <c r="E85" s="71">
        <v>48230000</v>
      </c>
      <c r="F85" s="347" t="s">
        <v>144</v>
      </c>
      <c r="G85" s="241" t="s">
        <v>143</v>
      </c>
      <c r="H85" s="71">
        <v>48230000</v>
      </c>
      <c r="I85" s="353">
        <f>+H85/C84*100</f>
        <v>11.483333333333333</v>
      </c>
      <c r="J85" s="71">
        <v>48230000</v>
      </c>
      <c r="K85" s="339">
        <f>+J85/C84*100</f>
        <v>11.483333333333333</v>
      </c>
      <c r="L85" s="308"/>
      <c r="M85" s="37">
        <f>+J85/C84*100</f>
        <v>11.483333333333333</v>
      </c>
      <c r="N85" s="172"/>
      <c r="O85" s="343"/>
    </row>
    <row r="86" spans="1:15" ht="12" customHeight="1">
      <c r="A86" s="258"/>
      <c r="B86" s="73"/>
      <c r="C86" s="71"/>
      <c r="D86" s="331" t="s">
        <v>142</v>
      </c>
      <c r="E86" s="71">
        <v>48150000</v>
      </c>
      <c r="F86" s="347" t="s">
        <v>146</v>
      </c>
      <c r="G86" s="241" t="s">
        <v>143</v>
      </c>
      <c r="H86" s="71">
        <v>48150000</v>
      </c>
      <c r="I86" s="353">
        <f>+H86/C84*100</f>
        <v>11.464285714285714</v>
      </c>
      <c r="J86" s="71">
        <v>48150000</v>
      </c>
      <c r="K86" s="339">
        <f>+J86/C84*100</f>
        <v>11.464285714285714</v>
      </c>
      <c r="L86" s="308"/>
      <c r="M86" s="37">
        <f>+J86/C84*100</f>
        <v>11.464285714285714</v>
      </c>
      <c r="N86" s="172"/>
      <c r="O86" s="343"/>
    </row>
    <row r="87" spans="1:15" ht="12" customHeight="1">
      <c r="A87" s="258"/>
      <c r="B87" s="73"/>
      <c r="C87" s="71"/>
      <c r="D87" s="419" t="s">
        <v>147</v>
      </c>
      <c r="E87" s="71">
        <v>38280000</v>
      </c>
      <c r="F87" s="349" t="s">
        <v>148</v>
      </c>
      <c r="G87" s="241">
        <v>43556</v>
      </c>
      <c r="H87" s="71">
        <v>38280000</v>
      </c>
      <c r="I87" s="353">
        <f>+H87/C84*100</f>
        <v>9.114285714285714</v>
      </c>
      <c r="J87" s="71">
        <v>38280000</v>
      </c>
      <c r="K87" s="339">
        <f>+J87/C84*100</f>
        <v>9.114285714285714</v>
      </c>
      <c r="L87" s="308"/>
      <c r="M87" s="37">
        <f>+J87/C84*100</f>
        <v>9.114285714285714</v>
      </c>
      <c r="N87" s="172"/>
      <c r="O87" s="343"/>
    </row>
    <row r="88" spans="1:15" ht="12" customHeight="1">
      <c r="A88" s="258"/>
      <c r="B88" s="73"/>
      <c r="C88" s="71"/>
      <c r="D88" s="331" t="s">
        <v>149</v>
      </c>
      <c r="E88" s="71">
        <v>48260000</v>
      </c>
      <c r="F88" s="349" t="s">
        <v>148</v>
      </c>
      <c r="G88" s="241">
        <v>43556</v>
      </c>
      <c r="H88" s="71">
        <v>48260000</v>
      </c>
      <c r="I88" s="353">
        <f>+H88/C84*100</f>
        <v>11.49047619047619</v>
      </c>
      <c r="J88" s="71">
        <v>48260000</v>
      </c>
      <c r="K88" s="339">
        <f>+J88/C84*100</f>
        <v>11.49047619047619</v>
      </c>
      <c r="L88" s="308"/>
      <c r="M88" s="37">
        <f>+J88/C84*100</f>
        <v>11.49047619047619</v>
      </c>
      <c r="N88" s="172"/>
      <c r="O88" s="343"/>
    </row>
    <row r="89" spans="1:15" ht="12" customHeight="1">
      <c r="A89" s="258"/>
      <c r="B89" s="73"/>
      <c r="C89" s="71"/>
      <c r="D89" s="419" t="s">
        <v>150</v>
      </c>
      <c r="E89" s="71">
        <v>38170000</v>
      </c>
      <c r="F89" s="349" t="s">
        <v>148</v>
      </c>
      <c r="G89" s="241">
        <v>43556</v>
      </c>
      <c r="H89" s="71">
        <v>38170000</v>
      </c>
      <c r="I89" s="353">
        <f>+H89/C84*100</f>
        <v>9.088095238095239</v>
      </c>
      <c r="J89" s="71">
        <v>38170000</v>
      </c>
      <c r="K89" s="339">
        <f>+J89/C84*100</f>
        <v>9.088095238095239</v>
      </c>
      <c r="L89" s="308"/>
      <c r="M89" s="37">
        <f>+J89/C84*100</f>
        <v>9.088095238095239</v>
      </c>
      <c r="N89" s="172"/>
      <c r="O89" s="343"/>
    </row>
    <row r="90" spans="1:15" ht="12" customHeight="1">
      <c r="A90" s="258"/>
      <c r="B90" s="73"/>
      <c r="C90" s="71"/>
      <c r="D90" s="331" t="s">
        <v>151</v>
      </c>
      <c r="E90" s="71">
        <v>48125000</v>
      </c>
      <c r="F90" s="348" t="s">
        <v>152</v>
      </c>
      <c r="G90" s="241">
        <v>43556</v>
      </c>
      <c r="H90" s="71">
        <v>48125000</v>
      </c>
      <c r="I90" s="353">
        <f>+H90/C84*100</f>
        <v>11.458333333333332</v>
      </c>
      <c r="J90" s="71">
        <v>48125000</v>
      </c>
      <c r="K90" s="339">
        <f>+J90/C84*100</f>
        <v>11.458333333333332</v>
      </c>
      <c r="L90" s="308"/>
      <c r="M90" s="37">
        <f>+J90/C84*100</f>
        <v>11.458333333333332</v>
      </c>
      <c r="N90" s="172"/>
      <c r="O90" s="343"/>
    </row>
    <row r="91" spans="1:15" ht="12" customHeight="1">
      <c r="A91" s="258"/>
      <c r="B91" s="73"/>
      <c r="C91" s="71"/>
      <c r="D91" s="419" t="s">
        <v>153</v>
      </c>
      <c r="F91" s="348" t="s">
        <v>152</v>
      </c>
      <c r="G91" s="241">
        <v>43556</v>
      </c>
      <c r="H91" s="71">
        <v>38170000</v>
      </c>
      <c r="I91" s="353">
        <f>+H91/C84*100</f>
        <v>9.088095238095239</v>
      </c>
      <c r="J91" s="71">
        <v>38170000</v>
      </c>
      <c r="K91" s="339">
        <f>+J91/C84*100</f>
        <v>9.088095238095239</v>
      </c>
      <c r="L91" s="308"/>
      <c r="M91" s="37">
        <f>+J91/C84*100</f>
        <v>9.088095238095239</v>
      </c>
      <c r="N91" s="172"/>
      <c r="O91" s="343"/>
    </row>
    <row r="92" spans="1:15" ht="12" customHeight="1">
      <c r="A92" s="258"/>
      <c r="B92" s="98"/>
      <c r="C92" s="71"/>
      <c r="D92" s="71"/>
      <c r="E92" s="32"/>
      <c r="F92" s="99"/>
      <c r="G92" s="235"/>
      <c r="H92" s="7"/>
      <c r="I92" s="315"/>
      <c r="J92" s="7"/>
      <c r="K92" s="7"/>
      <c r="L92" s="7"/>
      <c r="M92" s="145"/>
      <c r="N92" s="172">
        <f>C92-J92</f>
        <v>0</v>
      </c>
      <c r="O92" s="343"/>
    </row>
    <row r="93" spans="1:15" ht="12" customHeight="1">
      <c r="A93" s="254">
        <v>8</v>
      </c>
      <c r="B93" s="69" t="s">
        <v>70</v>
      </c>
      <c r="C93" s="39">
        <f>SUM(C94:C94)</f>
        <v>100000000</v>
      </c>
      <c r="D93" s="198"/>
      <c r="E93" s="39">
        <f>SUM(E94:E94)</f>
        <v>0</v>
      </c>
      <c r="F93" s="198"/>
      <c r="G93" s="234"/>
      <c r="H93" s="179">
        <f>SUM(H94:H94)</f>
        <v>88083981</v>
      </c>
      <c r="I93" s="311">
        <f>+H93/C93*100</f>
        <v>88.083981</v>
      </c>
      <c r="J93" s="179">
        <f>SUM(J94:J94)</f>
        <v>88083981</v>
      </c>
      <c r="K93" s="179">
        <f>+J93/C93*100</f>
        <v>88.083981</v>
      </c>
      <c r="L93" s="308">
        <v>100</v>
      </c>
      <c r="M93" s="64">
        <f>+J93/C93*100</f>
        <v>88.083981</v>
      </c>
      <c r="N93" s="171">
        <f>C93-J93</f>
        <v>11916019</v>
      </c>
      <c r="O93" s="343"/>
    </row>
    <row r="94" spans="1:15" s="459" customFormat="1" ht="12" customHeight="1">
      <c r="A94" s="445"/>
      <c r="B94" s="446" t="s">
        <v>71</v>
      </c>
      <c r="C94" s="447">
        <v>100000000</v>
      </c>
      <c r="D94" s="448"/>
      <c r="E94" s="449"/>
      <c r="F94" s="450"/>
      <c r="G94" s="451"/>
      <c r="H94" s="452">
        <f>1400000+47496500+39187481</f>
        <v>88083981</v>
      </c>
      <c r="I94" s="453">
        <f>+H94/C94*100</f>
        <v>88.083981</v>
      </c>
      <c r="J94" s="452">
        <f>1400000+47496500+39187481</f>
        <v>88083981</v>
      </c>
      <c r="K94" s="454">
        <f>+J94/C94*100</f>
        <v>88.083981</v>
      </c>
      <c r="L94" s="455">
        <v>100</v>
      </c>
      <c r="M94" s="456">
        <f>+J94/C94*100</f>
        <v>88.083981</v>
      </c>
      <c r="N94" s="457">
        <f>C94-J94</f>
        <v>11916019</v>
      </c>
      <c r="O94" s="458"/>
    </row>
    <row r="95" spans="1:15" ht="12" customHeight="1" thickBot="1">
      <c r="A95" s="63"/>
      <c r="B95" s="40"/>
      <c r="C95" s="41"/>
      <c r="D95" s="221"/>
      <c r="E95" s="37"/>
      <c r="F95" s="99"/>
      <c r="G95" s="235"/>
      <c r="H95" s="42"/>
      <c r="I95" s="320"/>
      <c r="J95" s="321"/>
      <c r="K95" s="322"/>
      <c r="L95" s="322"/>
      <c r="M95" s="322"/>
      <c r="N95" s="34"/>
      <c r="O95" s="343"/>
    </row>
    <row r="96" spans="1:15" ht="12" customHeight="1" thickBot="1">
      <c r="A96" s="102"/>
      <c r="B96" s="103"/>
      <c r="C96" s="43">
        <f>C12+C26</f>
        <v>12739320700</v>
      </c>
      <c r="D96" s="43"/>
      <c r="E96" s="43">
        <f>+E12+E26</f>
        <v>1269331000</v>
      </c>
      <c r="F96" s="43">
        <f>F27+F40+F50+F53+F61+F77+F82+F93</f>
        <v>0</v>
      </c>
      <c r="G96" s="350"/>
      <c r="H96" s="351">
        <f>+H12+H26</f>
        <v>6600222715</v>
      </c>
      <c r="I96" s="323">
        <f>+H96/C96*100</f>
        <v>51.80984818915816</v>
      </c>
      <c r="J96" s="324">
        <f>+J12+J26</f>
        <v>6600222715</v>
      </c>
      <c r="K96" s="325">
        <f>+J96/C96*100</f>
        <v>51.80984818915816</v>
      </c>
      <c r="L96" s="326">
        <v>100</v>
      </c>
      <c r="M96" s="325">
        <f>SUM(M26+M12)/2</f>
        <v>54.35992537442364</v>
      </c>
      <c r="N96" s="319">
        <f>N12+N26</f>
        <v>6275991125</v>
      </c>
      <c r="O96" s="343"/>
    </row>
    <row r="97" spans="1:14" ht="12" customHeight="1">
      <c r="A97" s="126"/>
      <c r="B97" s="127"/>
      <c r="C97" s="128"/>
      <c r="D97" s="206"/>
      <c r="E97" s="128"/>
      <c r="F97" s="206"/>
      <c r="G97" s="243"/>
      <c r="H97" s="128"/>
      <c r="I97" s="316"/>
      <c r="J97" s="128"/>
      <c r="K97" s="130"/>
      <c r="L97" s="128"/>
      <c r="M97" s="128"/>
      <c r="N97" s="128"/>
    </row>
    <row r="98" spans="1:14" ht="12" customHeight="1">
      <c r="A98" s="126"/>
      <c r="B98" s="135"/>
      <c r="C98" s="136"/>
      <c r="D98" s="208"/>
      <c r="E98" s="60"/>
      <c r="F98" s="207"/>
      <c r="G98" s="244"/>
      <c r="H98" s="44"/>
      <c r="I98" s="107"/>
      <c r="J98" s="1"/>
      <c r="K98" s="117"/>
      <c r="L98" s="117" t="s">
        <v>163</v>
      </c>
      <c r="M98" s="117"/>
      <c r="N98" s="117"/>
    </row>
    <row r="99" spans="1:14" ht="12" customHeight="1">
      <c r="A99" s="126"/>
      <c r="B99" s="138"/>
      <c r="C99" s="84"/>
      <c r="D99" s="199"/>
      <c r="E99" s="139"/>
      <c r="F99" s="207"/>
      <c r="G99" s="244"/>
      <c r="H99" s="45"/>
      <c r="I99" s="317"/>
      <c r="J99" s="1"/>
      <c r="K99" s="107"/>
      <c r="L99" s="107" t="s">
        <v>73</v>
      </c>
      <c r="M99" s="107"/>
      <c r="N99" s="107"/>
    </row>
    <row r="100" spans="1:14" ht="12" customHeight="1">
      <c r="A100" s="126"/>
      <c r="B100" s="105" t="s">
        <v>82</v>
      </c>
      <c r="C100" s="106">
        <f>H96/C96*100</f>
        <v>51.80984818915816</v>
      </c>
      <c r="D100" s="222"/>
      <c r="E100" s="60"/>
      <c r="F100" s="208"/>
      <c r="G100" s="224"/>
      <c r="H100" s="44"/>
      <c r="I100" s="107"/>
      <c r="J100" s="1"/>
      <c r="K100" s="107"/>
      <c r="L100" s="107" t="s">
        <v>72</v>
      </c>
      <c r="M100" s="107"/>
      <c r="N100" s="107"/>
    </row>
    <row r="101" spans="1:14" ht="12" customHeight="1">
      <c r="A101" s="126"/>
      <c r="B101" s="140"/>
      <c r="C101" s="141"/>
      <c r="D101" s="223"/>
      <c r="E101" s="60"/>
      <c r="F101" s="208"/>
      <c r="G101" s="224"/>
      <c r="H101" s="44"/>
      <c r="I101" s="107"/>
      <c r="J101" s="1"/>
      <c r="K101" s="107"/>
      <c r="L101" s="107"/>
      <c r="M101" s="107"/>
      <c r="N101" s="107"/>
    </row>
    <row r="102" spans="1:14" ht="12" customHeight="1">
      <c r="A102" s="126"/>
      <c r="B102" s="140"/>
      <c r="C102" s="141"/>
      <c r="D102" s="223"/>
      <c r="E102" s="60"/>
      <c r="F102" s="208"/>
      <c r="G102" s="224"/>
      <c r="H102" s="44"/>
      <c r="I102" s="107"/>
      <c r="J102" s="1"/>
      <c r="K102" s="107"/>
      <c r="L102" s="107"/>
      <c r="M102" s="107"/>
      <c r="N102" s="107"/>
    </row>
    <row r="103" spans="1:14" ht="12" customHeight="1">
      <c r="A103" s="126"/>
      <c r="B103" s="128"/>
      <c r="C103" s="84"/>
      <c r="D103" s="199"/>
      <c r="E103" s="60"/>
      <c r="F103" s="207"/>
      <c r="G103" s="244"/>
      <c r="H103" s="46"/>
      <c r="I103" s="107"/>
      <c r="J103" s="108"/>
      <c r="K103" s="108"/>
      <c r="L103" s="108" t="s">
        <v>74</v>
      </c>
      <c r="M103" s="1"/>
      <c r="N103" s="1"/>
    </row>
    <row r="104" spans="1:14" ht="12" customHeight="1">
      <c r="A104" s="126"/>
      <c r="B104" s="127"/>
      <c r="C104" s="84"/>
      <c r="D104" s="199"/>
      <c r="E104" s="60"/>
      <c r="F104" s="187"/>
      <c r="G104" s="224"/>
      <c r="H104" s="46"/>
      <c r="I104" s="107"/>
      <c r="J104" s="107"/>
      <c r="K104" s="107"/>
      <c r="L104" s="107" t="s">
        <v>75</v>
      </c>
      <c r="M104" s="1"/>
      <c r="N104" s="1"/>
    </row>
    <row r="105" spans="1:14" ht="12" customHeight="1">
      <c r="A105" s="126"/>
      <c r="B105" s="127"/>
      <c r="C105" s="84"/>
      <c r="D105" s="199"/>
      <c r="E105" s="60"/>
      <c r="F105" s="187"/>
      <c r="G105" s="224"/>
      <c r="H105" s="46"/>
      <c r="I105" s="107"/>
      <c r="J105" s="107"/>
      <c r="K105" s="107"/>
      <c r="L105" s="107"/>
      <c r="M105" s="1"/>
      <c r="N105" s="1"/>
    </row>
    <row r="106" ht="12" customHeight="1">
      <c r="I106" s="261"/>
    </row>
    <row r="107" ht="12" customHeight="1">
      <c r="I107" s="261"/>
    </row>
    <row r="108" ht="12" customHeight="1">
      <c r="I108" s="261"/>
    </row>
    <row r="109" ht="12" customHeight="1">
      <c r="I109" s="261"/>
    </row>
    <row r="110" ht="12" customHeight="1">
      <c r="I110" s="261"/>
    </row>
    <row r="111" ht="12" customHeight="1">
      <c r="I111" s="261"/>
    </row>
  </sheetData>
  <sheetProtection/>
  <mergeCells count="22">
    <mergeCell ref="O7:O9"/>
    <mergeCell ref="H8:H9"/>
    <mergeCell ref="I8:I9"/>
    <mergeCell ref="J8:J9"/>
    <mergeCell ref="K8:K9"/>
    <mergeCell ref="N7:N9"/>
    <mergeCell ref="C7:C9"/>
    <mergeCell ref="F7:F9"/>
    <mergeCell ref="D7:D9"/>
    <mergeCell ref="E7:E9"/>
    <mergeCell ref="L8:L9"/>
    <mergeCell ref="M8:M9"/>
    <mergeCell ref="A7:A9"/>
    <mergeCell ref="G7:G9"/>
    <mergeCell ref="H7:K7"/>
    <mergeCell ref="L7:M7"/>
    <mergeCell ref="A1:N1"/>
    <mergeCell ref="A2:N2"/>
    <mergeCell ref="A3:N3"/>
    <mergeCell ref="A4:B4"/>
    <mergeCell ref="A5:B5"/>
    <mergeCell ref="B7:B9"/>
  </mergeCells>
  <printOptions horizontalCentered="1"/>
  <pageMargins left="0.2" right="0.7" top="0.75" bottom="0.75" header="0.3" footer="0.3"/>
  <pageSetup orientation="landscape" paperSize="5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6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3.57421875" style="0" customWidth="1"/>
    <col min="2" max="2" width="52.421875" style="0" customWidth="1"/>
    <col min="3" max="3" width="15.28125" style="0" customWidth="1"/>
    <col min="4" max="4" width="18.140625" style="0" customWidth="1"/>
    <col min="5" max="5" width="14.00390625" style="0" customWidth="1"/>
    <col min="6" max="6" width="15.28125" style="0" customWidth="1"/>
    <col min="7" max="7" width="12.28125" style="0" customWidth="1"/>
    <col min="8" max="8" width="14.140625" style="0" customWidth="1"/>
    <col min="9" max="9" width="6.421875" style="0" customWidth="1"/>
    <col min="10" max="10" width="14.57421875" style="0" customWidth="1"/>
    <col min="11" max="11" width="6.7109375" style="0" customWidth="1"/>
    <col min="12" max="12" width="7.00390625" style="0" customWidth="1"/>
    <col min="13" max="13" width="6.28125" style="0" customWidth="1"/>
    <col min="14" max="14" width="13.8515625" style="0" customWidth="1"/>
    <col min="15" max="15" width="15.140625" style="0" customWidth="1"/>
    <col min="17" max="17" width="14.140625" style="0" customWidth="1"/>
  </cols>
  <sheetData>
    <row r="1" spans="1:14" ht="15.75">
      <c r="A1" s="811" t="s">
        <v>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</row>
    <row r="2" spans="1:14" ht="12.75">
      <c r="A2" s="812" t="s">
        <v>83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</row>
    <row r="3" spans="1:14" ht="12.75">
      <c r="A3" s="832" t="s">
        <v>77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</row>
    <row r="4" spans="1:14" ht="12.75">
      <c r="A4" s="819" t="s">
        <v>161</v>
      </c>
      <c r="B4" s="823"/>
      <c r="C4" s="59"/>
      <c r="D4" s="188"/>
      <c r="E4" s="59"/>
      <c r="F4" s="188"/>
      <c r="G4" s="225"/>
      <c r="H4" s="59"/>
      <c r="I4" s="59"/>
      <c r="J4" s="59"/>
      <c r="K4" s="59"/>
      <c r="L4" s="59"/>
      <c r="M4" s="59"/>
      <c r="N4" s="59"/>
    </row>
    <row r="5" spans="1:14" ht="12.75">
      <c r="A5" s="819" t="s">
        <v>164</v>
      </c>
      <c r="B5" s="819"/>
      <c r="C5" s="59"/>
      <c r="D5" s="188"/>
      <c r="E5" s="59"/>
      <c r="F5" s="188"/>
      <c r="G5" s="225"/>
      <c r="H5" s="59"/>
      <c r="I5" s="59"/>
      <c r="J5" s="59"/>
      <c r="K5" s="59"/>
      <c r="L5" s="59"/>
      <c r="M5" s="59"/>
      <c r="N5" s="59"/>
    </row>
    <row r="6" spans="1:14" ht="12.75">
      <c r="A6" s="59"/>
      <c r="B6" s="1"/>
      <c r="C6" s="1"/>
      <c r="D6" s="187"/>
      <c r="E6" s="1"/>
      <c r="F6" s="187"/>
      <c r="G6" s="224"/>
      <c r="H6" s="1"/>
      <c r="I6" s="252"/>
      <c r="J6" s="1"/>
      <c r="K6" s="1"/>
      <c r="L6" s="1"/>
      <c r="M6" s="1"/>
      <c r="N6" s="1"/>
    </row>
    <row r="7" spans="1:15" ht="12.75">
      <c r="A7" s="808" t="s">
        <v>2</v>
      </c>
      <c r="B7" s="808" t="s">
        <v>3</v>
      </c>
      <c r="C7" s="808" t="s">
        <v>168</v>
      </c>
      <c r="D7" s="820" t="s">
        <v>104</v>
      </c>
      <c r="E7" s="808" t="s">
        <v>5</v>
      </c>
      <c r="F7" s="820" t="s">
        <v>6</v>
      </c>
      <c r="G7" s="824" t="s">
        <v>105</v>
      </c>
      <c r="H7" s="816" t="s">
        <v>7</v>
      </c>
      <c r="I7" s="817"/>
      <c r="J7" s="817"/>
      <c r="K7" s="818"/>
      <c r="L7" s="816" t="s">
        <v>8</v>
      </c>
      <c r="M7" s="818"/>
      <c r="N7" s="805" t="s">
        <v>87</v>
      </c>
      <c r="O7" s="827" t="s">
        <v>9</v>
      </c>
    </row>
    <row r="8" spans="1:15" ht="12.75">
      <c r="A8" s="806"/>
      <c r="B8" s="806"/>
      <c r="C8" s="806"/>
      <c r="D8" s="821"/>
      <c r="E8" s="814"/>
      <c r="F8" s="821"/>
      <c r="G8" s="825"/>
      <c r="H8" s="809" t="s">
        <v>10</v>
      </c>
      <c r="I8" s="808" t="s">
        <v>11</v>
      </c>
      <c r="J8" s="808" t="s">
        <v>12</v>
      </c>
      <c r="K8" s="808" t="s">
        <v>11</v>
      </c>
      <c r="L8" s="808" t="s">
        <v>13</v>
      </c>
      <c r="M8" s="820" t="s">
        <v>14</v>
      </c>
      <c r="N8" s="806"/>
      <c r="O8" s="828"/>
    </row>
    <row r="9" spans="1:15" ht="12.75">
      <c r="A9" s="807"/>
      <c r="B9" s="807"/>
      <c r="C9" s="807"/>
      <c r="D9" s="822"/>
      <c r="E9" s="815"/>
      <c r="F9" s="822"/>
      <c r="G9" s="826"/>
      <c r="H9" s="810"/>
      <c r="I9" s="807"/>
      <c r="J9" s="807"/>
      <c r="K9" s="807"/>
      <c r="L9" s="807"/>
      <c r="M9" s="822"/>
      <c r="N9" s="807"/>
      <c r="O9" s="828"/>
    </row>
    <row r="10" spans="1:15" ht="12.75">
      <c r="A10" s="2">
        <v>1</v>
      </c>
      <c r="B10" s="2">
        <v>2</v>
      </c>
      <c r="C10" s="2">
        <v>3</v>
      </c>
      <c r="D10" s="189"/>
      <c r="E10" s="2">
        <v>4</v>
      </c>
      <c r="F10" s="189">
        <v>5</v>
      </c>
      <c r="G10" s="226"/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2">
        <v>13</v>
      </c>
    </row>
    <row r="11" spans="1:15" ht="12" customHeight="1">
      <c r="A11" s="61" t="s">
        <v>15</v>
      </c>
      <c r="B11" s="62" t="s">
        <v>16</v>
      </c>
      <c r="C11" s="4">
        <f>SUM(C12:C23)</f>
        <v>3388193000</v>
      </c>
      <c r="D11" s="210"/>
      <c r="E11" s="63"/>
      <c r="F11" s="191"/>
      <c r="G11" s="228"/>
      <c r="H11" s="4">
        <f>SUM(H12:H23)</f>
        <v>2129374126</v>
      </c>
      <c r="I11" s="341">
        <f>+H11/C11*100</f>
        <v>62.846895852745114</v>
      </c>
      <c r="J11" s="4">
        <f>SUM(J12:J23)</f>
        <v>2129374126</v>
      </c>
      <c r="K11" s="338">
        <f>+J11/C11*100</f>
        <v>62.846895852745114</v>
      </c>
      <c r="L11" s="308">
        <v>100</v>
      </c>
      <c r="M11" s="342">
        <f>+J11/C11*100</f>
        <v>62.846895852745114</v>
      </c>
      <c r="N11" s="4">
        <f>SUM(N12:N23)</f>
        <v>1258818874</v>
      </c>
      <c r="O11" s="344" t="s">
        <v>157</v>
      </c>
    </row>
    <row r="12" spans="1:15" ht="12" customHeight="1">
      <c r="A12" s="63">
        <v>1</v>
      </c>
      <c r="B12" s="47" t="s">
        <v>17</v>
      </c>
      <c r="C12" s="5">
        <v>1903195515</v>
      </c>
      <c r="D12" s="211"/>
      <c r="E12" s="63"/>
      <c r="F12" s="192"/>
      <c r="G12" s="228"/>
      <c r="H12" s="114">
        <v>1222262715</v>
      </c>
      <c r="I12" s="340">
        <f>+H12/C12*100</f>
        <v>64.22160547178464</v>
      </c>
      <c r="J12" s="114">
        <v>1222262715</v>
      </c>
      <c r="K12" s="71">
        <f>+J12/C12*100</f>
        <v>64.22160547178464</v>
      </c>
      <c r="L12" s="357">
        <v>100</v>
      </c>
      <c r="M12" s="296">
        <f>+J12/C12*100</f>
        <v>64.22160547178464</v>
      </c>
      <c r="N12" s="37">
        <f>C12-J12</f>
        <v>680932800</v>
      </c>
      <c r="O12" s="344" t="s">
        <v>157</v>
      </c>
    </row>
    <row r="13" spans="1:15" ht="12" customHeight="1">
      <c r="A13" s="63">
        <v>2</v>
      </c>
      <c r="B13" s="47" t="s">
        <v>18</v>
      </c>
      <c r="C13" s="5">
        <v>195258530</v>
      </c>
      <c r="D13" s="211"/>
      <c r="E13" s="63"/>
      <c r="F13" s="192"/>
      <c r="G13" s="228"/>
      <c r="H13" s="5">
        <v>137241378</v>
      </c>
      <c r="I13" s="340">
        <f aca="true" t="shared" si="0" ref="I13:I23">+H13/C13*100</f>
        <v>70.28700769180224</v>
      </c>
      <c r="J13" s="5">
        <v>137241378</v>
      </c>
      <c r="K13" s="71">
        <f aca="true" t="shared" si="1" ref="K13:K23">+J13/C13*100</f>
        <v>70.28700769180224</v>
      </c>
      <c r="L13" s="357">
        <v>100</v>
      </c>
      <c r="M13" s="296">
        <f aca="true" t="shared" si="2" ref="M13:M23">+J13/C13*100</f>
        <v>70.28700769180224</v>
      </c>
      <c r="N13" s="37">
        <f>C13-J13</f>
        <v>58017152</v>
      </c>
      <c r="O13" s="344" t="s">
        <v>157</v>
      </c>
    </row>
    <row r="14" spans="1:15" ht="12" customHeight="1">
      <c r="A14" s="63">
        <v>3</v>
      </c>
      <c r="B14" s="47" t="s">
        <v>19</v>
      </c>
      <c r="C14" s="5">
        <v>160050000</v>
      </c>
      <c r="D14" s="211"/>
      <c r="E14" s="63"/>
      <c r="F14" s="192"/>
      <c r="G14" s="228"/>
      <c r="H14" s="5">
        <v>113550000</v>
      </c>
      <c r="I14" s="340">
        <f t="shared" si="0"/>
        <v>70.94657919400188</v>
      </c>
      <c r="J14" s="5">
        <v>113550000</v>
      </c>
      <c r="K14" s="71">
        <f t="shared" si="1"/>
        <v>70.94657919400188</v>
      </c>
      <c r="L14" s="357">
        <v>100</v>
      </c>
      <c r="M14" s="296">
        <f t="shared" si="2"/>
        <v>70.94657919400188</v>
      </c>
      <c r="N14" s="37">
        <f>C14-J14</f>
        <v>46500000</v>
      </c>
      <c r="O14" s="344" t="s">
        <v>157</v>
      </c>
    </row>
    <row r="15" spans="1:15" ht="12" customHeight="1">
      <c r="A15" s="63">
        <v>4</v>
      </c>
      <c r="B15" s="47" t="s">
        <v>139</v>
      </c>
      <c r="C15" s="364">
        <v>5100000</v>
      </c>
      <c r="D15" s="211"/>
      <c r="E15" s="63"/>
      <c r="F15" s="192"/>
      <c r="G15" s="228"/>
      <c r="H15" s="5">
        <v>1700000</v>
      </c>
      <c r="I15" s="340">
        <f t="shared" si="0"/>
        <v>33.33333333333333</v>
      </c>
      <c r="J15" s="5">
        <v>1700000</v>
      </c>
      <c r="K15" s="71">
        <f t="shared" si="1"/>
        <v>33.33333333333333</v>
      </c>
      <c r="L15" s="357">
        <v>100</v>
      </c>
      <c r="M15" s="296">
        <f t="shared" si="2"/>
        <v>33.33333333333333</v>
      </c>
      <c r="N15" s="37">
        <f>C15-J15</f>
        <v>3400000</v>
      </c>
      <c r="O15" s="344" t="s">
        <v>157</v>
      </c>
    </row>
    <row r="16" spans="1:15" ht="12" customHeight="1">
      <c r="A16" s="63">
        <v>5</v>
      </c>
      <c r="B16" s="47" t="s">
        <v>20</v>
      </c>
      <c r="C16" s="5">
        <v>58220000</v>
      </c>
      <c r="D16" s="211"/>
      <c r="E16" s="63"/>
      <c r="F16" s="192"/>
      <c r="G16" s="228"/>
      <c r="H16" s="5">
        <v>40400000</v>
      </c>
      <c r="I16" s="340">
        <f t="shared" si="0"/>
        <v>69.39196152524906</v>
      </c>
      <c r="J16" s="5">
        <v>40400000</v>
      </c>
      <c r="K16" s="71">
        <f t="shared" si="1"/>
        <v>69.39196152524906</v>
      </c>
      <c r="L16" s="357">
        <v>100</v>
      </c>
      <c r="M16" s="296">
        <f t="shared" si="2"/>
        <v>69.39196152524906</v>
      </c>
      <c r="N16" s="37">
        <f aca="true" t="shared" si="3" ref="N16:N23">C16-J16</f>
        <v>17820000</v>
      </c>
      <c r="O16" s="344" t="s">
        <v>157</v>
      </c>
    </row>
    <row r="17" spans="1:15" ht="12" customHeight="1">
      <c r="A17" s="63">
        <v>6</v>
      </c>
      <c r="B17" s="47" t="s">
        <v>21</v>
      </c>
      <c r="C17" s="5">
        <v>104791740</v>
      </c>
      <c r="D17" s="211"/>
      <c r="E17" s="63"/>
      <c r="F17" s="192"/>
      <c r="G17" s="228"/>
      <c r="H17" s="5">
        <v>66843660</v>
      </c>
      <c r="I17" s="340">
        <f t="shared" si="0"/>
        <v>63.787145818935734</v>
      </c>
      <c r="J17" s="5">
        <v>66843660</v>
      </c>
      <c r="K17" s="71">
        <f t="shared" si="1"/>
        <v>63.787145818935734</v>
      </c>
      <c r="L17" s="357">
        <v>100</v>
      </c>
      <c r="M17" s="296">
        <f t="shared" si="2"/>
        <v>63.787145818935734</v>
      </c>
      <c r="N17" s="37">
        <f t="shared" si="3"/>
        <v>37948080</v>
      </c>
      <c r="O17" s="344" t="s">
        <v>157</v>
      </c>
    </row>
    <row r="18" spans="1:15" ht="12" customHeight="1">
      <c r="A18" s="63">
        <v>7</v>
      </c>
      <c r="B18" s="47" t="s">
        <v>22</v>
      </c>
      <c r="C18" s="5">
        <v>9937670</v>
      </c>
      <c r="D18" s="211"/>
      <c r="E18" s="63"/>
      <c r="F18" s="192"/>
      <c r="G18" s="228"/>
      <c r="H18" s="5">
        <v>7878924</v>
      </c>
      <c r="I18" s="340">
        <f t="shared" si="0"/>
        <v>79.28341351644802</v>
      </c>
      <c r="J18" s="5">
        <v>7878924</v>
      </c>
      <c r="K18" s="71">
        <f t="shared" si="1"/>
        <v>79.28341351644802</v>
      </c>
      <c r="L18" s="357">
        <v>100</v>
      </c>
      <c r="M18" s="296">
        <f t="shared" si="2"/>
        <v>79.28341351644802</v>
      </c>
      <c r="N18" s="37">
        <f t="shared" si="3"/>
        <v>2058746</v>
      </c>
      <c r="O18" s="344" t="s">
        <v>157</v>
      </c>
    </row>
    <row r="19" spans="1:15" ht="12" customHeight="1">
      <c r="A19" s="63">
        <v>8</v>
      </c>
      <c r="B19" s="47" t="s">
        <v>23</v>
      </c>
      <c r="C19" s="5">
        <v>31249</v>
      </c>
      <c r="D19" s="211"/>
      <c r="E19" s="63"/>
      <c r="F19" s="192"/>
      <c r="G19" s="228"/>
      <c r="H19" s="5">
        <v>21497</v>
      </c>
      <c r="I19" s="340">
        <f t="shared" si="0"/>
        <v>68.79260136324362</v>
      </c>
      <c r="J19" s="5">
        <v>21497</v>
      </c>
      <c r="K19" s="71">
        <f t="shared" si="1"/>
        <v>68.79260136324362</v>
      </c>
      <c r="L19" s="357">
        <v>100</v>
      </c>
      <c r="M19" s="296">
        <f t="shared" si="2"/>
        <v>68.79260136324362</v>
      </c>
      <c r="N19" s="37">
        <f t="shared" si="3"/>
        <v>9752</v>
      </c>
      <c r="O19" s="344" t="s">
        <v>157</v>
      </c>
    </row>
    <row r="20" spans="1:15" ht="12" customHeight="1">
      <c r="A20" s="63">
        <v>9</v>
      </c>
      <c r="B20" s="47" t="s">
        <v>24</v>
      </c>
      <c r="C20" s="5">
        <v>49247899</v>
      </c>
      <c r="D20" s="211"/>
      <c r="E20" s="63"/>
      <c r="F20" s="192"/>
      <c r="G20" s="228"/>
      <c r="H20" s="5">
        <v>32059403</v>
      </c>
      <c r="I20" s="340">
        <f t="shared" si="0"/>
        <v>65.0980115923321</v>
      </c>
      <c r="J20" s="5">
        <v>32059403</v>
      </c>
      <c r="K20" s="71">
        <f t="shared" si="1"/>
        <v>65.0980115923321</v>
      </c>
      <c r="L20" s="357">
        <v>100</v>
      </c>
      <c r="M20" s="296">
        <f t="shared" si="2"/>
        <v>65.0980115923321</v>
      </c>
      <c r="N20" s="37">
        <f t="shared" si="3"/>
        <v>17188496</v>
      </c>
      <c r="O20" s="344" t="s">
        <v>157</v>
      </c>
    </row>
    <row r="21" spans="1:15" ht="12" customHeight="1">
      <c r="A21" s="63">
        <v>10</v>
      </c>
      <c r="B21" s="47" t="s">
        <v>25</v>
      </c>
      <c r="C21" s="5">
        <v>3541854</v>
      </c>
      <c r="D21" s="211"/>
      <c r="E21" s="63"/>
      <c r="F21" s="192"/>
      <c r="G21" s="228"/>
      <c r="H21" s="5">
        <v>2306018</v>
      </c>
      <c r="I21" s="340">
        <f t="shared" si="0"/>
        <v>65.10765265874878</v>
      </c>
      <c r="J21" s="5">
        <v>2306018</v>
      </c>
      <c r="K21" s="71">
        <f t="shared" si="1"/>
        <v>65.10765265874878</v>
      </c>
      <c r="L21" s="357">
        <v>100</v>
      </c>
      <c r="M21" s="296">
        <f t="shared" si="2"/>
        <v>65.10765265874878</v>
      </c>
      <c r="N21" s="37">
        <f t="shared" si="3"/>
        <v>1235836</v>
      </c>
      <c r="O21" s="344" t="s">
        <v>157</v>
      </c>
    </row>
    <row r="22" spans="1:15" ht="12" customHeight="1">
      <c r="A22" s="63">
        <v>11</v>
      </c>
      <c r="B22" s="47" t="s">
        <v>26</v>
      </c>
      <c r="C22" s="5">
        <v>10625543</v>
      </c>
      <c r="D22" s="211"/>
      <c r="E22" s="63"/>
      <c r="F22" s="192"/>
      <c r="G22" s="228"/>
      <c r="H22" s="5">
        <v>6918031</v>
      </c>
      <c r="I22" s="340">
        <f t="shared" si="0"/>
        <v>65.10755262107546</v>
      </c>
      <c r="J22" s="5">
        <v>6918031</v>
      </c>
      <c r="K22" s="71">
        <f t="shared" si="1"/>
        <v>65.10755262107546</v>
      </c>
      <c r="L22" s="357">
        <v>100</v>
      </c>
      <c r="M22" s="296">
        <f t="shared" si="2"/>
        <v>65.10755262107546</v>
      </c>
      <c r="N22" s="37">
        <f t="shared" si="3"/>
        <v>3707512</v>
      </c>
      <c r="O22" s="344" t="s">
        <v>157</v>
      </c>
    </row>
    <row r="23" spans="1:15" ht="12" customHeight="1">
      <c r="A23" s="63">
        <v>12</v>
      </c>
      <c r="B23" s="47" t="s">
        <v>27</v>
      </c>
      <c r="C23" s="5">
        <v>888193000</v>
      </c>
      <c r="D23" s="211"/>
      <c r="E23" s="63"/>
      <c r="F23" s="192"/>
      <c r="G23" s="228"/>
      <c r="H23" s="5">
        <v>498192500</v>
      </c>
      <c r="I23" s="340">
        <f t="shared" si="0"/>
        <v>56.09056815354321</v>
      </c>
      <c r="J23" s="5">
        <v>498192500</v>
      </c>
      <c r="K23" s="71">
        <f t="shared" si="1"/>
        <v>56.09056815354321</v>
      </c>
      <c r="L23" s="357">
        <v>100</v>
      </c>
      <c r="M23" s="296">
        <f t="shared" si="2"/>
        <v>56.09056815354321</v>
      </c>
      <c r="N23" s="37">
        <f t="shared" si="3"/>
        <v>390000500</v>
      </c>
      <c r="O23" s="344" t="s">
        <v>157</v>
      </c>
    </row>
    <row r="24" spans="1:15" ht="12" customHeight="1">
      <c r="A24" s="63"/>
      <c r="B24" s="47"/>
      <c r="C24" s="5"/>
      <c r="D24" s="211"/>
      <c r="E24" s="63"/>
      <c r="F24" s="192"/>
      <c r="G24" s="228"/>
      <c r="H24" s="5"/>
      <c r="I24" s="114"/>
      <c r="J24" s="5"/>
      <c r="K24" s="36"/>
      <c r="L24" s="307"/>
      <c r="M24" s="37"/>
      <c r="N24" s="37"/>
      <c r="O24" s="343"/>
    </row>
    <row r="25" spans="1:15" ht="12" customHeight="1">
      <c r="A25" s="61" t="s">
        <v>28</v>
      </c>
      <c r="B25" s="62" t="s">
        <v>29</v>
      </c>
      <c r="C25" s="67">
        <f>C26+C39+C49+C52+C60+C76+C81+C92</f>
        <v>9724165353</v>
      </c>
      <c r="D25" s="212"/>
      <c r="E25" s="67">
        <f>E26+E39+E49+E52+E60+E76+E81+E92</f>
        <v>1269331000</v>
      </c>
      <c r="F25" s="192"/>
      <c r="G25" s="228"/>
      <c r="H25" s="67">
        <f>H26+H39+H49+H52+H60+H76+H81+H92</f>
        <v>4470848589</v>
      </c>
      <c r="I25" s="311">
        <f aca="true" t="shared" si="4" ref="I25:I37">+H25/C25*100</f>
        <v>45.97668207709672</v>
      </c>
      <c r="J25" s="67">
        <f>J26+J39+J49+J52+J60+J76+J81+J92</f>
        <v>4470848589</v>
      </c>
      <c r="K25" s="179">
        <f aca="true" t="shared" si="5" ref="K25:K37">+J25/C25*100</f>
        <v>45.97668207709672</v>
      </c>
      <c r="L25" s="308">
        <v>100</v>
      </c>
      <c r="M25" s="64">
        <f aca="true" t="shared" si="6" ref="M25:M37">+J25/C25*100</f>
        <v>45.97668207709672</v>
      </c>
      <c r="N25" s="67">
        <f>N26+N39+N49+N52+N60+N76+N81+N92</f>
        <v>5253316764</v>
      </c>
      <c r="O25" s="343"/>
    </row>
    <row r="26" spans="1:15" ht="12" customHeight="1">
      <c r="A26" s="68">
        <v>1</v>
      </c>
      <c r="B26" s="69" t="s">
        <v>30</v>
      </c>
      <c r="C26" s="67">
        <f>SUM(C27:C37)</f>
        <v>1036961650</v>
      </c>
      <c r="D26" s="212"/>
      <c r="E26" s="67">
        <f>SUM(E27:E37)</f>
        <v>0</v>
      </c>
      <c r="F26" s="193"/>
      <c r="G26" s="229"/>
      <c r="H26" s="6">
        <f>SUM(H27:H37)</f>
        <v>711612008</v>
      </c>
      <c r="I26" s="311">
        <f t="shared" si="4"/>
        <v>68.62471799222276</v>
      </c>
      <c r="J26" s="6">
        <f>SUM(J27:J37)</f>
        <v>711612008</v>
      </c>
      <c r="K26" s="179">
        <f t="shared" si="5"/>
        <v>68.62471799222276</v>
      </c>
      <c r="L26" s="308">
        <v>100</v>
      </c>
      <c r="M26" s="64">
        <f t="shared" si="6"/>
        <v>68.62471799222276</v>
      </c>
      <c r="N26" s="6">
        <f>SUM(N27:N37)</f>
        <v>325349642</v>
      </c>
      <c r="O26" s="343"/>
    </row>
    <row r="27" spans="1:15" ht="12" customHeight="1">
      <c r="A27" s="63">
        <v>1</v>
      </c>
      <c r="B27" s="55" t="s">
        <v>31</v>
      </c>
      <c r="C27" s="71">
        <v>6310000</v>
      </c>
      <c r="D27" s="213"/>
      <c r="E27" s="72" t="s">
        <v>32</v>
      </c>
      <c r="F27" s="194" t="s">
        <v>32</v>
      </c>
      <c r="G27" s="230"/>
      <c r="H27" s="185">
        <f>4296000+1980000</f>
        <v>6276000</v>
      </c>
      <c r="I27" s="340">
        <f t="shared" si="4"/>
        <v>99.46117274167987</v>
      </c>
      <c r="J27" s="185">
        <f>4296000+1980000</f>
        <v>6276000</v>
      </c>
      <c r="K27" s="71">
        <f t="shared" si="5"/>
        <v>99.46117274167987</v>
      </c>
      <c r="L27" s="357">
        <v>100</v>
      </c>
      <c r="M27" s="37">
        <f t="shared" si="6"/>
        <v>99.46117274167987</v>
      </c>
      <c r="N27" s="37">
        <f>C27-J27</f>
        <v>34000</v>
      </c>
      <c r="O27" s="343"/>
    </row>
    <row r="28" spans="1:15" ht="12" customHeight="1">
      <c r="A28" s="63">
        <v>2</v>
      </c>
      <c r="B28" s="73" t="s">
        <v>76</v>
      </c>
      <c r="C28" s="71">
        <v>82000000</v>
      </c>
      <c r="D28" s="213"/>
      <c r="E28" s="37"/>
      <c r="F28" s="195"/>
      <c r="G28" s="231"/>
      <c r="H28" s="7">
        <f>40719206+6925758+3674586</f>
        <v>51319550</v>
      </c>
      <c r="I28" s="340">
        <f t="shared" si="4"/>
        <v>62.584817073170726</v>
      </c>
      <c r="J28" s="7">
        <f>40719206+6925758+3674586</f>
        <v>51319550</v>
      </c>
      <c r="K28" s="71">
        <f t="shared" si="5"/>
        <v>62.584817073170726</v>
      </c>
      <c r="L28" s="357">
        <v>100</v>
      </c>
      <c r="M28" s="37">
        <f t="shared" si="6"/>
        <v>62.584817073170726</v>
      </c>
      <c r="N28" s="37">
        <f aca="true" t="shared" si="7" ref="N28:N41">C28-J28</f>
        <v>30680450</v>
      </c>
      <c r="O28" s="343"/>
    </row>
    <row r="29" spans="1:15" ht="12" customHeight="1">
      <c r="A29" s="63">
        <v>3</v>
      </c>
      <c r="B29" s="165" t="s">
        <v>33</v>
      </c>
      <c r="C29" s="166">
        <v>26635000</v>
      </c>
      <c r="D29" s="214"/>
      <c r="E29" s="167">
        <v>0</v>
      </c>
      <c r="F29" s="196">
        <v>0</v>
      </c>
      <c r="G29" s="232"/>
      <c r="H29" s="168">
        <v>14485000</v>
      </c>
      <c r="I29" s="340">
        <f t="shared" si="4"/>
        <v>54.383330204617984</v>
      </c>
      <c r="J29" s="168">
        <v>14485000</v>
      </c>
      <c r="K29" s="71">
        <f t="shared" si="5"/>
        <v>54.383330204617984</v>
      </c>
      <c r="L29" s="357">
        <v>100</v>
      </c>
      <c r="M29" s="37">
        <f t="shared" si="6"/>
        <v>54.383330204617984</v>
      </c>
      <c r="N29" s="37">
        <f t="shared" si="7"/>
        <v>12150000</v>
      </c>
      <c r="O29" s="343"/>
    </row>
    <row r="30" spans="1:15" ht="12" customHeight="1">
      <c r="A30" s="63">
        <v>4</v>
      </c>
      <c r="B30" s="169" t="s">
        <v>34</v>
      </c>
      <c r="C30" s="166">
        <v>61844350</v>
      </c>
      <c r="D30" s="214"/>
      <c r="E30" s="167">
        <v>0</v>
      </c>
      <c r="F30" s="196">
        <v>0</v>
      </c>
      <c r="G30" s="232"/>
      <c r="H30" s="168">
        <f>34305000+13745800</f>
        <v>48050800</v>
      </c>
      <c r="I30" s="340">
        <f t="shared" si="4"/>
        <v>77.69634574540763</v>
      </c>
      <c r="J30" s="168">
        <f>34305000+13745800</f>
        <v>48050800</v>
      </c>
      <c r="K30" s="71">
        <f t="shared" si="5"/>
        <v>77.69634574540763</v>
      </c>
      <c r="L30" s="357">
        <v>100</v>
      </c>
      <c r="M30" s="37">
        <f t="shared" si="6"/>
        <v>77.69634574540763</v>
      </c>
      <c r="N30" s="37">
        <f t="shared" si="7"/>
        <v>13793550</v>
      </c>
      <c r="O30" s="343"/>
    </row>
    <row r="31" spans="1:15" ht="12" customHeight="1">
      <c r="A31" s="63">
        <v>5</v>
      </c>
      <c r="B31" s="73" t="s">
        <v>35</v>
      </c>
      <c r="C31" s="71">
        <v>30676500</v>
      </c>
      <c r="D31" s="213"/>
      <c r="E31" s="37">
        <v>0</v>
      </c>
      <c r="F31" s="195">
        <v>0</v>
      </c>
      <c r="G31" s="231"/>
      <c r="H31" s="7">
        <f>14485300+8850000+567000</f>
        <v>23902300</v>
      </c>
      <c r="I31" s="340">
        <f t="shared" si="4"/>
        <v>77.91729825762391</v>
      </c>
      <c r="J31" s="7">
        <f>14485300+8850000+567000</f>
        <v>23902300</v>
      </c>
      <c r="K31" s="71">
        <f t="shared" si="5"/>
        <v>77.91729825762391</v>
      </c>
      <c r="L31" s="357">
        <v>100</v>
      </c>
      <c r="M31" s="37">
        <f t="shared" si="6"/>
        <v>77.91729825762391</v>
      </c>
      <c r="N31" s="37">
        <f t="shared" si="7"/>
        <v>6774200</v>
      </c>
      <c r="O31" s="343"/>
    </row>
    <row r="32" spans="1:15" ht="12" customHeight="1">
      <c r="A32" s="63">
        <v>6</v>
      </c>
      <c r="B32" s="73" t="s">
        <v>36</v>
      </c>
      <c r="C32" s="71">
        <v>8800000</v>
      </c>
      <c r="D32" s="213"/>
      <c r="E32" s="37">
        <v>0</v>
      </c>
      <c r="F32" s="195">
        <v>0</v>
      </c>
      <c r="G32" s="231"/>
      <c r="H32" s="7">
        <f>1995200+2004800</f>
        <v>4000000</v>
      </c>
      <c r="I32" s="340">
        <f t="shared" si="4"/>
        <v>45.45454545454545</v>
      </c>
      <c r="J32" s="7">
        <f>1995200+2004800</f>
        <v>4000000</v>
      </c>
      <c r="K32" s="71">
        <f t="shared" si="5"/>
        <v>45.45454545454545</v>
      </c>
      <c r="L32" s="357">
        <v>100</v>
      </c>
      <c r="M32" s="37">
        <f t="shared" si="6"/>
        <v>45.45454545454545</v>
      </c>
      <c r="N32" s="37">
        <f t="shared" si="7"/>
        <v>4800000</v>
      </c>
      <c r="O32" s="343"/>
    </row>
    <row r="33" spans="1:15" ht="12" customHeight="1">
      <c r="A33" s="63">
        <v>7</v>
      </c>
      <c r="B33" s="73" t="s">
        <v>37</v>
      </c>
      <c r="C33" s="71">
        <v>13076000</v>
      </c>
      <c r="D33" s="213"/>
      <c r="E33" s="37">
        <v>0</v>
      </c>
      <c r="F33" s="195">
        <v>0</v>
      </c>
      <c r="G33" s="231"/>
      <c r="H33" s="7">
        <f>8761950+4314050</f>
        <v>13076000</v>
      </c>
      <c r="I33" s="340">
        <f t="shared" si="4"/>
        <v>100</v>
      </c>
      <c r="J33" s="7">
        <f>8761950+4314050</f>
        <v>13076000</v>
      </c>
      <c r="K33" s="71">
        <f t="shared" si="5"/>
        <v>100</v>
      </c>
      <c r="L33" s="357">
        <v>100</v>
      </c>
      <c r="M33" s="37">
        <f t="shared" si="6"/>
        <v>100</v>
      </c>
      <c r="N33" s="37">
        <f t="shared" si="7"/>
        <v>0</v>
      </c>
      <c r="O33" s="343"/>
    </row>
    <row r="34" spans="1:15" ht="12" customHeight="1">
      <c r="A34" s="63">
        <v>8</v>
      </c>
      <c r="B34" s="73" t="s">
        <v>38</v>
      </c>
      <c r="C34" s="71">
        <v>7500000</v>
      </c>
      <c r="D34" s="213"/>
      <c r="E34" s="37">
        <v>0</v>
      </c>
      <c r="F34" s="195">
        <v>0</v>
      </c>
      <c r="G34" s="231"/>
      <c r="H34" s="7">
        <f>2180000+3856000</f>
        <v>6036000</v>
      </c>
      <c r="I34" s="340">
        <f t="shared" si="4"/>
        <v>80.47999999999999</v>
      </c>
      <c r="J34" s="7">
        <f>2180000+3856000</f>
        <v>6036000</v>
      </c>
      <c r="K34" s="71">
        <f t="shared" si="5"/>
        <v>80.47999999999999</v>
      </c>
      <c r="L34" s="357">
        <v>100</v>
      </c>
      <c r="M34" s="37">
        <f t="shared" si="6"/>
        <v>80.47999999999999</v>
      </c>
      <c r="N34" s="37">
        <f t="shared" si="7"/>
        <v>1464000</v>
      </c>
      <c r="O34" s="343"/>
    </row>
    <row r="35" spans="1:15" ht="12" customHeight="1">
      <c r="A35" s="63">
        <v>9</v>
      </c>
      <c r="B35" s="73" t="s">
        <v>39</v>
      </c>
      <c r="C35" s="71">
        <v>30000000</v>
      </c>
      <c r="D35" s="213"/>
      <c r="E35" s="37">
        <v>0</v>
      </c>
      <c r="F35" s="195">
        <v>0</v>
      </c>
      <c r="G35" s="231"/>
      <c r="H35" s="7">
        <f>18128200+7990000</f>
        <v>26118200</v>
      </c>
      <c r="I35" s="340">
        <f t="shared" si="4"/>
        <v>87.06066666666666</v>
      </c>
      <c r="J35" s="7">
        <f>18128200+7990000</f>
        <v>26118200</v>
      </c>
      <c r="K35" s="71">
        <f t="shared" si="5"/>
        <v>87.06066666666666</v>
      </c>
      <c r="L35" s="357">
        <v>100</v>
      </c>
      <c r="M35" s="37">
        <f t="shared" si="6"/>
        <v>87.06066666666666</v>
      </c>
      <c r="N35" s="37">
        <f t="shared" si="7"/>
        <v>3881800</v>
      </c>
      <c r="O35" s="343"/>
    </row>
    <row r="36" spans="1:15" ht="12" customHeight="1">
      <c r="A36" s="63">
        <v>10</v>
      </c>
      <c r="B36" s="73" t="s">
        <v>40</v>
      </c>
      <c r="C36" s="71">
        <v>175000000</v>
      </c>
      <c r="D36" s="213"/>
      <c r="E36" s="37">
        <v>0</v>
      </c>
      <c r="F36" s="195">
        <v>0</v>
      </c>
      <c r="G36" s="231"/>
      <c r="H36" s="7">
        <f>91631161+15825000+25233525</f>
        <v>132689686</v>
      </c>
      <c r="I36" s="340">
        <f t="shared" si="4"/>
        <v>75.82267771428572</v>
      </c>
      <c r="J36" s="7">
        <f>91631161+15825000+25233525</f>
        <v>132689686</v>
      </c>
      <c r="K36" s="71">
        <f t="shared" si="5"/>
        <v>75.82267771428572</v>
      </c>
      <c r="L36" s="357">
        <v>100</v>
      </c>
      <c r="M36" s="37">
        <f t="shared" si="6"/>
        <v>75.82267771428572</v>
      </c>
      <c r="N36" s="37">
        <f t="shared" si="7"/>
        <v>42310314</v>
      </c>
      <c r="O36" s="343"/>
    </row>
    <row r="37" spans="1:15" ht="12" customHeight="1">
      <c r="A37" s="63">
        <v>11</v>
      </c>
      <c r="B37" s="73" t="s">
        <v>41</v>
      </c>
      <c r="C37" s="71">
        <v>595119800</v>
      </c>
      <c r="D37" s="213"/>
      <c r="E37" s="37">
        <v>0</v>
      </c>
      <c r="F37" s="195">
        <v>0</v>
      </c>
      <c r="G37" s="231"/>
      <c r="H37" s="7">
        <v>385658472</v>
      </c>
      <c r="I37" s="340">
        <f t="shared" si="4"/>
        <v>64.80350208479032</v>
      </c>
      <c r="J37" s="7">
        <v>385658472</v>
      </c>
      <c r="K37" s="71">
        <f t="shared" si="5"/>
        <v>64.80350208479032</v>
      </c>
      <c r="L37" s="357">
        <v>100</v>
      </c>
      <c r="M37" s="37">
        <f t="shared" si="6"/>
        <v>64.80350208479032</v>
      </c>
      <c r="N37" s="37">
        <f t="shared" si="7"/>
        <v>209461328</v>
      </c>
      <c r="O37" s="343"/>
    </row>
    <row r="38" spans="1:15" ht="12" customHeight="1">
      <c r="A38" s="253"/>
      <c r="B38" s="75"/>
      <c r="C38" s="71"/>
      <c r="D38" s="213"/>
      <c r="E38" s="37"/>
      <c r="F38" s="195"/>
      <c r="G38" s="231"/>
      <c r="H38" s="7"/>
      <c r="I38" s="114"/>
      <c r="J38" s="7"/>
      <c r="K38" s="36"/>
      <c r="L38" s="307"/>
      <c r="M38" s="37">
        <f>K38</f>
        <v>0</v>
      </c>
      <c r="N38" s="37">
        <f t="shared" si="7"/>
        <v>0</v>
      </c>
      <c r="O38" s="343"/>
    </row>
    <row r="39" spans="1:15" ht="12" customHeight="1">
      <c r="A39" s="68">
        <v>2</v>
      </c>
      <c r="B39" s="69" t="s">
        <v>42</v>
      </c>
      <c r="C39" s="39">
        <f>SUM(C40:C47)</f>
        <v>1049086450</v>
      </c>
      <c r="D39" s="198"/>
      <c r="E39" s="39">
        <f>SUM(E40:E47)</f>
        <v>43582000</v>
      </c>
      <c r="F39" s="197"/>
      <c r="G39" s="233"/>
      <c r="H39" s="39">
        <f>SUM(H40:H47)</f>
        <v>602697297</v>
      </c>
      <c r="I39" s="311">
        <f>+H39/C39*100</f>
        <v>57.44972656924509</v>
      </c>
      <c r="J39" s="39">
        <f>SUM(J40:J47)</f>
        <v>602697297</v>
      </c>
      <c r="K39" s="179">
        <f>+J39/C39*100</f>
        <v>57.44972656924509</v>
      </c>
      <c r="L39" s="308">
        <v>100</v>
      </c>
      <c r="M39" s="64">
        <f>+J39/C39*100</f>
        <v>57.44972656924509</v>
      </c>
      <c r="N39" s="37">
        <f t="shared" si="7"/>
        <v>446389153</v>
      </c>
      <c r="O39" s="343"/>
    </row>
    <row r="40" spans="1:15" ht="12" customHeight="1">
      <c r="A40" s="63">
        <v>1</v>
      </c>
      <c r="B40" s="73" t="s">
        <v>43</v>
      </c>
      <c r="C40" s="71">
        <v>96501600</v>
      </c>
      <c r="D40" s="213"/>
      <c r="E40" s="37"/>
      <c r="F40" s="195"/>
      <c r="G40" s="231"/>
      <c r="H40" s="71">
        <v>54043200</v>
      </c>
      <c r="I40" s="340">
        <f>+H40/C40*100</f>
        <v>56.00238752518093</v>
      </c>
      <c r="J40" s="71">
        <v>54043200</v>
      </c>
      <c r="K40" s="71">
        <f>+J40/C40*100</f>
        <v>56.00238752518093</v>
      </c>
      <c r="L40" s="357">
        <v>100</v>
      </c>
      <c r="M40" s="37">
        <f>+J40/C40*100</f>
        <v>56.00238752518093</v>
      </c>
      <c r="N40" s="37">
        <f t="shared" si="7"/>
        <v>42458400</v>
      </c>
      <c r="O40" s="343"/>
    </row>
    <row r="41" spans="1:15" ht="12" customHeight="1">
      <c r="A41" s="63">
        <v>2</v>
      </c>
      <c r="B41" s="73" t="s">
        <v>44</v>
      </c>
      <c r="C41" s="71">
        <v>62611000</v>
      </c>
      <c r="D41" s="264" t="s">
        <v>121</v>
      </c>
      <c r="E41" s="37">
        <v>5808000</v>
      </c>
      <c r="F41" s="195" t="s">
        <v>124</v>
      </c>
      <c r="G41" s="231" t="s">
        <v>125</v>
      </c>
      <c r="H41" s="71">
        <v>44536000</v>
      </c>
      <c r="I41" s="340">
        <f>+H41/C41*100</f>
        <v>71.1312708629474</v>
      </c>
      <c r="J41" s="71">
        <v>44536000</v>
      </c>
      <c r="K41" s="71">
        <f>+J41/C41*100</f>
        <v>71.1312708629474</v>
      </c>
      <c r="L41" s="357">
        <v>100</v>
      </c>
      <c r="M41" s="37">
        <f>+J41/C41*100</f>
        <v>71.1312708629474</v>
      </c>
      <c r="N41" s="37">
        <f t="shared" si="7"/>
        <v>18075000</v>
      </c>
      <c r="O41" s="343"/>
    </row>
    <row r="42" spans="1:15" ht="12" customHeight="1">
      <c r="A42" s="63"/>
      <c r="B42" s="73"/>
      <c r="C42" s="71"/>
      <c r="D42" s="264" t="s">
        <v>122</v>
      </c>
      <c r="E42" s="37">
        <v>15774000</v>
      </c>
      <c r="F42" s="195" t="s">
        <v>124</v>
      </c>
      <c r="G42" s="231" t="s">
        <v>125</v>
      </c>
      <c r="H42" s="71"/>
      <c r="I42" s="114"/>
      <c r="J42" s="71"/>
      <c r="K42" s="36"/>
      <c r="L42" s="37"/>
      <c r="M42" s="37"/>
      <c r="N42" s="37"/>
      <c r="O42" s="343"/>
    </row>
    <row r="43" spans="1:15" ht="12" customHeight="1">
      <c r="A43" s="63"/>
      <c r="B43" s="73"/>
      <c r="C43" s="71"/>
      <c r="D43" s="264" t="s">
        <v>123</v>
      </c>
      <c r="E43" s="37">
        <v>22000000</v>
      </c>
      <c r="F43" s="195" t="s">
        <v>124</v>
      </c>
      <c r="G43" s="231" t="s">
        <v>125</v>
      </c>
      <c r="H43" s="71"/>
      <c r="I43" s="114"/>
      <c r="J43" s="71"/>
      <c r="K43" s="36"/>
      <c r="L43" s="358"/>
      <c r="M43" s="37"/>
      <c r="N43" s="37"/>
      <c r="O43" s="343"/>
    </row>
    <row r="44" spans="1:15" ht="12" customHeight="1">
      <c r="A44" s="63">
        <v>3</v>
      </c>
      <c r="B44" s="73" t="s">
        <v>45</v>
      </c>
      <c r="C44" s="71">
        <v>217537650</v>
      </c>
      <c r="D44" s="264"/>
      <c r="E44" s="37"/>
      <c r="F44" s="195"/>
      <c r="G44" s="231"/>
      <c r="H44" s="71">
        <v>174523050</v>
      </c>
      <c r="I44" s="340">
        <f>+H44/C44*100</f>
        <v>80.22659525833804</v>
      </c>
      <c r="J44" s="71">
        <v>174523050</v>
      </c>
      <c r="K44" s="71">
        <f>+J44/C44*100</f>
        <v>80.22659525833804</v>
      </c>
      <c r="L44" s="357">
        <v>100</v>
      </c>
      <c r="M44" s="37">
        <f>+J44/C44*100</f>
        <v>80.22659525833804</v>
      </c>
      <c r="N44" s="37">
        <f aca="true" t="shared" si="8" ref="N44:N50">C44-J44</f>
        <v>43014600</v>
      </c>
      <c r="O44" s="343"/>
    </row>
    <row r="45" spans="1:15" ht="12" customHeight="1">
      <c r="A45" s="63">
        <v>4</v>
      </c>
      <c r="B45" s="73" t="s">
        <v>46</v>
      </c>
      <c r="C45" s="71">
        <v>651786200</v>
      </c>
      <c r="D45" s="213"/>
      <c r="E45" s="37"/>
      <c r="F45" s="195"/>
      <c r="G45" s="231"/>
      <c r="H45" s="7">
        <f>290055301+20511297+388649</f>
        <v>310955247</v>
      </c>
      <c r="I45" s="340">
        <f>+H45/C45*100</f>
        <v>47.70816672706479</v>
      </c>
      <c r="J45" s="7">
        <f>290055301+20511297+388649</f>
        <v>310955247</v>
      </c>
      <c r="K45" s="71">
        <f>+J45/C45*100</f>
        <v>47.70816672706479</v>
      </c>
      <c r="L45" s="357">
        <v>100</v>
      </c>
      <c r="M45" s="37">
        <f>+J45/C45*100</f>
        <v>47.70816672706479</v>
      </c>
      <c r="N45" s="37">
        <f t="shared" si="8"/>
        <v>340830953</v>
      </c>
      <c r="O45" s="343"/>
    </row>
    <row r="46" spans="1:15" ht="12" customHeight="1">
      <c r="A46" s="63">
        <v>5</v>
      </c>
      <c r="B46" s="73" t="s">
        <v>47</v>
      </c>
      <c r="C46" s="71">
        <v>13050000</v>
      </c>
      <c r="D46" s="213"/>
      <c r="E46" s="37">
        <v>0</v>
      </c>
      <c r="F46" s="195">
        <v>0</v>
      </c>
      <c r="G46" s="231"/>
      <c r="H46" s="7">
        <f>3400000+7640000</f>
        <v>11040000</v>
      </c>
      <c r="I46" s="340">
        <f>+H46/C46*100</f>
        <v>84.59770114942529</v>
      </c>
      <c r="J46" s="7">
        <f>3400000+7640000</f>
        <v>11040000</v>
      </c>
      <c r="K46" s="71">
        <f>+J46/C46*100</f>
        <v>84.59770114942529</v>
      </c>
      <c r="L46" s="357">
        <v>100</v>
      </c>
      <c r="M46" s="37">
        <f>+J46/C46*100</f>
        <v>84.59770114942529</v>
      </c>
      <c r="N46" s="37">
        <f t="shared" si="8"/>
        <v>2010000</v>
      </c>
      <c r="O46" s="343"/>
    </row>
    <row r="47" spans="1:15" ht="12" customHeight="1">
      <c r="A47" s="63">
        <v>6</v>
      </c>
      <c r="B47" s="73" t="s">
        <v>48</v>
      </c>
      <c r="C47" s="71">
        <v>7600000</v>
      </c>
      <c r="D47" s="213"/>
      <c r="E47" s="37"/>
      <c r="F47" s="195"/>
      <c r="G47" s="231"/>
      <c r="H47" s="71">
        <v>7599800</v>
      </c>
      <c r="I47" s="340">
        <f>+H47/C47*100</f>
        <v>99.99736842105264</v>
      </c>
      <c r="J47" s="71">
        <v>7599800</v>
      </c>
      <c r="K47" s="71">
        <f>+J47/C47*100</f>
        <v>99.99736842105264</v>
      </c>
      <c r="L47" s="357">
        <v>100</v>
      </c>
      <c r="M47" s="37">
        <f>+J47/C47*100</f>
        <v>99.99736842105264</v>
      </c>
      <c r="N47" s="37">
        <f t="shared" si="8"/>
        <v>200</v>
      </c>
      <c r="O47" s="343"/>
    </row>
    <row r="48" spans="1:15" ht="12" customHeight="1">
      <c r="A48" s="63"/>
      <c r="B48" s="73"/>
      <c r="C48" s="71"/>
      <c r="D48" s="213"/>
      <c r="E48" s="37"/>
      <c r="F48" s="195"/>
      <c r="G48" s="231"/>
      <c r="H48" s="7"/>
      <c r="I48" s="114"/>
      <c r="J48" s="7"/>
      <c r="K48" s="36"/>
      <c r="L48" s="37"/>
      <c r="M48" s="37"/>
      <c r="N48" s="37">
        <f t="shared" si="8"/>
        <v>0</v>
      </c>
      <c r="O48" s="343"/>
    </row>
    <row r="49" spans="1:15" ht="12" customHeight="1">
      <c r="A49" s="68">
        <v>3</v>
      </c>
      <c r="B49" s="69" t="s">
        <v>49</v>
      </c>
      <c r="C49" s="39">
        <f>C50</f>
        <v>73370000</v>
      </c>
      <c r="D49" s="198"/>
      <c r="E49" s="39">
        <f>E50</f>
        <v>57200000</v>
      </c>
      <c r="F49" s="198"/>
      <c r="G49" s="234"/>
      <c r="H49" s="8">
        <f>H50</f>
        <v>73200000</v>
      </c>
      <c r="I49" s="311">
        <f>+H49/C49*100</f>
        <v>99.76829766934715</v>
      </c>
      <c r="J49" s="8">
        <f>J50</f>
        <v>73200000</v>
      </c>
      <c r="K49" s="179">
        <f>+J49/C49*100</f>
        <v>99.76829766934715</v>
      </c>
      <c r="L49" s="308">
        <v>100</v>
      </c>
      <c r="M49" s="64">
        <f>+J49/C49*100</f>
        <v>99.76829766934715</v>
      </c>
      <c r="N49" s="37">
        <f t="shared" si="8"/>
        <v>170000</v>
      </c>
      <c r="O49" s="343"/>
    </row>
    <row r="50" spans="1:15" ht="12" customHeight="1">
      <c r="A50" s="63"/>
      <c r="B50" s="55" t="s">
        <v>50</v>
      </c>
      <c r="C50" s="250">
        <v>73370000</v>
      </c>
      <c r="D50" s="265" t="s">
        <v>118</v>
      </c>
      <c r="E50" s="37">
        <v>57200000</v>
      </c>
      <c r="F50" s="263" t="s">
        <v>119</v>
      </c>
      <c r="G50" s="231" t="s">
        <v>120</v>
      </c>
      <c r="H50" s="10">
        <f>16000000+57200000</f>
        <v>73200000</v>
      </c>
      <c r="I50" s="340">
        <f>+H50/C50*100</f>
        <v>99.76829766934715</v>
      </c>
      <c r="J50" s="10">
        <f>16000000+57200000</f>
        <v>73200000</v>
      </c>
      <c r="K50" s="71">
        <f>+J50/C50*100</f>
        <v>99.76829766934715</v>
      </c>
      <c r="L50" s="357">
        <v>100</v>
      </c>
      <c r="M50" s="37">
        <f>+J50/C50*100</f>
        <v>99.76829766934715</v>
      </c>
      <c r="N50" s="37">
        <f t="shared" si="8"/>
        <v>170000</v>
      </c>
      <c r="O50" s="343"/>
    </row>
    <row r="51" spans="1:15" ht="12" customHeight="1">
      <c r="A51" s="257"/>
      <c r="B51" s="300"/>
      <c r="C51" s="301"/>
      <c r="D51" s="302"/>
      <c r="E51" s="303"/>
      <c r="F51" s="263"/>
      <c r="G51" s="304"/>
      <c r="H51" s="305"/>
      <c r="I51" s="355"/>
      <c r="J51" s="305"/>
      <c r="K51" s="356"/>
      <c r="L51" s="352"/>
      <c r="M51" s="303"/>
      <c r="N51" s="303"/>
      <c r="O51" s="343"/>
    </row>
    <row r="52" spans="1:15" ht="12" customHeight="1">
      <c r="A52" s="259">
        <v>4</v>
      </c>
      <c r="B52" s="280" t="s">
        <v>51</v>
      </c>
      <c r="C52" s="281">
        <f>C53+C57+C58</f>
        <v>5367814400</v>
      </c>
      <c r="D52" s="282"/>
      <c r="E52" s="281">
        <f>SUM(E53:E59)</f>
        <v>542250000</v>
      </c>
      <c r="F52" s="282"/>
      <c r="G52" s="283"/>
      <c r="H52" s="284">
        <f>SUM(H53:H58)</f>
        <v>1407526302</v>
      </c>
      <c r="I52" s="340">
        <f>+H52/C52*100</f>
        <v>26.221590336655453</v>
      </c>
      <c r="J52" s="284">
        <f>SUM(J53:J58)</f>
        <v>1407526302</v>
      </c>
      <c r="K52" s="71">
        <f>+J52/C52*100</f>
        <v>26.221590336655453</v>
      </c>
      <c r="L52" s="308">
        <v>100</v>
      </c>
      <c r="M52" s="37">
        <f>+J52/C52*100</f>
        <v>26.221590336655453</v>
      </c>
      <c r="N52" s="285">
        <f>C52-J52</f>
        <v>3960288098</v>
      </c>
      <c r="O52" s="343"/>
    </row>
    <row r="53" spans="1:15" ht="12" customHeight="1">
      <c r="A53" s="63">
        <v>1</v>
      </c>
      <c r="B53" s="21" t="s">
        <v>52</v>
      </c>
      <c r="C53" s="22">
        <v>3876642400</v>
      </c>
      <c r="D53" s="266" t="s">
        <v>111</v>
      </c>
      <c r="E53" s="22">
        <v>89375000</v>
      </c>
      <c r="F53" s="201" t="s">
        <v>114</v>
      </c>
      <c r="G53" s="267" t="s">
        <v>116</v>
      </c>
      <c r="H53" s="22">
        <f>18176400+79925000+108075000+89375000+198000000+98200000+3000000</f>
        <v>594751400</v>
      </c>
      <c r="I53" s="340">
        <f>+H53/C53*100</f>
        <v>15.341920626983804</v>
      </c>
      <c r="J53" s="22">
        <f>18176400+79925000+108075000+89375000+198000000+98200000+3000000</f>
        <v>594751400</v>
      </c>
      <c r="K53" s="71">
        <f>+J53/C53*100</f>
        <v>15.341920626983804</v>
      </c>
      <c r="L53" s="357">
        <v>100</v>
      </c>
      <c r="M53" s="37">
        <f>+J53/C53*100</f>
        <v>15.341920626983804</v>
      </c>
      <c r="N53" s="172">
        <f>C53-J53</f>
        <v>3281891000</v>
      </c>
      <c r="O53" s="343"/>
    </row>
    <row r="54" spans="1:15" ht="12" customHeight="1">
      <c r="A54" s="63"/>
      <c r="B54" s="21"/>
      <c r="C54" s="22"/>
      <c r="D54" s="266" t="s">
        <v>112</v>
      </c>
      <c r="E54" s="22">
        <v>198000000</v>
      </c>
      <c r="F54" s="201" t="s">
        <v>115</v>
      </c>
      <c r="G54" s="267" t="s">
        <v>117</v>
      </c>
      <c r="H54" s="22"/>
      <c r="I54" s="114"/>
      <c r="J54" s="22"/>
      <c r="K54" s="36"/>
      <c r="L54" s="307"/>
      <c r="M54" s="37"/>
      <c r="N54" s="172"/>
      <c r="O54" s="343"/>
    </row>
    <row r="55" spans="1:15" ht="12" customHeight="1">
      <c r="A55" s="63"/>
      <c r="B55" s="21"/>
      <c r="C55" s="22"/>
      <c r="D55" s="266" t="s">
        <v>113</v>
      </c>
      <c r="E55" s="22">
        <v>108075000</v>
      </c>
      <c r="F55" s="201" t="s">
        <v>114</v>
      </c>
      <c r="G55" s="267" t="s">
        <v>116</v>
      </c>
      <c r="H55" s="22"/>
      <c r="I55" s="114"/>
      <c r="J55" s="22"/>
      <c r="K55" s="36"/>
      <c r="L55" s="307"/>
      <c r="M55" s="37"/>
      <c r="N55" s="172"/>
      <c r="O55" s="343"/>
    </row>
    <row r="56" spans="1:15" ht="12" customHeight="1">
      <c r="A56" s="63"/>
      <c r="B56" s="21"/>
      <c r="C56" s="22"/>
      <c r="D56" s="359" t="s">
        <v>130</v>
      </c>
      <c r="E56" s="22">
        <v>98200000</v>
      </c>
      <c r="F56" s="360" t="s">
        <v>131</v>
      </c>
      <c r="G56" s="361">
        <v>43556</v>
      </c>
      <c r="H56" s="22"/>
      <c r="I56" s="114"/>
      <c r="J56" s="22"/>
      <c r="K56" s="36"/>
      <c r="L56" s="307"/>
      <c r="M56" s="37"/>
      <c r="N56" s="172"/>
      <c r="O56" s="343"/>
    </row>
    <row r="57" spans="1:15" ht="12" customHeight="1">
      <c r="A57" s="63">
        <v>2</v>
      </c>
      <c r="B57" s="21" t="s">
        <v>53</v>
      </c>
      <c r="C57" s="22">
        <v>1110122000</v>
      </c>
      <c r="D57" s="201"/>
      <c r="E57" s="32"/>
      <c r="F57" s="99"/>
      <c r="G57" s="235"/>
      <c r="H57" s="23">
        <f>604173402+100000000+6406500</f>
        <v>710579902</v>
      </c>
      <c r="I57" s="340">
        <f>+H57/C57*100</f>
        <v>64.00917214504351</v>
      </c>
      <c r="J57" s="23">
        <f>604173402+100000000+6406500</f>
        <v>710579902</v>
      </c>
      <c r="K57" s="71">
        <f>+J57/C57*100</f>
        <v>64.00917214504351</v>
      </c>
      <c r="L57" s="357">
        <v>100</v>
      </c>
      <c r="M57" s="37">
        <f>+J57/C57*100</f>
        <v>64.00917214504351</v>
      </c>
      <c r="N57" s="172">
        <f>C57-J57</f>
        <v>399542098</v>
      </c>
      <c r="O57" s="343"/>
    </row>
    <row r="58" spans="1:15" ht="12" customHeight="1">
      <c r="A58" s="63">
        <v>3</v>
      </c>
      <c r="B58" s="21" t="s">
        <v>54</v>
      </c>
      <c r="C58" s="22">
        <v>381050000</v>
      </c>
      <c r="D58" s="201" t="s">
        <v>107</v>
      </c>
      <c r="E58" s="23">
        <v>48600000</v>
      </c>
      <c r="F58" s="99" t="s">
        <v>108</v>
      </c>
      <c r="G58" s="235">
        <v>43584</v>
      </c>
      <c r="H58" s="23">
        <f>79920000+6525000+15750000</f>
        <v>102195000</v>
      </c>
      <c r="I58" s="340">
        <f>+H58/C58*100</f>
        <v>26.819315050518306</v>
      </c>
      <c r="J58" s="23">
        <f>79920000+6525000+15750000</f>
        <v>102195000</v>
      </c>
      <c r="K58" s="71">
        <f>+J58/C58*100</f>
        <v>26.819315050518306</v>
      </c>
      <c r="L58" s="357">
        <v>100</v>
      </c>
      <c r="M58" s="37">
        <f>+J58/C58*100</f>
        <v>26.819315050518306</v>
      </c>
      <c r="N58" s="172">
        <f>C58-J58</f>
        <v>278855000</v>
      </c>
      <c r="O58" s="345"/>
    </row>
    <row r="59" spans="1:15" ht="12" customHeight="1">
      <c r="A59" s="255"/>
      <c r="B59" s="246"/>
      <c r="C59" s="28"/>
      <c r="D59" s="215"/>
      <c r="E59" s="29"/>
      <c r="F59" s="134"/>
      <c r="G59" s="238"/>
      <c r="H59" s="29"/>
      <c r="I59" s="314"/>
      <c r="J59" s="29"/>
      <c r="K59" s="36"/>
      <c r="L59" s="307"/>
      <c r="M59" s="173"/>
      <c r="N59" s="172"/>
      <c r="O59" s="345"/>
    </row>
    <row r="60" spans="1:15" ht="12" customHeight="1">
      <c r="A60" s="256">
        <v>5</v>
      </c>
      <c r="B60" s="97" t="s">
        <v>56</v>
      </c>
      <c r="C60" s="48">
        <f>SUM(C61:C74)</f>
        <v>1190425000</v>
      </c>
      <c r="D60" s="202"/>
      <c r="E60" s="48">
        <f>E61+E62+E63++E64+E65+E66+E67+E70+E72+E74+E69</f>
        <v>160501000</v>
      </c>
      <c r="F60" s="202"/>
      <c r="G60" s="239"/>
      <c r="H60" s="174">
        <f>SUM(H61:H74)</f>
        <v>762767001</v>
      </c>
      <c r="I60" s="311">
        <f aca="true" t="shared" si="9" ref="I60:I68">+H60/C60*100</f>
        <v>64.07518331688263</v>
      </c>
      <c r="J60" s="174">
        <f>SUM(J61:J74)</f>
        <v>762767001</v>
      </c>
      <c r="K60" s="179">
        <f aca="true" t="shared" si="10" ref="K60:K68">+J60/C60*100</f>
        <v>64.07518331688263</v>
      </c>
      <c r="L60" s="308">
        <v>100</v>
      </c>
      <c r="M60" s="64">
        <f aca="true" t="shared" si="11" ref="M60:M68">+J60/C60*100</f>
        <v>64.07518331688263</v>
      </c>
      <c r="N60" s="172">
        <f aca="true" t="shared" si="12" ref="N60:N68">C60-J60</f>
        <v>427657999</v>
      </c>
      <c r="O60" s="343"/>
    </row>
    <row r="61" spans="1:15" ht="12" customHeight="1">
      <c r="A61" s="63">
        <v>1</v>
      </c>
      <c r="B61" s="73" t="s">
        <v>57</v>
      </c>
      <c r="C61" s="71">
        <v>350000000</v>
      </c>
      <c r="D61" s="213"/>
      <c r="E61" s="71"/>
      <c r="F61" s="99"/>
      <c r="G61" s="235"/>
      <c r="H61" s="71">
        <f>131248900+21300000</f>
        <v>152548900</v>
      </c>
      <c r="I61" s="340">
        <f t="shared" si="9"/>
        <v>43.5854</v>
      </c>
      <c r="J61" s="71">
        <f>131248900+21300000</f>
        <v>152548900</v>
      </c>
      <c r="K61" s="71">
        <f t="shared" si="10"/>
        <v>43.5854</v>
      </c>
      <c r="L61" s="308">
        <v>100</v>
      </c>
      <c r="M61" s="37">
        <f t="shared" si="11"/>
        <v>43.5854</v>
      </c>
      <c r="N61" s="172">
        <f t="shared" si="12"/>
        <v>197451100</v>
      </c>
      <c r="O61" s="343"/>
    </row>
    <row r="62" spans="1:15" ht="12" customHeight="1">
      <c r="A62" s="63">
        <v>2</v>
      </c>
      <c r="B62" s="98" t="s">
        <v>58</v>
      </c>
      <c r="C62" s="71">
        <v>165000000</v>
      </c>
      <c r="D62" s="213"/>
      <c r="E62" s="37"/>
      <c r="F62" s="99"/>
      <c r="G62" s="235"/>
      <c r="H62" s="71">
        <f>122001983+1342421+2100000</f>
        <v>125444404</v>
      </c>
      <c r="I62" s="340">
        <f t="shared" si="9"/>
        <v>76.02691151515153</v>
      </c>
      <c r="J62" s="71">
        <f>122001983+1342421+2100000</f>
        <v>125444404</v>
      </c>
      <c r="K62" s="71">
        <f t="shared" si="10"/>
        <v>76.02691151515153</v>
      </c>
      <c r="L62" s="308">
        <v>100</v>
      </c>
      <c r="M62" s="37">
        <f t="shared" si="11"/>
        <v>76.02691151515153</v>
      </c>
      <c r="N62" s="172">
        <f t="shared" si="12"/>
        <v>39555596</v>
      </c>
      <c r="O62" s="343"/>
    </row>
    <row r="63" spans="1:15" ht="12" customHeight="1">
      <c r="A63" s="489">
        <v>3</v>
      </c>
      <c r="B63" s="490" t="s">
        <v>59</v>
      </c>
      <c r="C63" s="166">
        <v>50000000</v>
      </c>
      <c r="D63" s="214"/>
      <c r="E63" s="167"/>
      <c r="F63" s="491"/>
      <c r="G63" s="492"/>
      <c r="H63" s="168">
        <f>22900000+1375000+2400000</f>
        <v>26675000</v>
      </c>
      <c r="I63" s="483">
        <f t="shared" si="9"/>
        <v>53.349999999999994</v>
      </c>
      <c r="J63" s="168">
        <f>22900000+1375000+2400000</f>
        <v>26675000</v>
      </c>
      <c r="K63" s="166">
        <f t="shared" si="10"/>
        <v>53.349999999999994</v>
      </c>
      <c r="L63" s="484">
        <v>100</v>
      </c>
      <c r="M63" s="167">
        <f t="shared" si="11"/>
        <v>53.349999999999994</v>
      </c>
      <c r="N63" s="485">
        <f t="shared" si="12"/>
        <v>23325000</v>
      </c>
      <c r="O63" s="486"/>
    </row>
    <row r="64" spans="1:15" ht="12" customHeight="1">
      <c r="A64" s="489">
        <v>4</v>
      </c>
      <c r="B64" s="169" t="s">
        <v>78</v>
      </c>
      <c r="C64" s="166">
        <v>80000000</v>
      </c>
      <c r="D64" s="214" t="s">
        <v>110</v>
      </c>
      <c r="E64" s="167">
        <v>11000000</v>
      </c>
      <c r="F64" s="491" t="s">
        <v>109</v>
      </c>
      <c r="G64" s="492">
        <v>43580</v>
      </c>
      <c r="H64" s="168">
        <f>29275000+25799900+8675000</f>
        <v>63749900</v>
      </c>
      <c r="I64" s="483">
        <f t="shared" si="9"/>
        <v>79.687375</v>
      </c>
      <c r="J64" s="168">
        <f>29275000+25799900+8675000</f>
        <v>63749900</v>
      </c>
      <c r="K64" s="166">
        <f t="shared" si="10"/>
        <v>79.687375</v>
      </c>
      <c r="L64" s="484">
        <v>100</v>
      </c>
      <c r="M64" s="167">
        <f t="shared" si="11"/>
        <v>79.687375</v>
      </c>
      <c r="N64" s="485">
        <f t="shared" si="12"/>
        <v>16250100</v>
      </c>
      <c r="O64" s="486"/>
    </row>
    <row r="65" spans="1:15" ht="12" customHeight="1">
      <c r="A65" s="489">
        <v>5</v>
      </c>
      <c r="B65" s="169" t="s">
        <v>79</v>
      </c>
      <c r="C65" s="166">
        <v>50000000</v>
      </c>
      <c r="D65" s="214"/>
      <c r="E65" s="167"/>
      <c r="F65" s="491"/>
      <c r="G65" s="492"/>
      <c r="H65" s="168">
        <f>10775000+4950000</f>
        <v>15725000</v>
      </c>
      <c r="I65" s="483">
        <f t="shared" si="9"/>
        <v>31.45</v>
      </c>
      <c r="J65" s="168">
        <f>10775000+4950000</f>
        <v>15725000</v>
      </c>
      <c r="K65" s="166">
        <f t="shared" si="10"/>
        <v>31.45</v>
      </c>
      <c r="L65" s="484">
        <v>100</v>
      </c>
      <c r="M65" s="167">
        <f t="shared" si="11"/>
        <v>31.45</v>
      </c>
      <c r="N65" s="485">
        <f t="shared" si="12"/>
        <v>34275000</v>
      </c>
      <c r="O65" s="486"/>
    </row>
    <row r="66" spans="1:15" ht="12" customHeight="1">
      <c r="A66" s="489">
        <v>6</v>
      </c>
      <c r="B66" s="169" t="s">
        <v>60</v>
      </c>
      <c r="C66" s="166">
        <v>50000000</v>
      </c>
      <c r="D66" s="214"/>
      <c r="E66" s="167"/>
      <c r="F66" s="491"/>
      <c r="G66" s="492"/>
      <c r="H66" s="168">
        <f>20860166+1435000+2766631</f>
        <v>25061797</v>
      </c>
      <c r="I66" s="483">
        <f t="shared" si="9"/>
        <v>50.123594000000004</v>
      </c>
      <c r="J66" s="168">
        <f>20860166+1435000+2766631</f>
        <v>25061797</v>
      </c>
      <c r="K66" s="166">
        <f t="shared" si="10"/>
        <v>50.123594000000004</v>
      </c>
      <c r="L66" s="484">
        <v>100</v>
      </c>
      <c r="M66" s="167">
        <f t="shared" si="11"/>
        <v>50.123594000000004</v>
      </c>
      <c r="N66" s="485">
        <f t="shared" si="12"/>
        <v>24938203</v>
      </c>
      <c r="O66" s="486"/>
    </row>
    <row r="67" spans="1:15" ht="12" customHeight="1">
      <c r="A67" s="493">
        <v>7</v>
      </c>
      <c r="B67" s="494" t="s">
        <v>61</v>
      </c>
      <c r="C67" s="495">
        <v>50000000</v>
      </c>
      <c r="D67" s="496"/>
      <c r="E67" s="497"/>
      <c r="F67" s="498"/>
      <c r="G67" s="499"/>
      <c r="H67" s="500">
        <v>48600000</v>
      </c>
      <c r="I67" s="483">
        <f t="shared" si="9"/>
        <v>97.2</v>
      </c>
      <c r="J67" s="500">
        <v>48600000</v>
      </c>
      <c r="K67" s="166">
        <f t="shared" si="10"/>
        <v>97.2</v>
      </c>
      <c r="L67" s="484">
        <v>100</v>
      </c>
      <c r="M67" s="167">
        <f t="shared" si="11"/>
        <v>97.2</v>
      </c>
      <c r="N67" s="485">
        <f t="shared" si="12"/>
        <v>1400000</v>
      </c>
      <c r="O67" s="486"/>
    </row>
    <row r="68" spans="1:15" ht="12" customHeight="1">
      <c r="A68" s="489">
        <v>8</v>
      </c>
      <c r="B68" s="494" t="s">
        <v>85</v>
      </c>
      <c r="C68" s="495">
        <v>156700000</v>
      </c>
      <c r="D68" s="496"/>
      <c r="E68" s="497"/>
      <c r="F68" s="498"/>
      <c r="G68" s="499"/>
      <c r="H68" s="500">
        <f>149501000+4700000</f>
        <v>154201000</v>
      </c>
      <c r="I68" s="483">
        <f t="shared" si="9"/>
        <v>98.40523292916401</v>
      </c>
      <c r="J68" s="500">
        <f>149501000+4700000</f>
        <v>154201000</v>
      </c>
      <c r="K68" s="166">
        <f t="shared" si="10"/>
        <v>98.40523292916401</v>
      </c>
      <c r="L68" s="484">
        <v>100</v>
      </c>
      <c r="M68" s="167">
        <f t="shared" si="11"/>
        <v>98.40523292916401</v>
      </c>
      <c r="N68" s="485">
        <f t="shared" si="12"/>
        <v>2499000</v>
      </c>
      <c r="O68" s="486"/>
    </row>
    <row r="69" spans="1:15" ht="12" customHeight="1">
      <c r="A69" s="493"/>
      <c r="B69" s="494"/>
      <c r="C69" s="495"/>
      <c r="D69" s="501" t="s">
        <v>154</v>
      </c>
      <c r="E69" s="502">
        <v>149501000</v>
      </c>
      <c r="F69" s="503" t="s">
        <v>156</v>
      </c>
      <c r="G69" s="504" t="s">
        <v>155</v>
      </c>
      <c r="H69" s="505"/>
      <c r="I69" s="506"/>
      <c r="J69" s="505"/>
      <c r="K69" s="166"/>
      <c r="L69" s="484"/>
      <c r="M69" s="167"/>
      <c r="N69" s="485"/>
      <c r="O69" s="486"/>
    </row>
    <row r="70" spans="1:15" ht="12" customHeight="1">
      <c r="A70" s="493">
        <v>9</v>
      </c>
      <c r="B70" s="507" t="s">
        <v>80</v>
      </c>
      <c r="C70" s="508">
        <v>140000000</v>
      </c>
      <c r="D70" s="509"/>
      <c r="E70" s="510">
        <v>0</v>
      </c>
      <c r="F70" s="511"/>
      <c r="G70" s="512"/>
      <c r="H70" s="508">
        <v>108166000</v>
      </c>
      <c r="I70" s="513">
        <f>(H70)/C70*100</f>
        <v>77.26142857142857</v>
      </c>
      <c r="J70" s="508">
        <f>108166000</f>
        <v>108166000</v>
      </c>
      <c r="K70" s="514">
        <f>(J70+J71)/C70*100</f>
        <v>77.26142857142857</v>
      </c>
      <c r="L70" s="484">
        <v>100</v>
      </c>
      <c r="M70" s="167">
        <f>(J70+J71)/C70*100</f>
        <v>77.26142857142857</v>
      </c>
      <c r="N70" s="508">
        <f>C70-J70-J71</f>
        <v>31834000</v>
      </c>
      <c r="O70" s="486"/>
    </row>
    <row r="71" spans="1:15" ht="12" customHeight="1">
      <c r="A71" s="493"/>
      <c r="B71" s="507"/>
      <c r="C71" s="508"/>
      <c r="D71" s="515" t="s">
        <v>140</v>
      </c>
      <c r="E71" s="510">
        <v>85930000</v>
      </c>
      <c r="F71" s="516" t="s">
        <v>141</v>
      </c>
      <c r="G71" s="512">
        <v>43556</v>
      </c>
      <c r="H71" s="510"/>
      <c r="I71" s="483"/>
      <c r="J71" s="510">
        <v>0</v>
      </c>
      <c r="K71" s="166"/>
      <c r="L71" s="484"/>
      <c r="M71" s="167"/>
      <c r="N71" s="508"/>
      <c r="O71" s="486"/>
    </row>
    <row r="72" spans="1:15" ht="12" customHeight="1">
      <c r="A72" s="489">
        <v>10</v>
      </c>
      <c r="B72" s="169" t="s">
        <v>62</v>
      </c>
      <c r="C72" s="166">
        <v>58775000</v>
      </c>
      <c r="D72" s="214"/>
      <c r="E72" s="166"/>
      <c r="F72" s="491"/>
      <c r="G72" s="492"/>
      <c r="H72" s="168">
        <v>14545000</v>
      </c>
      <c r="I72" s="483">
        <f>+H72/C72*100</f>
        <v>24.746916205869844</v>
      </c>
      <c r="J72" s="168">
        <v>14545000</v>
      </c>
      <c r="K72" s="166">
        <f>+J72/C72*100</f>
        <v>24.746916205869844</v>
      </c>
      <c r="L72" s="484">
        <v>100</v>
      </c>
      <c r="M72" s="167">
        <f>+J72/C72*100</f>
        <v>24.746916205869844</v>
      </c>
      <c r="N72" s="485">
        <f aca="true" t="shared" si="13" ref="N72:N82">C72-J72</f>
        <v>44230000</v>
      </c>
      <c r="O72" s="486"/>
    </row>
    <row r="73" spans="1:15" ht="12" customHeight="1">
      <c r="A73" s="493">
        <v>11</v>
      </c>
      <c r="B73" s="169" t="s">
        <v>81</v>
      </c>
      <c r="C73" s="517">
        <v>18950000</v>
      </c>
      <c r="D73" s="518"/>
      <c r="E73" s="166"/>
      <c r="F73" s="491"/>
      <c r="G73" s="492"/>
      <c r="H73" s="168">
        <v>15150000</v>
      </c>
      <c r="I73" s="483">
        <f>+H73/C73*100</f>
        <v>79.94722955145119</v>
      </c>
      <c r="J73" s="168">
        <v>15150000</v>
      </c>
      <c r="K73" s="166">
        <f>+J73/C73*100</f>
        <v>79.94722955145119</v>
      </c>
      <c r="L73" s="484">
        <v>100</v>
      </c>
      <c r="M73" s="167">
        <f>+J73/C73*100</f>
        <v>79.94722955145119</v>
      </c>
      <c r="N73" s="485">
        <f t="shared" si="13"/>
        <v>3800000</v>
      </c>
      <c r="O73" s="486"/>
    </row>
    <row r="74" spans="1:15" ht="12" customHeight="1">
      <c r="A74" s="489">
        <v>12</v>
      </c>
      <c r="B74" s="169" t="s">
        <v>55</v>
      </c>
      <c r="C74" s="517">
        <v>21000000</v>
      </c>
      <c r="D74" s="518"/>
      <c r="E74" s="166"/>
      <c r="F74" s="491"/>
      <c r="G74" s="492"/>
      <c r="H74" s="168">
        <v>12900000</v>
      </c>
      <c r="I74" s="483">
        <f>+H74/C74*100</f>
        <v>61.42857142857143</v>
      </c>
      <c r="J74" s="168">
        <v>12900000</v>
      </c>
      <c r="K74" s="166">
        <f>+J74/C74*100</f>
        <v>61.42857142857143</v>
      </c>
      <c r="L74" s="484">
        <v>100</v>
      </c>
      <c r="M74" s="167">
        <f>+J74/C74*100</f>
        <v>61.42857142857143</v>
      </c>
      <c r="N74" s="485">
        <f t="shared" si="13"/>
        <v>8100000</v>
      </c>
      <c r="O74" s="486"/>
    </row>
    <row r="75" spans="1:15" ht="12" customHeight="1">
      <c r="A75" s="519"/>
      <c r="B75" s="520"/>
      <c r="C75" s="521"/>
      <c r="D75" s="522"/>
      <c r="E75" s="523"/>
      <c r="F75" s="491"/>
      <c r="G75" s="492"/>
      <c r="H75" s="524"/>
      <c r="I75" s="525"/>
      <c r="J75" s="524"/>
      <c r="K75" s="168"/>
      <c r="L75" s="526"/>
      <c r="M75" s="168"/>
      <c r="N75" s="485">
        <f t="shared" si="13"/>
        <v>0</v>
      </c>
      <c r="O75" s="486"/>
    </row>
    <row r="76" spans="1:15" ht="12" customHeight="1">
      <c r="A76" s="527">
        <v>6</v>
      </c>
      <c r="B76" s="528" t="s">
        <v>63</v>
      </c>
      <c r="C76" s="529">
        <f>C77+C78+C79</f>
        <v>386507853</v>
      </c>
      <c r="D76" s="530"/>
      <c r="E76" s="529">
        <f>E77+E78+E79</f>
        <v>0</v>
      </c>
      <c r="F76" s="530"/>
      <c r="G76" s="531"/>
      <c r="H76" s="532">
        <f>SUM(H77:H79)</f>
        <v>319944000</v>
      </c>
      <c r="I76" s="483">
        <f>+H76/C76*100</f>
        <v>82.77813698134615</v>
      </c>
      <c r="J76" s="532">
        <f>SUM(J77:J79)</f>
        <v>319944000</v>
      </c>
      <c r="K76" s="166">
        <f>+J76/C76*100</f>
        <v>82.77813698134615</v>
      </c>
      <c r="L76" s="484">
        <v>100</v>
      </c>
      <c r="M76" s="167">
        <f>+J76/C76*100</f>
        <v>82.77813698134615</v>
      </c>
      <c r="N76" s="485">
        <f t="shared" si="13"/>
        <v>66563853</v>
      </c>
      <c r="O76" s="486"/>
    </row>
    <row r="77" spans="1:15" ht="12" customHeight="1">
      <c r="A77" s="489">
        <v>1</v>
      </c>
      <c r="B77" s="169" t="s">
        <v>64</v>
      </c>
      <c r="C77" s="517">
        <v>50000000</v>
      </c>
      <c r="D77" s="518"/>
      <c r="E77" s="517"/>
      <c r="F77" s="491"/>
      <c r="G77" s="492"/>
      <c r="H77" s="517">
        <f>37223000+3525000+5525000</f>
        <v>46273000</v>
      </c>
      <c r="I77" s="483">
        <f>+H77/C77*100</f>
        <v>92.54599999999999</v>
      </c>
      <c r="J77" s="517">
        <f>37223000+3525000+5525000</f>
        <v>46273000</v>
      </c>
      <c r="K77" s="166">
        <f>+J77/C77*100</f>
        <v>92.54599999999999</v>
      </c>
      <c r="L77" s="484">
        <v>100</v>
      </c>
      <c r="M77" s="167">
        <f>+J77/C77*100</f>
        <v>92.54599999999999</v>
      </c>
      <c r="N77" s="485">
        <f t="shared" si="13"/>
        <v>3727000</v>
      </c>
      <c r="O77" s="486"/>
    </row>
    <row r="78" spans="1:15" ht="12" customHeight="1">
      <c r="A78" s="489">
        <v>2</v>
      </c>
      <c r="B78" s="169" t="s">
        <v>65</v>
      </c>
      <c r="C78" s="517">
        <v>35000000</v>
      </c>
      <c r="D78" s="518"/>
      <c r="E78" s="523"/>
      <c r="F78" s="491"/>
      <c r="G78" s="492"/>
      <c r="H78" s="517">
        <f>8946000+20250000</f>
        <v>29196000</v>
      </c>
      <c r="I78" s="483">
        <f>+H78/C78*100</f>
        <v>83.41714285714286</v>
      </c>
      <c r="J78" s="517">
        <f>8946000+20250000</f>
        <v>29196000</v>
      </c>
      <c r="K78" s="166">
        <f>+J78/C78*100</f>
        <v>83.41714285714286</v>
      </c>
      <c r="L78" s="484">
        <v>100</v>
      </c>
      <c r="M78" s="167">
        <f>+J78/C78*100</f>
        <v>83.41714285714286</v>
      </c>
      <c r="N78" s="485">
        <f t="shared" si="13"/>
        <v>5804000</v>
      </c>
      <c r="O78" s="486"/>
    </row>
    <row r="79" spans="1:15" ht="12" customHeight="1">
      <c r="A79" s="489">
        <v>3</v>
      </c>
      <c r="B79" s="169" t="s">
        <v>66</v>
      </c>
      <c r="C79" s="166">
        <v>301507853</v>
      </c>
      <c r="D79" s="214"/>
      <c r="E79" s="166"/>
      <c r="F79" s="491"/>
      <c r="G79" s="492"/>
      <c r="H79" s="166">
        <f>236275000+4450000+3750000</f>
        <v>244475000</v>
      </c>
      <c r="I79" s="483">
        <f>+H79/C79*100</f>
        <v>81.08412353690834</v>
      </c>
      <c r="J79" s="166">
        <f>236275000+4450000+3750000</f>
        <v>244475000</v>
      </c>
      <c r="K79" s="166">
        <f>+J79/C79*100</f>
        <v>81.08412353690834</v>
      </c>
      <c r="L79" s="484">
        <v>100</v>
      </c>
      <c r="M79" s="167">
        <f>+J79/C79*100</f>
        <v>81.08412353690834</v>
      </c>
      <c r="N79" s="485">
        <f t="shared" si="13"/>
        <v>57032853</v>
      </c>
      <c r="O79" s="486"/>
    </row>
    <row r="80" spans="1:15" ht="12" customHeight="1">
      <c r="A80" s="533"/>
      <c r="B80" s="534"/>
      <c r="C80" s="535"/>
      <c r="D80" s="536"/>
      <c r="E80" s="535"/>
      <c r="F80" s="537"/>
      <c r="G80" s="538"/>
      <c r="H80" s="535">
        <v>0</v>
      </c>
      <c r="I80" s="539"/>
      <c r="J80" s="535"/>
      <c r="K80" s="540"/>
      <c r="L80" s="541"/>
      <c r="M80" s="542"/>
      <c r="N80" s="485">
        <f t="shared" si="13"/>
        <v>0</v>
      </c>
      <c r="O80" s="486"/>
    </row>
    <row r="81" spans="1:15" ht="12" customHeight="1">
      <c r="A81" s="527">
        <v>7</v>
      </c>
      <c r="B81" s="528" t="s">
        <v>67</v>
      </c>
      <c r="C81" s="529">
        <f>C82+C83</f>
        <v>520000000</v>
      </c>
      <c r="D81" s="530"/>
      <c r="E81" s="529">
        <f>SUM(E82:E90)</f>
        <v>465798000</v>
      </c>
      <c r="F81" s="530"/>
      <c r="G81" s="531"/>
      <c r="H81" s="532">
        <f>SUM(H82:H90)</f>
        <v>505018000</v>
      </c>
      <c r="I81" s="543">
        <f>+H81/C81*100</f>
        <v>97.11884615384615</v>
      </c>
      <c r="J81" s="532">
        <f>J82+J83+J84+J85+J86+J87+J88+J89+J90</f>
        <v>505018000</v>
      </c>
      <c r="K81" s="544">
        <f>+J81/C81*100</f>
        <v>97.11884615384615</v>
      </c>
      <c r="L81" s="484">
        <v>100</v>
      </c>
      <c r="M81" s="545">
        <f>+J81/C81*100</f>
        <v>97.11884615384615</v>
      </c>
      <c r="N81" s="485">
        <f t="shared" si="13"/>
        <v>14982000</v>
      </c>
      <c r="O81" s="486"/>
    </row>
    <row r="82" spans="1:17" ht="12" customHeight="1">
      <c r="A82" s="519">
        <v>1</v>
      </c>
      <c r="B82" s="169" t="s">
        <v>68</v>
      </c>
      <c r="C82" s="166">
        <v>100000000</v>
      </c>
      <c r="D82" s="546" t="s">
        <v>129</v>
      </c>
      <c r="E82" s="521">
        <v>98395000</v>
      </c>
      <c r="F82" s="546" t="s">
        <v>128</v>
      </c>
      <c r="G82" s="547" t="s">
        <v>127</v>
      </c>
      <c r="H82" s="166">
        <v>99445000</v>
      </c>
      <c r="I82" s="483">
        <f>+H82/C82*100</f>
        <v>99.445</v>
      </c>
      <c r="J82" s="166">
        <v>99445000</v>
      </c>
      <c r="K82" s="166">
        <f>+J82/C82*100</f>
        <v>99.445</v>
      </c>
      <c r="L82" s="484">
        <v>100</v>
      </c>
      <c r="M82" s="167">
        <f>+J82/C82*100</f>
        <v>99.445</v>
      </c>
      <c r="N82" s="485">
        <f t="shared" si="13"/>
        <v>555000</v>
      </c>
      <c r="O82" s="486"/>
      <c r="Q82" s="487">
        <v>98188000</v>
      </c>
    </row>
    <row r="83" spans="1:17" ht="12" customHeight="1">
      <c r="A83" s="519">
        <v>2</v>
      </c>
      <c r="B83" s="169" t="s">
        <v>69</v>
      </c>
      <c r="C83" s="166">
        <v>420000000</v>
      </c>
      <c r="D83" s="501" t="s">
        <v>136</v>
      </c>
      <c r="E83" s="166">
        <v>98188000</v>
      </c>
      <c r="F83" s="548" t="s">
        <v>134</v>
      </c>
      <c r="G83" s="492" t="s">
        <v>135</v>
      </c>
      <c r="H83" s="166">
        <v>98188000</v>
      </c>
      <c r="I83" s="483">
        <f>+H83/C83*100</f>
        <v>23.378095238095238</v>
      </c>
      <c r="J83" s="166">
        <v>98188000</v>
      </c>
      <c r="K83" s="166">
        <f>+J83/C83*100</f>
        <v>23.378095238095238</v>
      </c>
      <c r="L83" s="484">
        <v>100</v>
      </c>
      <c r="M83" s="167">
        <f>+J83/C83*100</f>
        <v>23.378095238095238</v>
      </c>
      <c r="N83" s="485">
        <f>C83-(J83+J84+J85+J86+J87+J88+J89+J90)</f>
        <v>14427000</v>
      </c>
      <c r="O83" s="486"/>
      <c r="Q83" s="487">
        <v>48230000</v>
      </c>
    </row>
    <row r="84" spans="1:17" ht="12" customHeight="1">
      <c r="A84" s="519"/>
      <c r="B84" s="169"/>
      <c r="C84" s="166"/>
      <c r="D84" s="501" t="s">
        <v>145</v>
      </c>
      <c r="E84" s="166">
        <v>48230000</v>
      </c>
      <c r="F84" s="548" t="s">
        <v>144</v>
      </c>
      <c r="G84" s="512" t="s">
        <v>143</v>
      </c>
      <c r="H84" s="166">
        <v>48230000</v>
      </c>
      <c r="I84" s="513">
        <f>+H84/C83*100</f>
        <v>11.483333333333333</v>
      </c>
      <c r="J84" s="166">
        <v>48230000</v>
      </c>
      <c r="K84" s="514">
        <f>+J84/C83*100</f>
        <v>11.483333333333333</v>
      </c>
      <c r="L84" s="484"/>
      <c r="M84" s="167">
        <f>+J84/C83*100</f>
        <v>11.483333333333333</v>
      </c>
      <c r="N84" s="485"/>
      <c r="O84" s="486"/>
      <c r="Q84" s="487">
        <v>48150000</v>
      </c>
    </row>
    <row r="85" spans="1:17" ht="12" customHeight="1">
      <c r="A85" s="519"/>
      <c r="B85" s="169"/>
      <c r="C85" s="166"/>
      <c r="D85" s="501" t="s">
        <v>142</v>
      </c>
      <c r="E85" s="166">
        <v>48150000</v>
      </c>
      <c r="F85" s="548" t="s">
        <v>146</v>
      </c>
      <c r="G85" s="512" t="s">
        <v>143</v>
      </c>
      <c r="H85" s="166">
        <v>48150000</v>
      </c>
      <c r="I85" s="513">
        <f>+H85/C83*100</f>
        <v>11.464285714285714</v>
      </c>
      <c r="J85" s="166">
        <v>48150000</v>
      </c>
      <c r="K85" s="514">
        <f>+J85/C83*100</f>
        <v>11.464285714285714</v>
      </c>
      <c r="L85" s="484"/>
      <c r="M85" s="167">
        <f>+J85/C83*100</f>
        <v>11.464285714285714</v>
      </c>
      <c r="N85" s="485"/>
      <c r="O85" s="486"/>
      <c r="Q85" s="487">
        <v>38280000</v>
      </c>
    </row>
    <row r="86" spans="1:17" ht="12" customHeight="1">
      <c r="A86" s="519"/>
      <c r="B86" s="169"/>
      <c r="C86" s="166"/>
      <c r="D86" s="501" t="s">
        <v>147</v>
      </c>
      <c r="E86" s="166">
        <v>38280000</v>
      </c>
      <c r="F86" s="549" t="s">
        <v>148</v>
      </c>
      <c r="G86" s="512">
        <v>43556</v>
      </c>
      <c r="H86" s="166">
        <v>38280000</v>
      </c>
      <c r="I86" s="513">
        <f>+H86/C83*100</f>
        <v>9.114285714285714</v>
      </c>
      <c r="J86" s="166">
        <v>38280000</v>
      </c>
      <c r="K86" s="514">
        <f>+J86/C83*100</f>
        <v>9.114285714285714</v>
      </c>
      <c r="L86" s="484"/>
      <c r="M86" s="167">
        <f>+J86/C83*100</f>
        <v>9.114285714285714</v>
      </c>
      <c r="N86" s="485"/>
      <c r="O86" s="486"/>
      <c r="Q86" s="487">
        <v>48260000</v>
      </c>
    </row>
    <row r="87" spans="1:17" ht="12" customHeight="1">
      <c r="A87" s="519"/>
      <c r="B87" s="169"/>
      <c r="C87" s="166"/>
      <c r="D87" s="501" t="s">
        <v>149</v>
      </c>
      <c r="E87" s="166">
        <v>48260000</v>
      </c>
      <c r="F87" s="549" t="s">
        <v>148</v>
      </c>
      <c r="G87" s="512">
        <v>43556</v>
      </c>
      <c r="H87" s="166">
        <v>48260000</v>
      </c>
      <c r="I87" s="513">
        <f>+H87/C83*100</f>
        <v>11.49047619047619</v>
      </c>
      <c r="J87" s="166">
        <v>48260000</v>
      </c>
      <c r="K87" s="514">
        <f>+J87/C83*100</f>
        <v>11.49047619047619</v>
      </c>
      <c r="L87" s="484"/>
      <c r="M87" s="167">
        <f>+J87/C83*100</f>
        <v>11.49047619047619</v>
      </c>
      <c r="N87" s="485"/>
      <c r="O87" s="486"/>
      <c r="Q87" s="487">
        <v>38170000</v>
      </c>
    </row>
    <row r="88" spans="1:17" ht="12" customHeight="1">
      <c r="A88" s="519"/>
      <c r="B88" s="169"/>
      <c r="C88" s="166"/>
      <c r="D88" s="501" t="s">
        <v>150</v>
      </c>
      <c r="E88" s="166">
        <v>38170000</v>
      </c>
      <c r="F88" s="549" t="s">
        <v>148</v>
      </c>
      <c r="G88" s="512">
        <v>43556</v>
      </c>
      <c r="H88" s="166">
        <v>38170000</v>
      </c>
      <c r="I88" s="513">
        <f>+H88/C83*100</f>
        <v>9.088095238095239</v>
      </c>
      <c r="J88" s="166">
        <v>38170000</v>
      </c>
      <c r="K88" s="514">
        <f>+J88/C83*100</f>
        <v>9.088095238095239</v>
      </c>
      <c r="L88" s="484"/>
      <c r="M88" s="167">
        <f>+J88/C83*100</f>
        <v>9.088095238095239</v>
      </c>
      <c r="N88" s="485"/>
      <c r="O88" s="486"/>
      <c r="Q88" s="487">
        <v>48125000</v>
      </c>
    </row>
    <row r="89" spans="1:17" ht="12" customHeight="1">
      <c r="A89" s="519"/>
      <c r="B89" s="169"/>
      <c r="C89" s="166"/>
      <c r="D89" s="501" t="s">
        <v>151</v>
      </c>
      <c r="E89" s="166">
        <v>48125000</v>
      </c>
      <c r="F89" s="550" t="s">
        <v>152</v>
      </c>
      <c r="G89" s="512">
        <v>43556</v>
      </c>
      <c r="H89" s="166">
        <v>48125000</v>
      </c>
      <c r="I89" s="513">
        <f>+H89/C83*100</f>
        <v>11.458333333333332</v>
      </c>
      <c r="J89" s="166">
        <v>48125000</v>
      </c>
      <c r="K89" s="514">
        <f>+J89/C83*100</f>
        <v>11.458333333333332</v>
      </c>
      <c r="L89" s="484"/>
      <c r="M89" s="167">
        <f>+J89/C83*100</f>
        <v>11.458333333333332</v>
      </c>
      <c r="N89" s="485"/>
      <c r="O89" s="486"/>
      <c r="Q89" s="487">
        <v>38170000</v>
      </c>
    </row>
    <row r="90" spans="1:17" ht="12" customHeight="1">
      <c r="A90" s="519"/>
      <c r="B90" s="169"/>
      <c r="C90" s="166"/>
      <c r="D90" s="501" t="s">
        <v>153</v>
      </c>
      <c r="E90" s="551"/>
      <c r="F90" s="550" t="s">
        <v>152</v>
      </c>
      <c r="G90" s="512">
        <v>43556</v>
      </c>
      <c r="H90" s="166">
        <v>38170000</v>
      </c>
      <c r="I90" s="513">
        <f>+H90/C83*100</f>
        <v>9.088095238095239</v>
      </c>
      <c r="J90" s="166">
        <v>38170000</v>
      </c>
      <c r="K90" s="514">
        <f>+J90/C83*100</f>
        <v>9.088095238095239</v>
      </c>
      <c r="L90" s="484"/>
      <c r="M90" s="167">
        <f>+J90/C83*100</f>
        <v>9.088095238095239</v>
      </c>
      <c r="N90" s="485"/>
      <c r="O90" s="486"/>
      <c r="Q90" s="488">
        <f>SUM(Q82:Q89)</f>
        <v>405573000</v>
      </c>
    </row>
    <row r="91" spans="1:15" ht="12" customHeight="1">
      <c r="A91" s="519"/>
      <c r="B91" s="490"/>
      <c r="C91" s="166"/>
      <c r="D91" s="166"/>
      <c r="E91" s="523"/>
      <c r="F91" s="491"/>
      <c r="G91" s="492"/>
      <c r="H91" s="168"/>
      <c r="I91" s="525"/>
      <c r="J91" s="168"/>
      <c r="K91" s="168"/>
      <c r="L91" s="168"/>
      <c r="M91" s="552"/>
      <c r="N91" s="485">
        <f>C91-J91</f>
        <v>0</v>
      </c>
      <c r="O91" s="486"/>
    </row>
    <row r="92" spans="1:15" ht="12" customHeight="1">
      <c r="A92" s="254">
        <v>8</v>
      </c>
      <c r="B92" s="69" t="s">
        <v>70</v>
      </c>
      <c r="C92" s="39">
        <f>SUM(C93:C93)</f>
        <v>100000000</v>
      </c>
      <c r="D92" s="198"/>
      <c r="E92" s="39">
        <f>SUM(E93:E93)</f>
        <v>0</v>
      </c>
      <c r="F92" s="198"/>
      <c r="G92" s="234"/>
      <c r="H92" s="179">
        <f>SUM(H93:H93)</f>
        <v>88083981</v>
      </c>
      <c r="I92" s="311">
        <f>+H92/C92*100</f>
        <v>88.083981</v>
      </c>
      <c r="J92" s="179">
        <f>SUM(J93:J93)</f>
        <v>88083981</v>
      </c>
      <c r="K92" s="179">
        <f>+J92/C92*100</f>
        <v>88.083981</v>
      </c>
      <c r="L92" s="308">
        <v>100</v>
      </c>
      <c r="M92" s="64">
        <f>+J92/C92*100</f>
        <v>88.083981</v>
      </c>
      <c r="N92" s="171">
        <f>C92-J92</f>
        <v>11916019</v>
      </c>
      <c r="O92" s="343"/>
    </row>
    <row r="93" spans="1:15" ht="12" customHeight="1">
      <c r="A93" s="475"/>
      <c r="B93" s="476" t="s">
        <v>169</v>
      </c>
      <c r="C93" s="477">
        <v>100000000</v>
      </c>
      <c r="D93" s="478"/>
      <c r="E93" s="479"/>
      <c r="F93" s="480"/>
      <c r="G93" s="481"/>
      <c r="H93" s="482">
        <f>1400000+47496500+39187481</f>
        <v>88083981</v>
      </c>
      <c r="I93" s="483">
        <f>+H93/C93*100</f>
        <v>88.083981</v>
      </c>
      <c r="J93" s="482">
        <f>1400000+47496500+39187481</f>
        <v>88083981</v>
      </c>
      <c r="K93" s="166">
        <f>+J93/C93*100</f>
        <v>88.083981</v>
      </c>
      <c r="L93" s="484">
        <v>100</v>
      </c>
      <c r="M93" s="167">
        <f>+J93/C93*100</f>
        <v>88.083981</v>
      </c>
      <c r="N93" s="485">
        <f>C93-J93</f>
        <v>11916019</v>
      </c>
      <c r="O93" s="486"/>
    </row>
    <row r="94" spans="1:15" ht="12" customHeight="1" thickBot="1">
      <c r="A94" s="63"/>
      <c r="B94" s="40"/>
      <c r="C94" s="41"/>
      <c r="D94" s="221"/>
      <c r="E94" s="37"/>
      <c r="F94" s="99"/>
      <c r="G94" s="235"/>
      <c r="H94" s="42"/>
      <c r="I94" s="320"/>
      <c r="J94" s="321"/>
      <c r="K94" s="322"/>
      <c r="L94" s="322"/>
      <c r="M94" s="322"/>
      <c r="N94" s="34"/>
      <c r="O94" s="343"/>
    </row>
    <row r="95" spans="1:15" ht="18.75" customHeight="1" thickBot="1">
      <c r="A95" s="102"/>
      <c r="B95" s="103"/>
      <c r="C95" s="43">
        <f>C11+C25</f>
        <v>13112358353</v>
      </c>
      <c r="D95" s="43"/>
      <c r="E95" s="43">
        <f>+E11+E25</f>
        <v>1269331000</v>
      </c>
      <c r="F95" s="43">
        <f>F26+F39+F49+F52+F60+F76+F81+F92</f>
        <v>0</v>
      </c>
      <c r="G95" s="350"/>
      <c r="H95" s="351">
        <f>+H11+H25</f>
        <v>6600222715</v>
      </c>
      <c r="I95" s="323">
        <f>+H95/C95*100</f>
        <v>50.335893340574565</v>
      </c>
      <c r="J95" s="324">
        <f>+J11+J25</f>
        <v>6600222715</v>
      </c>
      <c r="K95" s="325">
        <f>+J95/C95*100</f>
        <v>50.335893340574565</v>
      </c>
      <c r="L95" s="326">
        <v>100</v>
      </c>
      <c r="M95" s="325">
        <f>SUM(M25+M11)/2</f>
        <v>54.411788964920916</v>
      </c>
      <c r="N95" s="319">
        <f>N11+N25</f>
        <v>6512135638</v>
      </c>
      <c r="O95" s="343"/>
    </row>
    <row r="96" spans="1:15" ht="18.75" customHeight="1">
      <c r="A96" s="126"/>
      <c r="B96" s="127"/>
      <c r="C96" s="128"/>
      <c r="D96" s="128"/>
      <c r="E96" s="128"/>
      <c r="F96" s="128"/>
      <c r="G96" s="553"/>
      <c r="H96" s="128"/>
      <c r="I96" s="554"/>
      <c r="J96" s="128"/>
      <c r="K96" s="555"/>
      <c r="L96" s="556"/>
      <c r="M96" s="555"/>
      <c r="N96" s="128"/>
      <c r="O96" s="557"/>
    </row>
    <row r="97" spans="1:14" ht="12.75">
      <c r="A97" s="126"/>
      <c r="B97" s="127"/>
      <c r="C97" s="128"/>
      <c r="D97" s="206"/>
      <c r="E97" s="128"/>
      <c r="F97" s="206"/>
      <c r="G97" s="243"/>
      <c r="H97" s="128"/>
      <c r="I97" s="316"/>
      <c r="J97" s="128"/>
      <c r="K97" s="130"/>
      <c r="L97" s="128"/>
      <c r="M97" s="128"/>
      <c r="N97" s="128"/>
    </row>
    <row r="98" spans="1:14" ht="12.75">
      <c r="A98" s="126"/>
      <c r="B98" s="135"/>
      <c r="C98" s="136"/>
      <c r="D98" s="208"/>
      <c r="E98" s="60"/>
      <c r="F98" s="207"/>
      <c r="G98" s="244"/>
      <c r="H98" s="44"/>
      <c r="I98" s="107"/>
      <c r="J98" s="1"/>
      <c r="K98" s="117"/>
      <c r="L98" s="117" t="s">
        <v>163</v>
      </c>
      <c r="M98" s="117"/>
      <c r="N98" s="117"/>
    </row>
    <row r="99" spans="1:14" ht="12.75">
      <c r="A99" s="126"/>
      <c r="B99" s="138"/>
      <c r="C99" s="84"/>
      <c r="D99" s="199"/>
      <c r="E99" s="139"/>
      <c r="F99" s="207"/>
      <c r="G99" s="244"/>
      <c r="H99" s="45"/>
      <c r="I99" s="317"/>
      <c r="J99" s="1"/>
      <c r="K99" s="107"/>
      <c r="L99" s="107" t="s">
        <v>73</v>
      </c>
      <c r="M99" s="107"/>
      <c r="N99" s="107"/>
    </row>
    <row r="100" spans="1:14" ht="12.75">
      <c r="A100" s="126"/>
      <c r="B100" s="105" t="s">
        <v>82</v>
      </c>
      <c r="C100" s="106">
        <f>H95/C95*100</f>
        <v>50.335893340574565</v>
      </c>
      <c r="D100" s="222"/>
      <c r="E100" s="60"/>
      <c r="F100" s="208"/>
      <c r="G100" s="224"/>
      <c r="H100" s="44"/>
      <c r="I100" s="107"/>
      <c r="J100" s="1"/>
      <c r="K100" s="107"/>
      <c r="L100" s="107" t="s">
        <v>72</v>
      </c>
      <c r="M100" s="107"/>
      <c r="N100" s="107"/>
    </row>
    <row r="101" spans="1:14" ht="12.75">
      <c r="A101" s="126"/>
      <c r="B101" s="105"/>
      <c r="C101" s="106"/>
      <c r="D101" s="222"/>
      <c r="E101" s="60"/>
      <c r="F101" s="208"/>
      <c r="G101" s="224"/>
      <c r="H101" s="44"/>
      <c r="I101" s="473"/>
      <c r="J101" s="1"/>
      <c r="K101" s="473"/>
      <c r="L101" s="473"/>
      <c r="M101" s="473"/>
      <c r="N101" s="473"/>
    </row>
    <row r="102" spans="1:14" ht="12.75">
      <c r="A102" s="126"/>
      <c r="B102" s="140"/>
      <c r="C102" s="141"/>
      <c r="D102" s="223"/>
      <c r="E102" s="60"/>
      <c r="F102" s="208"/>
      <c r="G102" s="224"/>
      <c r="H102" s="44"/>
      <c r="I102" s="107"/>
      <c r="J102" s="1"/>
      <c r="K102" s="107"/>
      <c r="L102" s="107"/>
      <c r="M102" s="107"/>
      <c r="N102" s="107"/>
    </row>
    <row r="103" spans="1:14" ht="12.75">
      <c r="A103" s="126"/>
      <c r="B103" s="140"/>
      <c r="C103" s="141"/>
      <c r="D103" s="223"/>
      <c r="E103" s="60"/>
      <c r="F103" s="208"/>
      <c r="G103" s="224"/>
      <c r="H103" s="44"/>
      <c r="I103" s="107"/>
      <c r="J103" s="1"/>
      <c r="K103" s="107"/>
      <c r="L103" s="107"/>
      <c r="M103" s="107"/>
      <c r="N103" s="107"/>
    </row>
    <row r="104" spans="1:14" ht="12.75">
      <c r="A104" s="126"/>
      <c r="B104" s="128"/>
      <c r="C104" s="84"/>
      <c r="D104" s="199"/>
      <c r="E104" s="60"/>
      <c r="F104" s="207"/>
      <c r="G104" s="244"/>
      <c r="H104" s="46"/>
      <c r="I104" s="107"/>
      <c r="J104" s="108"/>
      <c r="K104" s="108"/>
      <c r="L104" s="108" t="s">
        <v>74</v>
      </c>
      <c r="M104" s="1"/>
      <c r="N104" s="1"/>
    </row>
    <row r="105" spans="1:14" ht="12.75">
      <c r="A105" s="126"/>
      <c r="B105" s="127"/>
      <c r="C105" s="84"/>
      <c r="D105" s="199"/>
      <c r="E105" s="60"/>
      <c r="F105" s="187"/>
      <c r="G105" s="224"/>
      <c r="H105" s="46"/>
      <c r="I105" s="107"/>
      <c r="J105" s="107"/>
      <c r="K105" s="107"/>
      <c r="L105" s="107" t="s">
        <v>75</v>
      </c>
      <c r="M105" s="1"/>
      <c r="N105" s="1"/>
    </row>
    <row r="106" spans="1:14" ht="12.75">
      <c r="A106" s="126"/>
      <c r="B106" s="127"/>
      <c r="C106" s="84"/>
      <c r="D106" s="199"/>
      <c r="E106" s="60"/>
      <c r="F106" s="187"/>
      <c r="G106" s="224"/>
      <c r="H106" s="46"/>
      <c r="I106" s="107"/>
      <c r="J106" s="107"/>
      <c r="K106" s="107"/>
      <c r="L106" s="107"/>
      <c r="M106" s="1"/>
      <c r="N106" s="1"/>
    </row>
  </sheetData>
  <sheetProtection/>
  <mergeCells count="22">
    <mergeCell ref="O7:O9"/>
    <mergeCell ref="H8:H9"/>
    <mergeCell ref="I8:I9"/>
    <mergeCell ref="J8:J9"/>
    <mergeCell ref="K8:K9"/>
    <mergeCell ref="N7:N9"/>
    <mergeCell ref="C7:C9"/>
    <mergeCell ref="F7:F9"/>
    <mergeCell ref="D7:D9"/>
    <mergeCell ref="E7:E9"/>
    <mergeCell ref="L8:L9"/>
    <mergeCell ref="M8:M9"/>
    <mergeCell ref="A7:A9"/>
    <mergeCell ref="G7:G9"/>
    <mergeCell ref="H7:K7"/>
    <mergeCell ref="L7:M7"/>
    <mergeCell ref="A1:N1"/>
    <mergeCell ref="A2:N2"/>
    <mergeCell ref="A3:N3"/>
    <mergeCell ref="A4:B4"/>
    <mergeCell ref="A5:B5"/>
    <mergeCell ref="B7:B9"/>
  </mergeCells>
  <printOptions horizontalCentered="1"/>
  <pageMargins left="0.2" right="0.7" top="0.75" bottom="0.75" header="0.3" footer="0.3"/>
  <pageSetup orientation="landscape" paperSize="5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26"/>
  <sheetViews>
    <sheetView zoomScaleSheetLayoutView="86" zoomScalePageLayoutView="0" workbookViewId="0" topLeftCell="A7">
      <selection activeCell="A14" sqref="A14:IV14"/>
    </sheetView>
  </sheetViews>
  <sheetFormatPr defaultColWidth="9.140625" defaultRowHeight="12.75"/>
  <cols>
    <col min="1" max="1" width="4.140625" style="0" customWidth="1"/>
    <col min="2" max="2" width="53.7109375" style="0" customWidth="1"/>
    <col min="3" max="3" width="15.140625" style="0" customWidth="1"/>
    <col min="4" max="4" width="11.00390625" style="0" customWidth="1"/>
    <col min="5" max="5" width="14.00390625" style="0" customWidth="1"/>
    <col min="6" max="6" width="15.28125" style="0" customWidth="1"/>
    <col min="7" max="7" width="10.7109375" style="0" customWidth="1"/>
    <col min="8" max="8" width="14.57421875" style="0" customWidth="1"/>
    <col min="9" max="9" width="6.57421875" style="0" customWidth="1"/>
    <col min="10" max="10" width="15.00390625" style="0" customWidth="1"/>
    <col min="11" max="11" width="6.7109375" style="0" customWidth="1"/>
    <col min="12" max="12" width="6.57421875" style="0" customWidth="1"/>
    <col min="13" max="13" width="8.140625" style="0" customWidth="1"/>
    <col min="14" max="14" width="13.57421875" style="0" customWidth="1"/>
    <col min="15" max="15" width="15.00390625" style="0" customWidth="1"/>
    <col min="18" max="18" width="9.140625" style="0" customWidth="1"/>
  </cols>
  <sheetData>
    <row r="1" spans="1:14" ht="15.75">
      <c r="A1" s="811" t="s">
        <v>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</row>
    <row r="2" spans="1:14" ht="12.75">
      <c r="A2" s="812" t="s">
        <v>83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</row>
    <row r="3" spans="1:14" ht="12.75">
      <c r="A3" s="832" t="s">
        <v>77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</row>
    <row r="4" spans="1:14" ht="12.75">
      <c r="A4" s="558" t="s">
        <v>1</v>
      </c>
      <c r="B4" s="558"/>
      <c r="C4" s="59"/>
      <c r="D4" s="188"/>
      <c r="E4" s="59"/>
      <c r="F4" s="188"/>
      <c r="G4" s="225"/>
      <c r="H4" s="59"/>
      <c r="I4" s="59"/>
      <c r="J4" s="59"/>
      <c r="K4" s="59"/>
      <c r="L4" s="59"/>
      <c r="M4" s="59"/>
      <c r="N4" s="59"/>
    </row>
    <row r="5" spans="1:14" ht="12.75">
      <c r="A5" s="833" t="s">
        <v>171</v>
      </c>
      <c r="B5" s="833"/>
      <c r="C5" s="59"/>
      <c r="D5" s="188"/>
      <c r="E5" s="59"/>
      <c r="F5" s="188"/>
      <c r="G5" s="225"/>
      <c r="H5" s="59"/>
      <c r="I5" s="59"/>
      <c r="J5" s="59"/>
      <c r="K5" s="59"/>
      <c r="L5" s="59"/>
      <c r="M5" s="59"/>
      <c r="N5" s="59"/>
    </row>
    <row r="6" spans="1:14" ht="12.75">
      <c r="A6" s="59"/>
      <c r="B6" s="1"/>
      <c r="C6" s="1"/>
      <c r="D6" s="187"/>
      <c r="E6" s="1"/>
      <c r="F6" s="187"/>
      <c r="G6" s="224"/>
      <c r="H6" s="1"/>
      <c r="I6" s="252"/>
      <c r="J6" s="1"/>
      <c r="K6" s="1"/>
      <c r="L6" s="1"/>
      <c r="M6" s="1"/>
      <c r="N6" s="1"/>
    </row>
    <row r="7" spans="1:15" ht="12.75">
      <c r="A7" s="808" t="s">
        <v>2</v>
      </c>
      <c r="B7" s="808" t="s">
        <v>3</v>
      </c>
      <c r="C7" s="808" t="s">
        <v>168</v>
      </c>
      <c r="D7" s="820" t="s">
        <v>104</v>
      </c>
      <c r="E7" s="808" t="s">
        <v>5</v>
      </c>
      <c r="F7" s="820" t="s">
        <v>6</v>
      </c>
      <c r="G7" s="824" t="s">
        <v>105</v>
      </c>
      <c r="H7" s="816" t="s">
        <v>7</v>
      </c>
      <c r="I7" s="817"/>
      <c r="J7" s="817"/>
      <c r="K7" s="818"/>
      <c r="L7" s="816" t="s">
        <v>8</v>
      </c>
      <c r="M7" s="818"/>
      <c r="N7" s="805" t="s">
        <v>87</v>
      </c>
      <c r="O7" s="827" t="s">
        <v>9</v>
      </c>
    </row>
    <row r="8" spans="1:15" ht="12.75">
      <c r="A8" s="806"/>
      <c r="B8" s="806"/>
      <c r="C8" s="806"/>
      <c r="D8" s="821"/>
      <c r="E8" s="814"/>
      <c r="F8" s="821"/>
      <c r="G8" s="825"/>
      <c r="H8" s="809" t="s">
        <v>10</v>
      </c>
      <c r="I8" s="808" t="s">
        <v>11</v>
      </c>
      <c r="J8" s="808" t="s">
        <v>12</v>
      </c>
      <c r="K8" s="808" t="s">
        <v>11</v>
      </c>
      <c r="L8" s="808" t="s">
        <v>13</v>
      </c>
      <c r="M8" s="820" t="s">
        <v>14</v>
      </c>
      <c r="N8" s="806"/>
      <c r="O8" s="828"/>
    </row>
    <row r="9" spans="1:15" ht="12.75">
      <c r="A9" s="807"/>
      <c r="B9" s="807"/>
      <c r="C9" s="807"/>
      <c r="D9" s="822"/>
      <c r="E9" s="815"/>
      <c r="F9" s="822"/>
      <c r="G9" s="826"/>
      <c r="H9" s="810"/>
      <c r="I9" s="807"/>
      <c r="J9" s="807"/>
      <c r="K9" s="807"/>
      <c r="L9" s="807"/>
      <c r="M9" s="822"/>
      <c r="N9" s="807"/>
      <c r="O9" s="828"/>
    </row>
    <row r="10" spans="1:15" ht="12.75">
      <c r="A10" s="2">
        <v>1</v>
      </c>
      <c r="B10" s="2">
        <v>2</v>
      </c>
      <c r="C10" s="2">
        <v>3</v>
      </c>
      <c r="D10" s="189"/>
      <c r="E10" s="2">
        <v>4</v>
      </c>
      <c r="F10" s="189">
        <v>5</v>
      </c>
      <c r="G10" s="226"/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2">
        <v>13</v>
      </c>
    </row>
    <row r="11" spans="1:15" ht="12" customHeight="1">
      <c r="A11" s="61" t="s">
        <v>15</v>
      </c>
      <c r="B11" s="62" t="s">
        <v>16</v>
      </c>
      <c r="C11" s="4">
        <f>SUM(C12:C23)</f>
        <v>3388193000</v>
      </c>
      <c r="D11" s="210"/>
      <c r="E11" s="63"/>
      <c r="F11" s="191"/>
      <c r="G11" s="228"/>
      <c r="H11" s="4">
        <f>SUM(H12:H23)</f>
        <v>2304837116</v>
      </c>
      <c r="I11" s="341">
        <f>+H11/C11*100</f>
        <v>68.02555568705797</v>
      </c>
      <c r="J11" s="4">
        <f>SUM(J12:J23)</f>
        <v>2304837116</v>
      </c>
      <c r="K11" s="338">
        <f>+J11/C11*100</f>
        <v>68.02555568705797</v>
      </c>
      <c r="L11" s="308">
        <v>100</v>
      </c>
      <c r="M11" s="342">
        <f>+J11/C11*100</f>
        <v>68.02555568705797</v>
      </c>
      <c r="N11" s="4">
        <f>SUM(N12:N23)</f>
        <v>1083355884</v>
      </c>
      <c r="O11" s="344" t="s">
        <v>157</v>
      </c>
    </row>
    <row r="12" spans="1:15" ht="12" customHeight="1">
      <c r="A12" s="63">
        <v>1</v>
      </c>
      <c r="B12" s="47" t="s">
        <v>17</v>
      </c>
      <c r="C12" s="5">
        <v>1903195515</v>
      </c>
      <c r="D12" s="211"/>
      <c r="E12" s="63"/>
      <c r="F12" s="192"/>
      <c r="G12" s="228"/>
      <c r="H12" s="114">
        <v>1350995915</v>
      </c>
      <c r="I12" s="340">
        <f>+H12/C12*100</f>
        <v>70.98566092406959</v>
      </c>
      <c r="J12" s="114">
        <v>1350995915</v>
      </c>
      <c r="K12" s="71">
        <f>+J12/C12*100</f>
        <v>70.98566092406959</v>
      </c>
      <c r="L12" s="357">
        <v>100</v>
      </c>
      <c r="M12" s="296">
        <f>+J12/C12*100</f>
        <v>70.98566092406959</v>
      </c>
      <c r="N12" s="37">
        <f>C12-J12</f>
        <v>552199600</v>
      </c>
      <c r="O12" s="344" t="s">
        <v>157</v>
      </c>
    </row>
    <row r="13" spans="1:15" ht="12" customHeight="1">
      <c r="A13" s="63">
        <v>2</v>
      </c>
      <c r="B13" s="47" t="s">
        <v>18</v>
      </c>
      <c r="C13" s="5">
        <v>195258530</v>
      </c>
      <c r="D13" s="211"/>
      <c r="E13" s="63"/>
      <c r="F13" s="192"/>
      <c r="G13" s="228"/>
      <c r="H13" s="5">
        <v>151745666</v>
      </c>
      <c r="I13" s="340">
        <f aca="true" t="shared" si="0" ref="I13:I23">+H13/C13*100</f>
        <v>77.71525576885169</v>
      </c>
      <c r="J13" s="5">
        <v>151745666</v>
      </c>
      <c r="K13" s="71">
        <f aca="true" t="shared" si="1" ref="K13:K23">+J13/C13*100</f>
        <v>77.71525576885169</v>
      </c>
      <c r="L13" s="357">
        <v>100</v>
      </c>
      <c r="M13" s="296">
        <f aca="true" t="shared" si="2" ref="M13:M23">+J13/C13*100</f>
        <v>77.71525576885169</v>
      </c>
      <c r="N13" s="37">
        <f>C13-J13</f>
        <v>43512864</v>
      </c>
      <c r="O13" s="344" t="s">
        <v>157</v>
      </c>
    </row>
    <row r="14" spans="1:15" ht="12" customHeight="1">
      <c r="A14" s="63">
        <v>3</v>
      </c>
      <c r="B14" s="47" t="s">
        <v>19</v>
      </c>
      <c r="C14" s="5">
        <v>160050000</v>
      </c>
      <c r="D14" s="211"/>
      <c r="E14" s="63"/>
      <c r="F14" s="192"/>
      <c r="G14" s="228"/>
      <c r="H14" s="5">
        <v>125175000</v>
      </c>
      <c r="I14" s="340">
        <f t="shared" si="0"/>
        <v>78.2099343955014</v>
      </c>
      <c r="J14" s="5">
        <v>125175000</v>
      </c>
      <c r="K14" s="71">
        <f t="shared" si="1"/>
        <v>78.2099343955014</v>
      </c>
      <c r="L14" s="357">
        <v>100</v>
      </c>
      <c r="M14" s="296">
        <f t="shared" si="2"/>
        <v>78.2099343955014</v>
      </c>
      <c r="N14" s="37">
        <f>C14-J14</f>
        <v>34875000</v>
      </c>
      <c r="O14" s="344" t="s">
        <v>157</v>
      </c>
    </row>
    <row r="15" spans="1:15" ht="12" customHeight="1">
      <c r="A15" s="63">
        <v>4</v>
      </c>
      <c r="B15" s="47" t="s">
        <v>139</v>
      </c>
      <c r="C15" s="364">
        <v>5100000</v>
      </c>
      <c r="D15" s="211"/>
      <c r="E15" s="63"/>
      <c r="F15" s="192"/>
      <c r="G15" s="228"/>
      <c r="H15" s="5">
        <v>2550000</v>
      </c>
      <c r="I15" s="340">
        <f t="shared" si="0"/>
        <v>50</v>
      </c>
      <c r="J15" s="5">
        <v>2550000</v>
      </c>
      <c r="K15" s="71">
        <f t="shared" si="1"/>
        <v>50</v>
      </c>
      <c r="L15" s="357">
        <v>100</v>
      </c>
      <c r="M15" s="296">
        <f t="shared" si="2"/>
        <v>50</v>
      </c>
      <c r="N15" s="37">
        <f>C15-J15</f>
        <v>2550000</v>
      </c>
      <c r="O15" s="344" t="s">
        <v>157</v>
      </c>
    </row>
    <row r="16" spans="1:15" ht="12" customHeight="1">
      <c r="A16" s="63">
        <v>5</v>
      </c>
      <c r="B16" s="47" t="s">
        <v>20</v>
      </c>
      <c r="C16" s="5">
        <v>58220000</v>
      </c>
      <c r="D16" s="211"/>
      <c r="E16" s="63"/>
      <c r="F16" s="192"/>
      <c r="G16" s="228"/>
      <c r="H16" s="5">
        <v>44855000</v>
      </c>
      <c r="I16" s="340">
        <f t="shared" si="0"/>
        <v>77.0439711439368</v>
      </c>
      <c r="J16" s="5">
        <v>44855000</v>
      </c>
      <c r="K16" s="71">
        <f t="shared" si="1"/>
        <v>77.0439711439368</v>
      </c>
      <c r="L16" s="357">
        <v>100</v>
      </c>
      <c r="M16" s="296">
        <f t="shared" si="2"/>
        <v>77.0439711439368</v>
      </c>
      <c r="N16" s="37">
        <f aca="true" t="shared" si="3" ref="N16:N23">C16-J16</f>
        <v>13365000</v>
      </c>
      <c r="O16" s="344" t="s">
        <v>157</v>
      </c>
    </row>
    <row r="17" spans="1:15" ht="12" customHeight="1">
      <c r="A17" s="63">
        <v>6</v>
      </c>
      <c r="B17" s="47" t="s">
        <v>21</v>
      </c>
      <c r="C17" s="5">
        <v>104791740</v>
      </c>
      <c r="D17" s="211"/>
      <c r="E17" s="63"/>
      <c r="F17" s="192"/>
      <c r="G17" s="228"/>
      <c r="H17" s="5">
        <v>76330680</v>
      </c>
      <c r="I17" s="340">
        <f t="shared" si="0"/>
        <v>72.8403593642018</v>
      </c>
      <c r="J17" s="5">
        <v>76330680</v>
      </c>
      <c r="K17" s="71">
        <f t="shared" si="1"/>
        <v>72.8403593642018</v>
      </c>
      <c r="L17" s="357">
        <v>100</v>
      </c>
      <c r="M17" s="296">
        <f t="shared" si="2"/>
        <v>72.8403593642018</v>
      </c>
      <c r="N17" s="37">
        <f t="shared" si="3"/>
        <v>28461060</v>
      </c>
      <c r="O17" s="344" t="s">
        <v>157</v>
      </c>
    </row>
    <row r="18" spans="1:15" ht="12" customHeight="1">
      <c r="A18" s="63">
        <v>7</v>
      </c>
      <c r="B18" s="47" t="s">
        <v>22</v>
      </c>
      <c r="C18" s="5">
        <v>9937670</v>
      </c>
      <c r="D18" s="211"/>
      <c r="E18" s="63"/>
      <c r="F18" s="192"/>
      <c r="G18" s="228"/>
      <c r="H18" s="5">
        <v>8152007</v>
      </c>
      <c r="I18" s="340">
        <f t="shared" si="0"/>
        <v>82.03137153880135</v>
      </c>
      <c r="J18" s="5">
        <v>8152007</v>
      </c>
      <c r="K18" s="71">
        <f t="shared" si="1"/>
        <v>82.03137153880135</v>
      </c>
      <c r="L18" s="357">
        <v>100</v>
      </c>
      <c r="M18" s="296">
        <f t="shared" si="2"/>
        <v>82.03137153880135</v>
      </c>
      <c r="N18" s="37">
        <f t="shared" si="3"/>
        <v>1785663</v>
      </c>
      <c r="O18" s="344" t="s">
        <v>157</v>
      </c>
    </row>
    <row r="19" spans="1:15" ht="12" customHeight="1">
      <c r="A19" s="63">
        <v>8</v>
      </c>
      <c r="B19" s="47" t="s">
        <v>23</v>
      </c>
      <c r="C19" s="5">
        <v>31249</v>
      </c>
      <c r="D19" s="211"/>
      <c r="E19" s="63"/>
      <c r="F19" s="192"/>
      <c r="G19" s="228"/>
      <c r="H19" s="5">
        <v>23935</v>
      </c>
      <c r="I19" s="340">
        <f t="shared" si="0"/>
        <v>76.59445102243272</v>
      </c>
      <c r="J19" s="5">
        <v>23935</v>
      </c>
      <c r="K19" s="71">
        <f t="shared" si="1"/>
        <v>76.59445102243272</v>
      </c>
      <c r="L19" s="357">
        <v>100</v>
      </c>
      <c r="M19" s="296">
        <f t="shared" si="2"/>
        <v>76.59445102243272</v>
      </c>
      <c r="N19" s="37">
        <f t="shared" si="3"/>
        <v>7314</v>
      </c>
      <c r="O19" s="344" t="s">
        <v>157</v>
      </c>
    </row>
    <row r="20" spans="1:15" ht="12" customHeight="1">
      <c r="A20" s="63">
        <v>9</v>
      </c>
      <c r="B20" s="47" t="s">
        <v>24</v>
      </c>
      <c r="C20" s="5">
        <v>49247899</v>
      </c>
      <c r="D20" s="211"/>
      <c r="E20" s="63"/>
      <c r="F20" s="192"/>
      <c r="G20" s="228"/>
      <c r="H20" s="5">
        <v>36356527</v>
      </c>
      <c r="I20" s="340">
        <f t="shared" si="0"/>
        <v>73.82350869424907</v>
      </c>
      <c r="J20" s="5">
        <v>36356527</v>
      </c>
      <c r="K20" s="71">
        <f t="shared" si="1"/>
        <v>73.82350869424907</v>
      </c>
      <c r="L20" s="357">
        <v>100</v>
      </c>
      <c r="M20" s="296">
        <f t="shared" si="2"/>
        <v>73.82350869424907</v>
      </c>
      <c r="N20" s="37">
        <f t="shared" si="3"/>
        <v>12891372</v>
      </c>
      <c r="O20" s="344" t="s">
        <v>157</v>
      </c>
    </row>
    <row r="21" spans="1:15" ht="12" customHeight="1">
      <c r="A21" s="63">
        <v>10</v>
      </c>
      <c r="B21" s="47" t="s">
        <v>25</v>
      </c>
      <c r="C21" s="5">
        <v>3541854</v>
      </c>
      <c r="D21" s="211"/>
      <c r="E21" s="63"/>
      <c r="F21" s="192"/>
      <c r="G21" s="228"/>
      <c r="H21" s="5">
        <v>2614977</v>
      </c>
      <c r="I21" s="340">
        <f t="shared" si="0"/>
        <v>73.83073949406158</v>
      </c>
      <c r="J21" s="5">
        <v>2614977</v>
      </c>
      <c r="K21" s="71">
        <f t="shared" si="1"/>
        <v>73.83073949406158</v>
      </c>
      <c r="L21" s="357">
        <v>100</v>
      </c>
      <c r="M21" s="296">
        <f t="shared" si="2"/>
        <v>73.83073949406158</v>
      </c>
      <c r="N21" s="37">
        <f t="shared" si="3"/>
        <v>926877</v>
      </c>
      <c r="O21" s="344" t="s">
        <v>157</v>
      </c>
    </row>
    <row r="22" spans="1:15" ht="12" customHeight="1">
      <c r="A22" s="63">
        <v>11</v>
      </c>
      <c r="B22" s="47" t="s">
        <v>26</v>
      </c>
      <c r="C22" s="5">
        <v>10625543</v>
      </c>
      <c r="D22" s="211"/>
      <c r="E22" s="63"/>
      <c r="F22" s="192"/>
      <c r="G22" s="228"/>
      <c r="H22" s="5">
        <v>7844909</v>
      </c>
      <c r="I22" s="340">
        <f t="shared" si="0"/>
        <v>73.83066446580659</v>
      </c>
      <c r="J22" s="5">
        <v>7844909</v>
      </c>
      <c r="K22" s="71">
        <f t="shared" si="1"/>
        <v>73.83066446580659</v>
      </c>
      <c r="L22" s="357">
        <v>100</v>
      </c>
      <c r="M22" s="296">
        <f t="shared" si="2"/>
        <v>73.83066446580659</v>
      </c>
      <c r="N22" s="37">
        <f t="shared" si="3"/>
        <v>2780634</v>
      </c>
      <c r="O22" s="344" t="s">
        <v>157</v>
      </c>
    </row>
    <row r="23" spans="1:15" ht="12" customHeight="1">
      <c r="A23" s="63">
        <v>12</v>
      </c>
      <c r="B23" s="47" t="s">
        <v>27</v>
      </c>
      <c r="C23" s="5">
        <v>888193000</v>
      </c>
      <c r="D23" s="211"/>
      <c r="E23" s="63"/>
      <c r="F23" s="192"/>
      <c r="G23" s="228"/>
      <c r="H23" s="5">
        <v>498192500</v>
      </c>
      <c r="I23" s="340">
        <f t="shared" si="0"/>
        <v>56.09056815354321</v>
      </c>
      <c r="J23" s="5">
        <v>498192500</v>
      </c>
      <c r="K23" s="71">
        <f t="shared" si="1"/>
        <v>56.09056815354321</v>
      </c>
      <c r="L23" s="357">
        <v>100</v>
      </c>
      <c r="M23" s="296">
        <f t="shared" si="2"/>
        <v>56.09056815354321</v>
      </c>
      <c r="N23" s="37">
        <f t="shared" si="3"/>
        <v>390000500</v>
      </c>
      <c r="O23" s="344" t="s">
        <v>157</v>
      </c>
    </row>
    <row r="24" spans="1:15" ht="12" customHeight="1">
      <c r="A24" s="63"/>
      <c r="B24" s="47"/>
      <c r="C24" s="5"/>
      <c r="D24" s="211"/>
      <c r="E24" s="63"/>
      <c r="F24" s="192"/>
      <c r="G24" s="228"/>
      <c r="H24" s="5"/>
      <c r="I24" s="114"/>
      <c r="J24" s="5"/>
      <c r="K24" s="36"/>
      <c r="L24" s="307"/>
      <c r="M24" s="37"/>
      <c r="N24" s="37"/>
      <c r="O24" s="343"/>
    </row>
    <row r="25" spans="1:15" ht="12" customHeight="1">
      <c r="A25" s="61" t="s">
        <v>28</v>
      </c>
      <c r="B25" s="62" t="s">
        <v>29</v>
      </c>
      <c r="C25" s="147">
        <f>C26+C39+C49+C52+C65+C81+C86+C98</f>
        <v>9724165353</v>
      </c>
      <c r="D25" s="559"/>
      <c r="E25" s="147">
        <f>E26+E39+E49+E52+E65+E81+E86+E98</f>
        <v>3773115800</v>
      </c>
      <c r="F25" s="192"/>
      <c r="G25" s="228"/>
      <c r="H25" s="147">
        <f>H26+H39+H49+H52+H65+H81+H86+H98</f>
        <v>5023671208</v>
      </c>
      <c r="I25" s="311">
        <f aca="true" t="shared" si="4" ref="I25:I37">+H25/C25*100</f>
        <v>51.6617213471195</v>
      </c>
      <c r="J25" s="147">
        <f>J26+J39+J49+J52+J65+J81+J86+J98</f>
        <v>5023671208</v>
      </c>
      <c r="K25" s="179">
        <f aca="true" t="shared" si="5" ref="K25:K37">+J25/C25*100</f>
        <v>51.6617213471195</v>
      </c>
      <c r="L25" s="560">
        <v>100</v>
      </c>
      <c r="M25" s="64">
        <f aca="true" t="shared" si="6" ref="M25:M37">+J25/C25*100</f>
        <v>51.6617213471195</v>
      </c>
      <c r="N25" s="147">
        <f>N26+N39+N49+N52+N65+N81+N86+N98</f>
        <v>4700494145</v>
      </c>
      <c r="O25" s="343"/>
    </row>
    <row r="26" spans="1:15" ht="12" customHeight="1">
      <c r="A26" s="68">
        <v>1</v>
      </c>
      <c r="B26" s="69" t="s">
        <v>30</v>
      </c>
      <c r="C26" s="147">
        <f>SUM(C27:C37)</f>
        <v>1036961650</v>
      </c>
      <c r="D26" s="559"/>
      <c r="E26" s="147">
        <f>SUM(E27:E37)</f>
        <v>0</v>
      </c>
      <c r="F26" s="194"/>
      <c r="G26" s="230"/>
      <c r="H26" s="64">
        <f>SUM(H27:H37)</f>
        <v>752309807</v>
      </c>
      <c r="I26" s="311">
        <f t="shared" si="4"/>
        <v>72.5494339159023</v>
      </c>
      <c r="J26" s="64">
        <f>SUM(J27:J37)</f>
        <v>752309807</v>
      </c>
      <c r="K26" s="179">
        <f t="shared" si="5"/>
        <v>72.5494339159023</v>
      </c>
      <c r="L26" s="560">
        <v>100</v>
      </c>
      <c r="M26" s="64">
        <f t="shared" si="6"/>
        <v>72.5494339159023</v>
      </c>
      <c r="N26" s="64">
        <f>SUM(N27:N37)</f>
        <v>284651843</v>
      </c>
      <c r="O26" s="343"/>
    </row>
    <row r="27" spans="1:15" ht="12" customHeight="1">
      <c r="A27" s="63">
        <v>1</v>
      </c>
      <c r="B27" s="55" t="s">
        <v>31</v>
      </c>
      <c r="C27" s="71">
        <v>6310000</v>
      </c>
      <c r="D27" s="213"/>
      <c r="E27" s="72" t="s">
        <v>32</v>
      </c>
      <c r="F27" s="194" t="s">
        <v>32</v>
      </c>
      <c r="G27" s="230"/>
      <c r="H27" s="185">
        <f>6276000</f>
        <v>6276000</v>
      </c>
      <c r="I27" s="340">
        <f t="shared" si="4"/>
        <v>99.46117274167987</v>
      </c>
      <c r="J27" s="185">
        <f>6276000</f>
        <v>6276000</v>
      </c>
      <c r="K27" s="71">
        <f t="shared" si="5"/>
        <v>99.46117274167987</v>
      </c>
      <c r="L27" s="357">
        <v>100</v>
      </c>
      <c r="M27" s="37">
        <f t="shared" si="6"/>
        <v>99.46117274167987</v>
      </c>
      <c r="N27" s="37">
        <f>C27-J27</f>
        <v>34000</v>
      </c>
      <c r="O27" s="343"/>
    </row>
    <row r="28" spans="1:15" s="581" customFormat="1" ht="12" customHeight="1">
      <c r="A28" s="570">
        <v>2</v>
      </c>
      <c r="B28" s="571" t="s">
        <v>76</v>
      </c>
      <c r="C28" s="572">
        <v>82000000</v>
      </c>
      <c r="D28" s="573"/>
      <c r="E28" s="574"/>
      <c r="F28" s="575"/>
      <c r="G28" s="576"/>
      <c r="H28" s="577">
        <f>40719206+6925758+3674586+6167499</f>
        <v>57487049</v>
      </c>
      <c r="I28" s="578">
        <f t="shared" si="4"/>
        <v>70.10615731707317</v>
      </c>
      <c r="J28" s="577">
        <f>40719206+6925758+3674586+6167499</f>
        <v>57487049</v>
      </c>
      <c r="K28" s="572">
        <f t="shared" si="5"/>
        <v>70.10615731707317</v>
      </c>
      <c r="L28" s="579">
        <v>100</v>
      </c>
      <c r="M28" s="574">
        <f t="shared" si="6"/>
        <v>70.10615731707317</v>
      </c>
      <c r="N28" s="574">
        <f aca="true" t="shared" si="7" ref="N28:N41">C28-J28</f>
        <v>24512951</v>
      </c>
      <c r="O28" s="580"/>
    </row>
    <row r="29" spans="1:15" ht="12" customHeight="1">
      <c r="A29" s="63">
        <v>3</v>
      </c>
      <c r="B29" s="165" t="s">
        <v>33</v>
      </c>
      <c r="C29" s="166">
        <v>26635000</v>
      </c>
      <c r="D29" s="214"/>
      <c r="E29" s="167">
        <v>0</v>
      </c>
      <c r="F29" s="196">
        <v>0</v>
      </c>
      <c r="G29" s="232"/>
      <c r="H29" s="168">
        <v>14485000</v>
      </c>
      <c r="I29" s="340">
        <f t="shared" si="4"/>
        <v>54.383330204617984</v>
      </c>
      <c r="J29" s="168">
        <v>14485000</v>
      </c>
      <c r="K29" s="71">
        <f t="shared" si="5"/>
        <v>54.383330204617984</v>
      </c>
      <c r="L29" s="357">
        <v>100</v>
      </c>
      <c r="M29" s="37">
        <f t="shared" si="6"/>
        <v>54.383330204617984</v>
      </c>
      <c r="N29" s="37">
        <f t="shared" si="7"/>
        <v>12150000</v>
      </c>
      <c r="O29" s="343"/>
    </row>
    <row r="30" spans="1:15" s="581" customFormat="1" ht="12" customHeight="1">
      <c r="A30" s="570">
        <v>4</v>
      </c>
      <c r="B30" s="571" t="s">
        <v>34</v>
      </c>
      <c r="C30" s="572">
        <v>61844350</v>
      </c>
      <c r="D30" s="573"/>
      <c r="E30" s="574">
        <v>0</v>
      </c>
      <c r="F30" s="575">
        <v>0</v>
      </c>
      <c r="G30" s="576"/>
      <c r="H30" s="577">
        <f>34305000+13745800+6844100</f>
        <v>54894900</v>
      </c>
      <c r="I30" s="578">
        <f t="shared" si="4"/>
        <v>88.76299936857612</v>
      </c>
      <c r="J30" s="577">
        <f>34305000+13745800+6844100</f>
        <v>54894900</v>
      </c>
      <c r="K30" s="572">
        <f t="shared" si="5"/>
        <v>88.76299936857612</v>
      </c>
      <c r="L30" s="579">
        <v>100</v>
      </c>
      <c r="M30" s="574">
        <f t="shared" si="6"/>
        <v>88.76299936857612</v>
      </c>
      <c r="N30" s="574">
        <f t="shared" si="7"/>
        <v>6949450</v>
      </c>
      <c r="O30" s="580"/>
    </row>
    <row r="31" spans="1:15" s="581" customFormat="1" ht="12" customHeight="1">
      <c r="A31" s="570">
        <v>5</v>
      </c>
      <c r="B31" s="571" t="s">
        <v>35</v>
      </c>
      <c r="C31" s="572">
        <v>30676500</v>
      </c>
      <c r="D31" s="573"/>
      <c r="E31" s="574">
        <v>0</v>
      </c>
      <c r="F31" s="575">
        <v>0</v>
      </c>
      <c r="G31" s="576"/>
      <c r="H31" s="577">
        <f>14485300+8850000+567000+1591800+2408100</f>
        <v>27902200</v>
      </c>
      <c r="I31" s="578">
        <f t="shared" si="4"/>
        <v>90.95626945707626</v>
      </c>
      <c r="J31" s="577">
        <f>14485300+8850000+567000+1591800+2408100</f>
        <v>27902200</v>
      </c>
      <c r="K31" s="572">
        <f t="shared" si="5"/>
        <v>90.95626945707626</v>
      </c>
      <c r="L31" s="579">
        <v>100</v>
      </c>
      <c r="M31" s="574">
        <f t="shared" si="6"/>
        <v>90.95626945707626</v>
      </c>
      <c r="N31" s="574">
        <f t="shared" si="7"/>
        <v>2774300</v>
      </c>
      <c r="O31" s="580"/>
    </row>
    <row r="32" spans="1:15" s="581" customFormat="1" ht="12" customHeight="1">
      <c r="A32" s="570">
        <v>6</v>
      </c>
      <c r="B32" s="571" t="s">
        <v>36</v>
      </c>
      <c r="C32" s="572">
        <v>8800000</v>
      </c>
      <c r="D32" s="573"/>
      <c r="E32" s="574">
        <v>0</v>
      </c>
      <c r="F32" s="575">
        <v>0</v>
      </c>
      <c r="G32" s="576"/>
      <c r="H32" s="577">
        <f>1995200+2004800+4797800</f>
        <v>8797800</v>
      </c>
      <c r="I32" s="578">
        <f t="shared" si="4"/>
        <v>99.97500000000001</v>
      </c>
      <c r="J32" s="577">
        <f>1995200+2004800+4797800</f>
        <v>8797800</v>
      </c>
      <c r="K32" s="572">
        <f t="shared" si="5"/>
        <v>99.97500000000001</v>
      </c>
      <c r="L32" s="579">
        <v>100</v>
      </c>
      <c r="M32" s="574">
        <f t="shared" si="6"/>
        <v>99.97500000000001</v>
      </c>
      <c r="N32" s="574">
        <f t="shared" si="7"/>
        <v>2200</v>
      </c>
      <c r="O32" s="580"/>
    </row>
    <row r="33" spans="1:15" ht="12" customHeight="1">
      <c r="A33" s="63">
        <v>7</v>
      </c>
      <c r="B33" s="73" t="s">
        <v>37</v>
      </c>
      <c r="C33" s="71">
        <v>13076000</v>
      </c>
      <c r="D33" s="213"/>
      <c r="E33" s="37">
        <v>0</v>
      </c>
      <c r="F33" s="195">
        <v>0</v>
      </c>
      <c r="G33" s="231"/>
      <c r="H33" s="7">
        <f>8761950+4314050</f>
        <v>13076000</v>
      </c>
      <c r="I33" s="340">
        <f t="shared" si="4"/>
        <v>100</v>
      </c>
      <c r="J33" s="7">
        <f>8761950+4314050</f>
        <v>13076000</v>
      </c>
      <c r="K33" s="71">
        <f t="shared" si="5"/>
        <v>100</v>
      </c>
      <c r="L33" s="357">
        <v>100</v>
      </c>
      <c r="M33" s="37">
        <f t="shared" si="6"/>
        <v>100</v>
      </c>
      <c r="N33" s="37">
        <f t="shared" si="7"/>
        <v>0</v>
      </c>
      <c r="O33" s="343"/>
    </row>
    <row r="34" spans="1:15" ht="12" customHeight="1">
      <c r="A34" s="63">
        <v>8</v>
      </c>
      <c r="B34" s="73" t="s">
        <v>38</v>
      </c>
      <c r="C34" s="71">
        <v>7500000</v>
      </c>
      <c r="D34" s="213"/>
      <c r="E34" s="37">
        <v>0</v>
      </c>
      <c r="F34" s="195">
        <v>0</v>
      </c>
      <c r="G34" s="231"/>
      <c r="H34" s="7">
        <f>2180000+3856000</f>
        <v>6036000</v>
      </c>
      <c r="I34" s="340">
        <f t="shared" si="4"/>
        <v>80.47999999999999</v>
      </c>
      <c r="J34" s="7">
        <f>2180000+3856000</f>
        <v>6036000</v>
      </c>
      <c r="K34" s="71">
        <f t="shared" si="5"/>
        <v>80.47999999999999</v>
      </c>
      <c r="L34" s="357">
        <v>100</v>
      </c>
      <c r="M34" s="37">
        <f t="shared" si="6"/>
        <v>80.47999999999999</v>
      </c>
      <c r="N34" s="37">
        <f t="shared" si="7"/>
        <v>1464000</v>
      </c>
      <c r="O34" s="343"/>
    </row>
    <row r="35" spans="1:15" ht="12" customHeight="1">
      <c r="A35" s="63">
        <v>9</v>
      </c>
      <c r="B35" s="73" t="s">
        <v>39</v>
      </c>
      <c r="C35" s="71">
        <v>30000000</v>
      </c>
      <c r="D35" s="213"/>
      <c r="E35" s="37">
        <v>0</v>
      </c>
      <c r="F35" s="195">
        <v>0</v>
      </c>
      <c r="G35" s="231"/>
      <c r="H35" s="7">
        <f>18128200+7990000</f>
        <v>26118200</v>
      </c>
      <c r="I35" s="340">
        <f t="shared" si="4"/>
        <v>87.06066666666666</v>
      </c>
      <c r="J35" s="7">
        <f>18128200+7990000</f>
        <v>26118200</v>
      </c>
      <c r="K35" s="71">
        <f t="shared" si="5"/>
        <v>87.06066666666666</v>
      </c>
      <c r="L35" s="357">
        <v>100</v>
      </c>
      <c r="M35" s="37">
        <f t="shared" si="6"/>
        <v>87.06066666666666</v>
      </c>
      <c r="N35" s="37">
        <f t="shared" si="7"/>
        <v>3881800</v>
      </c>
      <c r="O35" s="343"/>
    </row>
    <row r="36" spans="1:15" s="581" customFormat="1" ht="12" customHeight="1">
      <c r="A36" s="570">
        <v>10</v>
      </c>
      <c r="B36" s="571" t="s">
        <v>40</v>
      </c>
      <c r="C36" s="572">
        <v>175000000</v>
      </c>
      <c r="D36" s="573"/>
      <c r="E36" s="574">
        <v>0</v>
      </c>
      <c r="F36" s="575">
        <v>0</v>
      </c>
      <c r="G36" s="576"/>
      <c r="H36" s="577">
        <f>91631161+15825000+25233525+5875000+11190000</f>
        <v>149754686</v>
      </c>
      <c r="I36" s="578">
        <f t="shared" si="4"/>
        <v>85.5741062857143</v>
      </c>
      <c r="J36" s="577">
        <f>91631161+15825000+25233525+5875000+11190000</f>
        <v>149754686</v>
      </c>
      <c r="K36" s="572">
        <f t="shared" si="5"/>
        <v>85.5741062857143</v>
      </c>
      <c r="L36" s="579">
        <v>100</v>
      </c>
      <c r="M36" s="574">
        <f t="shared" si="6"/>
        <v>85.5741062857143</v>
      </c>
      <c r="N36" s="574">
        <f t="shared" si="7"/>
        <v>25245314</v>
      </c>
      <c r="O36" s="580"/>
    </row>
    <row r="37" spans="1:15" s="581" customFormat="1" ht="12" customHeight="1">
      <c r="A37" s="570">
        <v>11</v>
      </c>
      <c r="B37" s="571" t="s">
        <v>41</v>
      </c>
      <c r="C37" s="572">
        <v>595119800</v>
      </c>
      <c r="D37" s="573"/>
      <c r="E37" s="574">
        <v>0</v>
      </c>
      <c r="F37" s="575">
        <v>0</v>
      </c>
      <c r="G37" s="576"/>
      <c r="H37" s="577">
        <f>385658472+1823500</f>
        <v>387481972</v>
      </c>
      <c r="I37" s="578">
        <f t="shared" si="4"/>
        <v>65.10991097926836</v>
      </c>
      <c r="J37" s="577">
        <f>385658472+1823500</f>
        <v>387481972</v>
      </c>
      <c r="K37" s="572">
        <f t="shared" si="5"/>
        <v>65.10991097926836</v>
      </c>
      <c r="L37" s="579">
        <v>100</v>
      </c>
      <c r="M37" s="574">
        <f t="shared" si="6"/>
        <v>65.10991097926836</v>
      </c>
      <c r="N37" s="574">
        <f t="shared" si="7"/>
        <v>207637828</v>
      </c>
      <c r="O37" s="580"/>
    </row>
    <row r="38" spans="1:15" ht="12" customHeight="1">
      <c r="A38" s="253"/>
      <c r="B38" s="75"/>
      <c r="C38" s="71"/>
      <c r="D38" s="213"/>
      <c r="E38" s="37"/>
      <c r="F38" s="195"/>
      <c r="G38" s="231"/>
      <c r="H38" s="7"/>
      <c r="I38" s="114"/>
      <c r="J38" s="7"/>
      <c r="K38" s="36"/>
      <c r="L38" s="307"/>
      <c r="M38" s="37">
        <f>K38</f>
        <v>0</v>
      </c>
      <c r="N38" s="37">
        <f t="shared" si="7"/>
        <v>0</v>
      </c>
      <c r="O38" s="343"/>
    </row>
    <row r="39" spans="1:15" ht="12" customHeight="1">
      <c r="A39" s="68">
        <v>2</v>
      </c>
      <c r="B39" s="69" t="s">
        <v>42</v>
      </c>
      <c r="C39" s="179">
        <f>SUM(C40:C47)</f>
        <v>1049086450</v>
      </c>
      <c r="D39" s="561"/>
      <c r="E39" s="179">
        <f>SUM(E40:E47)</f>
        <v>43582000</v>
      </c>
      <c r="F39" s="562"/>
      <c r="G39" s="563"/>
      <c r="H39" s="179">
        <f>SUM(H40:H47)</f>
        <v>769595220</v>
      </c>
      <c r="I39" s="311">
        <f>+H39/C39*100</f>
        <v>73.35860833966544</v>
      </c>
      <c r="J39" s="179">
        <f>SUM(J40:J47)</f>
        <v>769595220</v>
      </c>
      <c r="K39" s="179">
        <f>+J39/C39*100</f>
        <v>73.35860833966544</v>
      </c>
      <c r="L39" s="560">
        <v>100</v>
      </c>
      <c r="M39" s="64">
        <f>+J39/C39*100</f>
        <v>73.35860833966544</v>
      </c>
      <c r="N39" s="37">
        <f t="shared" si="7"/>
        <v>279491230</v>
      </c>
      <c r="O39" s="343"/>
    </row>
    <row r="40" spans="1:15" ht="12" customHeight="1">
      <c r="A40" s="63">
        <v>1</v>
      </c>
      <c r="B40" s="73" t="s">
        <v>43</v>
      </c>
      <c r="C40" s="71">
        <v>96501600</v>
      </c>
      <c r="D40" s="213"/>
      <c r="E40" s="37"/>
      <c r="F40" s="195"/>
      <c r="G40" s="231"/>
      <c r="H40" s="71">
        <v>54043200</v>
      </c>
      <c r="I40" s="340">
        <f>+H40/C40*100</f>
        <v>56.00238752518093</v>
      </c>
      <c r="J40" s="71">
        <v>54043200</v>
      </c>
      <c r="K40" s="71">
        <f>+J40/C40*100</f>
        <v>56.00238752518093</v>
      </c>
      <c r="L40" s="357">
        <v>100</v>
      </c>
      <c r="M40" s="37">
        <f>+J40/C40*100</f>
        <v>56.00238752518093</v>
      </c>
      <c r="N40" s="37">
        <f t="shared" si="7"/>
        <v>42458400</v>
      </c>
      <c r="O40" s="343"/>
    </row>
    <row r="41" spans="1:15" ht="12" customHeight="1">
      <c r="A41" s="63">
        <v>2</v>
      </c>
      <c r="B41" s="73" t="s">
        <v>44</v>
      </c>
      <c r="C41" s="71">
        <v>62611000</v>
      </c>
      <c r="D41" s="264" t="s">
        <v>121</v>
      </c>
      <c r="E41" s="37">
        <v>5808000</v>
      </c>
      <c r="F41" s="195" t="s">
        <v>124</v>
      </c>
      <c r="G41" s="231" t="s">
        <v>125</v>
      </c>
      <c r="H41" s="71">
        <v>44536000</v>
      </c>
      <c r="I41" s="340">
        <f>+H41/C41*100</f>
        <v>71.1312708629474</v>
      </c>
      <c r="J41" s="71">
        <v>44536000</v>
      </c>
      <c r="K41" s="71">
        <f>+J41/C41*100</f>
        <v>71.1312708629474</v>
      </c>
      <c r="L41" s="357">
        <v>100</v>
      </c>
      <c r="M41" s="37">
        <f>+J41/C41*100</f>
        <v>71.1312708629474</v>
      </c>
      <c r="N41" s="37">
        <f t="shared" si="7"/>
        <v>18075000</v>
      </c>
      <c r="O41" s="343"/>
    </row>
    <row r="42" spans="1:15" ht="12" customHeight="1">
      <c r="A42" s="63"/>
      <c r="B42" s="73"/>
      <c r="C42" s="71"/>
      <c r="D42" s="264" t="s">
        <v>122</v>
      </c>
      <c r="E42" s="37">
        <v>15774000</v>
      </c>
      <c r="F42" s="195" t="s">
        <v>124</v>
      </c>
      <c r="G42" s="231" t="s">
        <v>125</v>
      </c>
      <c r="H42" s="71"/>
      <c r="I42" s="114"/>
      <c r="J42" s="71"/>
      <c r="K42" s="36"/>
      <c r="L42" s="37"/>
      <c r="M42" s="37"/>
      <c r="N42" s="37"/>
      <c r="O42" s="343"/>
    </row>
    <row r="43" spans="1:15" ht="12" customHeight="1">
      <c r="A43" s="63"/>
      <c r="B43" s="73"/>
      <c r="C43" s="71"/>
      <c r="D43" s="264" t="s">
        <v>123</v>
      </c>
      <c r="E43" s="37">
        <v>22000000</v>
      </c>
      <c r="F43" s="195" t="s">
        <v>124</v>
      </c>
      <c r="G43" s="231" t="s">
        <v>125</v>
      </c>
      <c r="H43" s="71"/>
      <c r="I43" s="114"/>
      <c r="J43" s="71"/>
      <c r="K43" s="36"/>
      <c r="L43" s="358"/>
      <c r="M43" s="37"/>
      <c r="N43" s="37"/>
      <c r="O43" s="343"/>
    </row>
    <row r="44" spans="1:15" ht="12" customHeight="1">
      <c r="A44" s="63">
        <v>3</v>
      </c>
      <c r="B44" s="73" t="s">
        <v>45</v>
      </c>
      <c r="C44" s="71">
        <v>217537650</v>
      </c>
      <c r="D44" s="264"/>
      <c r="E44" s="37"/>
      <c r="F44" s="195"/>
      <c r="G44" s="231"/>
      <c r="H44" s="71">
        <v>174523050</v>
      </c>
      <c r="I44" s="340">
        <f>+H44/C44*100</f>
        <v>80.22659525833804</v>
      </c>
      <c r="J44" s="71">
        <v>174523050</v>
      </c>
      <c r="K44" s="71">
        <f>+J44/C44*100</f>
        <v>80.22659525833804</v>
      </c>
      <c r="L44" s="357">
        <v>100</v>
      </c>
      <c r="M44" s="37">
        <f>+J44/C44*100</f>
        <v>80.22659525833804</v>
      </c>
      <c r="N44" s="37">
        <f aca="true" t="shared" si="8" ref="N44:N50">C44-J44</f>
        <v>43014600</v>
      </c>
      <c r="O44" s="343"/>
    </row>
    <row r="45" spans="1:15" s="581" customFormat="1" ht="12" customHeight="1">
      <c r="A45" s="570">
        <v>4</v>
      </c>
      <c r="B45" s="571" t="s">
        <v>46</v>
      </c>
      <c r="C45" s="572">
        <v>651786200</v>
      </c>
      <c r="D45" s="573"/>
      <c r="E45" s="574"/>
      <c r="F45" s="575"/>
      <c r="G45" s="576"/>
      <c r="H45" s="577">
        <f>290055301+20511297+388649+121088107+45809816</f>
        <v>477853170</v>
      </c>
      <c r="I45" s="578">
        <f>+H45/C45*100</f>
        <v>73.31440432460829</v>
      </c>
      <c r="J45" s="577">
        <f>290055301+20511297+388649+121088107+45809816</f>
        <v>477853170</v>
      </c>
      <c r="K45" s="572">
        <f>+J45/C45*100</f>
        <v>73.31440432460829</v>
      </c>
      <c r="L45" s="579">
        <v>100</v>
      </c>
      <c r="M45" s="574">
        <f>+J45/C45*100</f>
        <v>73.31440432460829</v>
      </c>
      <c r="N45" s="574">
        <f t="shared" si="8"/>
        <v>173933030</v>
      </c>
      <c r="O45" s="580"/>
    </row>
    <row r="46" spans="1:15" ht="12" customHeight="1">
      <c r="A46" s="63">
        <v>5</v>
      </c>
      <c r="B46" s="73" t="s">
        <v>47</v>
      </c>
      <c r="C46" s="71">
        <v>13050000</v>
      </c>
      <c r="D46" s="213"/>
      <c r="E46" s="37">
        <v>0</v>
      </c>
      <c r="F46" s="195">
        <v>0</v>
      </c>
      <c r="G46" s="231"/>
      <c r="H46" s="7">
        <f>3400000+7640000</f>
        <v>11040000</v>
      </c>
      <c r="I46" s="340">
        <f>+H46/C46*100</f>
        <v>84.59770114942529</v>
      </c>
      <c r="J46" s="7">
        <f>3400000+7640000</f>
        <v>11040000</v>
      </c>
      <c r="K46" s="71">
        <f>+J46/C46*100</f>
        <v>84.59770114942529</v>
      </c>
      <c r="L46" s="357">
        <v>100</v>
      </c>
      <c r="M46" s="37">
        <f>+J46/C46*100</f>
        <v>84.59770114942529</v>
      </c>
      <c r="N46" s="37">
        <f t="shared" si="8"/>
        <v>2010000</v>
      </c>
      <c r="O46" s="343"/>
    </row>
    <row r="47" spans="1:15" ht="12" customHeight="1">
      <c r="A47" s="63">
        <v>6</v>
      </c>
      <c r="B47" s="73" t="s">
        <v>48</v>
      </c>
      <c r="C47" s="71">
        <v>7600000</v>
      </c>
      <c r="D47" s="213"/>
      <c r="E47" s="37"/>
      <c r="F47" s="195"/>
      <c r="G47" s="231"/>
      <c r="H47" s="71">
        <v>7599800</v>
      </c>
      <c r="I47" s="340">
        <f>+H47/C47*100</f>
        <v>99.99736842105264</v>
      </c>
      <c r="J47" s="71">
        <v>7599800</v>
      </c>
      <c r="K47" s="71">
        <f>+J47/C47*100</f>
        <v>99.99736842105264</v>
      </c>
      <c r="L47" s="357">
        <v>100</v>
      </c>
      <c r="M47" s="37">
        <f>+J47/C47*100</f>
        <v>99.99736842105264</v>
      </c>
      <c r="N47" s="37">
        <f t="shared" si="8"/>
        <v>200</v>
      </c>
      <c r="O47" s="343"/>
    </row>
    <row r="48" spans="1:15" ht="12" customHeight="1">
      <c r="A48" s="63"/>
      <c r="B48" s="73"/>
      <c r="C48" s="71"/>
      <c r="D48" s="213"/>
      <c r="E48" s="37"/>
      <c r="F48" s="195"/>
      <c r="G48" s="231"/>
      <c r="H48" s="7"/>
      <c r="I48" s="114"/>
      <c r="J48" s="7"/>
      <c r="K48" s="36"/>
      <c r="L48" s="37"/>
      <c r="M48" s="37"/>
      <c r="N48" s="37">
        <f t="shared" si="8"/>
        <v>0</v>
      </c>
      <c r="O48" s="343"/>
    </row>
    <row r="49" spans="1:15" ht="12" customHeight="1">
      <c r="A49" s="68">
        <v>3</v>
      </c>
      <c r="B49" s="69" t="s">
        <v>49</v>
      </c>
      <c r="C49" s="179">
        <f>C50</f>
        <v>73370000</v>
      </c>
      <c r="D49" s="561"/>
      <c r="E49" s="179">
        <f>E50</f>
        <v>57200000</v>
      </c>
      <c r="F49" s="561"/>
      <c r="G49" s="564"/>
      <c r="H49" s="145">
        <f>H50</f>
        <v>73200000</v>
      </c>
      <c r="I49" s="311">
        <f>+H49/C49*100</f>
        <v>99.76829766934715</v>
      </c>
      <c r="J49" s="145">
        <f>J50</f>
        <v>73200000</v>
      </c>
      <c r="K49" s="179">
        <f>+J49/C49*100</f>
        <v>99.76829766934715</v>
      </c>
      <c r="L49" s="560">
        <v>100</v>
      </c>
      <c r="M49" s="64">
        <f>+J49/C49*100</f>
        <v>99.76829766934715</v>
      </c>
      <c r="N49" s="37">
        <f t="shared" si="8"/>
        <v>170000</v>
      </c>
      <c r="O49" s="343"/>
    </row>
    <row r="50" spans="1:15" ht="12" customHeight="1">
      <c r="A50" s="63"/>
      <c r="B50" s="55" t="s">
        <v>50</v>
      </c>
      <c r="C50" s="250">
        <v>73370000</v>
      </c>
      <c r="D50" s="265" t="s">
        <v>118</v>
      </c>
      <c r="E50" s="37">
        <v>57200000</v>
      </c>
      <c r="F50" s="263" t="s">
        <v>119</v>
      </c>
      <c r="G50" s="231" t="s">
        <v>120</v>
      </c>
      <c r="H50" s="10">
        <f>16000000+57200000</f>
        <v>73200000</v>
      </c>
      <c r="I50" s="340">
        <f>+H50/C50*100</f>
        <v>99.76829766934715</v>
      </c>
      <c r="J50" s="10">
        <f>16000000+57200000</f>
        <v>73200000</v>
      </c>
      <c r="K50" s="71">
        <f>+J50/C50*100</f>
        <v>99.76829766934715</v>
      </c>
      <c r="L50" s="357">
        <v>100</v>
      </c>
      <c r="M50" s="37">
        <f>+J50/C50*100</f>
        <v>99.76829766934715</v>
      </c>
      <c r="N50" s="37">
        <f t="shared" si="8"/>
        <v>170000</v>
      </c>
      <c r="O50" s="343"/>
    </row>
    <row r="51" spans="1:15" ht="12" customHeight="1">
      <c r="A51" s="257"/>
      <c r="B51" s="300"/>
      <c r="C51" s="301"/>
      <c r="D51" s="302"/>
      <c r="E51" s="303"/>
      <c r="F51" s="263"/>
      <c r="G51" s="304"/>
      <c r="H51" s="305"/>
      <c r="I51" s="355"/>
      <c r="J51" s="305"/>
      <c r="K51" s="356"/>
      <c r="L51" s="352"/>
      <c r="M51" s="303"/>
      <c r="N51" s="303"/>
      <c r="O51" s="343"/>
    </row>
    <row r="52" spans="1:15" ht="12" customHeight="1">
      <c r="A52" s="259">
        <v>4</v>
      </c>
      <c r="B52" s="280" t="s">
        <v>51</v>
      </c>
      <c r="C52" s="281">
        <f>C53+C62+C63</f>
        <v>5367814400</v>
      </c>
      <c r="D52" s="282"/>
      <c r="E52" s="281">
        <f>SUM(E54:E64)</f>
        <v>3007864800</v>
      </c>
      <c r="F52" s="282"/>
      <c r="G52" s="283"/>
      <c r="H52" s="284">
        <f>SUM(H53+H62+H63)</f>
        <v>1717098199</v>
      </c>
      <c r="I52" s="340">
        <f>+H52/C52*100</f>
        <v>31.988777387683147</v>
      </c>
      <c r="J52" s="284">
        <f>+J53+J62+J63</f>
        <v>1717098199</v>
      </c>
      <c r="K52" s="71">
        <f>+J52/C52*100</f>
        <v>31.988777387683147</v>
      </c>
      <c r="L52" s="308">
        <v>100</v>
      </c>
      <c r="M52" s="37">
        <f>+J52/C52*100</f>
        <v>31.988777387683147</v>
      </c>
      <c r="N52" s="285">
        <f>C52-J52</f>
        <v>3650716201</v>
      </c>
      <c r="O52" s="343"/>
    </row>
    <row r="53" spans="1:17" s="596" customFormat="1" ht="12" customHeight="1">
      <c r="A53" s="489">
        <v>1</v>
      </c>
      <c r="B53" s="627" t="s">
        <v>52</v>
      </c>
      <c r="C53" s="521">
        <v>3876642400</v>
      </c>
      <c r="D53" s="551"/>
      <c r="E53" s="551"/>
      <c r="F53" s="551"/>
      <c r="G53" s="551"/>
      <c r="H53" s="628">
        <f>107651400+H54+H55+H56+H57+H58+H59+H60</f>
        <v>798799400</v>
      </c>
      <c r="I53" s="513">
        <f>H53/C53*100</f>
        <v>20.60544454654884</v>
      </c>
      <c r="J53" s="628">
        <f>107651400+J54+J55+J56+J57+J58+J59+J60</f>
        <v>798799400</v>
      </c>
      <c r="K53" s="166">
        <f>+J53/C53*100</f>
        <v>20.60544454654884</v>
      </c>
      <c r="L53" s="621">
        <v>100</v>
      </c>
      <c r="M53" s="167">
        <f>J53/C53*100</f>
        <v>20.60544454654884</v>
      </c>
      <c r="N53" s="485">
        <f>C53-J53-J54-J55-J56-J57-J58-J59-J60</f>
        <v>2386695000</v>
      </c>
      <c r="O53" s="486"/>
      <c r="P53" s="551"/>
      <c r="Q53" s="551"/>
    </row>
    <row r="54" spans="1:17" ht="12" customHeight="1">
      <c r="A54" s="489"/>
      <c r="B54" s="627"/>
      <c r="C54" s="521"/>
      <c r="D54" s="618" t="s">
        <v>111</v>
      </c>
      <c r="E54" s="521">
        <v>89375000</v>
      </c>
      <c r="F54" s="522" t="s">
        <v>114</v>
      </c>
      <c r="G54" s="619" t="s">
        <v>116</v>
      </c>
      <c r="H54" s="521">
        <v>89375000</v>
      </c>
      <c r="I54" s="620">
        <f>H54/E54*100</f>
        <v>100</v>
      </c>
      <c r="J54" s="521">
        <v>89375000</v>
      </c>
      <c r="K54" s="620">
        <f>+H54/E54*100</f>
        <v>100</v>
      </c>
      <c r="L54" s="621">
        <v>100</v>
      </c>
      <c r="M54" s="167">
        <v>100</v>
      </c>
      <c r="N54" s="485"/>
      <c r="O54" s="486"/>
      <c r="P54" s="551"/>
      <c r="Q54" s="551"/>
    </row>
    <row r="55" spans="1:17" ht="12" customHeight="1">
      <c r="A55" s="489"/>
      <c r="B55" s="627"/>
      <c r="C55" s="521"/>
      <c r="D55" s="618" t="s">
        <v>112</v>
      </c>
      <c r="E55" s="521">
        <v>198000000</v>
      </c>
      <c r="F55" s="522" t="s">
        <v>115</v>
      </c>
      <c r="G55" s="619" t="s">
        <v>117</v>
      </c>
      <c r="H55" s="521">
        <v>198000000</v>
      </c>
      <c r="I55" s="620">
        <f aca="true" t="shared" si="9" ref="I55:I60">H55/E55*100</f>
        <v>100</v>
      </c>
      <c r="J55" s="521">
        <v>198000000</v>
      </c>
      <c r="K55" s="620">
        <f aca="true" t="shared" si="10" ref="K55:K60">+H55/E55*100</f>
        <v>100</v>
      </c>
      <c r="L55" s="621">
        <v>100</v>
      </c>
      <c r="M55" s="167">
        <v>100</v>
      </c>
      <c r="N55" s="485"/>
      <c r="O55" s="486"/>
      <c r="P55" s="551"/>
      <c r="Q55" s="551"/>
    </row>
    <row r="56" spans="1:17" ht="12" customHeight="1">
      <c r="A56" s="489"/>
      <c r="B56" s="627"/>
      <c r="C56" s="521"/>
      <c r="D56" s="618" t="s">
        <v>113</v>
      </c>
      <c r="E56" s="521">
        <v>108075000</v>
      </c>
      <c r="F56" s="522" t="s">
        <v>114</v>
      </c>
      <c r="G56" s="619" t="s">
        <v>116</v>
      </c>
      <c r="H56" s="521">
        <v>108075000</v>
      </c>
      <c r="I56" s="620">
        <f t="shared" si="9"/>
        <v>100</v>
      </c>
      <c r="J56" s="521">
        <v>108075000</v>
      </c>
      <c r="K56" s="620">
        <f t="shared" si="10"/>
        <v>100</v>
      </c>
      <c r="L56" s="621">
        <v>100</v>
      </c>
      <c r="M56" s="167">
        <v>100</v>
      </c>
      <c r="N56" s="485"/>
      <c r="O56" s="486"/>
      <c r="P56" s="551"/>
      <c r="Q56" s="551"/>
    </row>
    <row r="57" spans="1:17" ht="12" customHeight="1">
      <c r="A57" s="489"/>
      <c r="B57" s="627"/>
      <c r="C57" s="521"/>
      <c r="D57" s="622" t="s">
        <v>130</v>
      </c>
      <c r="E57" s="521">
        <v>98200000</v>
      </c>
      <c r="F57" s="623" t="s">
        <v>131</v>
      </c>
      <c r="G57" s="492">
        <v>43556</v>
      </c>
      <c r="H57" s="521">
        <v>98200000</v>
      </c>
      <c r="I57" s="620">
        <f t="shared" si="9"/>
        <v>100</v>
      </c>
      <c r="J57" s="521">
        <v>98200000</v>
      </c>
      <c r="K57" s="620">
        <f t="shared" si="10"/>
        <v>100</v>
      </c>
      <c r="L57" s="621">
        <v>100</v>
      </c>
      <c r="M57" s="167">
        <v>100</v>
      </c>
      <c r="N57" s="485"/>
      <c r="O57" s="486"/>
      <c r="P57" s="551"/>
      <c r="Q57" s="551"/>
    </row>
    <row r="58" spans="1:17" ht="12" customHeight="1">
      <c r="A58" s="489"/>
      <c r="B58" s="627"/>
      <c r="C58" s="521"/>
      <c r="D58" s="622" t="s">
        <v>172</v>
      </c>
      <c r="E58" s="521">
        <v>197498000</v>
      </c>
      <c r="F58" s="522" t="s">
        <v>114</v>
      </c>
      <c r="G58" s="492"/>
      <c r="H58" s="521">
        <v>197498000</v>
      </c>
      <c r="I58" s="620">
        <f t="shared" si="9"/>
        <v>100</v>
      </c>
      <c r="J58" s="521">
        <v>197498000</v>
      </c>
      <c r="K58" s="620">
        <f t="shared" si="10"/>
        <v>100</v>
      </c>
      <c r="L58" s="621">
        <v>100</v>
      </c>
      <c r="M58" s="167">
        <v>100</v>
      </c>
      <c r="N58" s="485"/>
      <c r="O58" s="486"/>
      <c r="P58" s="551"/>
      <c r="Q58" s="551"/>
    </row>
    <row r="59" spans="1:15" ht="12" customHeight="1">
      <c r="A59" s="63"/>
      <c r="B59" s="21"/>
      <c r="C59" s="22"/>
      <c r="D59" s="622" t="s">
        <v>173</v>
      </c>
      <c r="E59" s="521">
        <v>622203600</v>
      </c>
      <c r="F59" s="624" t="s">
        <v>174</v>
      </c>
      <c r="G59" s="492">
        <v>43738</v>
      </c>
      <c r="H59" s="625">
        <v>0</v>
      </c>
      <c r="I59" s="620">
        <f t="shared" si="9"/>
        <v>0</v>
      </c>
      <c r="J59" s="521">
        <v>0</v>
      </c>
      <c r="K59" s="620">
        <f t="shared" si="10"/>
        <v>0</v>
      </c>
      <c r="L59" s="621">
        <v>100</v>
      </c>
      <c r="M59" s="37">
        <v>100</v>
      </c>
      <c r="N59" s="172"/>
      <c r="O59" s="343"/>
    </row>
    <row r="60" spans="1:15" ht="12" customHeight="1">
      <c r="A60" s="63"/>
      <c r="B60" s="21"/>
      <c r="C60" s="22"/>
      <c r="D60" s="622" t="s">
        <v>173</v>
      </c>
      <c r="E60" s="521">
        <v>1645913200</v>
      </c>
      <c r="F60" s="624" t="s">
        <v>175</v>
      </c>
      <c r="G60" s="492">
        <v>43738</v>
      </c>
      <c r="H60" s="626">
        <v>0</v>
      </c>
      <c r="I60" s="620">
        <f t="shared" si="9"/>
        <v>0</v>
      </c>
      <c r="J60" s="521">
        <v>0</v>
      </c>
      <c r="K60" s="620">
        <f t="shared" si="10"/>
        <v>0</v>
      </c>
      <c r="L60" s="621">
        <v>100</v>
      </c>
      <c r="M60" s="37">
        <v>100</v>
      </c>
      <c r="N60" s="172"/>
      <c r="O60" s="343"/>
    </row>
    <row r="61" spans="1:15" ht="12" customHeight="1">
      <c r="A61" s="63"/>
      <c r="B61" s="21"/>
      <c r="C61" s="22"/>
      <c r="D61" s="359"/>
      <c r="E61" s="22"/>
      <c r="F61" s="360"/>
      <c r="G61" s="361"/>
      <c r="H61" s="22"/>
      <c r="I61" s="114"/>
      <c r="J61" s="22"/>
      <c r="K61" s="36"/>
      <c r="L61" s="307"/>
      <c r="M61" s="37"/>
      <c r="N61" s="172"/>
      <c r="O61" s="343"/>
    </row>
    <row r="62" spans="1:15" s="596" customFormat="1" ht="12" customHeight="1">
      <c r="A62" s="582">
        <v>2</v>
      </c>
      <c r="B62" s="583" t="s">
        <v>53</v>
      </c>
      <c r="C62" s="584">
        <v>1110122000</v>
      </c>
      <c r="D62" s="585"/>
      <c r="E62" s="586"/>
      <c r="F62" s="587"/>
      <c r="G62" s="588"/>
      <c r="H62" s="589">
        <f>604173402+100000000+6406500+91445309</f>
        <v>802025211</v>
      </c>
      <c r="I62" s="590">
        <f>+H62/C62*100</f>
        <v>72.2465828980959</v>
      </c>
      <c r="J62" s="589">
        <f>604173402+100000000+6406500+91445309</f>
        <v>802025211</v>
      </c>
      <c r="K62" s="591">
        <f>+J62/C62*100</f>
        <v>72.2465828980959</v>
      </c>
      <c r="L62" s="592">
        <v>100</v>
      </c>
      <c r="M62" s="593">
        <f>+J62/C62*100</f>
        <v>72.2465828980959</v>
      </c>
      <c r="N62" s="594">
        <f>C62-J62</f>
        <v>308096789</v>
      </c>
      <c r="O62" s="595"/>
    </row>
    <row r="63" spans="1:15" s="596" customFormat="1" ht="12" customHeight="1">
      <c r="A63" s="582">
        <v>3</v>
      </c>
      <c r="B63" s="583" t="s">
        <v>54</v>
      </c>
      <c r="C63" s="584">
        <v>381050000</v>
      </c>
      <c r="D63" s="585" t="s">
        <v>107</v>
      </c>
      <c r="E63" s="589">
        <v>48600000</v>
      </c>
      <c r="F63" s="587" t="s">
        <v>108</v>
      </c>
      <c r="G63" s="588">
        <v>43584</v>
      </c>
      <c r="H63" s="589">
        <f>79920000+6525000+15750000+5000000+9078588</f>
        <v>116273588</v>
      </c>
      <c r="I63" s="590">
        <f>+H63/C63*100</f>
        <v>30.513997638105234</v>
      </c>
      <c r="J63" s="589">
        <f>79920000+6525000+15750000+5000000+9078588</f>
        <v>116273588</v>
      </c>
      <c r="K63" s="591">
        <f>+J63/C63*100</f>
        <v>30.513997638105234</v>
      </c>
      <c r="L63" s="592">
        <v>100</v>
      </c>
      <c r="M63" s="593">
        <f>+J63/C63*100</f>
        <v>30.513997638105234</v>
      </c>
      <c r="N63" s="594">
        <f>C63-J63</f>
        <v>264776412</v>
      </c>
      <c r="O63" s="595"/>
    </row>
    <row r="64" spans="1:15" ht="12" customHeight="1">
      <c r="A64" s="255"/>
      <c r="B64" s="246"/>
      <c r="C64" s="28"/>
      <c r="D64" s="215"/>
      <c r="E64" s="29"/>
      <c r="F64" s="134"/>
      <c r="G64" s="238"/>
      <c r="H64" s="29"/>
      <c r="I64" s="314"/>
      <c r="J64" s="29"/>
      <c r="K64" s="36"/>
      <c r="L64" s="307"/>
      <c r="M64" s="173"/>
      <c r="N64" s="172"/>
      <c r="O64" s="345"/>
    </row>
    <row r="65" spans="1:15" ht="12" customHeight="1">
      <c r="A65" s="256">
        <v>5</v>
      </c>
      <c r="B65" s="97" t="s">
        <v>56</v>
      </c>
      <c r="C65" s="174">
        <f>SUM(C66:C79)</f>
        <v>1190425000</v>
      </c>
      <c r="D65" s="565"/>
      <c r="E65" s="174">
        <f>E66+E67+E68++E69+E70+E71+E72+E75+E77+E79+E74</f>
        <v>160501000</v>
      </c>
      <c r="F65" s="565"/>
      <c r="G65" s="566"/>
      <c r="H65" s="174">
        <f>SUM(H66:H79)</f>
        <v>798422001</v>
      </c>
      <c r="I65" s="311">
        <f aca="true" t="shared" si="11" ref="I65:I73">+H65/C65*100</f>
        <v>67.07033210828067</v>
      </c>
      <c r="J65" s="174">
        <f>SUM(J66:J79)</f>
        <v>798422001</v>
      </c>
      <c r="K65" s="179">
        <f aca="true" t="shared" si="12" ref="K65:K73">+J65/C65*100</f>
        <v>67.07033210828067</v>
      </c>
      <c r="L65" s="560">
        <v>100</v>
      </c>
      <c r="M65" s="64">
        <f aca="true" t="shared" si="13" ref="M65:M73">+J65/C65*100</f>
        <v>67.07033210828067</v>
      </c>
      <c r="N65" s="172">
        <f aca="true" t="shared" si="14" ref="N65:N73">C65-J65</f>
        <v>392002999</v>
      </c>
      <c r="O65" s="343"/>
    </row>
    <row r="66" spans="1:15" s="596" customFormat="1" ht="12" customHeight="1">
      <c r="A66" s="582">
        <v>1</v>
      </c>
      <c r="B66" s="597" t="s">
        <v>57</v>
      </c>
      <c r="C66" s="591">
        <v>350000000</v>
      </c>
      <c r="D66" s="598"/>
      <c r="E66" s="591"/>
      <c r="F66" s="587"/>
      <c r="G66" s="588"/>
      <c r="H66" s="591">
        <f>131248900+21300000+3000000</f>
        <v>155548900</v>
      </c>
      <c r="I66" s="590">
        <f t="shared" si="11"/>
        <v>44.44254285714286</v>
      </c>
      <c r="J66" s="591">
        <f>131248900+21300000+3000000</f>
        <v>155548900</v>
      </c>
      <c r="K66" s="591">
        <f t="shared" si="12"/>
        <v>44.44254285714286</v>
      </c>
      <c r="L66" s="599">
        <v>100</v>
      </c>
      <c r="M66" s="593">
        <f t="shared" si="13"/>
        <v>44.44254285714286</v>
      </c>
      <c r="N66" s="594">
        <f t="shared" si="14"/>
        <v>194451100</v>
      </c>
      <c r="O66" s="595"/>
    </row>
    <row r="67" spans="1:15" ht="12" customHeight="1">
      <c r="A67" s="63">
        <v>2</v>
      </c>
      <c r="B67" s="98" t="s">
        <v>58</v>
      </c>
      <c r="C67" s="71">
        <v>165000000</v>
      </c>
      <c r="D67" s="213"/>
      <c r="E67" s="37"/>
      <c r="F67" s="99"/>
      <c r="G67" s="235"/>
      <c r="H67" s="71">
        <f>122001983+1342421+2100000</f>
        <v>125444404</v>
      </c>
      <c r="I67" s="340">
        <f t="shared" si="11"/>
        <v>76.02691151515153</v>
      </c>
      <c r="J67" s="71">
        <f>122001983+1342421+2100000</f>
        <v>125444404</v>
      </c>
      <c r="K67" s="71">
        <f t="shared" si="12"/>
        <v>76.02691151515153</v>
      </c>
      <c r="L67" s="308">
        <v>100</v>
      </c>
      <c r="M67" s="37">
        <f t="shared" si="13"/>
        <v>76.02691151515153</v>
      </c>
      <c r="N67" s="172">
        <f t="shared" si="14"/>
        <v>39555596</v>
      </c>
      <c r="O67" s="343"/>
    </row>
    <row r="68" spans="1:15" s="441" customFormat="1" ht="12" customHeight="1">
      <c r="A68" s="438">
        <v>3</v>
      </c>
      <c r="B68" s="436" t="s">
        <v>59</v>
      </c>
      <c r="C68" s="408">
        <v>50000000</v>
      </c>
      <c r="D68" s="409"/>
      <c r="E68" s="415"/>
      <c r="F68" s="410"/>
      <c r="G68" s="411"/>
      <c r="H68" s="412">
        <f>22900000+1375000+2400000</f>
        <v>26675000</v>
      </c>
      <c r="I68" s="413">
        <f t="shared" si="11"/>
        <v>53.349999999999994</v>
      </c>
      <c r="J68" s="412">
        <f>22900000+1375000+2400000</f>
        <v>26675000</v>
      </c>
      <c r="K68" s="408">
        <f t="shared" si="12"/>
        <v>53.349999999999994</v>
      </c>
      <c r="L68" s="414">
        <v>100</v>
      </c>
      <c r="M68" s="415">
        <f t="shared" si="13"/>
        <v>53.349999999999994</v>
      </c>
      <c r="N68" s="416">
        <f t="shared" si="14"/>
        <v>23325000</v>
      </c>
      <c r="O68" s="439"/>
    </row>
    <row r="69" spans="1:15" ht="12" customHeight="1">
      <c r="A69" s="489">
        <v>4</v>
      </c>
      <c r="B69" s="169" t="s">
        <v>78</v>
      </c>
      <c r="C69" s="166">
        <v>80000000</v>
      </c>
      <c r="D69" s="214" t="s">
        <v>110</v>
      </c>
      <c r="E69" s="167">
        <v>11000000</v>
      </c>
      <c r="F69" s="491" t="s">
        <v>109</v>
      </c>
      <c r="G69" s="492">
        <v>43580</v>
      </c>
      <c r="H69" s="168">
        <f>29275000+25799900+8675000</f>
        <v>63749900</v>
      </c>
      <c r="I69" s="483">
        <f t="shared" si="11"/>
        <v>79.687375</v>
      </c>
      <c r="J69" s="168">
        <f>29275000+25799900+8675000</f>
        <v>63749900</v>
      </c>
      <c r="K69" s="166">
        <f t="shared" si="12"/>
        <v>79.687375</v>
      </c>
      <c r="L69" s="484">
        <v>100</v>
      </c>
      <c r="M69" s="167">
        <f t="shared" si="13"/>
        <v>79.687375</v>
      </c>
      <c r="N69" s="485">
        <f t="shared" si="14"/>
        <v>16250100</v>
      </c>
      <c r="O69" s="486"/>
    </row>
    <row r="70" spans="1:15" s="441" customFormat="1" ht="12" customHeight="1">
      <c r="A70" s="438">
        <v>5</v>
      </c>
      <c r="B70" s="407" t="s">
        <v>79</v>
      </c>
      <c r="C70" s="408">
        <v>50000000</v>
      </c>
      <c r="D70" s="409"/>
      <c r="E70" s="415"/>
      <c r="F70" s="410"/>
      <c r="G70" s="411"/>
      <c r="H70" s="412">
        <f>10775000+4950000+550000</f>
        <v>16275000</v>
      </c>
      <c r="I70" s="413">
        <f t="shared" si="11"/>
        <v>32.550000000000004</v>
      </c>
      <c r="J70" s="412">
        <f>10775000+4950000+550000</f>
        <v>16275000</v>
      </c>
      <c r="K70" s="408">
        <f t="shared" si="12"/>
        <v>32.550000000000004</v>
      </c>
      <c r="L70" s="414">
        <v>100</v>
      </c>
      <c r="M70" s="415">
        <f t="shared" si="13"/>
        <v>32.550000000000004</v>
      </c>
      <c r="N70" s="416">
        <f t="shared" si="14"/>
        <v>33725000</v>
      </c>
      <c r="O70" s="439"/>
    </row>
    <row r="71" spans="1:15" ht="12" customHeight="1">
      <c r="A71" s="489">
        <v>6</v>
      </c>
      <c r="B71" s="169" t="s">
        <v>60</v>
      </c>
      <c r="C71" s="166">
        <v>50000000</v>
      </c>
      <c r="D71" s="214"/>
      <c r="E71" s="167"/>
      <c r="F71" s="491"/>
      <c r="G71" s="492"/>
      <c r="H71" s="168">
        <f>20860166+1435000+2766631</f>
        <v>25061797</v>
      </c>
      <c r="I71" s="483">
        <f t="shared" si="11"/>
        <v>50.123594000000004</v>
      </c>
      <c r="J71" s="168">
        <f>20860166+1435000+2766631</f>
        <v>25061797</v>
      </c>
      <c r="K71" s="166">
        <f t="shared" si="12"/>
        <v>50.123594000000004</v>
      </c>
      <c r="L71" s="484">
        <v>100</v>
      </c>
      <c r="M71" s="167">
        <f t="shared" si="13"/>
        <v>50.123594000000004</v>
      </c>
      <c r="N71" s="485">
        <f t="shared" si="14"/>
        <v>24938203</v>
      </c>
      <c r="O71" s="486"/>
    </row>
    <row r="72" spans="1:15" ht="12" customHeight="1">
      <c r="A72" s="493">
        <v>7</v>
      </c>
      <c r="B72" s="494" t="s">
        <v>61</v>
      </c>
      <c r="C72" s="495">
        <v>50000000</v>
      </c>
      <c r="D72" s="496"/>
      <c r="E72" s="497"/>
      <c r="F72" s="498"/>
      <c r="G72" s="499"/>
      <c r="H72" s="500">
        <v>48600000</v>
      </c>
      <c r="I72" s="483">
        <f t="shared" si="11"/>
        <v>97.2</v>
      </c>
      <c r="J72" s="500">
        <v>48600000</v>
      </c>
      <c r="K72" s="166">
        <f t="shared" si="12"/>
        <v>97.2</v>
      </c>
      <c r="L72" s="484">
        <v>100</v>
      </c>
      <c r="M72" s="167">
        <f t="shared" si="13"/>
        <v>97.2</v>
      </c>
      <c r="N72" s="485">
        <f t="shared" si="14"/>
        <v>1400000</v>
      </c>
      <c r="O72" s="486"/>
    </row>
    <row r="73" spans="1:15" ht="12" customHeight="1">
      <c r="A73" s="489">
        <v>8</v>
      </c>
      <c r="B73" s="494" t="s">
        <v>85</v>
      </c>
      <c r="C73" s="495">
        <v>156700000</v>
      </c>
      <c r="D73" s="496"/>
      <c r="E73" s="497"/>
      <c r="F73" s="498"/>
      <c r="G73" s="499"/>
      <c r="H73" s="500">
        <f>149501000+4700000</f>
        <v>154201000</v>
      </c>
      <c r="I73" s="483">
        <f t="shared" si="11"/>
        <v>98.40523292916401</v>
      </c>
      <c r="J73" s="500">
        <f>149501000+4700000</f>
        <v>154201000</v>
      </c>
      <c r="K73" s="166">
        <f t="shared" si="12"/>
        <v>98.40523292916401</v>
      </c>
      <c r="L73" s="484">
        <v>100</v>
      </c>
      <c r="M73" s="167">
        <f t="shared" si="13"/>
        <v>98.40523292916401</v>
      </c>
      <c r="N73" s="485">
        <f t="shared" si="14"/>
        <v>2499000</v>
      </c>
      <c r="O73" s="486"/>
    </row>
    <row r="74" spans="1:15" ht="12" customHeight="1">
      <c r="A74" s="493"/>
      <c r="B74" s="494"/>
      <c r="C74" s="495"/>
      <c r="D74" s="501" t="s">
        <v>154</v>
      </c>
      <c r="E74" s="502">
        <v>149501000</v>
      </c>
      <c r="F74" s="503" t="s">
        <v>156</v>
      </c>
      <c r="G74" s="504" t="s">
        <v>155</v>
      </c>
      <c r="H74" s="505"/>
      <c r="I74" s="506"/>
      <c r="J74" s="505"/>
      <c r="K74" s="166"/>
      <c r="L74" s="484"/>
      <c r="M74" s="167"/>
      <c r="N74" s="485"/>
      <c r="O74" s="486"/>
    </row>
    <row r="75" spans="1:15" s="441" customFormat="1" ht="12" customHeight="1">
      <c r="A75" s="442">
        <v>9</v>
      </c>
      <c r="B75" s="425" t="s">
        <v>80</v>
      </c>
      <c r="C75" s="426">
        <v>140000000</v>
      </c>
      <c r="D75" s="427"/>
      <c r="E75" s="428">
        <v>0</v>
      </c>
      <c r="F75" s="429"/>
      <c r="G75" s="430"/>
      <c r="H75" s="426">
        <f>108166000+2350000</f>
        <v>110516000</v>
      </c>
      <c r="I75" s="431">
        <f>(H75)/C75*100</f>
        <v>78.94</v>
      </c>
      <c r="J75" s="426">
        <f>108166000+2350000</f>
        <v>110516000</v>
      </c>
      <c r="K75" s="443">
        <f>(J75+J76)/C75*100</f>
        <v>78.94</v>
      </c>
      <c r="L75" s="414">
        <v>100</v>
      </c>
      <c r="M75" s="415">
        <f>(J75+J76)/C75*100</f>
        <v>78.94</v>
      </c>
      <c r="N75" s="426">
        <f>C75-J75-J76</f>
        <v>29484000</v>
      </c>
      <c r="O75" s="439"/>
    </row>
    <row r="76" spans="1:15" s="441" customFormat="1" ht="12" customHeight="1">
      <c r="A76" s="442"/>
      <c r="B76" s="425"/>
      <c r="C76" s="426"/>
      <c r="D76" s="432" t="s">
        <v>140</v>
      </c>
      <c r="E76" s="428">
        <v>85930000</v>
      </c>
      <c r="F76" s="433" t="s">
        <v>141</v>
      </c>
      <c r="G76" s="430">
        <v>43556</v>
      </c>
      <c r="H76" s="428"/>
      <c r="I76" s="413"/>
      <c r="J76" s="428"/>
      <c r="K76" s="408"/>
      <c r="L76" s="414"/>
      <c r="M76" s="415"/>
      <c r="N76" s="426"/>
      <c r="O76" s="439"/>
    </row>
    <row r="77" spans="1:15" s="441" customFormat="1" ht="12" customHeight="1">
      <c r="A77" s="438">
        <v>10</v>
      </c>
      <c r="B77" s="407" t="s">
        <v>62</v>
      </c>
      <c r="C77" s="408">
        <v>58775000</v>
      </c>
      <c r="D77" s="409"/>
      <c r="E77" s="408"/>
      <c r="F77" s="410"/>
      <c r="G77" s="411"/>
      <c r="H77" s="412">
        <f>14545000+25830000</f>
        <v>40375000</v>
      </c>
      <c r="I77" s="413">
        <f>+H77/C77*100</f>
        <v>68.69417269247128</v>
      </c>
      <c r="J77" s="412">
        <f>14545000+25830000</f>
        <v>40375000</v>
      </c>
      <c r="K77" s="408">
        <f>+J77/C77*100</f>
        <v>68.69417269247128</v>
      </c>
      <c r="L77" s="414">
        <v>100</v>
      </c>
      <c r="M77" s="415">
        <f>+J77/C77*100</f>
        <v>68.69417269247128</v>
      </c>
      <c r="N77" s="416">
        <f aca="true" t="shared" si="15" ref="N77:N87">C77-J77</f>
        <v>18400000</v>
      </c>
      <c r="O77" s="439"/>
    </row>
    <row r="78" spans="1:15" s="441" customFormat="1" ht="12" customHeight="1">
      <c r="A78" s="442">
        <v>11</v>
      </c>
      <c r="B78" s="407" t="s">
        <v>81</v>
      </c>
      <c r="C78" s="434">
        <v>18950000</v>
      </c>
      <c r="D78" s="435"/>
      <c r="E78" s="408"/>
      <c r="F78" s="410"/>
      <c r="G78" s="411"/>
      <c r="H78" s="412">
        <v>15150000</v>
      </c>
      <c r="I78" s="413">
        <f>+H78/C78*100</f>
        <v>79.94722955145119</v>
      </c>
      <c r="J78" s="412">
        <v>15150000</v>
      </c>
      <c r="K78" s="408">
        <f>+J78/C78*100</f>
        <v>79.94722955145119</v>
      </c>
      <c r="L78" s="414">
        <v>100</v>
      </c>
      <c r="M78" s="415">
        <f>+J78/C78*100</f>
        <v>79.94722955145119</v>
      </c>
      <c r="N78" s="416">
        <f t="shared" si="15"/>
        <v>3800000</v>
      </c>
      <c r="O78" s="439"/>
    </row>
    <row r="79" spans="1:15" s="581" customFormat="1" ht="12" customHeight="1">
      <c r="A79" s="570">
        <v>12</v>
      </c>
      <c r="B79" s="571" t="s">
        <v>55</v>
      </c>
      <c r="C79" s="600">
        <v>21000000</v>
      </c>
      <c r="D79" s="601"/>
      <c r="E79" s="572"/>
      <c r="F79" s="602"/>
      <c r="G79" s="603"/>
      <c r="H79" s="577">
        <f>12900000+3925000</f>
        <v>16825000</v>
      </c>
      <c r="I79" s="578">
        <f>+H79/C79*100</f>
        <v>80.11904761904762</v>
      </c>
      <c r="J79" s="577">
        <f>12900000+3925000</f>
        <v>16825000</v>
      </c>
      <c r="K79" s="572">
        <f>+J79/C79*100</f>
        <v>80.11904761904762</v>
      </c>
      <c r="L79" s="604">
        <v>100</v>
      </c>
      <c r="M79" s="574">
        <f>+J79/C79*100</f>
        <v>80.11904761904762</v>
      </c>
      <c r="N79" s="605">
        <f t="shared" si="15"/>
        <v>4175000</v>
      </c>
      <c r="O79" s="580"/>
    </row>
    <row r="80" spans="1:15" ht="12" customHeight="1">
      <c r="A80" s="519"/>
      <c r="B80" s="520"/>
      <c r="C80" s="521"/>
      <c r="D80" s="522"/>
      <c r="E80" s="523"/>
      <c r="F80" s="491"/>
      <c r="G80" s="492"/>
      <c r="H80" s="524"/>
      <c r="I80" s="525"/>
      <c r="J80" s="524"/>
      <c r="K80" s="168"/>
      <c r="L80" s="526"/>
      <c r="M80" s="168"/>
      <c r="N80" s="485">
        <f t="shared" si="15"/>
        <v>0</v>
      </c>
      <c r="O80" s="486"/>
    </row>
    <row r="81" spans="1:15" ht="12" customHeight="1">
      <c r="A81" s="527">
        <v>6</v>
      </c>
      <c r="B81" s="528" t="s">
        <v>63</v>
      </c>
      <c r="C81" s="529">
        <f>C82+C83+C84</f>
        <v>386507853</v>
      </c>
      <c r="D81" s="530"/>
      <c r="E81" s="529">
        <f>E82+E83+E84</f>
        <v>0</v>
      </c>
      <c r="F81" s="530"/>
      <c r="G81" s="531"/>
      <c r="H81" s="532">
        <f>SUM(H82:H84)</f>
        <v>319944000</v>
      </c>
      <c r="I81" s="483">
        <f>+H81/C81*100</f>
        <v>82.77813698134615</v>
      </c>
      <c r="J81" s="532">
        <f>SUM(J82:J84)</f>
        <v>319944000</v>
      </c>
      <c r="K81" s="166">
        <f>+J81/C81*100</f>
        <v>82.77813698134615</v>
      </c>
      <c r="L81" s="484">
        <v>100</v>
      </c>
      <c r="M81" s="167">
        <f>+J81/C81*100</f>
        <v>82.77813698134615</v>
      </c>
      <c r="N81" s="485">
        <f t="shared" si="15"/>
        <v>66563853</v>
      </c>
      <c r="O81" s="486"/>
    </row>
    <row r="82" spans="1:15" ht="12" customHeight="1">
      <c r="A82" s="489">
        <v>1</v>
      </c>
      <c r="B82" s="169" t="s">
        <v>64</v>
      </c>
      <c r="C82" s="517">
        <v>50000000</v>
      </c>
      <c r="D82" s="518"/>
      <c r="E82" s="517"/>
      <c r="F82" s="491"/>
      <c r="G82" s="492"/>
      <c r="H82" s="517">
        <f>37223000+3525000+5525000</f>
        <v>46273000</v>
      </c>
      <c r="I82" s="483">
        <f>+H82/C82*100</f>
        <v>92.54599999999999</v>
      </c>
      <c r="J82" s="517">
        <f>37223000+3525000+5525000</f>
        <v>46273000</v>
      </c>
      <c r="K82" s="166">
        <f>+J82/C82*100</f>
        <v>92.54599999999999</v>
      </c>
      <c r="L82" s="484">
        <v>100</v>
      </c>
      <c r="M82" s="167">
        <f>+J82/C82*100</f>
        <v>92.54599999999999</v>
      </c>
      <c r="N82" s="485">
        <f t="shared" si="15"/>
        <v>3727000</v>
      </c>
      <c r="O82" s="486"/>
    </row>
    <row r="83" spans="1:15" ht="12" customHeight="1">
      <c r="A83" s="489">
        <v>2</v>
      </c>
      <c r="B83" s="169" t="s">
        <v>65</v>
      </c>
      <c r="C83" s="517">
        <v>35000000</v>
      </c>
      <c r="D83" s="518"/>
      <c r="E83" s="523"/>
      <c r="F83" s="491"/>
      <c r="G83" s="492"/>
      <c r="H83" s="517">
        <f>8946000+20250000</f>
        <v>29196000</v>
      </c>
      <c r="I83" s="483">
        <f>+H83/C83*100</f>
        <v>83.41714285714286</v>
      </c>
      <c r="J83" s="517">
        <f>8946000+20250000</f>
        <v>29196000</v>
      </c>
      <c r="K83" s="166">
        <f>+J83/C83*100</f>
        <v>83.41714285714286</v>
      </c>
      <c r="L83" s="484">
        <v>100</v>
      </c>
      <c r="M83" s="167">
        <f>+J83/C83*100</f>
        <v>83.41714285714286</v>
      </c>
      <c r="N83" s="485">
        <f t="shared" si="15"/>
        <v>5804000</v>
      </c>
      <c r="O83" s="486"/>
    </row>
    <row r="84" spans="1:15" ht="12" customHeight="1">
      <c r="A84" s="489">
        <v>3</v>
      </c>
      <c r="B84" s="169" t="s">
        <v>66</v>
      </c>
      <c r="C84" s="166">
        <v>301507853</v>
      </c>
      <c r="D84" s="214"/>
      <c r="E84" s="166"/>
      <c r="F84" s="491"/>
      <c r="G84" s="492"/>
      <c r="H84" s="166">
        <f>236275000+4450000+3750000</f>
        <v>244475000</v>
      </c>
      <c r="I84" s="483">
        <f>+H84/C84*100</f>
        <v>81.08412353690834</v>
      </c>
      <c r="J84" s="166">
        <f>236275000+4450000+3750000</f>
        <v>244475000</v>
      </c>
      <c r="K84" s="166">
        <f>+J84/C84*100</f>
        <v>81.08412353690834</v>
      </c>
      <c r="L84" s="484">
        <v>100</v>
      </c>
      <c r="M84" s="167">
        <f>+J84/C84*100</f>
        <v>81.08412353690834</v>
      </c>
      <c r="N84" s="485">
        <f t="shared" si="15"/>
        <v>57032853</v>
      </c>
      <c r="O84" s="486"/>
    </row>
    <row r="85" spans="1:15" ht="12" customHeight="1">
      <c r="A85" s="533"/>
      <c r="B85" s="534"/>
      <c r="C85" s="535"/>
      <c r="D85" s="536"/>
      <c r="E85" s="535"/>
      <c r="F85" s="537"/>
      <c r="G85" s="538"/>
      <c r="H85" s="535">
        <v>0</v>
      </c>
      <c r="I85" s="539"/>
      <c r="J85" s="535"/>
      <c r="K85" s="540"/>
      <c r="L85" s="541"/>
      <c r="M85" s="542"/>
      <c r="N85" s="485">
        <f t="shared" si="15"/>
        <v>0</v>
      </c>
      <c r="O85" s="486"/>
    </row>
    <row r="86" spans="1:17" ht="12" customHeight="1">
      <c r="A86" s="527">
        <v>7</v>
      </c>
      <c r="B86" s="528" t="s">
        <v>67</v>
      </c>
      <c r="C86" s="532">
        <f>C87+C88</f>
        <v>520000000</v>
      </c>
      <c r="D86" s="567"/>
      <c r="E86" s="532">
        <f>SUM(E87:E96)</f>
        <v>503968000</v>
      </c>
      <c r="F86" s="567"/>
      <c r="G86" s="568"/>
      <c r="H86" s="532">
        <f>SUM(H87+H88)</f>
        <v>505018000</v>
      </c>
      <c r="I86" s="543">
        <f>+H86/C86*100</f>
        <v>97.11884615384615</v>
      </c>
      <c r="J86" s="532">
        <f>SUM(J87+J88)</f>
        <v>505018000</v>
      </c>
      <c r="K86" s="544">
        <f>+J86/C86*100</f>
        <v>97.11884615384615</v>
      </c>
      <c r="L86" s="569">
        <v>100</v>
      </c>
      <c r="M86" s="545">
        <f>J86/C86*100</f>
        <v>97.11884615384615</v>
      </c>
      <c r="N86" s="485">
        <f t="shared" si="15"/>
        <v>14982000</v>
      </c>
      <c r="O86" s="486"/>
      <c r="Q86" s="437"/>
    </row>
    <row r="87" spans="1:15" ht="12" customHeight="1">
      <c r="A87" s="519">
        <v>1</v>
      </c>
      <c r="B87" s="169" t="s">
        <v>68</v>
      </c>
      <c r="C87" s="166">
        <v>100000000</v>
      </c>
      <c r="D87" s="546" t="s">
        <v>129</v>
      </c>
      <c r="E87" s="521">
        <v>98395000</v>
      </c>
      <c r="F87" s="546" t="s">
        <v>128</v>
      </c>
      <c r="G87" s="547" t="s">
        <v>127</v>
      </c>
      <c r="H87" s="166">
        <v>99445000</v>
      </c>
      <c r="I87" s="483">
        <f>+H87/C87*100</f>
        <v>99.445</v>
      </c>
      <c r="J87" s="166">
        <v>99445000</v>
      </c>
      <c r="K87" s="166">
        <f>+J87/C87*100</f>
        <v>99.445</v>
      </c>
      <c r="L87" s="484">
        <v>100</v>
      </c>
      <c r="M87" s="167">
        <f>+J87/C87*100</f>
        <v>99.445</v>
      </c>
      <c r="N87" s="485">
        <f t="shared" si="15"/>
        <v>555000</v>
      </c>
      <c r="O87" s="486"/>
    </row>
    <row r="88" spans="1:20" ht="12" customHeight="1">
      <c r="A88" s="519">
        <v>2</v>
      </c>
      <c r="B88" s="169" t="s">
        <v>69</v>
      </c>
      <c r="C88" s="166">
        <v>420000000</v>
      </c>
      <c r="D88" s="546"/>
      <c r="E88" s="521"/>
      <c r="F88" s="546"/>
      <c r="G88" s="547"/>
      <c r="H88" s="166">
        <f>SUM(H89+H90+H91+H92+H93+H94+H95+H96)</f>
        <v>405573000</v>
      </c>
      <c r="I88" s="483">
        <f>H88/C88*100</f>
        <v>96.565</v>
      </c>
      <c r="J88" s="166">
        <f>SUM(J89+J90+J91+J92+J93+J94+J95+J96)</f>
        <v>405573000</v>
      </c>
      <c r="K88" s="166">
        <f>J88/C88*100</f>
        <v>96.565</v>
      </c>
      <c r="L88" s="484">
        <v>100</v>
      </c>
      <c r="M88" s="167">
        <f>+J88/C88*100</f>
        <v>96.565</v>
      </c>
      <c r="N88" s="485">
        <f>C88-(J89+J90+J91+J92+J93+J94+J95+J96)</f>
        <v>14427000</v>
      </c>
      <c r="O88" s="486"/>
      <c r="R88" s="615"/>
      <c r="S88" s="557"/>
      <c r="T88" s="557"/>
    </row>
    <row r="89" spans="1:20" ht="12" customHeight="1">
      <c r="A89" s="519"/>
      <c r="B89" s="169"/>
      <c r="C89" s="166"/>
      <c r="D89" s="501" t="s">
        <v>136</v>
      </c>
      <c r="E89" s="166">
        <v>98188000</v>
      </c>
      <c r="F89" s="548" t="s">
        <v>134</v>
      </c>
      <c r="G89" s="492" t="s">
        <v>135</v>
      </c>
      <c r="H89" s="166">
        <v>98188000</v>
      </c>
      <c r="I89" s="629">
        <f>+H89/E89*100</f>
        <v>100</v>
      </c>
      <c r="J89" s="166">
        <v>98188000</v>
      </c>
      <c r="K89" s="629">
        <f>+J89/E89*100</f>
        <v>100</v>
      </c>
      <c r="M89" s="167"/>
      <c r="O89" s="486"/>
      <c r="R89" s="615"/>
      <c r="S89" s="557"/>
      <c r="T89" s="557"/>
    </row>
    <row r="90" spans="1:20" ht="12" customHeight="1">
      <c r="A90" s="519"/>
      <c r="B90" s="169"/>
      <c r="C90" s="166"/>
      <c r="D90" s="501" t="s">
        <v>145</v>
      </c>
      <c r="E90" s="166">
        <v>48230000</v>
      </c>
      <c r="F90" s="548" t="s">
        <v>144</v>
      </c>
      <c r="G90" s="512" t="s">
        <v>143</v>
      </c>
      <c r="H90" s="166">
        <v>48230000</v>
      </c>
      <c r="I90" s="629">
        <f aca="true" t="shared" si="16" ref="I90:I96">+H90/E90*100</f>
        <v>100</v>
      </c>
      <c r="J90" s="166">
        <v>48230000</v>
      </c>
      <c r="K90" s="629">
        <f aca="true" t="shared" si="17" ref="K90:K96">+J90/E90*100</f>
        <v>100</v>
      </c>
      <c r="L90" s="484"/>
      <c r="M90" s="167"/>
      <c r="N90" s="485"/>
      <c r="O90" s="486"/>
      <c r="R90" s="615"/>
      <c r="S90" s="557"/>
      <c r="T90" s="557"/>
    </row>
    <row r="91" spans="1:20" ht="12" customHeight="1">
      <c r="A91" s="519"/>
      <c r="B91" s="169"/>
      <c r="C91" s="166"/>
      <c r="D91" s="501" t="s">
        <v>142</v>
      </c>
      <c r="E91" s="166">
        <v>48150000</v>
      </c>
      <c r="F91" s="548" t="s">
        <v>146</v>
      </c>
      <c r="G91" s="512" t="s">
        <v>143</v>
      </c>
      <c r="H91" s="166">
        <v>48150000</v>
      </c>
      <c r="I91" s="629">
        <f t="shared" si="16"/>
        <v>100</v>
      </c>
      <c r="J91" s="166">
        <v>48150000</v>
      </c>
      <c r="K91" s="629">
        <f t="shared" si="17"/>
        <v>100</v>
      </c>
      <c r="L91" s="484"/>
      <c r="M91" s="167"/>
      <c r="N91" s="485"/>
      <c r="O91" s="486"/>
      <c r="R91" s="615"/>
      <c r="S91" s="557"/>
      <c r="T91" s="557"/>
    </row>
    <row r="92" spans="1:20" ht="12" customHeight="1">
      <c r="A92" s="519"/>
      <c r="B92" s="169"/>
      <c r="C92" s="166"/>
      <c r="D92" s="501" t="s">
        <v>147</v>
      </c>
      <c r="E92" s="166">
        <v>38280000</v>
      </c>
      <c r="F92" s="549" t="s">
        <v>148</v>
      </c>
      <c r="G92" s="512">
        <v>43556</v>
      </c>
      <c r="H92" s="166">
        <v>38280000</v>
      </c>
      <c r="I92" s="629">
        <f t="shared" si="16"/>
        <v>100</v>
      </c>
      <c r="J92" s="166">
        <v>38280000</v>
      </c>
      <c r="K92" s="629">
        <f t="shared" si="17"/>
        <v>100</v>
      </c>
      <c r="L92" s="484"/>
      <c r="M92" s="167"/>
      <c r="N92" s="485"/>
      <c r="O92" s="486"/>
      <c r="R92" s="615"/>
      <c r="S92" s="557"/>
      <c r="T92" s="557"/>
    </row>
    <row r="93" spans="1:20" ht="12" customHeight="1">
      <c r="A93" s="519"/>
      <c r="B93" s="169"/>
      <c r="C93" s="166"/>
      <c r="D93" s="501" t="s">
        <v>149</v>
      </c>
      <c r="E93" s="166">
        <v>48260000</v>
      </c>
      <c r="F93" s="549" t="s">
        <v>148</v>
      </c>
      <c r="G93" s="512">
        <v>43556</v>
      </c>
      <c r="H93" s="166">
        <v>48260000</v>
      </c>
      <c r="I93" s="629">
        <f t="shared" si="16"/>
        <v>100</v>
      </c>
      <c r="J93" s="166">
        <v>48260000</v>
      </c>
      <c r="K93" s="629">
        <f t="shared" si="17"/>
        <v>100</v>
      </c>
      <c r="L93" s="484"/>
      <c r="M93" s="167"/>
      <c r="N93" s="485"/>
      <c r="O93" s="486"/>
      <c r="R93" s="615"/>
      <c r="S93" s="557"/>
      <c r="T93" s="557"/>
    </row>
    <row r="94" spans="1:20" ht="12" customHeight="1">
      <c r="A94" s="519"/>
      <c r="B94" s="169"/>
      <c r="C94" s="166"/>
      <c r="D94" s="501" t="s">
        <v>150</v>
      </c>
      <c r="E94" s="166">
        <v>38170000</v>
      </c>
      <c r="F94" s="549" t="s">
        <v>148</v>
      </c>
      <c r="G94" s="512">
        <v>43556</v>
      </c>
      <c r="H94" s="166">
        <v>38170000</v>
      </c>
      <c r="I94" s="629">
        <f t="shared" si="16"/>
        <v>100</v>
      </c>
      <c r="J94" s="166">
        <v>38170000</v>
      </c>
      <c r="K94" s="629">
        <f t="shared" si="17"/>
        <v>100</v>
      </c>
      <c r="L94" s="484"/>
      <c r="M94" s="167"/>
      <c r="N94" s="485"/>
      <c r="O94" s="486"/>
      <c r="R94" s="615"/>
      <c r="S94" s="557"/>
      <c r="T94" s="557"/>
    </row>
    <row r="95" spans="1:20" ht="12" customHeight="1">
      <c r="A95" s="519"/>
      <c r="B95" s="169"/>
      <c r="C95" s="166"/>
      <c r="D95" s="501" t="s">
        <v>151</v>
      </c>
      <c r="E95" s="166">
        <v>48125000</v>
      </c>
      <c r="F95" s="550" t="s">
        <v>152</v>
      </c>
      <c r="G95" s="512">
        <v>43556</v>
      </c>
      <c r="H95" s="166">
        <v>48125000</v>
      </c>
      <c r="I95" s="629">
        <f t="shared" si="16"/>
        <v>100</v>
      </c>
      <c r="J95" s="166">
        <v>48125000</v>
      </c>
      <c r="K95" s="629">
        <f t="shared" si="17"/>
        <v>100</v>
      </c>
      <c r="L95" s="484"/>
      <c r="M95" s="167"/>
      <c r="N95" s="485"/>
      <c r="O95" s="486"/>
      <c r="R95" s="615"/>
      <c r="S95" s="557"/>
      <c r="T95" s="557"/>
    </row>
    <row r="96" spans="1:20" ht="12" customHeight="1">
      <c r="A96" s="519"/>
      <c r="B96" s="490"/>
      <c r="C96" s="166"/>
      <c r="D96" s="501" t="s">
        <v>153</v>
      </c>
      <c r="E96" s="166">
        <v>38170000</v>
      </c>
      <c r="F96" s="550" t="s">
        <v>152</v>
      </c>
      <c r="G96" s="512">
        <v>43556</v>
      </c>
      <c r="H96" s="166">
        <v>38170000</v>
      </c>
      <c r="I96" s="629">
        <f t="shared" si="16"/>
        <v>100</v>
      </c>
      <c r="J96" s="166">
        <v>38170000</v>
      </c>
      <c r="K96" s="629">
        <f t="shared" si="17"/>
        <v>100</v>
      </c>
      <c r="L96" s="484"/>
      <c r="M96" s="167"/>
      <c r="N96" s="485"/>
      <c r="O96" s="486"/>
      <c r="R96" s="616"/>
      <c r="S96" s="557"/>
      <c r="T96" s="557"/>
    </row>
    <row r="97" spans="1:15" ht="12" customHeight="1">
      <c r="A97" s="254">
        <v>8</v>
      </c>
      <c r="B97" s="490"/>
      <c r="C97" s="166"/>
      <c r="D97" s="166"/>
      <c r="E97" s="523"/>
      <c r="F97" s="491"/>
      <c r="G97" s="492"/>
      <c r="H97" s="168"/>
      <c r="I97" s="525"/>
      <c r="J97" s="168"/>
      <c r="K97" s="168"/>
      <c r="L97" s="168"/>
      <c r="M97" s="552"/>
      <c r="N97" s="485">
        <f>C96-J97</f>
        <v>0</v>
      </c>
      <c r="O97" s="486"/>
    </row>
    <row r="98" spans="1:15" ht="12" customHeight="1">
      <c r="A98" s="475"/>
      <c r="B98" s="69" t="s">
        <v>70</v>
      </c>
      <c r="C98" s="39">
        <f>SUM(C99:C99)</f>
        <v>100000000</v>
      </c>
      <c r="D98" s="198"/>
      <c r="E98" s="39">
        <f>SUM(E99:E99)</f>
        <v>0</v>
      </c>
      <c r="F98" s="198"/>
      <c r="G98" s="234"/>
      <c r="H98" s="179">
        <f>SUM(H99:H99)</f>
        <v>88083981</v>
      </c>
      <c r="I98" s="311">
        <f>+H98/C98*100</f>
        <v>88.083981</v>
      </c>
      <c r="J98" s="179">
        <f>SUM(J99:J99)</f>
        <v>88083981</v>
      </c>
      <c r="K98" s="179">
        <f>+J98/C98*100</f>
        <v>88.083981</v>
      </c>
      <c r="L98" s="308">
        <v>100</v>
      </c>
      <c r="M98" s="64">
        <f>+J98/C98*100</f>
        <v>88.083981</v>
      </c>
      <c r="N98" s="171">
        <f>C98-J98</f>
        <v>11916019</v>
      </c>
      <c r="O98" s="343"/>
    </row>
    <row r="99" spans="1:15" ht="12" customHeight="1">
      <c r="A99" s="63"/>
      <c r="B99" s="476" t="s">
        <v>169</v>
      </c>
      <c r="C99" s="477">
        <v>100000000</v>
      </c>
      <c r="D99" s="478"/>
      <c r="E99" s="479"/>
      <c r="F99" s="480"/>
      <c r="G99" s="481"/>
      <c r="H99" s="482">
        <f>1400000+47496500+39187481</f>
        <v>88083981</v>
      </c>
      <c r="I99" s="483">
        <f>+H99/C99*100</f>
        <v>88.083981</v>
      </c>
      <c r="J99" s="482">
        <f>1400000+47496500+39187481</f>
        <v>88083981</v>
      </c>
      <c r="K99" s="166">
        <f>+J99/C99*100</f>
        <v>88.083981</v>
      </c>
      <c r="L99" s="484">
        <v>100</v>
      </c>
      <c r="M99" s="167">
        <f>+J99/C99*100</f>
        <v>88.083981</v>
      </c>
      <c r="N99" s="485">
        <f>C99-J99</f>
        <v>11916019</v>
      </c>
      <c r="O99" s="486"/>
    </row>
    <row r="100" spans="1:15" ht="9.75" customHeight="1" thickBot="1">
      <c r="A100" s="102"/>
      <c r="B100" s="40"/>
      <c r="C100" s="41"/>
      <c r="D100" s="221"/>
      <c r="E100" s="37"/>
      <c r="F100" s="99"/>
      <c r="G100" s="235"/>
      <c r="H100" s="42"/>
      <c r="I100" s="320"/>
      <c r="J100" s="321"/>
      <c r="K100" s="322"/>
      <c r="L100" s="322"/>
      <c r="M100" s="322"/>
      <c r="N100" s="34"/>
      <c r="O100" s="343"/>
    </row>
    <row r="101" spans="1:15" ht="15" thickBot="1">
      <c r="A101" s="126"/>
      <c r="B101" s="103"/>
      <c r="C101" s="609">
        <f>C11+C25</f>
        <v>13112358353</v>
      </c>
      <c r="D101" s="609"/>
      <c r="E101" s="609">
        <f>+E11+E25</f>
        <v>3773115800</v>
      </c>
      <c r="F101" s="609">
        <f>F26+F39+F49+F52+F65+F81+F86+F98</f>
        <v>0</v>
      </c>
      <c r="G101" s="610"/>
      <c r="H101" s="611">
        <f>+H11+H25</f>
        <v>7328508324</v>
      </c>
      <c r="I101" s="608">
        <f>+H101/C101*100</f>
        <v>55.89008572453557</v>
      </c>
      <c r="J101" s="612">
        <f>+J11+J25</f>
        <v>7328508324</v>
      </c>
      <c r="K101" s="607">
        <f>+J101/C101*100</f>
        <v>55.89008572453557</v>
      </c>
      <c r="L101" s="613">
        <v>100</v>
      </c>
      <c r="M101" s="607">
        <f>SUM(M25+M11)/2</f>
        <v>59.843638517088735</v>
      </c>
      <c r="N101" s="614">
        <f>N11+N25</f>
        <v>5783850029</v>
      </c>
      <c r="O101" s="606"/>
    </row>
    <row r="102" spans="1:14" ht="12.75">
      <c r="A102" s="126"/>
      <c r="B102" s="135"/>
      <c r="C102" s="136"/>
      <c r="D102" s="208"/>
      <c r="E102" s="60"/>
      <c r="F102" s="207"/>
      <c r="G102" s="244"/>
      <c r="H102" s="44"/>
      <c r="I102" s="474"/>
      <c r="J102" s="1"/>
      <c r="K102" s="117"/>
      <c r="L102" s="117" t="s">
        <v>170</v>
      </c>
      <c r="M102" s="117"/>
      <c r="N102" s="117"/>
    </row>
    <row r="103" spans="1:14" ht="12.75">
      <c r="A103" s="126"/>
      <c r="B103" s="138"/>
      <c r="C103" s="84"/>
      <c r="D103" s="199"/>
      <c r="E103" s="139"/>
      <c r="F103" s="207"/>
      <c r="G103" s="244"/>
      <c r="H103" s="45"/>
      <c r="I103" s="317"/>
      <c r="J103" s="1"/>
      <c r="K103" s="474"/>
      <c r="L103" s="474" t="s">
        <v>73</v>
      </c>
      <c r="M103" s="474"/>
      <c r="N103" s="474"/>
    </row>
    <row r="104" spans="1:14" ht="12.75">
      <c r="A104" s="126"/>
      <c r="B104" s="105" t="s">
        <v>82</v>
      </c>
      <c r="C104" s="106">
        <f>H101/C101*100</f>
        <v>55.89008572453557</v>
      </c>
      <c r="D104" s="222"/>
      <c r="E104" s="60"/>
      <c r="F104" s="208"/>
      <c r="G104" s="224"/>
      <c r="H104" s="44"/>
      <c r="I104" s="474"/>
      <c r="J104" s="1"/>
      <c r="K104" s="474"/>
      <c r="L104" s="474" t="s">
        <v>72</v>
      </c>
      <c r="M104" s="474"/>
      <c r="N104" s="474"/>
    </row>
    <row r="105" spans="1:14" ht="12.75">
      <c r="A105" s="126"/>
      <c r="B105" s="105"/>
      <c r="C105" s="106"/>
      <c r="D105" s="222"/>
      <c r="E105" s="60"/>
      <c r="F105" s="208"/>
      <c r="G105" s="224"/>
      <c r="H105" s="44"/>
      <c r="I105" s="474"/>
      <c r="J105" s="1"/>
      <c r="K105" s="474"/>
      <c r="L105" s="474"/>
      <c r="M105" s="474"/>
      <c r="N105" s="474"/>
    </row>
    <row r="106" spans="1:14" ht="12.75">
      <c r="A106" s="126"/>
      <c r="B106" s="140"/>
      <c r="C106" s="141"/>
      <c r="D106" s="223"/>
      <c r="E106" s="60"/>
      <c r="F106" s="208"/>
      <c r="G106" s="224"/>
      <c r="H106" s="44"/>
      <c r="I106" s="474"/>
      <c r="J106" s="1"/>
      <c r="K106" s="474"/>
      <c r="L106" s="474"/>
      <c r="M106" s="474"/>
      <c r="N106" s="474"/>
    </row>
    <row r="107" spans="1:14" ht="12.75">
      <c r="A107" s="126"/>
      <c r="B107" s="140"/>
      <c r="C107" s="141"/>
      <c r="D107" s="223"/>
      <c r="E107" s="60"/>
      <c r="F107" s="208"/>
      <c r="G107" s="224"/>
      <c r="H107" s="44"/>
      <c r="I107" s="474"/>
      <c r="J107" s="1"/>
      <c r="K107" s="474"/>
      <c r="L107" s="474"/>
      <c r="M107" s="474"/>
      <c r="N107" s="474"/>
    </row>
    <row r="108" spans="1:14" ht="12.75">
      <c r="A108" s="126"/>
      <c r="B108" s="128"/>
      <c r="C108" s="84"/>
      <c r="D108" s="199"/>
      <c r="E108" s="60"/>
      <c r="F108" s="207"/>
      <c r="G108" s="244"/>
      <c r="H108" s="46"/>
      <c r="I108" s="474"/>
      <c r="J108" s="108"/>
      <c r="K108" s="108"/>
      <c r="L108" s="108" t="s">
        <v>74</v>
      </c>
      <c r="M108" s="1"/>
      <c r="N108" s="1"/>
    </row>
    <row r="109" spans="1:14" ht="12.75">
      <c r="A109" s="151"/>
      <c r="B109" s="127"/>
      <c r="C109" s="84"/>
      <c r="D109" s="199"/>
      <c r="E109" s="60"/>
      <c r="F109" s="187"/>
      <c r="G109" s="224"/>
      <c r="H109" s="46"/>
      <c r="I109" s="474"/>
      <c r="J109" s="474"/>
      <c r="K109" s="474"/>
      <c r="L109" s="474" t="s">
        <v>75</v>
      </c>
      <c r="M109" s="1"/>
      <c r="N109" s="1"/>
    </row>
    <row r="110" spans="1:14" ht="12.75">
      <c r="A110" s="151"/>
      <c r="B110" s="127"/>
      <c r="C110" s="84"/>
      <c r="D110" s="199"/>
      <c r="E110" s="60"/>
      <c r="F110" s="187"/>
      <c r="G110" s="224"/>
      <c r="H110" s="46"/>
      <c r="I110" s="617"/>
      <c r="J110" s="617"/>
      <c r="K110" s="617"/>
      <c r="L110" s="617"/>
      <c r="M110" s="1"/>
      <c r="N110" s="1"/>
    </row>
    <row r="111" spans="1:14" ht="12.75">
      <c r="A111" s="151"/>
      <c r="B111" s="127"/>
      <c r="C111" s="84"/>
      <c r="D111" s="199"/>
      <c r="E111" s="60"/>
      <c r="F111" s="187"/>
      <c r="G111" s="224"/>
      <c r="H111" s="46"/>
      <c r="I111" s="617"/>
      <c r="J111" s="617"/>
      <c r="K111" s="617"/>
      <c r="L111" s="617"/>
      <c r="M111" s="1"/>
      <c r="N111" s="1"/>
    </row>
    <row r="112" spans="1:14" ht="12.75">
      <c r="A112" s="151"/>
      <c r="B112" s="127"/>
      <c r="C112" s="84"/>
      <c r="D112" s="199"/>
      <c r="E112" s="60"/>
      <c r="F112" s="187"/>
      <c r="G112" s="224"/>
      <c r="H112" s="46"/>
      <c r="I112" s="617"/>
      <c r="J112" s="617"/>
      <c r="K112" s="617"/>
      <c r="L112" s="617"/>
      <c r="M112" s="1"/>
      <c r="N112" s="1"/>
    </row>
    <row r="113" spans="1:14" ht="15.75">
      <c r="A113" s="811" t="s">
        <v>0</v>
      </c>
      <c r="B113" s="811"/>
      <c r="C113" s="811"/>
      <c r="D113" s="811"/>
      <c r="E113" s="811"/>
      <c r="F113" s="811"/>
      <c r="G113" s="811"/>
      <c r="H113" s="811"/>
      <c r="I113" s="811"/>
      <c r="J113" s="811"/>
      <c r="K113" s="811"/>
      <c r="L113" s="811"/>
      <c r="M113" s="811"/>
      <c r="N113" s="811"/>
    </row>
    <row r="114" spans="1:14" ht="12.75">
      <c r="A114" s="812" t="s">
        <v>83</v>
      </c>
      <c r="B114" s="812"/>
      <c r="C114" s="812"/>
      <c r="D114" s="812"/>
      <c r="E114" s="812"/>
      <c r="F114" s="812"/>
      <c r="G114" s="812"/>
      <c r="H114" s="812"/>
      <c r="I114" s="812"/>
      <c r="J114" s="812"/>
      <c r="K114" s="812"/>
      <c r="L114" s="812"/>
      <c r="M114" s="812"/>
      <c r="N114" s="812"/>
    </row>
    <row r="115" spans="1:14" ht="12.75">
      <c r="A115" s="832" t="s">
        <v>77</v>
      </c>
      <c r="B115" s="832"/>
      <c r="C115" s="832"/>
      <c r="D115" s="832"/>
      <c r="E115" s="832"/>
      <c r="F115" s="832"/>
      <c r="G115" s="832"/>
      <c r="H115" s="832"/>
      <c r="I115" s="832"/>
      <c r="J115" s="832"/>
      <c r="K115" s="832"/>
      <c r="L115" s="832"/>
      <c r="M115" s="832"/>
      <c r="N115" s="832"/>
    </row>
    <row r="116" spans="1:14" ht="12.75">
      <c r="A116" s="558" t="s">
        <v>1</v>
      </c>
      <c r="B116" s="558"/>
      <c r="C116" s="59"/>
      <c r="D116" s="188"/>
      <c r="E116" s="59"/>
      <c r="F116" s="188"/>
      <c r="G116" s="225"/>
      <c r="H116" s="59"/>
      <c r="I116" s="59"/>
      <c r="J116" s="59"/>
      <c r="K116" s="59"/>
      <c r="L116" s="59"/>
      <c r="M116" s="59"/>
      <c r="N116" s="59"/>
    </row>
    <row r="117" spans="1:14" ht="12.75" customHeight="1">
      <c r="A117" s="833" t="s">
        <v>177</v>
      </c>
      <c r="B117" s="833"/>
      <c r="C117" s="59"/>
      <c r="D117" s="188"/>
      <c r="E117" s="59"/>
      <c r="F117" s="188"/>
      <c r="G117" s="225"/>
      <c r="H117" s="59"/>
      <c r="I117" s="59"/>
      <c r="J117" s="59"/>
      <c r="K117" s="59"/>
      <c r="L117" s="59"/>
      <c r="M117" s="59"/>
      <c r="N117" s="59"/>
    </row>
    <row r="118" spans="1:14" ht="12.75" customHeight="1">
      <c r="A118" s="59"/>
      <c r="B118" s="1"/>
      <c r="C118" s="1"/>
      <c r="D118" s="187"/>
      <c r="E118" s="1"/>
      <c r="F118" s="187"/>
      <c r="G118" s="224"/>
      <c r="H118" s="1"/>
      <c r="I118" s="252"/>
      <c r="J118" s="1"/>
      <c r="K118" s="1"/>
      <c r="L118" s="1"/>
      <c r="M118" s="1"/>
      <c r="N118" s="1"/>
    </row>
    <row r="119" spans="1:15" ht="12.75">
      <c r="A119" s="808" t="s">
        <v>2</v>
      </c>
      <c r="B119" s="808" t="s">
        <v>3</v>
      </c>
      <c r="C119" s="808" t="s">
        <v>168</v>
      </c>
      <c r="D119" s="820" t="s">
        <v>104</v>
      </c>
      <c r="E119" s="808" t="s">
        <v>5</v>
      </c>
      <c r="F119" s="820" t="s">
        <v>6</v>
      </c>
      <c r="G119" s="824" t="s">
        <v>105</v>
      </c>
      <c r="H119" s="816" t="s">
        <v>7</v>
      </c>
      <c r="I119" s="817"/>
      <c r="J119" s="817"/>
      <c r="K119" s="818"/>
      <c r="L119" s="816" t="s">
        <v>8</v>
      </c>
      <c r="M119" s="818"/>
      <c r="N119" s="805" t="s">
        <v>87</v>
      </c>
      <c r="O119" s="827" t="s">
        <v>9</v>
      </c>
    </row>
    <row r="120" spans="1:15" ht="12.75">
      <c r="A120" s="806"/>
      <c r="B120" s="806"/>
      <c r="C120" s="806"/>
      <c r="D120" s="821"/>
      <c r="E120" s="814"/>
      <c r="F120" s="821"/>
      <c r="G120" s="825"/>
      <c r="H120" s="809" t="s">
        <v>10</v>
      </c>
      <c r="I120" s="808" t="s">
        <v>11</v>
      </c>
      <c r="J120" s="808" t="s">
        <v>12</v>
      </c>
      <c r="K120" s="808" t="s">
        <v>11</v>
      </c>
      <c r="L120" s="808" t="s">
        <v>13</v>
      </c>
      <c r="M120" s="820" t="s">
        <v>14</v>
      </c>
      <c r="N120" s="806"/>
      <c r="O120" s="828"/>
    </row>
    <row r="121" spans="1:15" ht="12.75">
      <c r="A121" s="807"/>
      <c r="B121" s="807"/>
      <c r="C121" s="807"/>
      <c r="D121" s="822"/>
      <c r="E121" s="815"/>
      <c r="F121" s="822"/>
      <c r="G121" s="826"/>
      <c r="H121" s="810"/>
      <c r="I121" s="807"/>
      <c r="J121" s="807"/>
      <c r="K121" s="807"/>
      <c r="L121" s="807"/>
      <c r="M121" s="822"/>
      <c r="N121" s="807"/>
      <c r="O121" s="828"/>
    </row>
    <row r="122" spans="1:15" ht="12.75">
      <c r="A122" s="2">
        <v>1</v>
      </c>
      <c r="B122" s="2">
        <v>2</v>
      </c>
      <c r="C122" s="2">
        <v>3</v>
      </c>
      <c r="D122" s="189"/>
      <c r="E122" s="2">
        <v>4</v>
      </c>
      <c r="F122" s="189">
        <v>5</v>
      </c>
      <c r="G122" s="226"/>
      <c r="H122" s="2">
        <v>6</v>
      </c>
      <c r="I122" s="2">
        <v>7</v>
      </c>
      <c r="J122" s="2">
        <v>8</v>
      </c>
      <c r="K122" s="2">
        <v>9</v>
      </c>
      <c r="L122" s="2">
        <v>10</v>
      </c>
      <c r="M122" s="2">
        <v>11</v>
      </c>
      <c r="N122" s="2">
        <v>12</v>
      </c>
      <c r="O122" s="2">
        <v>13</v>
      </c>
    </row>
    <row r="123" spans="1:15" ht="12.75">
      <c r="A123" s="61" t="s">
        <v>15</v>
      </c>
      <c r="B123" s="62" t="s">
        <v>16</v>
      </c>
      <c r="C123" s="4">
        <f>SUM(C124:C135)</f>
        <v>3388193000</v>
      </c>
      <c r="D123" s="210"/>
      <c r="E123" s="63"/>
      <c r="F123" s="191"/>
      <c r="G123" s="228"/>
      <c r="H123" s="4">
        <f>SUM(H124:H135)</f>
        <v>2479790779</v>
      </c>
      <c r="I123" s="685">
        <f>+H123/C123*100</f>
        <v>73.1891831132406</v>
      </c>
      <c r="J123" s="4">
        <f>SUM(J124:J135)</f>
        <v>2479790779</v>
      </c>
      <c r="K123" s="145">
        <f>+J123/C123*100</f>
        <v>73.1891831132406</v>
      </c>
      <c r="L123" s="308">
        <v>100</v>
      </c>
      <c r="M123" s="64">
        <f>+J123/C123*100</f>
        <v>73.1891831132406</v>
      </c>
      <c r="N123" s="4">
        <f>SUM(N124:N135)</f>
        <v>908402221</v>
      </c>
      <c r="O123" s="344" t="s">
        <v>157</v>
      </c>
    </row>
    <row r="124" spans="1:15" ht="12" customHeight="1">
      <c r="A124" s="63">
        <v>1</v>
      </c>
      <c r="B124" s="47" t="s">
        <v>17</v>
      </c>
      <c r="C124" s="5">
        <v>1903195515</v>
      </c>
      <c r="D124" s="211"/>
      <c r="E124" s="63"/>
      <c r="F124" s="192"/>
      <c r="G124" s="228"/>
      <c r="H124" s="114">
        <v>1479729115</v>
      </c>
      <c r="I124" s="340">
        <f>+H124/C124*100</f>
        <v>77.74971637635454</v>
      </c>
      <c r="J124" s="114">
        <v>1479729115</v>
      </c>
      <c r="K124" s="71">
        <f>+J124/C124*100</f>
        <v>77.74971637635454</v>
      </c>
      <c r="L124" s="357">
        <v>100</v>
      </c>
      <c r="M124" s="296">
        <f>+J124/C124*100</f>
        <v>77.74971637635454</v>
      </c>
      <c r="N124" s="37">
        <f>C124-J124</f>
        <v>423466400</v>
      </c>
      <c r="O124" s="344" t="s">
        <v>157</v>
      </c>
    </row>
    <row r="125" spans="1:15" ht="12" customHeight="1">
      <c r="A125" s="63">
        <v>2</v>
      </c>
      <c r="B125" s="47" t="s">
        <v>18</v>
      </c>
      <c r="C125" s="5">
        <v>195258530</v>
      </c>
      <c r="D125" s="211"/>
      <c r="E125" s="63"/>
      <c r="F125" s="192"/>
      <c r="G125" s="228"/>
      <c r="H125" s="5">
        <v>165867854</v>
      </c>
      <c r="I125" s="340">
        <f aca="true" t="shared" si="18" ref="I125:I135">+H125/C125*100</f>
        <v>84.9478145717885</v>
      </c>
      <c r="J125" s="5">
        <v>165867854</v>
      </c>
      <c r="K125" s="71">
        <f aca="true" t="shared" si="19" ref="K125:K135">+J125/C125*100</f>
        <v>84.9478145717885</v>
      </c>
      <c r="L125" s="357">
        <v>100</v>
      </c>
      <c r="M125" s="296">
        <f aca="true" t="shared" si="20" ref="M125:M135">+J125/C125*100</f>
        <v>84.9478145717885</v>
      </c>
      <c r="N125" s="37">
        <f>C125-J125</f>
        <v>29390676</v>
      </c>
      <c r="O125" s="344" t="s">
        <v>157</v>
      </c>
    </row>
    <row r="126" spans="1:15" ht="12" customHeight="1">
      <c r="A126" s="63">
        <v>3</v>
      </c>
      <c r="B126" s="47" t="s">
        <v>19</v>
      </c>
      <c r="C126" s="5">
        <v>160050000</v>
      </c>
      <c r="D126" s="211"/>
      <c r="E126" s="63"/>
      <c r="F126" s="192"/>
      <c r="G126" s="228"/>
      <c r="H126" s="5">
        <v>136800000</v>
      </c>
      <c r="I126" s="340">
        <f t="shared" si="18"/>
        <v>85.47328959700093</v>
      </c>
      <c r="J126" s="5">
        <v>136800000</v>
      </c>
      <c r="K126" s="71">
        <f t="shared" si="19"/>
        <v>85.47328959700093</v>
      </c>
      <c r="L126" s="357">
        <v>100</v>
      </c>
      <c r="M126" s="296">
        <f t="shared" si="20"/>
        <v>85.47328959700093</v>
      </c>
      <c r="N126" s="37">
        <f>C126-J126</f>
        <v>23250000</v>
      </c>
      <c r="O126" s="344" t="s">
        <v>157</v>
      </c>
    </row>
    <row r="127" spans="1:15" ht="12" customHeight="1">
      <c r="A127" s="63">
        <v>4</v>
      </c>
      <c r="B127" s="47" t="s">
        <v>139</v>
      </c>
      <c r="C127" s="364">
        <v>5100000</v>
      </c>
      <c r="D127" s="211"/>
      <c r="E127" s="63"/>
      <c r="F127" s="192"/>
      <c r="G127" s="228"/>
      <c r="H127" s="5">
        <v>3400000</v>
      </c>
      <c r="I127" s="340">
        <f t="shared" si="18"/>
        <v>66.66666666666666</v>
      </c>
      <c r="J127" s="5">
        <v>3400000</v>
      </c>
      <c r="K127" s="71">
        <f t="shared" si="19"/>
        <v>66.66666666666666</v>
      </c>
      <c r="L127" s="357">
        <v>100</v>
      </c>
      <c r="M127" s="296">
        <f t="shared" si="20"/>
        <v>66.66666666666666</v>
      </c>
      <c r="N127" s="37">
        <f>C127-J127</f>
        <v>1700000</v>
      </c>
      <c r="O127" s="344" t="s">
        <v>157</v>
      </c>
    </row>
    <row r="128" spans="1:15" ht="12" customHeight="1">
      <c r="A128" s="63">
        <v>5</v>
      </c>
      <c r="B128" s="47" t="s">
        <v>20</v>
      </c>
      <c r="C128" s="5">
        <v>58220000</v>
      </c>
      <c r="D128" s="211"/>
      <c r="E128" s="63"/>
      <c r="F128" s="192"/>
      <c r="G128" s="228"/>
      <c r="H128" s="5">
        <v>49310000</v>
      </c>
      <c r="I128" s="340">
        <f t="shared" si="18"/>
        <v>84.69598076262453</v>
      </c>
      <c r="J128" s="5">
        <v>49310000</v>
      </c>
      <c r="K128" s="71">
        <f t="shared" si="19"/>
        <v>84.69598076262453</v>
      </c>
      <c r="L128" s="357">
        <v>100</v>
      </c>
      <c r="M128" s="296">
        <f t="shared" si="20"/>
        <v>84.69598076262453</v>
      </c>
      <c r="N128" s="37">
        <f aca="true" t="shared" si="21" ref="N128:N135">C128-J128</f>
        <v>8910000</v>
      </c>
      <c r="O128" s="344" t="s">
        <v>157</v>
      </c>
    </row>
    <row r="129" spans="1:15" ht="12" customHeight="1">
      <c r="A129" s="63">
        <v>6</v>
      </c>
      <c r="B129" s="47" t="s">
        <v>21</v>
      </c>
      <c r="C129" s="5">
        <v>104791740</v>
      </c>
      <c r="D129" s="211"/>
      <c r="E129" s="63"/>
      <c r="F129" s="192"/>
      <c r="G129" s="228"/>
      <c r="H129" s="5">
        <v>85745280</v>
      </c>
      <c r="I129" s="340">
        <f t="shared" si="18"/>
        <v>81.82446440912233</v>
      </c>
      <c r="J129" s="5">
        <v>85745280</v>
      </c>
      <c r="K129" s="71">
        <f t="shared" si="19"/>
        <v>81.82446440912233</v>
      </c>
      <c r="L129" s="357">
        <v>100</v>
      </c>
      <c r="M129" s="296">
        <f t="shared" si="20"/>
        <v>81.82446440912233</v>
      </c>
      <c r="N129" s="37">
        <f t="shared" si="21"/>
        <v>19046460</v>
      </c>
      <c r="O129" s="344" t="s">
        <v>157</v>
      </c>
    </row>
    <row r="130" spans="1:15" ht="12" customHeight="1">
      <c r="A130" s="63">
        <v>7</v>
      </c>
      <c r="B130" s="47" t="s">
        <v>22</v>
      </c>
      <c r="C130" s="5">
        <v>9937670</v>
      </c>
      <c r="D130" s="211"/>
      <c r="E130" s="63"/>
      <c r="F130" s="192"/>
      <c r="G130" s="228"/>
      <c r="H130" s="5">
        <v>8425090</v>
      </c>
      <c r="I130" s="340">
        <f t="shared" si="18"/>
        <v>84.77932956115468</v>
      </c>
      <c r="J130" s="5">
        <v>8425090</v>
      </c>
      <c r="K130" s="71">
        <f t="shared" si="19"/>
        <v>84.77932956115468</v>
      </c>
      <c r="L130" s="357">
        <v>100</v>
      </c>
      <c r="M130" s="296">
        <f t="shared" si="20"/>
        <v>84.77932956115468</v>
      </c>
      <c r="N130" s="37">
        <f t="shared" si="21"/>
        <v>1512580</v>
      </c>
      <c r="O130" s="344" t="s">
        <v>157</v>
      </c>
    </row>
    <row r="131" spans="1:15" ht="12" customHeight="1">
      <c r="A131" s="63">
        <v>8</v>
      </c>
      <c r="B131" s="47" t="s">
        <v>23</v>
      </c>
      <c r="C131" s="5">
        <v>31249</v>
      </c>
      <c r="D131" s="211"/>
      <c r="E131" s="63"/>
      <c r="F131" s="192"/>
      <c r="G131" s="228"/>
      <c r="H131" s="5">
        <v>26313</v>
      </c>
      <c r="I131" s="340">
        <f t="shared" si="18"/>
        <v>84.2042945374252</v>
      </c>
      <c r="J131" s="5">
        <v>26313</v>
      </c>
      <c r="K131" s="71">
        <f t="shared" si="19"/>
        <v>84.2042945374252</v>
      </c>
      <c r="L131" s="357">
        <v>100</v>
      </c>
      <c r="M131" s="296">
        <f t="shared" si="20"/>
        <v>84.2042945374252</v>
      </c>
      <c r="N131" s="37">
        <f t="shared" si="21"/>
        <v>4936</v>
      </c>
      <c r="O131" s="344" t="s">
        <v>157</v>
      </c>
    </row>
    <row r="132" spans="1:15" ht="12" customHeight="1">
      <c r="A132" s="63">
        <v>9</v>
      </c>
      <c r="B132" s="47" t="s">
        <v>24</v>
      </c>
      <c r="C132" s="5">
        <v>49247899</v>
      </c>
      <c r="D132" s="211"/>
      <c r="E132" s="63"/>
      <c r="F132" s="192"/>
      <c r="G132" s="228"/>
      <c r="H132" s="5">
        <v>40642187</v>
      </c>
      <c r="I132" s="340">
        <f t="shared" si="18"/>
        <v>82.5257276457621</v>
      </c>
      <c r="J132" s="5">
        <v>40642187</v>
      </c>
      <c r="K132" s="71">
        <f t="shared" si="19"/>
        <v>82.5257276457621</v>
      </c>
      <c r="L132" s="357">
        <v>100</v>
      </c>
      <c r="M132" s="296">
        <f t="shared" si="20"/>
        <v>82.5257276457621</v>
      </c>
      <c r="N132" s="37">
        <f t="shared" si="21"/>
        <v>8605712</v>
      </c>
      <c r="O132" s="344" t="s">
        <v>157</v>
      </c>
    </row>
    <row r="133" spans="1:15" ht="12" customHeight="1">
      <c r="A133" s="63">
        <v>10</v>
      </c>
      <c r="B133" s="47" t="s">
        <v>25</v>
      </c>
      <c r="C133" s="5">
        <v>3541854</v>
      </c>
      <c r="D133" s="211"/>
      <c r="E133" s="63"/>
      <c r="F133" s="192"/>
      <c r="G133" s="228"/>
      <c r="H133" s="5">
        <v>2913115</v>
      </c>
      <c r="I133" s="340">
        <f t="shared" si="18"/>
        <v>82.24830837183012</v>
      </c>
      <c r="J133" s="5">
        <v>2913115</v>
      </c>
      <c r="K133" s="71">
        <f t="shared" si="19"/>
        <v>82.24830837183012</v>
      </c>
      <c r="L133" s="357">
        <v>100</v>
      </c>
      <c r="M133" s="296">
        <f t="shared" si="20"/>
        <v>82.24830837183012</v>
      </c>
      <c r="N133" s="37">
        <f t="shared" si="21"/>
        <v>628739</v>
      </c>
      <c r="O133" s="344" t="s">
        <v>157</v>
      </c>
    </row>
    <row r="134" spans="1:15" ht="12" customHeight="1">
      <c r="A134" s="63">
        <v>11</v>
      </c>
      <c r="B134" s="47" t="s">
        <v>26</v>
      </c>
      <c r="C134" s="5">
        <v>10625543</v>
      </c>
      <c r="D134" s="211"/>
      <c r="E134" s="63"/>
      <c r="F134" s="192"/>
      <c r="G134" s="228"/>
      <c r="H134" s="5">
        <v>8739325</v>
      </c>
      <c r="I134" s="340">
        <f t="shared" si="18"/>
        <v>82.24826721796713</v>
      </c>
      <c r="J134" s="5">
        <v>8739325</v>
      </c>
      <c r="K134" s="71">
        <f t="shared" si="19"/>
        <v>82.24826721796713</v>
      </c>
      <c r="L134" s="357">
        <v>100</v>
      </c>
      <c r="M134" s="296">
        <f t="shared" si="20"/>
        <v>82.24826721796713</v>
      </c>
      <c r="N134" s="37">
        <f t="shared" si="21"/>
        <v>1886218</v>
      </c>
      <c r="O134" s="344" t="s">
        <v>157</v>
      </c>
    </row>
    <row r="135" spans="1:15" ht="12" customHeight="1">
      <c r="A135" s="63">
        <v>12</v>
      </c>
      <c r="B135" s="47" t="s">
        <v>27</v>
      </c>
      <c r="C135" s="5">
        <v>888193000</v>
      </c>
      <c r="D135" s="211"/>
      <c r="E135" s="63"/>
      <c r="F135" s="192"/>
      <c r="G135" s="228"/>
      <c r="H135" s="5">
        <v>498192500</v>
      </c>
      <c r="I135" s="340">
        <f t="shared" si="18"/>
        <v>56.09056815354321</v>
      </c>
      <c r="J135" s="5">
        <v>498192500</v>
      </c>
      <c r="K135" s="71">
        <f t="shared" si="19"/>
        <v>56.09056815354321</v>
      </c>
      <c r="L135" s="357">
        <v>100</v>
      </c>
      <c r="M135" s="296">
        <f t="shared" si="20"/>
        <v>56.09056815354321</v>
      </c>
      <c r="N135" s="37">
        <f t="shared" si="21"/>
        <v>390000500</v>
      </c>
      <c r="O135" s="344" t="s">
        <v>157</v>
      </c>
    </row>
    <row r="136" spans="1:15" ht="12" customHeight="1">
      <c r="A136" s="63"/>
      <c r="B136" s="47"/>
      <c r="C136" s="5"/>
      <c r="D136" s="211"/>
      <c r="E136" s="63"/>
      <c r="F136" s="192"/>
      <c r="G136" s="228"/>
      <c r="H136" s="5"/>
      <c r="I136" s="114"/>
      <c r="J136" s="5"/>
      <c r="K136" s="36"/>
      <c r="L136" s="307"/>
      <c r="M136" s="37"/>
      <c r="N136" s="37"/>
      <c r="O136" s="343"/>
    </row>
    <row r="137" spans="1:16" ht="12" customHeight="1">
      <c r="A137" s="61" t="s">
        <v>28</v>
      </c>
      <c r="B137" s="62" t="s">
        <v>29</v>
      </c>
      <c r="C137" s="147">
        <f>C138+C151+C161+C164+C181+C197+C202+C214</f>
        <v>9724165353</v>
      </c>
      <c r="D137" s="559"/>
      <c r="E137" s="147">
        <f>E138+E151+E161+E164+E181+E197+E202+E214</f>
        <v>3773115804</v>
      </c>
      <c r="F137" s="192"/>
      <c r="G137" s="228"/>
      <c r="H137" s="147">
        <f>H138+H151+H161+H164+H181+H197+H202+H214</f>
        <v>7433228344</v>
      </c>
      <c r="I137" s="311">
        <f aca="true" t="shared" si="22" ref="I137:I149">+H137/C137*100</f>
        <v>76.44078513850833</v>
      </c>
      <c r="J137" s="147">
        <f>J138+J151+J161+J164+J181+J197+J202+J214</f>
        <v>7433228344</v>
      </c>
      <c r="K137" s="179">
        <f>+J137/C137*100</f>
        <v>76.44078513850833</v>
      </c>
      <c r="L137" s="560">
        <v>100</v>
      </c>
      <c r="M137" s="64">
        <f aca="true" t="shared" si="23" ref="M137:M149">+J137/C137*100</f>
        <v>76.44078513850833</v>
      </c>
      <c r="N137" s="147">
        <f>N138+N151+N161+N164+N181+N197+N202+N214</f>
        <v>2290937009</v>
      </c>
      <c r="O137" s="343"/>
      <c r="P137" s="581"/>
    </row>
    <row r="138" spans="1:15" ht="12" customHeight="1">
      <c r="A138" s="68">
        <v>1</v>
      </c>
      <c r="B138" s="69" t="s">
        <v>30</v>
      </c>
      <c r="C138" s="147">
        <f>SUM(C139:C149)</f>
        <v>1036961650</v>
      </c>
      <c r="D138" s="559"/>
      <c r="E138" s="147">
        <f>SUM(E139:E149)</f>
        <v>0</v>
      </c>
      <c r="F138" s="194"/>
      <c r="G138" s="230"/>
      <c r="H138" s="64">
        <f>SUM(H139:H149)</f>
        <v>806841743</v>
      </c>
      <c r="I138" s="311">
        <f t="shared" si="22"/>
        <v>77.80825288958371</v>
      </c>
      <c r="J138" s="64">
        <f>SUM(J139:J149)</f>
        <v>806841743</v>
      </c>
      <c r="K138" s="179">
        <f aca="true" t="shared" si="24" ref="K138:K149">+J138/C138*100</f>
        <v>77.80825288958371</v>
      </c>
      <c r="L138" s="560">
        <v>100</v>
      </c>
      <c r="M138" s="64">
        <f t="shared" si="23"/>
        <v>77.80825288958371</v>
      </c>
      <c r="N138" s="64">
        <f>SUM(N139:N149)</f>
        <v>230119907</v>
      </c>
      <c r="O138" s="343"/>
    </row>
    <row r="139" spans="1:16" ht="12" customHeight="1">
      <c r="A139" s="63">
        <v>1</v>
      </c>
      <c r="B139" s="55" t="s">
        <v>31</v>
      </c>
      <c r="C139" s="71">
        <v>6310000</v>
      </c>
      <c r="D139" s="213"/>
      <c r="E139" s="72" t="s">
        <v>32</v>
      </c>
      <c r="F139" s="194" t="s">
        <v>32</v>
      </c>
      <c r="G139" s="230"/>
      <c r="H139" s="185">
        <f>6276000</f>
        <v>6276000</v>
      </c>
      <c r="I139" s="340">
        <f t="shared" si="22"/>
        <v>99.46117274167987</v>
      </c>
      <c r="J139" s="185">
        <f>6276000</f>
        <v>6276000</v>
      </c>
      <c r="K139" s="71">
        <f t="shared" si="24"/>
        <v>99.46117274167987</v>
      </c>
      <c r="L139" s="357">
        <v>100</v>
      </c>
      <c r="M139" s="37">
        <f t="shared" si="23"/>
        <v>99.46117274167987</v>
      </c>
      <c r="N139" s="37">
        <f>C139-J139</f>
        <v>34000</v>
      </c>
      <c r="O139" s="343"/>
      <c r="P139" s="581"/>
    </row>
    <row r="140" spans="1:16" ht="12" customHeight="1">
      <c r="A140" s="570">
        <v>2</v>
      </c>
      <c r="B140" s="571" t="s">
        <v>76</v>
      </c>
      <c r="C140" s="572">
        <v>82000000</v>
      </c>
      <c r="D140" s="573"/>
      <c r="E140" s="574"/>
      <c r="F140" s="575"/>
      <c r="G140" s="576"/>
      <c r="H140" s="577">
        <f>40719206+6925758+3674586+6167499+6877136</f>
        <v>64364185</v>
      </c>
      <c r="I140" s="578">
        <f t="shared" si="22"/>
        <v>78.49290853658538</v>
      </c>
      <c r="J140" s="577">
        <f>40719206+6925758+3674586+6167499+6877136</f>
        <v>64364185</v>
      </c>
      <c r="K140" s="572">
        <f t="shared" si="24"/>
        <v>78.49290853658538</v>
      </c>
      <c r="L140" s="579">
        <v>100</v>
      </c>
      <c r="M140" s="574">
        <f t="shared" si="23"/>
        <v>78.49290853658538</v>
      </c>
      <c r="N140" s="574">
        <f aca="true" t="shared" si="25" ref="N140:N153">C140-J140</f>
        <v>17635815</v>
      </c>
      <c r="O140" s="580"/>
      <c r="P140" s="581"/>
    </row>
    <row r="141" spans="1:16" ht="12" customHeight="1">
      <c r="A141" s="63">
        <v>3</v>
      </c>
      <c r="B141" s="165" t="s">
        <v>33</v>
      </c>
      <c r="C141" s="166">
        <v>26635000</v>
      </c>
      <c r="D141" s="214"/>
      <c r="E141" s="167">
        <v>0</v>
      </c>
      <c r="F141" s="196">
        <v>0</v>
      </c>
      <c r="G141" s="232"/>
      <c r="H141" s="168">
        <v>14485000</v>
      </c>
      <c r="I141" s="340">
        <f t="shared" si="22"/>
        <v>54.383330204617984</v>
      </c>
      <c r="J141" s="168">
        <v>14485000</v>
      </c>
      <c r="K141" s="71">
        <f t="shared" si="24"/>
        <v>54.383330204617984</v>
      </c>
      <c r="L141" s="357">
        <v>100</v>
      </c>
      <c r="M141" s="37">
        <f t="shared" si="23"/>
        <v>54.383330204617984</v>
      </c>
      <c r="N141" s="37">
        <f t="shared" si="25"/>
        <v>12150000</v>
      </c>
      <c r="O141" s="343"/>
      <c r="P141" s="581"/>
    </row>
    <row r="142" spans="1:15" ht="12" customHeight="1">
      <c r="A142" s="570">
        <v>4</v>
      </c>
      <c r="B142" s="571" t="s">
        <v>34</v>
      </c>
      <c r="C142" s="572">
        <v>61844350</v>
      </c>
      <c r="D142" s="573"/>
      <c r="E142" s="574">
        <v>0</v>
      </c>
      <c r="F142" s="575">
        <v>0</v>
      </c>
      <c r="G142" s="576"/>
      <c r="H142" s="577">
        <f>34305000+13745800+6844100</f>
        <v>54894900</v>
      </c>
      <c r="I142" s="578">
        <f t="shared" si="22"/>
        <v>88.76299936857612</v>
      </c>
      <c r="J142" s="577">
        <f>34305000+13745800+6844100</f>
        <v>54894900</v>
      </c>
      <c r="K142" s="572">
        <f t="shared" si="24"/>
        <v>88.76299936857612</v>
      </c>
      <c r="L142" s="579">
        <v>100</v>
      </c>
      <c r="M142" s="574">
        <f t="shared" si="23"/>
        <v>88.76299936857612</v>
      </c>
      <c r="N142" s="574">
        <f t="shared" si="25"/>
        <v>6949450</v>
      </c>
      <c r="O142" s="580"/>
    </row>
    <row r="143" spans="1:15" ht="12" customHeight="1">
      <c r="A143" s="570">
        <v>5</v>
      </c>
      <c r="B143" s="571" t="s">
        <v>35</v>
      </c>
      <c r="C143" s="572">
        <v>30676500</v>
      </c>
      <c r="D143" s="573"/>
      <c r="E143" s="574">
        <v>0</v>
      </c>
      <c r="F143" s="575">
        <v>0</v>
      </c>
      <c r="G143" s="576"/>
      <c r="H143" s="577">
        <f>14485300+8850000+567000+1591800+2408100</f>
        <v>27902200</v>
      </c>
      <c r="I143" s="578">
        <f t="shared" si="22"/>
        <v>90.95626945707626</v>
      </c>
      <c r="J143" s="577">
        <f>14485300+8850000+567000+1591800+2408100</f>
        <v>27902200</v>
      </c>
      <c r="K143" s="572">
        <f t="shared" si="24"/>
        <v>90.95626945707626</v>
      </c>
      <c r="L143" s="579">
        <v>100</v>
      </c>
      <c r="M143" s="574">
        <f t="shared" si="23"/>
        <v>90.95626945707626</v>
      </c>
      <c r="N143" s="574">
        <f t="shared" si="25"/>
        <v>2774300</v>
      </c>
      <c r="O143" s="580"/>
    </row>
    <row r="144" spans="1:15" ht="12" customHeight="1">
      <c r="A144" s="570">
        <v>6</v>
      </c>
      <c r="B144" s="571" t="s">
        <v>36</v>
      </c>
      <c r="C144" s="572">
        <v>8800000</v>
      </c>
      <c r="D144" s="573"/>
      <c r="E144" s="574">
        <v>0</v>
      </c>
      <c r="F144" s="575">
        <v>0</v>
      </c>
      <c r="G144" s="576"/>
      <c r="H144" s="577">
        <f>1995200+2004800+4797800</f>
        <v>8797800</v>
      </c>
      <c r="I144" s="578">
        <f t="shared" si="22"/>
        <v>99.97500000000001</v>
      </c>
      <c r="J144" s="577">
        <f>1995200+2004800+4797800</f>
        <v>8797800</v>
      </c>
      <c r="K144" s="572">
        <f t="shared" si="24"/>
        <v>99.97500000000001</v>
      </c>
      <c r="L144" s="579">
        <v>100</v>
      </c>
      <c r="M144" s="574">
        <f t="shared" si="23"/>
        <v>99.97500000000001</v>
      </c>
      <c r="N144" s="574">
        <f t="shared" si="25"/>
        <v>2200</v>
      </c>
      <c r="O144" s="580"/>
    </row>
    <row r="145" spans="1:16" ht="12" customHeight="1">
      <c r="A145" s="63">
        <v>7</v>
      </c>
      <c r="B145" s="73" t="s">
        <v>37</v>
      </c>
      <c r="C145" s="71">
        <v>13076000</v>
      </c>
      <c r="D145" s="213"/>
      <c r="E145" s="37">
        <v>0</v>
      </c>
      <c r="F145" s="195">
        <v>0</v>
      </c>
      <c r="G145" s="231"/>
      <c r="H145" s="7">
        <f>8761950+4314050</f>
        <v>13076000</v>
      </c>
      <c r="I145" s="340">
        <f t="shared" si="22"/>
        <v>100</v>
      </c>
      <c r="J145" s="7">
        <f>8761950+4314050</f>
        <v>13076000</v>
      </c>
      <c r="K145" s="71">
        <f t="shared" si="24"/>
        <v>100</v>
      </c>
      <c r="L145" s="357">
        <v>100</v>
      </c>
      <c r="M145" s="37">
        <f t="shared" si="23"/>
        <v>100</v>
      </c>
      <c r="N145" s="37">
        <f t="shared" si="25"/>
        <v>0</v>
      </c>
      <c r="O145" s="343"/>
      <c r="P145" s="581"/>
    </row>
    <row r="146" spans="1:16" ht="12" customHeight="1">
      <c r="A146" s="63">
        <v>8</v>
      </c>
      <c r="B146" s="73" t="s">
        <v>38</v>
      </c>
      <c r="C146" s="71">
        <v>7500000</v>
      </c>
      <c r="D146" s="213"/>
      <c r="E146" s="37">
        <v>0</v>
      </c>
      <c r="F146" s="195">
        <v>0</v>
      </c>
      <c r="G146" s="231"/>
      <c r="H146" s="7">
        <f>2180000+3856000</f>
        <v>6036000</v>
      </c>
      <c r="I146" s="340">
        <f t="shared" si="22"/>
        <v>80.47999999999999</v>
      </c>
      <c r="J146" s="7">
        <f>2180000+3856000</f>
        <v>6036000</v>
      </c>
      <c r="K146" s="71">
        <f t="shared" si="24"/>
        <v>80.47999999999999</v>
      </c>
      <c r="L146" s="357">
        <v>100</v>
      </c>
      <c r="M146" s="37">
        <f t="shared" si="23"/>
        <v>80.47999999999999</v>
      </c>
      <c r="N146" s="37">
        <f t="shared" si="25"/>
        <v>1464000</v>
      </c>
      <c r="O146" s="343"/>
      <c r="P146" s="581"/>
    </row>
    <row r="147" spans="1:15" ht="12" customHeight="1">
      <c r="A147" s="63">
        <v>9</v>
      </c>
      <c r="B147" s="73" t="s">
        <v>39</v>
      </c>
      <c r="C147" s="71">
        <v>30000000</v>
      </c>
      <c r="D147" s="213"/>
      <c r="E147" s="37">
        <v>0</v>
      </c>
      <c r="F147" s="195">
        <v>0</v>
      </c>
      <c r="G147" s="231"/>
      <c r="H147" s="7">
        <f>18128200+7990000</f>
        <v>26118200</v>
      </c>
      <c r="I147" s="340">
        <f t="shared" si="22"/>
        <v>87.06066666666666</v>
      </c>
      <c r="J147" s="7">
        <f>18128200+7990000</f>
        <v>26118200</v>
      </c>
      <c r="K147" s="71">
        <f t="shared" si="24"/>
        <v>87.06066666666666</v>
      </c>
      <c r="L147" s="357">
        <v>100</v>
      </c>
      <c r="M147" s="37">
        <f t="shared" si="23"/>
        <v>87.06066666666666</v>
      </c>
      <c r="N147" s="37">
        <f t="shared" si="25"/>
        <v>3881800</v>
      </c>
      <c r="O147" s="343"/>
    </row>
    <row r="148" spans="1:15" ht="12" customHeight="1">
      <c r="A148" s="570">
        <v>10</v>
      </c>
      <c r="B148" s="571" t="s">
        <v>40</v>
      </c>
      <c r="C148" s="572">
        <v>175000000</v>
      </c>
      <c r="D148" s="573"/>
      <c r="E148" s="574">
        <v>0</v>
      </c>
      <c r="F148" s="575">
        <v>0</v>
      </c>
      <c r="G148" s="576"/>
      <c r="H148" s="577">
        <f>91631161+15825000+25233525+5875000+11190000+1050000</f>
        <v>150804686</v>
      </c>
      <c r="I148" s="578">
        <f t="shared" si="22"/>
        <v>86.17410628571427</v>
      </c>
      <c r="J148" s="577">
        <f>91631161+15825000+25233525+5875000+11190000+1050000</f>
        <v>150804686</v>
      </c>
      <c r="K148" s="572">
        <f t="shared" si="24"/>
        <v>86.17410628571427</v>
      </c>
      <c r="L148" s="579">
        <v>100</v>
      </c>
      <c r="M148" s="574">
        <f t="shared" si="23"/>
        <v>86.17410628571427</v>
      </c>
      <c r="N148" s="574">
        <f t="shared" si="25"/>
        <v>24195314</v>
      </c>
      <c r="O148" s="580"/>
    </row>
    <row r="149" spans="1:15" ht="12" customHeight="1">
      <c r="A149" s="570">
        <v>11</v>
      </c>
      <c r="B149" s="571" t="s">
        <v>41</v>
      </c>
      <c r="C149" s="572">
        <v>595119800</v>
      </c>
      <c r="D149" s="573"/>
      <c r="E149" s="574">
        <v>0</v>
      </c>
      <c r="F149" s="575">
        <v>0</v>
      </c>
      <c r="G149" s="576"/>
      <c r="H149" s="577">
        <f>385658472+1823500+46604800</f>
        <v>434086772</v>
      </c>
      <c r="I149" s="578">
        <f t="shared" si="22"/>
        <v>72.94107371322546</v>
      </c>
      <c r="J149" s="577">
        <f>385658472+1823500+46604800</f>
        <v>434086772</v>
      </c>
      <c r="K149" s="572">
        <f t="shared" si="24"/>
        <v>72.94107371322546</v>
      </c>
      <c r="L149" s="579">
        <v>100</v>
      </c>
      <c r="M149" s="574">
        <f t="shared" si="23"/>
        <v>72.94107371322546</v>
      </c>
      <c r="N149" s="574">
        <f t="shared" si="25"/>
        <v>161033028</v>
      </c>
      <c r="O149" s="580"/>
    </row>
    <row r="150" spans="1:15" ht="12" customHeight="1">
      <c r="A150" s="253"/>
      <c r="B150" s="75"/>
      <c r="C150" s="71"/>
      <c r="D150" s="213"/>
      <c r="E150" s="37"/>
      <c r="F150" s="195"/>
      <c r="G150" s="231"/>
      <c r="H150" s="7"/>
      <c r="I150" s="114"/>
      <c r="J150" s="7"/>
      <c r="K150" s="36"/>
      <c r="L150" s="307"/>
      <c r="M150" s="37">
        <f>K150</f>
        <v>0</v>
      </c>
      <c r="N150" s="37">
        <f t="shared" si="25"/>
        <v>0</v>
      </c>
      <c r="O150" s="343"/>
    </row>
    <row r="151" spans="1:15" ht="12" customHeight="1">
      <c r="A151" s="68">
        <v>2</v>
      </c>
      <c r="B151" s="69" t="s">
        <v>42</v>
      </c>
      <c r="C151" s="179">
        <f>SUM(C152:C159)</f>
        <v>1049086450</v>
      </c>
      <c r="D151" s="561"/>
      <c r="E151" s="179">
        <f>SUM(E152:E159)</f>
        <v>43582000</v>
      </c>
      <c r="F151" s="562"/>
      <c r="G151" s="563"/>
      <c r="H151" s="179">
        <f>SUM(H152:H159)</f>
        <v>775753620</v>
      </c>
      <c r="I151" s="311">
        <f>+H151/C151*100</f>
        <v>73.94563336510542</v>
      </c>
      <c r="J151" s="179">
        <f>SUM(J152:J159)</f>
        <v>775753620</v>
      </c>
      <c r="K151" s="179">
        <f>+J151/C151*100</f>
        <v>73.94563336510542</v>
      </c>
      <c r="L151" s="560">
        <v>100</v>
      </c>
      <c r="M151" s="64">
        <f>+J151/C151*100</f>
        <v>73.94563336510542</v>
      </c>
      <c r="N151" s="37">
        <f t="shared" si="25"/>
        <v>273332830</v>
      </c>
      <c r="O151" s="343"/>
    </row>
    <row r="152" spans="1:15" ht="12" customHeight="1">
      <c r="A152" s="63">
        <v>1</v>
      </c>
      <c r="B152" s="73" t="s">
        <v>43</v>
      </c>
      <c r="C152" s="71">
        <v>96501600</v>
      </c>
      <c r="D152" s="213"/>
      <c r="E152" s="37"/>
      <c r="F152" s="195"/>
      <c r="G152" s="231"/>
      <c r="H152" s="71">
        <f>54043200+6158400</f>
        <v>60201600</v>
      </c>
      <c r="I152" s="340">
        <f>+H152/C152*100</f>
        <v>62.38404337337412</v>
      </c>
      <c r="J152" s="71">
        <f>54043200+6158400</f>
        <v>60201600</v>
      </c>
      <c r="K152" s="71">
        <f>+J152/C152*100</f>
        <v>62.38404337337412</v>
      </c>
      <c r="L152" s="357">
        <v>100</v>
      </c>
      <c r="M152" s="37">
        <f>+J152/C152*100</f>
        <v>62.38404337337412</v>
      </c>
      <c r="N152" s="37">
        <f t="shared" si="25"/>
        <v>36300000</v>
      </c>
      <c r="O152" s="343"/>
    </row>
    <row r="153" spans="1:15" ht="12" customHeight="1">
      <c r="A153" s="63">
        <v>2</v>
      </c>
      <c r="B153" s="73" t="s">
        <v>44</v>
      </c>
      <c r="C153" s="71">
        <v>62611000</v>
      </c>
      <c r="D153" s="264" t="s">
        <v>121</v>
      </c>
      <c r="E153" s="37">
        <v>5808000</v>
      </c>
      <c r="F153" s="195" t="s">
        <v>124</v>
      </c>
      <c r="G153" s="231" t="s">
        <v>125</v>
      </c>
      <c r="H153" s="71">
        <v>44536000</v>
      </c>
      <c r="I153" s="340">
        <f>+H153/C153*100</f>
        <v>71.1312708629474</v>
      </c>
      <c r="J153" s="71">
        <v>44536000</v>
      </c>
      <c r="K153" s="71">
        <f>+J153/C153*100</f>
        <v>71.1312708629474</v>
      </c>
      <c r="L153" s="357">
        <v>100</v>
      </c>
      <c r="M153" s="37">
        <f>+J153/C153*100</f>
        <v>71.1312708629474</v>
      </c>
      <c r="N153" s="37">
        <f t="shared" si="25"/>
        <v>18075000</v>
      </c>
      <c r="O153" s="343"/>
    </row>
    <row r="154" spans="1:16" ht="12" customHeight="1">
      <c r="A154" s="63"/>
      <c r="B154" s="73"/>
      <c r="C154" s="71"/>
      <c r="D154" s="264" t="s">
        <v>122</v>
      </c>
      <c r="E154" s="37">
        <v>15774000</v>
      </c>
      <c r="F154" s="195" t="s">
        <v>124</v>
      </c>
      <c r="G154" s="231" t="s">
        <v>125</v>
      </c>
      <c r="H154" s="71"/>
      <c r="I154" s="114"/>
      <c r="J154" s="71"/>
      <c r="K154" s="36"/>
      <c r="L154" s="37"/>
      <c r="M154" s="37"/>
      <c r="N154" s="37"/>
      <c r="O154" s="343"/>
      <c r="P154" s="581"/>
    </row>
    <row r="155" spans="1:15" ht="12" customHeight="1">
      <c r="A155" s="63"/>
      <c r="B155" s="73"/>
      <c r="C155" s="71"/>
      <c r="D155" s="264" t="s">
        <v>123</v>
      </c>
      <c r="E155" s="37">
        <v>22000000</v>
      </c>
      <c r="F155" s="195" t="s">
        <v>124</v>
      </c>
      <c r="G155" s="231" t="s">
        <v>125</v>
      </c>
      <c r="H155" s="71"/>
      <c r="I155" s="114"/>
      <c r="J155" s="71"/>
      <c r="K155" s="36"/>
      <c r="L155" s="358"/>
      <c r="M155" s="37"/>
      <c r="N155" s="37"/>
      <c r="O155" s="343"/>
    </row>
    <row r="156" spans="1:15" ht="12" customHeight="1">
      <c r="A156" s="63">
        <v>3</v>
      </c>
      <c r="B156" s="73" t="s">
        <v>45</v>
      </c>
      <c r="C156" s="71">
        <v>217537650</v>
      </c>
      <c r="D156" s="264"/>
      <c r="E156" s="37"/>
      <c r="F156" s="195"/>
      <c r="G156" s="231"/>
      <c r="H156" s="71">
        <v>174523050</v>
      </c>
      <c r="I156" s="340">
        <f>+H156/C156*100</f>
        <v>80.22659525833804</v>
      </c>
      <c r="J156" s="71">
        <v>174523050</v>
      </c>
      <c r="K156" s="71">
        <f>+J156/C156*100</f>
        <v>80.22659525833804</v>
      </c>
      <c r="L156" s="357">
        <v>100</v>
      </c>
      <c r="M156" s="37">
        <f>+J156/C156*100</f>
        <v>80.22659525833804</v>
      </c>
      <c r="N156" s="37">
        <f aca="true" t="shared" si="26" ref="N156:N162">C156-J156</f>
        <v>43014600</v>
      </c>
      <c r="O156" s="343"/>
    </row>
    <row r="157" spans="1:15" ht="12" customHeight="1">
      <c r="A157" s="570">
        <v>4</v>
      </c>
      <c r="B157" s="571" t="s">
        <v>46</v>
      </c>
      <c r="C157" s="572">
        <v>651786200</v>
      </c>
      <c r="D157" s="573"/>
      <c r="E157" s="574"/>
      <c r="F157" s="575"/>
      <c r="G157" s="576"/>
      <c r="H157" s="577">
        <f>290055301+20511297+388649+121088107+45809816</f>
        <v>477853170</v>
      </c>
      <c r="I157" s="578">
        <f>+H157/C157*100</f>
        <v>73.31440432460829</v>
      </c>
      <c r="J157" s="577">
        <f>290055301+20511297+388649+121088107+45809816</f>
        <v>477853170</v>
      </c>
      <c r="K157" s="572">
        <f>+J157/C157*100</f>
        <v>73.31440432460829</v>
      </c>
      <c r="L157" s="579">
        <v>100</v>
      </c>
      <c r="M157" s="574">
        <f>+J157/C157*100</f>
        <v>73.31440432460829</v>
      </c>
      <c r="N157" s="574">
        <f t="shared" si="26"/>
        <v>173933030</v>
      </c>
      <c r="O157" s="580"/>
    </row>
    <row r="158" spans="1:15" ht="12" customHeight="1">
      <c r="A158" s="63">
        <v>5</v>
      </c>
      <c r="B158" s="73" t="s">
        <v>47</v>
      </c>
      <c r="C158" s="71">
        <v>13050000</v>
      </c>
      <c r="D158" s="213"/>
      <c r="E158" s="37">
        <v>0</v>
      </c>
      <c r="F158" s="195">
        <v>0</v>
      </c>
      <c r="G158" s="231"/>
      <c r="H158" s="7">
        <f>3400000+7640000</f>
        <v>11040000</v>
      </c>
      <c r="I158" s="340">
        <f>+H158/C158*100</f>
        <v>84.59770114942529</v>
      </c>
      <c r="J158" s="7">
        <f>3400000+7640000</f>
        <v>11040000</v>
      </c>
      <c r="K158" s="71">
        <f>+J158/C158*100</f>
        <v>84.59770114942529</v>
      </c>
      <c r="L158" s="357">
        <v>100</v>
      </c>
      <c r="M158" s="37">
        <f>+J158/C158*100</f>
        <v>84.59770114942529</v>
      </c>
      <c r="N158" s="37">
        <f t="shared" si="26"/>
        <v>2010000</v>
      </c>
      <c r="O158" s="343"/>
    </row>
    <row r="159" spans="1:15" ht="12" customHeight="1">
      <c r="A159" s="63">
        <v>6</v>
      </c>
      <c r="B159" s="73" t="s">
        <v>48</v>
      </c>
      <c r="C159" s="71">
        <v>7600000</v>
      </c>
      <c r="D159" s="213"/>
      <c r="E159" s="37"/>
      <c r="F159" s="195"/>
      <c r="G159" s="231"/>
      <c r="H159" s="71">
        <v>7599800</v>
      </c>
      <c r="I159" s="340">
        <f>+H159/C159*100</f>
        <v>99.99736842105264</v>
      </c>
      <c r="J159" s="71">
        <v>7599800</v>
      </c>
      <c r="K159" s="71">
        <f>+J159/C159*100</f>
        <v>99.99736842105264</v>
      </c>
      <c r="L159" s="357">
        <v>100</v>
      </c>
      <c r="M159" s="37">
        <f>+J159/C159*100</f>
        <v>99.99736842105264</v>
      </c>
      <c r="N159" s="37">
        <f t="shared" si="26"/>
        <v>200</v>
      </c>
      <c r="O159" s="343"/>
    </row>
    <row r="160" spans="1:15" ht="12" customHeight="1">
      <c r="A160" s="63"/>
      <c r="B160" s="73"/>
      <c r="C160" s="71"/>
      <c r="D160" s="213"/>
      <c r="E160" s="37"/>
      <c r="F160" s="195"/>
      <c r="G160" s="231"/>
      <c r="H160" s="7"/>
      <c r="I160" s="114"/>
      <c r="J160" s="7"/>
      <c r="K160" s="36"/>
      <c r="L160" s="37"/>
      <c r="M160" s="37"/>
      <c r="N160" s="37">
        <f t="shared" si="26"/>
        <v>0</v>
      </c>
      <c r="O160" s="343"/>
    </row>
    <row r="161" spans="1:15" ht="12" customHeight="1">
      <c r="A161" s="68">
        <v>3</v>
      </c>
      <c r="B161" s="69" t="s">
        <v>49</v>
      </c>
      <c r="C161" s="179">
        <f>C162</f>
        <v>73370000</v>
      </c>
      <c r="D161" s="561"/>
      <c r="E161" s="179">
        <f>E162</f>
        <v>57200000</v>
      </c>
      <c r="F161" s="561"/>
      <c r="G161" s="564"/>
      <c r="H161" s="145">
        <f>H162</f>
        <v>73200000</v>
      </c>
      <c r="I161" s="311">
        <f>+H161/C161*100</f>
        <v>99.76829766934715</v>
      </c>
      <c r="J161" s="145">
        <f>J162</f>
        <v>73200000</v>
      </c>
      <c r="K161" s="179">
        <f>+J161/C161*100</f>
        <v>99.76829766934715</v>
      </c>
      <c r="L161" s="560">
        <v>100</v>
      </c>
      <c r="M161" s="64">
        <f>+J161/C161*100</f>
        <v>99.76829766934715</v>
      </c>
      <c r="N161" s="37">
        <f t="shared" si="26"/>
        <v>170000</v>
      </c>
      <c r="O161" s="343"/>
    </row>
    <row r="162" spans="1:16" ht="12" customHeight="1">
      <c r="A162" s="63"/>
      <c r="B162" s="55" t="s">
        <v>50</v>
      </c>
      <c r="C162" s="250">
        <v>73370000</v>
      </c>
      <c r="D162" s="265" t="s">
        <v>118</v>
      </c>
      <c r="E162" s="37">
        <v>57200000</v>
      </c>
      <c r="F162" s="690" t="s">
        <v>119</v>
      </c>
      <c r="G162" s="231" t="s">
        <v>120</v>
      </c>
      <c r="H162" s="10">
        <f>16000000+57200000</f>
        <v>73200000</v>
      </c>
      <c r="I162" s="340">
        <f>+H162/C162*100</f>
        <v>99.76829766934715</v>
      </c>
      <c r="J162" s="10">
        <f>16000000+57200000</f>
        <v>73200000</v>
      </c>
      <c r="K162" s="71">
        <f>+J162/C162*100</f>
        <v>99.76829766934715</v>
      </c>
      <c r="L162" s="357">
        <v>100</v>
      </c>
      <c r="M162" s="37">
        <f>+J162/C162*100</f>
        <v>99.76829766934715</v>
      </c>
      <c r="N162" s="37">
        <f t="shared" si="26"/>
        <v>170000</v>
      </c>
      <c r="O162" s="343"/>
      <c r="P162" s="596"/>
    </row>
    <row r="163" spans="1:16" ht="12" customHeight="1">
      <c r="A163" s="255"/>
      <c r="B163" s="94"/>
      <c r="C163" s="631"/>
      <c r="D163" s="265"/>
      <c r="E163" s="173"/>
      <c r="F163" s="263"/>
      <c r="G163" s="632"/>
      <c r="H163" s="633"/>
      <c r="I163" s="340"/>
      <c r="J163" s="633"/>
      <c r="K163" s="71"/>
      <c r="L163" s="357"/>
      <c r="M163" s="37"/>
      <c r="N163" s="173"/>
      <c r="O163" s="343"/>
      <c r="P163" s="596"/>
    </row>
    <row r="164" spans="1:16" s="689" customFormat="1" ht="12" customHeight="1">
      <c r="A164" s="259">
        <v>4</v>
      </c>
      <c r="B164" s="280" t="s">
        <v>51</v>
      </c>
      <c r="C164" s="281">
        <f>C165+C178+C179</f>
        <v>5367814400</v>
      </c>
      <c r="D164" s="282"/>
      <c r="E164" s="281">
        <f>SUM(E166:E180)</f>
        <v>3007864804</v>
      </c>
      <c r="F164" s="282"/>
      <c r="G164" s="283"/>
      <c r="H164" s="284">
        <f>SUM(H165+H178+H179)</f>
        <v>3990714999</v>
      </c>
      <c r="I164" s="311">
        <f>+H164/C164*100</f>
        <v>74.345249325312</v>
      </c>
      <c r="J164" s="284">
        <f>+J165+J178+J179</f>
        <v>3990714999</v>
      </c>
      <c r="K164" s="179">
        <f>+J164/C164*100</f>
        <v>74.345249325312</v>
      </c>
      <c r="L164" s="308">
        <v>100</v>
      </c>
      <c r="M164" s="64">
        <f>+J164/C164*100</f>
        <v>74.345249325312</v>
      </c>
      <c r="N164" s="284">
        <f>C164-J164</f>
        <v>1377099401</v>
      </c>
      <c r="O164" s="687"/>
      <c r="P164" s="688"/>
    </row>
    <row r="165" spans="1:16" ht="12" customHeight="1">
      <c r="A165" s="489">
        <v>1</v>
      </c>
      <c r="B165" s="627" t="s">
        <v>52</v>
      </c>
      <c r="C165" s="521">
        <v>3876642400</v>
      </c>
      <c r="D165" s="686"/>
      <c r="E165" s="691"/>
      <c r="F165" s="691"/>
      <c r="G165" s="551"/>
      <c r="H165" s="630">
        <f>107651400+2500000+H166+H167+H168+H173+H174+H175+H176</f>
        <v>3069416200</v>
      </c>
      <c r="I165" s="513">
        <f>H165/C165*100</f>
        <v>79.17718177977933</v>
      </c>
      <c r="J165" s="630">
        <f>107651400+2500000+J166+J167+J168+J173+J174+J175+J176</f>
        <v>3069416200</v>
      </c>
      <c r="K165" s="166">
        <f>+J165/C165*100</f>
        <v>79.17718177977933</v>
      </c>
      <c r="L165" s="621">
        <v>100</v>
      </c>
      <c r="M165" s="167">
        <f>J165/C165*100</f>
        <v>79.17718177977933</v>
      </c>
      <c r="N165" s="485">
        <f>C165-J165</f>
        <v>807226200</v>
      </c>
      <c r="O165" s="486"/>
      <c r="P165" s="551"/>
    </row>
    <row r="166" spans="1:16" ht="12" customHeight="1">
      <c r="A166" s="489"/>
      <c r="B166" s="627"/>
      <c r="C166" s="521"/>
      <c r="D166" s="618" t="s">
        <v>111</v>
      </c>
      <c r="E166" s="521">
        <v>89375000</v>
      </c>
      <c r="F166" s="522" t="s">
        <v>114</v>
      </c>
      <c r="G166" s="619" t="s">
        <v>116</v>
      </c>
      <c r="H166" s="521">
        <v>89375000</v>
      </c>
      <c r="I166" s="620">
        <f>H166/E166*100</f>
        <v>100</v>
      </c>
      <c r="J166" s="521">
        <v>89375000</v>
      </c>
      <c r="K166" s="620">
        <f>+H166/E166*100</f>
        <v>100</v>
      </c>
      <c r="L166" s="621">
        <v>100</v>
      </c>
      <c r="M166" s="167">
        <v>100</v>
      </c>
      <c r="N166" s="485"/>
      <c r="O166" s="486"/>
      <c r="P166" s="551"/>
    </row>
    <row r="167" spans="1:16" ht="12" customHeight="1">
      <c r="A167" s="489"/>
      <c r="B167" s="627"/>
      <c r="C167" s="521"/>
      <c r="D167" s="618" t="s">
        <v>112</v>
      </c>
      <c r="E167" s="521">
        <v>198000000</v>
      </c>
      <c r="F167" s="522" t="s">
        <v>115</v>
      </c>
      <c r="G167" s="619" t="s">
        <v>117</v>
      </c>
      <c r="H167" s="521">
        <v>198000000</v>
      </c>
      <c r="I167" s="620">
        <f aca="true" t="shared" si="27" ref="I167:I176">H167/E167*100</f>
        <v>100</v>
      </c>
      <c r="J167" s="521">
        <v>198000000</v>
      </c>
      <c r="K167" s="620">
        <f aca="true" t="shared" si="28" ref="K167:K176">+H167/E167*100</f>
        <v>100</v>
      </c>
      <c r="L167" s="621">
        <v>100</v>
      </c>
      <c r="M167" s="167">
        <v>100</v>
      </c>
      <c r="N167" s="485"/>
      <c r="O167" s="486"/>
      <c r="P167" s="551"/>
    </row>
    <row r="168" spans="1:16" ht="12" customHeight="1">
      <c r="A168" s="489"/>
      <c r="B168" s="627"/>
      <c r="C168" s="521"/>
      <c r="D168" s="618" t="s">
        <v>113</v>
      </c>
      <c r="E168" s="521">
        <v>108075000</v>
      </c>
      <c r="F168" s="522" t="s">
        <v>114</v>
      </c>
      <c r="G168" s="619" t="s">
        <v>116</v>
      </c>
      <c r="H168" s="521">
        <v>108075000</v>
      </c>
      <c r="I168" s="620">
        <f t="shared" si="27"/>
        <v>100</v>
      </c>
      <c r="J168" s="521">
        <v>108075000</v>
      </c>
      <c r="K168" s="620">
        <f t="shared" si="28"/>
        <v>100</v>
      </c>
      <c r="L168" s="621">
        <v>100</v>
      </c>
      <c r="M168" s="167">
        <v>100</v>
      </c>
      <c r="N168" s="485"/>
      <c r="O168" s="486"/>
      <c r="P168" s="551"/>
    </row>
    <row r="169" spans="1:16" ht="12" customHeight="1">
      <c r="A169" s="808" t="s">
        <v>2</v>
      </c>
      <c r="B169" s="808" t="s">
        <v>3</v>
      </c>
      <c r="C169" s="808" t="s">
        <v>168</v>
      </c>
      <c r="D169" s="820" t="s">
        <v>104</v>
      </c>
      <c r="E169" s="808" t="s">
        <v>5</v>
      </c>
      <c r="F169" s="820" t="s">
        <v>6</v>
      </c>
      <c r="G169" s="824" t="s">
        <v>105</v>
      </c>
      <c r="H169" s="816" t="s">
        <v>7</v>
      </c>
      <c r="I169" s="817"/>
      <c r="J169" s="817"/>
      <c r="K169" s="818"/>
      <c r="L169" s="816" t="s">
        <v>8</v>
      </c>
      <c r="M169" s="818"/>
      <c r="N169" s="805" t="s">
        <v>87</v>
      </c>
      <c r="O169" s="827" t="s">
        <v>9</v>
      </c>
      <c r="P169" s="551"/>
    </row>
    <row r="170" spans="1:16" ht="12" customHeight="1">
      <c r="A170" s="806"/>
      <c r="B170" s="806"/>
      <c r="C170" s="806"/>
      <c r="D170" s="821"/>
      <c r="E170" s="814"/>
      <c r="F170" s="821"/>
      <c r="G170" s="825"/>
      <c r="H170" s="809" t="s">
        <v>10</v>
      </c>
      <c r="I170" s="808" t="s">
        <v>11</v>
      </c>
      <c r="J170" s="808" t="s">
        <v>12</v>
      </c>
      <c r="K170" s="808" t="s">
        <v>11</v>
      </c>
      <c r="L170" s="808" t="s">
        <v>13</v>
      </c>
      <c r="M170" s="820" t="s">
        <v>14</v>
      </c>
      <c r="N170" s="806"/>
      <c r="O170" s="828"/>
      <c r="P170" s="551"/>
    </row>
    <row r="171" spans="1:16" ht="12" customHeight="1">
      <c r="A171" s="807"/>
      <c r="B171" s="807"/>
      <c r="C171" s="807"/>
      <c r="D171" s="822"/>
      <c r="E171" s="815"/>
      <c r="F171" s="822"/>
      <c r="G171" s="826"/>
      <c r="H171" s="810"/>
      <c r="I171" s="807"/>
      <c r="J171" s="807"/>
      <c r="K171" s="807"/>
      <c r="L171" s="807"/>
      <c r="M171" s="822"/>
      <c r="N171" s="807"/>
      <c r="O171" s="828"/>
      <c r="P171" s="551"/>
    </row>
    <row r="172" spans="1:16" ht="12" customHeight="1">
      <c r="A172" s="2">
        <v>1</v>
      </c>
      <c r="B172" s="2">
        <v>2</v>
      </c>
      <c r="C172" s="2">
        <v>3</v>
      </c>
      <c r="D172" s="189"/>
      <c r="E172" s="2">
        <v>4</v>
      </c>
      <c r="F172" s="189">
        <v>5</v>
      </c>
      <c r="G172" s="226"/>
      <c r="H172" s="2">
        <v>6</v>
      </c>
      <c r="I172" s="2">
        <v>7</v>
      </c>
      <c r="J172" s="2">
        <v>8</v>
      </c>
      <c r="K172" s="2">
        <v>9</v>
      </c>
      <c r="L172" s="2">
        <v>10</v>
      </c>
      <c r="M172" s="2">
        <v>11</v>
      </c>
      <c r="N172" s="2">
        <v>12</v>
      </c>
      <c r="O172" s="2">
        <v>13</v>
      </c>
      <c r="P172" s="551"/>
    </row>
    <row r="173" spans="1:16" ht="12" customHeight="1">
      <c r="A173" s="489"/>
      <c r="B173" s="627"/>
      <c r="C173" s="521"/>
      <c r="D173" s="622" t="s">
        <v>130</v>
      </c>
      <c r="E173" s="521">
        <v>98200000</v>
      </c>
      <c r="F173" s="623" t="s">
        <v>131</v>
      </c>
      <c r="G173" s="492">
        <v>43556</v>
      </c>
      <c r="H173" s="521">
        <v>98200000</v>
      </c>
      <c r="I173" s="620">
        <f t="shared" si="27"/>
        <v>100</v>
      </c>
      <c r="J173" s="521">
        <v>98200000</v>
      </c>
      <c r="K173" s="620">
        <f t="shared" si="28"/>
        <v>100</v>
      </c>
      <c r="L173" s="621">
        <v>100</v>
      </c>
      <c r="M173" s="167">
        <v>100</v>
      </c>
      <c r="N173" s="485"/>
      <c r="O173" s="486"/>
      <c r="P173" s="551"/>
    </row>
    <row r="174" spans="1:16" ht="12" customHeight="1">
      <c r="A174" s="489"/>
      <c r="B174" s="627"/>
      <c r="C174" s="521"/>
      <c r="D174" s="622" t="s">
        <v>172</v>
      </c>
      <c r="E174" s="521">
        <v>197498000</v>
      </c>
      <c r="F174" s="522" t="s">
        <v>114</v>
      </c>
      <c r="G174" s="492"/>
      <c r="H174" s="521">
        <v>197498000</v>
      </c>
      <c r="I174" s="620">
        <f t="shared" si="27"/>
        <v>100</v>
      </c>
      <c r="J174" s="521">
        <v>197498000</v>
      </c>
      <c r="K174" s="620">
        <f t="shared" si="28"/>
        <v>100</v>
      </c>
      <c r="L174" s="621">
        <v>100</v>
      </c>
      <c r="M174" s="167">
        <v>100</v>
      </c>
      <c r="N174" s="485"/>
      <c r="O174" s="486"/>
      <c r="P174" s="551"/>
    </row>
    <row r="175" spans="1:16" ht="12" customHeight="1">
      <c r="A175" s="63"/>
      <c r="B175" s="21"/>
      <c r="C175" s="22"/>
      <c r="D175" s="622" t="s">
        <v>173</v>
      </c>
      <c r="E175" s="521">
        <v>622203600</v>
      </c>
      <c r="F175" s="624" t="s">
        <v>174</v>
      </c>
      <c r="G175" s="492">
        <v>43738</v>
      </c>
      <c r="H175" s="521">
        <v>622203600</v>
      </c>
      <c r="I175" s="620">
        <f t="shared" si="27"/>
        <v>100</v>
      </c>
      <c r="J175" s="521">
        <v>622203600</v>
      </c>
      <c r="K175" s="620">
        <f t="shared" si="28"/>
        <v>100</v>
      </c>
      <c r="L175" s="621">
        <v>100</v>
      </c>
      <c r="M175" s="37">
        <v>100</v>
      </c>
      <c r="N175" s="172"/>
      <c r="O175" s="343"/>
      <c r="P175" s="551"/>
    </row>
    <row r="176" spans="1:16" ht="12" customHeight="1">
      <c r="A176" s="63"/>
      <c r="B176" s="21"/>
      <c r="C176" s="22"/>
      <c r="D176" s="622" t="s">
        <v>173</v>
      </c>
      <c r="E176" s="521">
        <v>1645913200</v>
      </c>
      <c r="F176" s="624" t="s">
        <v>175</v>
      </c>
      <c r="G176" s="492">
        <v>43738</v>
      </c>
      <c r="H176" s="521">
        <v>1645913200</v>
      </c>
      <c r="I176" s="620">
        <f t="shared" si="27"/>
        <v>100</v>
      </c>
      <c r="J176" s="521">
        <v>1645913200</v>
      </c>
      <c r="K176" s="620">
        <f t="shared" si="28"/>
        <v>100</v>
      </c>
      <c r="L176" s="621">
        <v>100</v>
      </c>
      <c r="M176" s="37">
        <v>100</v>
      </c>
      <c r="N176" s="172"/>
      <c r="O176" s="343"/>
      <c r="P176" s="551"/>
    </row>
    <row r="177" spans="1:16" ht="12" customHeight="1">
      <c r="A177" s="63"/>
      <c r="B177" s="21"/>
      <c r="C177" s="22"/>
      <c r="D177" s="359"/>
      <c r="E177" s="22"/>
      <c r="F177" s="360"/>
      <c r="G177" s="361"/>
      <c r="H177" s="22"/>
      <c r="I177" s="114"/>
      <c r="J177" s="22"/>
      <c r="K177" s="36"/>
      <c r="L177" s="307"/>
      <c r="M177" s="37"/>
      <c r="N177" s="172"/>
      <c r="O177" s="343"/>
      <c r="P177" s="596"/>
    </row>
    <row r="178" spans="1:16" ht="12" customHeight="1">
      <c r="A178" s="582">
        <v>2</v>
      </c>
      <c r="B178" s="583" t="s">
        <v>53</v>
      </c>
      <c r="C178" s="584">
        <v>1110122000</v>
      </c>
      <c r="D178" s="585"/>
      <c r="E178" s="586"/>
      <c r="F178" s="587"/>
      <c r="G178" s="588"/>
      <c r="H178" s="589">
        <f>604173402+100000000+6406500+91445309</f>
        <v>802025211</v>
      </c>
      <c r="I178" s="590">
        <f>+H178/C178*100</f>
        <v>72.2465828980959</v>
      </c>
      <c r="J178" s="589">
        <f>604173402+100000000+6406500+91445309</f>
        <v>802025211</v>
      </c>
      <c r="K178" s="591">
        <f>+J178/C178*100</f>
        <v>72.2465828980959</v>
      </c>
      <c r="L178" s="592">
        <v>100</v>
      </c>
      <c r="M178" s="593">
        <f>+J178/C178*100</f>
        <v>72.2465828980959</v>
      </c>
      <c r="N178" s="594">
        <f>C178-J178</f>
        <v>308096789</v>
      </c>
      <c r="O178" s="595"/>
      <c r="P178" s="596"/>
    </row>
    <row r="179" spans="1:15" ht="12" customHeight="1">
      <c r="A179" s="582">
        <v>3</v>
      </c>
      <c r="B179" s="583" t="s">
        <v>54</v>
      </c>
      <c r="C179" s="584">
        <v>381050000</v>
      </c>
      <c r="D179" s="585" t="s">
        <v>107</v>
      </c>
      <c r="E179" s="589">
        <v>48600000</v>
      </c>
      <c r="F179" s="587" t="s">
        <v>108</v>
      </c>
      <c r="G179" s="588">
        <v>43584</v>
      </c>
      <c r="H179" s="589">
        <f>119273588</f>
        <v>119273588</v>
      </c>
      <c r="I179" s="590">
        <f>+H179/C179*100</f>
        <v>31.30129589292744</v>
      </c>
      <c r="J179" s="589">
        <f>119273588</f>
        <v>119273588</v>
      </c>
      <c r="K179" s="591">
        <f>+J179/C179*100</f>
        <v>31.30129589292744</v>
      </c>
      <c r="L179" s="592">
        <v>100</v>
      </c>
      <c r="M179" s="593">
        <f>+J179/C179*100</f>
        <v>31.30129589292744</v>
      </c>
      <c r="N179" s="594">
        <f>C179-J179</f>
        <v>261776412</v>
      </c>
      <c r="O179" s="595"/>
    </row>
    <row r="180" spans="1:15" ht="12" customHeight="1">
      <c r="A180" s="255"/>
      <c r="B180" s="246"/>
      <c r="C180" s="28"/>
      <c r="D180" s="215"/>
      <c r="E180" s="29"/>
      <c r="F180" s="134"/>
      <c r="G180" s="238"/>
      <c r="H180" s="29"/>
      <c r="I180" s="314"/>
      <c r="J180" s="29"/>
      <c r="K180" s="36"/>
      <c r="L180" s="307"/>
      <c r="M180" s="173"/>
      <c r="N180" s="172"/>
      <c r="O180" s="345"/>
    </row>
    <row r="181" spans="1:16" ht="12" customHeight="1">
      <c r="A181" s="256">
        <v>5</v>
      </c>
      <c r="B181" s="97" t="s">
        <v>56</v>
      </c>
      <c r="C181" s="174">
        <f>SUM(C182:C195)</f>
        <v>1190425000</v>
      </c>
      <c r="D181" s="565"/>
      <c r="E181" s="174">
        <f>E182+E183+E184++E185+E186+E187+E188+E191+E193+E195+E190</f>
        <v>160501000</v>
      </c>
      <c r="F181" s="565"/>
      <c r="G181" s="566"/>
      <c r="H181" s="174">
        <f>SUM(H182:H195)</f>
        <v>873672001</v>
      </c>
      <c r="I181" s="311">
        <f aca="true" t="shared" si="29" ref="I181:I189">+H181/C181*100</f>
        <v>73.39160392296868</v>
      </c>
      <c r="J181" s="174">
        <f>SUM(J182:J195)</f>
        <v>873672001</v>
      </c>
      <c r="K181" s="179">
        <f aca="true" t="shared" si="30" ref="K181:K189">+J181/C181*100</f>
        <v>73.39160392296868</v>
      </c>
      <c r="L181" s="560">
        <v>100</v>
      </c>
      <c r="M181" s="64">
        <f aca="true" t="shared" si="31" ref="M181:M189">+J181/C181*100</f>
        <v>73.39160392296868</v>
      </c>
      <c r="N181" s="172">
        <f aca="true" t="shared" si="32" ref="N181:N189">C181-J181</f>
        <v>316752999</v>
      </c>
      <c r="O181" s="343"/>
      <c r="P181" s="596"/>
    </row>
    <row r="182" spans="1:15" ht="12" customHeight="1">
      <c r="A182" s="582">
        <v>1</v>
      </c>
      <c r="B182" s="597" t="s">
        <v>57</v>
      </c>
      <c r="C182" s="591">
        <v>350000000</v>
      </c>
      <c r="D182" s="598"/>
      <c r="E182" s="591"/>
      <c r="F182" s="587"/>
      <c r="G182" s="588"/>
      <c r="H182" s="591">
        <v>214048900</v>
      </c>
      <c r="I182" s="590">
        <f t="shared" si="29"/>
        <v>61.15682857142857</v>
      </c>
      <c r="J182" s="591">
        <v>214048900</v>
      </c>
      <c r="K182" s="591">
        <f t="shared" si="30"/>
        <v>61.15682857142857</v>
      </c>
      <c r="L182" s="599">
        <v>100</v>
      </c>
      <c r="M182" s="593">
        <f t="shared" si="31"/>
        <v>61.15682857142857</v>
      </c>
      <c r="N182" s="594">
        <f t="shared" si="32"/>
        <v>135951100</v>
      </c>
      <c r="O182" s="595"/>
    </row>
    <row r="183" spans="1:16" ht="12" customHeight="1">
      <c r="A183" s="63">
        <v>2</v>
      </c>
      <c r="B183" s="98" t="s">
        <v>58</v>
      </c>
      <c r="C183" s="71">
        <v>165000000</v>
      </c>
      <c r="D183" s="213"/>
      <c r="E183" s="37"/>
      <c r="F183" s="99"/>
      <c r="G183" s="235"/>
      <c r="H183" s="71">
        <f>122001983+1342421+2100000</f>
        <v>125444404</v>
      </c>
      <c r="I183" s="340">
        <f t="shared" si="29"/>
        <v>76.02691151515153</v>
      </c>
      <c r="J183" s="71">
        <f>122001983+1342421+2100000</f>
        <v>125444404</v>
      </c>
      <c r="K183" s="71">
        <f t="shared" si="30"/>
        <v>76.02691151515153</v>
      </c>
      <c r="L183" s="308">
        <v>100</v>
      </c>
      <c r="M183" s="37">
        <f t="shared" si="31"/>
        <v>76.02691151515153</v>
      </c>
      <c r="N183" s="172">
        <f t="shared" si="32"/>
        <v>39555596</v>
      </c>
      <c r="O183" s="343"/>
      <c r="P183" s="441"/>
    </row>
    <row r="184" spans="1:15" ht="12" customHeight="1">
      <c r="A184" s="438">
        <v>3</v>
      </c>
      <c r="B184" s="436" t="s">
        <v>59</v>
      </c>
      <c r="C184" s="408">
        <v>50000000</v>
      </c>
      <c r="D184" s="409"/>
      <c r="E184" s="415"/>
      <c r="F184" s="410"/>
      <c r="G184" s="411"/>
      <c r="H184" s="412">
        <f>22900000+1375000+2400000</f>
        <v>26675000</v>
      </c>
      <c r="I184" s="413">
        <f t="shared" si="29"/>
        <v>53.349999999999994</v>
      </c>
      <c r="J184" s="412">
        <f>22900000+1375000+2400000</f>
        <v>26675000</v>
      </c>
      <c r="K184" s="408">
        <f t="shared" si="30"/>
        <v>53.349999999999994</v>
      </c>
      <c r="L184" s="414">
        <v>100</v>
      </c>
      <c r="M184" s="415">
        <f t="shared" si="31"/>
        <v>53.349999999999994</v>
      </c>
      <c r="N184" s="416">
        <f t="shared" si="32"/>
        <v>23325000</v>
      </c>
      <c r="O184" s="439"/>
    </row>
    <row r="185" spans="1:16" ht="12" customHeight="1">
      <c r="A185" s="489">
        <v>4</v>
      </c>
      <c r="B185" s="169" t="s">
        <v>78</v>
      </c>
      <c r="C185" s="166">
        <v>80000000</v>
      </c>
      <c r="D185" s="214" t="s">
        <v>110</v>
      </c>
      <c r="E185" s="167">
        <v>11000000</v>
      </c>
      <c r="F185" s="491" t="s">
        <v>109</v>
      </c>
      <c r="G185" s="492">
        <v>43580</v>
      </c>
      <c r="H185" s="168">
        <f>29275000+25799900+8675000</f>
        <v>63749900</v>
      </c>
      <c r="I185" s="483">
        <f t="shared" si="29"/>
        <v>79.687375</v>
      </c>
      <c r="J185" s="168">
        <f>29275000+25799900+8675000</f>
        <v>63749900</v>
      </c>
      <c r="K185" s="166">
        <f t="shared" si="30"/>
        <v>79.687375</v>
      </c>
      <c r="L185" s="484">
        <v>100</v>
      </c>
      <c r="M185" s="167">
        <f t="shared" si="31"/>
        <v>79.687375</v>
      </c>
      <c r="N185" s="485">
        <f t="shared" si="32"/>
        <v>16250100</v>
      </c>
      <c r="O185" s="486"/>
      <c r="P185" s="441"/>
    </row>
    <row r="186" spans="1:15" ht="12" customHeight="1">
      <c r="A186" s="438">
        <v>5</v>
      </c>
      <c r="B186" s="407" t="s">
        <v>79</v>
      </c>
      <c r="C186" s="408">
        <v>50000000</v>
      </c>
      <c r="D186" s="409"/>
      <c r="E186" s="415"/>
      <c r="F186" s="410"/>
      <c r="G186" s="411"/>
      <c r="H186" s="412">
        <f>10775000+4950000+550000</f>
        <v>16275000</v>
      </c>
      <c r="I186" s="413">
        <f t="shared" si="29"/>
        <v>32.550000000000004</v>
      </c>
      <c r="J186" s="412">
        <f>10775000+4950000+550000</f>
        <v>16275000</v>
      </c>
      <c r="K186" s="408">
        <f t="shared" si="30"/>
        <v>32.550000000000004</v>
      </c>
      <c r="L186" s="414">
        <v>100</v>
      </c>
      <c r="M186" s="415">
        <f t="shared" si="31"/>
        <v>32.550000000000004</v>
      </c>
      <c r="N186" s="416">
        <f t="shared" si="32"/>
        <v>33725000</v>
      </c>
      <c r="O186" s="439"/>
    </row>
    <row r="187" spans="1:15" ht="12" customHeight="1">
      <c r="A187" s="489">
        <v>6</v>
      </c>
      <c r="B187" s="169" t="s">
        <v>60</v>
      </c>
      <c r="C187" s="166">
        <v>50000000</v>
      </c>
      <c r="D187" s="214"/>
      <c r="E187" s="167"/>
      <c r="F187" s="491"/>
      <c r="G187" s="492"/>
      <c r="H187" s="168">
        <f>20860166+1435000+2766631</f>
        <v>25061797</v>
      </c>
      <c r="I187" s="483">
        <f t="shared" si="29"/>
        <v>50.123594000000004</v>
      </c>
      <c r="J187" s="168">
        <f>20860166+1435000+2766631</f>
        <v>25061797</v>
      </c>
      <c r="K187" s="166">
        <f t="shared" si="30"/>
        <v>50.123594000000004</v>
      </c>
      <c r="L187" s="484">
        <v>100</v>
      </c>
      <c r="M187" s="167">
        <f t="shared" si="31"/>
        <v>50.123594000000004</v>
      </c>
      <c r="N187" s="485">
        <f t="shared" si="32"/>
        <v>24938203</v>
      </c>
      <c r="O187" s="486"/>
    </row>
    <row r="188" spans="1:15" ht="12" customHeight="1">
      <c r="A188" s="493">
        <v>7</v>
      </c>
      <c r="B188" s="494" t="s">
        <v>61</v>
      </c>
      <c r="C188" s="495">
        <v>50000000</v>
      </c>
      <c r="D188" s="496"/>
      <c r="E188" s="497"/>
      <c r="F188" s="498"/>
      <c r="G188" s="499"/>
      <c r="H188" s="500">
        <v>48600000</v>
      </c>
      <c r="I188" s="483">
        <f t="shared" si="29"/>
        <v>97.2</v>
      </c>
      <c r="J188" s="500">
        <v>48600000</v>
      </c>
      <c r="K188" s="166">
        <f t="shared" si="30"/>
        <v>97.2</v>
      </c>
      <c r="L188" s="484">
        <v>100</v>
      </c>
      <c r="M188" s="167">
        <f t="shared" si="31"/>
        <v>97.2</v>
      </c>
      <c r="N188" s="485">
        <f t="shared" si="32"/>
        <v>1400000</v>
      </c>
      <c r="O188" s="486"/>
    </row>
    <row r="189" spans="1:15" ht="12" customHeight="1">
      <c r="A189" s="489">
        <v>8</v>
      </c>
      <c r="B189" s="494" t="s">
        <v>85</v>
      </c>
      <c r="C189" s="495">
        <v>156700000</v>
      </c>
      <c r="D189" s="496"/>
      <c r="E189" s="497"/>
      <c r="F189" s="498"/>
      <c r="G189" s="499"/>
      <c r="H189" s="500">
        <f>149501000+4700000</f>
        <v>154201000</v>
      </c>
      <c r="I189" s="483">
        <f t="shared" si="29"/>
        <v>98.40523292916401</v>
      </c>
      <c r="J189" s="500">
        <f>149501000+4700000</f>
        <v>154201000</v>
      </c>
      <c r="K189" s="166">
        <f t="shared" si="30"/>
        <v>98.40523292916401</v>
      </c>
      <c r="L189" s="484">
        <v>100</v>
      </c>
      <c r="M189" s="167">
        <f t="shared" si="31"/>
        <v>98.40523292916401</v>
      </c>
      <c r="N189" s="485">
        <f t="shared" si="32"/>
        <v>2499000</v>
      </c>
      <c r="O189" s="486"/>
    </row>
    <row r="190" spans="1:16" ht="12" customHeight="1">
      <c r="A190" s="493"/>
      <c r="B190" s="494"/>
      <c r="C190" s="495"/>
      <c r="D190" s="501" t="s">
        <v>154</v>
      </c>
      <c r="E190" s="502">
        <v>149501000</v>
      </c>
      <c r="F190" s="503" t="s">
        <v>156</v>
      </c>
      <c r="G190" s="504" t="s">
        <v>155</v>
      </c>
      <c r="H190" s="505"/>
      <c r="I190" s="506"/>
      <c r="J190" s="505"/>
      <c r="K190" s="166"/>
      <c r="L190" s="484"/>
      <c r="M190" s="167"/>
      <c r="N190" s="485"/>
      <c r="O190" s="486"/>
      <c r="P190" s="441"/>
    </row>
    <row r="191" spans="1:16" ht="12" customHeight="1">
      <c r="A191" s="442">
        <v>9</v>
      </c>
      <c r="B191" s="425" t="s">
        <v>80</v>
      </c>
      <c r="C191" s="426">
        <v>140000000</v>
      </c>
      <c r="D191" s="427"/>
      <c r="E191" s="428">
        <v>0</v>
      </c>
      <c r="F191" s="429"/>
      <c r="G191" s="430"/>
      <c r="H191" s="426">
        <f>108166000+2350000</f>
        <v>110516000</v>
      </c>
      <c r="I191" s="431">
        <f>(H191)/C191*100</f>
        <v>78.94</v>
      </c>
      <c r="J191" s="426">
        <f>108166000+2350000</f>
        <v>110516000</v>
      </c>
      <c r="K191" s="443">
        <f>(J191+J192)/C191*100</f>
        <v>78.94</v>
      </c>
      <c r="L191" s="414">
        <v>100</v>
      </c>
      <c r="M191" s="415">
        <f>(J191+J192)/C191*100</f>
        <v>78.94</v>
      </c>
      <c r="N191" s="426">
        <f>C191-J191-J192</f>
        <v>29484000</v>
      </c>
      <c r="O191" s="439"/>
      <c r="P191" s="441"/>
    </row>
    <row r="192" spans="1:16" ht="12" customHeight="1">
      <c r="A192" s="442"/>
      <c r="B192" s="425"/>
      <c r="C192" s="426"/>
      <c r="D192" s="432" t="s">
        <v>140</v>
      </c>
      <c r="E192" s="428">
        <v>85930000</v>
      </c>
      <c r="F192" s="433" t="s">
        <v>141</v>
      </c>
      <c r="G192" s="430">
        <v>43556</v>
      </c>
      <c r="H192" s="428"/>
      <c r="I192" s="413"/>
      <c r="J192" s="428"/>
      <c r="K192" s="408"/>
      <c r="L192" s="414"/>
      <c r="M192" s="415"/>
      <c r="N192" s="426"/>
      <c r="O192" s="439"/>
      <c r="P192" s="441"/>
    </row>
    <row r="193" spans="1:16" ht="12" customHeight="1">
      <c r="A193" s="438">
        <v>10</v>
      </c>
      <c r="B193" s="407" t="s">
        <v>62</v>
      </c>
      <c r="C193" s="408">
        <v>58775000</v>
      </c>
      <c r="D193" s="409"/>
      <c r="E193" s="408"/>
      <c r="F193" s="410"/>
      <c r="G193" s="411"/>
      <c r="H193" s="412">
        <f>14545000+25830000+16750000</f>
        <v>57125000</v>
      </c>
      <c r="I193" s="413">
        <f>+H193/C193*100</f>
        <v>97.19268396427051</v>
      </c>
      <c r="J193" s="412">
        <f>14545000+25830000+16750000</f>
        <v>57125000</v>
      </c>
      <c r="K193" s="408">
        <f>+J193/C193*100</f>
        <v>97.19268396427051</v>
      </c>
      <c r="L193" s="414">
        <v>100</v>
      </c>
      <c r="M193" s="415">
        <f>+J193/C193*100</f>
        <v>97.19268396427051</v>
      </c>
      <c r="N193" s="416">
        <f aca="true" t="shared" si="33" ref="N193:N203">C193-J193</f>
        <v>1650000</v>
      </c>
      <c r="O193" s="439"/>
      <c r="P193" s="441"/>
    </row>
    <row r="194" spans="1:16" ht="12" customHeight="1">
      <c r="A194" s="442">
        <v>11</v>
      </c>
      <c r="B194" s="407" t="s">
        <v>81</v>
      </c>
      <c r="C194" s="434">
        <v>18950000</v>
      </c>
      <c r="D194" s="435"/>
      <c r="E194" s="408"/>
      <c r="F194" s="410"/>
      <c r="G194" s="411"/>
      <c r="H194" s="412">
        <v>15150000</v>
      </c>
      <c r="I194" s="413">
        <f>+H194/C194*100</f>
        <v>79.94722955145119</v>
      </c>
      <c r="J194" s="412">
        <v>15150000</v>
      </c>
      <c r="K194" s="408">
        <f>+J194/C194*100</f>
        <v>79.94722955145119</v>
      </c>
      <c r="L194" s="414">
        <v>100</v>
      </c>
      <c r="M194" s="415">
        <f>+J194/C194*100</f>
        <v>79.94722955145119</v>
      </c>
      <c r="N194" s="416">
        <f t="shared" si="33"/>
        <v>3800000</v>
      </c>
      <c r="O194" s="439"/>
      <c r="P194" s="581"/>
    </row>
    <row r="195" spans="1:15" ht="12" customHeight="1">
      <c r="A195" s="570">
        <v>12</v>
      </c>
      <c r="B195" s="571" t="s">
        <v>55</v>
      </c>
      <c r="C195" s="600">
        <v>21000000</v>
      </c>
      <c r="D195" s="601"/>
      <c r="E195" s="572"/>
      <c r="F195" s="602"/>
      <c r="G195" s="603"/>
      <c r="H195" s="577">
        <f>12900000+3925000</f>
        <v>16825000</v>
      </c>
      <c r="I195" s="578">
        <f>+H195/C195*100</f>
        <v>80.11904761904762</v>
      </c>
      <c r="J195" s="577">
        <f>12900000+3925000</f>
        <v>16825000</v>
      </c>
      <c r="K195" s="572">
        <f>+J195/C195*100</f>
        <v>80.11904761904762</v>
      </c>
      <c r="L195" s="604">
        <v>100</v>
      </c>
      <c r="M195" s="574">
        <f>+J195/C195*100</f>
        <v>80.11904761904762</v>
      </c>
      <c r="N195" s="605">
        <f t="shared" si="33"/>
        <v>4175000</v>
      </c>
      <c r="O195" s="580"/>
    </row>
    <row r="196" spans="1:15" ht="12" customHeight="1">
      <c r="A196" s="519"/>
      <c r="B196" s="520"/>
      <c r="C196" s="521"/>
      <c r="D196" s="522"/>
      <c r="E196" s="523"/>
      <c r="F196" s="491"/>
      <c r="G196" s="492"/>
      <c r="H196" s="524"/>
      <c r="I196" s="525"/>
      <c r="J196" s="524"/>
      <c r="K196" s="168"/>
      <c r="L196" s="526"/>
      <c r="M196" s="168"/>
      <c r="N196" s="485">
        <f t="shared" si="33"/>
        <v>0</v>
      </c>
      <c r="O196" s="486"/>
    </row>
    <row r="197" spans="1:15" ht="12" customHeight="1">
      <c r="A197" s="527">
        <v>6</v>
      </c>
      <c r="B197" s="528" t="s">
        <v>63</v>
      </c>
      <c r="C197" s="529">
        <f>C198+C199+C200</f>
        <v>386507853</v>
      </c>
      <c r="D197" s="530"/>
      <c r="E197" s="529">
        <f>E198+E199+E200</f>
        <v>0</v>
      </c>
      <c r="F197" s="530"/>
      <c r="G197" s="531"/>
      <c r="H197" s="532">
        <f>SUM(H198:H200)</f>
        <v>319944000</v>
      </c>
      <c r="I197" s="483">
        <f>+H197/C197*100</f>
        <v>82.77813698134615</v>
      </c>
      <c r="J197" s="532">
        <f>SUM(J198:J200)</f>
        <v>319944000</v>
      </c>
      <c r="K197" s="166">
        <f>+J197/C197*100</f>
        <v>82.77813698134615</v>
      </c>
      <c r="L197" s="484">
        <v>100</v>
      </c>
      <c r="M197" s="167">
        <f>+J197/C197*100</f>
        <v>82.77813698134615</v>
      </c>
      <c r="N197" s="485">
        <f t="shared" si="33"/>
        <v>66563853</v>
      </c>
      <c r="O197" s="486"/>
    </row>
    <row r="198" spans="1:15" ht="12" customHeight="1">
      <c r="A198" s="489">
        <v>1</v>
      </c>
      <c r="B198" s="169" t="s">
        <v>64</v>
      </c>
      <c r="C198" s="517">
        <v>50000000</v>
      </c>
      <c r="D198" s="518"/>
      <c r="E198" s="517"/>
      <c r="F198" s="491"/>
      <c r="G198" s="492"/>
      <c r="H198" s="517">
        <f>37223000+3525000+5525000</f>
        <v>46273000</v>
      </c>
      <c r="I198" s="483">
        <f>+H198/C198*100</f>
        <v>92.54599999999999</v>
      </c>
      <c r="J198" s="517">
        <f>37223000+3525000+5525000</f>
        <v>46273000</v>
      </c>
      <c r="K198" s="166">
        <f>+J198/C198*100</f>
        <v>92.54599999999999</v>
      </c>
      <c r="L198" s="484">
        <v>100</v>
      </c>
      <c r="M198" s="167">
        <f>+J198/C198*100</f>
        <v>92.54599999999999</v>
      </c>
      <c r="N198" s="485">
        <f t="shared" si="33"/>
        <v>3727000</v>
      </c>
      <c r="O198" s="486"/>
    </row>
    <row r="199" spans="1:15" ht="12" customHeight="1">
      <c r="A199" s="489">
        <v>2</v>
      </c>
      <c r="B199" s="169" t="s">
        <v>65</v>
      </c>
      <c r="C199" s="517">
        <v>35000000</v>
      </c>
      <c r="D199" s="518"/>
      <c r="E199" s="523"/>
      <c r="F199" s="491"/>
      <c r="G199" s="492"/>
      <c r="H199" s="517">
        <f>8946000+20250000</f>
        <v>29196000</v>
      </c>
      <c r="I199" s="483">
        <f>+H199/C199*100</f>
        <v>83.41714285714286</v>
      </c>
      <c r="J199" s="517">
        <f>8946000+20250000</f>
        <v>29196000</v>
      </c>
      <c r="K199" s="166">
        <f>+J199/C199*100</f>
        <v>83.41714285714286</v>
      </c>
      <c r="L199" s="484">
        <v>100</v>
      </c>
      <c r="M199" s="167">
        <f>+J199/C199*100</f>
        <v>83.41714285714286</v>
      </c>
      <c r="N199" s="485">
        <f t="shared" si="33"/>
        <v>5804000</v>
      </c>
      <c r="O199" s="486"/>
    </row>
    <row r="200" spans="1:15" ht="12" customHeight="1">
      <c r="A200" s="489">
        <v>3</v>
      </c>
      <c r="B200" s="169" t="s">
        <v>66</v>
      </c>
      <c r="C200" s="166">
        <v>301507853</v>
      </c>
      <c r="D200" s="214"/>
      <c r="E200" s="166"/>
      <c r="F200" s="491"/>
      <c r="G200" s="492"/>
      <c r="H200" s="166">
        <f>236275000+4450000+3750000</f>
        <v>244475000</v>
      </c>
      <c r="I200" s="483">
        <f>+H200/C200*100</f>
        <v>81.08412353690834</v>
      </c>
      <c r="J200" s="166">
        <f>236275000+4450000+3750000</f>
        <v>244475000</v>
      </c>
      <c r="K200" s="166">
        <f>+J200/C200*100</f>
        <v>81.08412353690834</v>
      </c>
      <c r="L200" s="484">
        <v>100</v>
      </c>
      <c r="M200" s="167">
        <f>+J200/C200*100</f>
        <v>81.08412353690834</v>
      </c>
      <c r="N200" s="485">
        <f t="shared" si="33"/>
        <v>57032853</v>
      </c>
      <c r="O200" s="486"/>
    </row>
    <row r="201" spans="1:15" ht="12" customHeight="1">
      <c r="A201" s="533"/>
      <c r="B201" s="534"/>
      <c r="C201" s="535"/>
      <c r="D201" s="536"/>
      <c r="E201" s="535"/>
      <c r="F201" s="537"/>
      <c r="G201" s="538"/>
      <c r="H201" s="535">
        <v>0</v>
      </c>
      <c r="I201" s="539"/>
      <c r="J201" s="535"/>
      <c r="K201" s="540"/>
      <c r="L201" s="541"/>
      <c r="M201" s="542"/>
      <c r="N201" s="485">
        <f t="shared" si="33"/>
        <v>0</v>
      </c>
      <c r="O201" s="486"/>
    </row>
    <row r="202" spans="1:15" ht="12" customHeight="1">
      <c r="A202" s="527">
        <v>7</v>
      </c>
      <c r="B202" s="528" t="s">
        <v>67</v>
      </c>
      <c r="C202" s="532">
        <f>C203+C204</f>
        <v>520000000</v>
      </c>
      <c r="D202" s="567"/>
      <c r="E202" s="532">
        <f>SUM(E203:E212)</f>
        <v>503968000</v>
      </c>
      <c r="F202" s="567"/>
      <c r="G202" s="568"/>
      <c r="H202" s="532">
        <f>SUM(H203+H204)</f>
        <v>505018000</v>
      </c>
      <c r="I202" s="543">
        <f>+H202/C202*100</f>
        <v>97.11884615384615</v>
      </c>
      <c r="J202" s="532">
        <f>SUM(J203+J204)</f>
        <v>505018000</v>
      </c>
      <c r="K202" s="552">
        <f>+J202/C202*100</f>
        <v>97.11884615384615</v>
      </c>
      <c r="L202" s="569">
        <v>100</v>
      </c>
      <c r="M202" s="545">
        <f>J202/C202*100</f>
        <v>97.11884615384615</v>
      </c>
      <c r="N202" s="485">
        <f t="shared" si="33"/>
        <v>14982000</v>
      </c>
      <c r="O202" s="486"/>
    </row>
    <row r="203" spans="1:15" ht="12" customHeight="1">
      <c r="A203" s="519">
        <v>1</v>
      </c>
      <c r="B203" s="169" t="s">
        <v>68</v>
      </c>
      <c r="C203" s="166">
        <v>100000000</v>
      </c>
      <c r="D203" s="546" t="s">
        <v>129</v>
      </c>
      <c r="E203" s="521">
        <v>98395000</v>
      </c>
      <c r="F203" s="546" t="s">
        <v>128</v>
      </c>
      <c r="G203" s="547" t="s">
        <v>127</v>
      </c>
      <c r="H203" s="166">
        <v>99445000</v>
      </c>
      <c r="I203" s="483">
        <f>+H203/C203*100</f>
        <v>99.445</v>
      </c>
      <c r="J203" s="166">
        <v>99445000</v>
      </c>
      <c r="K203" s="166">
        <f>+J203/C203*100</f>
        <v>99.445</v>
      </c>
      <c r="L203" s="484">
        <v>100</v>
      </c>
      <c r="M203" s="167">
        <f>+J203/C203*100</f>
        <v>99.445</v>
      </c>
      <c r="N203" s="485">
        <f t="shared" si="33"/>
        <v>555000</v>
      </c>
      <c r="O203" s="486"/>
    </row>
    <row r="204" spans="1:15" ht="12" customHeight="1">
      <c r="A204" s="519">
        <v>2</v>
      </c>
      <c r="B204" s="169" t="s">
        <v>69</v>
      </c>
      <c r="C204" s="166">
        <v>420000000</v>
      </c>
      <c r="D204" s="546"/>
      <c r="E204" s="521"/>
      <c r="F204" s="546"/>
      <c r="G204" s="547"/>
      <c r="H204" s="166">
        <f>SUM(H205+H206+H207+H208+H209+H210+H211+H212)</f>
        <v>405573000</v>
      </c>
      <c r="I204" s="483">
        <f>H204/C204*100</f>
        <v>96.565</v>
      </c>
      <c r="J204" s="166">
        <f>SUM(J205+J206+J207+J208+J209+J210+J211+J212)</f>
        <v>405573000</v>
      </c>
      <c r="K204" s="166">
        <f>J204/C204*100</f>
        <v>96.565</v>
      </c>
      <c r="L204" s="484">
        <v>100</v>
      </c>
      <c r="M204" s="167">
        <f>+J204/C204*100</f>
        <v>96.565</v>
      </c>
      <c r="N204" s="485">
        <f>C204-(J205+J206+J207+J208+J209+J210+J211+J212)</f>
        <v>14427000</v>
      </c>
      <c r="O204" s="486"/>
    </row>
    <row r="205" spans="1:15" ht="12" customHeight="1">
      <c r="A205" s="519"/>
      <c r="B205" s="169"/>
      <c r="C205" s="166"/>
      <c r="D205" s="501" t="s">
        <v>136</v>
      </c>
      <c r="E205" s="166">
        <v>98188000</v>
      </c>
      <c r="F205" s="548" t="s">
        <v>134</v>
      </c>
      <c r="G205" s="492" t="s">
        <v>135</v>
      </c>
      <c r="H205" s="166">
        <v>98188000</v>
      </c>
      <c r="I205" s="629">
        <f>+H205/E205*100</f>
        <v>100</v>
      </c>
      <c r="J205" s="166">
        <v>98188000</v>
      </c>
      <c r="K205" s="629">
        <f>+J205/E205*100</f>
        <v>100</v>
      </c>
      <c r="M205" s="167"/>
      <c r="O205" s="486"/>
    </row>
    <row r="206" spans="1:15" ht="12" customHeight="1">
      <c r="A206" s="519"/>
      <c r="B206" s="169"/>
      <c r="C206" s="166"/>
      <c r="D206" s="501" t="s">
        <v>145</v>
      </c>
      <c r="E206" s="166">
        <v>48230000</v>
      </c>
      <c r="F206" s="548" t="s">
        <v>144</v>
      </c>
      <c r="G206" s="512" t="s">
        <v>143</v>
      </c>
      <c r="H206" s="166">
        <v>48230000</v>
      </c>
      <c r="I206" s="629">
        <f aca="true" t="shared" si="34" ref="I206:I212">+H206/E206*100</f>
        <v>100</v>
      </c>
      <c r="J206" s="166">
        <v>48230000</v>
      </c>
      <c r="K206" s="629">
        <f aca="true" t="shared" si="35" ref="K206:K212">+J206/E206*100</f>
        <v>100</v>
      </c>
      <c r="L206" s="484"/>
      <c r="M206" s="167"/>
      <c r="N206" s="485"/>
      <c r="O206" s="486"/>
    </row>
    <row r="207" spans="1:15" ht="12" customHeight="1">
      <c r="A207" s="519"/>
      <c r="B207" s="169"/>
      <c r="C207" s="166"/>
      <c r="D207" s="501" t="s">
        <v>142</v>
      </c>
      <c r="E207" s="166">
        <v>48150000</v>
      </c>
      <c r="F207" s="548" t="s">
        <v>146</v>
      </c>
      <c r="G207" s="512" t="s">
        <v>143</v>
      </c>
      <c r="H207" s="166">
        <v>48150000</v>
      </c>
      <c r="I207" s="629">
        <f t="shared" si="34"/>
        <v>100</v>
      </c>
      <c r="J207" s="166">
        <v>48150000</v>
      </c>
      <c r="K207" s="629">
        <f t="shared" si="35"/>
        <v>100</v>
      </c>
      <c r="L207" s="484"/>
      <c r="M207" s="167"/>
      <c r="N207" s="485"/>
      <c r="O207" s="486"/>
    </row>
    <row r="208" spans="1:15" ht="12" customHeight="1">
      <c r="A208" s="519"/>
      <c r="B208" s="169"/>
      <c r="C208" s="166"/>
      <c r="D208" s="501" t="s">
        <v>147</v>
      </c>
      <c r="E208" s="166">
        <v>38280000</v>
      </c>
      <c r="F208" s="549" t="s">
        <v>148</v>
      </c>
      <c r="G208" s="512">
        <v>43556</v>
      </c>
      <c r="H208" s="166">
        <v>38280000</v>
      </c>
      <c r="I208" s="629">
        <f t="shared" si="34"/>
        <v>100</v>
      </c>
      <c r="J208" s="166">
        <v>38280000</v>
      </c>
      <c r="K208" s="629">
        <f t="shared" si="35"/>
        <v>100</v>
      </c>
      <c r="L208" s="484"/>
      <c r="M208" s="167"/>
      <c r="N208" s="485"/>
      <c r="O208" s="486"/>
    </row>
    <row r="209" spans="1:15" ht="12" customHeight="1">
      <c r="A209" s="519"/>
      <c r="B209" s="169"/>
      <c r="C209" s="166"/>
      <c r="D209" s="501" t="s">
        <v>149</v>
      </c>
      <c r="E209" s="166">
        <v>48260000</v>
      </c>
      <c r="F209" s="549" t="s">
        <v>148</v>
      </c>
      <c r="G209" s="512">
        <v>43556</v>
      </c>
      <c r="H209" s="166">
        <v>48260000</v>
      </c>
      <c r="I209" s="629">
        <f t="shared" si="34"/>
        <v>100</v>
      </c>
      <c r="J209" s="166">
        <v>48260000</v>
      </c>
      <c r="K209" s="629">
        <f t="shared" si="35"/>
        <v>100</v>
      </c>
      <c r="L209" s="484"/>
      <c r="M209" s="167"/>
      <c r="N209" s="485"/>
      <c r="O209" s="486"/>
    </row>
    <row r="210" spans="1:15" ht="12" customHeight="1">
      <c r="A210" s="519"/>
      <c r="B210" s="169"/>
      <c r="C210" s="166"/>
      <c r="D210" s="501" t="s">
        <v>150</v>
      </c>
      <c r="E210" s="166">
        <v>38170000</v>
      </c>
      <c r="F210" s="549" t="s">
        <v>148</v>
      </c>
      <c r="G210" s="512">
        <v>43556</v>
      </c>
      <c r="H210" s="166">
        <v>38170000</v>
      </c>
      <c r="I210" s="629">
        <f t="shared" si="34"/>
        <v>100</v>
      </c>
      <c r="J210" s="166">
        <v>38170000</v>
      </c>
      <c r="K210" s="629">
        <f t="shared" si="35"/>
        <v>100</v>
      </c>
      <c r="L210" s="484"/>
      <c r="M210" s="167"/>
      <c r="N210" s="485"/>
      <c r="O210" s="486"/>
    </row>
    <row r="211" spans="1:15" ht="12" customHeight="1">
      <c r="A211" s="519"/>
      <c r="B211" s="169"/>
      <c r="C211" s="166"/>
      <c r="D211" s="501" t="s">
        <v>151</v>
      </c>
      <c r="E211" s="166">
        <v>48125000</v>
      </c>
      <c r="F211" s="550" t="s">
        <v>152</v>
      </c>
      <c r="G211" s="512">
        <v>43556</v>
      </c>
      <c r="H211" s="166">
        <v>48125000</v>
      </c>
      <c r="I211" s="629">
        <f t="shared" si="34"/>
        <v>100</v>
      </c>
      <c r="J211" s="166">
        <v>48125000</v>
      </c>
      <c r="K211" s="629">
        <f t="shared" si="35"/>
        <v>100</v>
      </c>
      <c r="L211" s="484"/>
      <c r="M211" s="167"/>
      <c r="N211" s="485"/>
      <c r="O211" s="486"/>
    </row>
    <row r="212" spans="1:15" ht="12" customHeight="1">
      <c r="A212" s="519"/>
      <c r="B212" s="490"/>
      <c r="C212" s="166"/>
      <c r="D212" s="501" t="s">
        <v>153</v>
      </c>
      <c r="E212" s="166">
        <v>38170000</v>
      </c>
      <c r="F212" s="550" t="s">
        <v>152</v>
      </c>
      <c r="G212" s="512">
        <v>43556</v>
      </c>
      <c r="H212" s="166">
        <v>38170000</v>
      </c>
      <c r="I212" s="629">
        <f t="shared" si="34"/>
        <v>100</v>
      </c>
      <c r="J212" s="166">
        <v>38170000</v>
      </c>
      <c r="K212" s="629">
        <f t="shared" si="35"/>
        <v>100</v>
      </c>
      <c r="L212" s="484"/>
      <c r="M212" s="167"/>
      <c r="N212" s="485"/>
      <c r="O212" s="486"/>
    </row>
    <row r="213" spans="1:15" ht="12" customHeight="1">
      <c r="A213" s="254">
        <v>8</v>
      </c>
      <c r="B213" s="490"/>
      <c r="C213" s="166"/>
      <c r="D213" s="166"/>
      <c r="E213" s="523"/>
      <c r="F213" s="491"/>
      <c r="G213" s="492"/>
      <c r="H213" s="168"/>
      <c r="I213" s="525"/>
      <c r="J213" s="168"/>
      <c r="K213" s="168"/>
      <c r="L213" s="168"/>
      <c r="M213" s="552"/>
      <c r="N213" s="485">
        <f>C212-J213</f>
        <v>0</v>
      </c>
      <c r="O213" s="486"/>
    </row>
    <row r="214" spans="1:15" ht="12" customHeight="1">
      <c r="A214" s="475"/>
      <c r="B214" s="69" t="s">
        <v>70</v>
      </c>
      <c r="C214" s="39">
        <f>SUM(C215:C215)</f>
        <v>100000000</v>
      </c>
      <c r="D214" s="198"/>
      <c r="E214" s="39">
        <f>SUM(E215:E215)</f>
        <v>0</v>
      </c>
      <c r="F214" s="198"/>
      <c r="G214" s="234"/>
      <c r="H214" s="179">
        <f>SUM(H215:H215)</f>
        <v>88083981</v>
      </c>
      <c r="I214" s="311">
        <f>+H214/C214*100</f>
        <v>88.083981</v>
      </c>
      <c r="J214" s="179">
        <f>SUM(J215:J215)</f>
        <v>88083981</v>
      </c>
      <c r="K214" s="179">
        <f>+J214/C214*100</f>
        <v>88.083981</v>
      </c>
      <c r="L214" s="308">
        <v>100</v>
      </c>
      <c r="M214" s="64">
        <f>+J214/C214*100</f>
        <v>88.083981</v>
      </c>
      <c r="N214" s="171">
        <f>C214-J214</f>
        <v>11916019</v>
      </c>
      <c r="O214" s="343"/>
    </row>
    <row r="215" spans="1:15" ht="12" customHeight="1">
      <c r="A215" s="63"/>
      <c r="B215" s="476" t="s">
        <v>169</v>
      </c>
      <c r="C215" s="477">
        <v>100000000</v>
      </c>
      <c r="D215" s="478"/>
      <c r="E215" s="479"/>
      <c r="F215" s="480"/>
      <c r="G215" s="481"/>
      <c r="H215" s="482">
        <f>1400000+47496500+39187481</f>
        <v>88083981</v>
      </c>
      <c r="I215" s="483">
        <f>+H215/C215*100</f>
        <v>88.083981</v>
      </c>
      <c r="J215" s="482">
        <f>1400000+47496500+39187481</f>
        <v>88083981</v>
      </c>
      <c r="K215" s="166">
        <f>+J215/C215*100</f>
        <v>88.083981</v>
      </c>
      <c r="L215" s="484">
        <v>100</v>
      </c>
      <c r="M215" s="167">
        <f>+J215/C215*100</f>
        <v>88.083981</v>
      </c>
      <c r="N215" s="485">
        <f>C215-J215</f>
        <v>11916019</v>
      </c>
      <c r="O215" s="486"/>
    </row>
    <row r="216" spans="1:15" ht="12" customHeight="1" thickBot="1">
      <c r="A216" s="102"/>
      <c r="B216" s="40"/>
      <c r="C216" s="41"/>
      <c r="D216" s="221"/>
      <c r="E216" s="37"/>
      <c r="F216" s="99"/>
      <c r="G216" s="235"/>
      <c r="H216" s="42"/>
      <c r="I216" s="320"/>
      <c r="J216" s="321"/>
      <c r="K216" s="322"/>
      <c r="L216" s="322"/>
      <c r="M216" s="322"/>
      <c r="N216" s="34"/>
      <c r="O216" s="343"/>
    </row>
    <row r="217" spans="1:15" ht="12" customHeight="1" thickBot="1">
      <c r="A217" s="126"/>
      <c r="B217" s="103"/>
      <c r="C217" s="609">
        <f>C123+C137</f>
        <v>13112358353</v>
      </c>
      <c r="D217" s="609"/>
      <c r="E217" s="609">
        <f>+E123+E137</f>
        <v>3773115804</v>
      </c>
      <c r="F217" s="609">
        <f>F138+F151+F161+F164+F181+F197+F202+F214</f>
        <v>0</v>
      </c>
      <c r="G217" s="610"/>
      <c r="H217" s="611">
        <f>+H123+H137</f>
        <v>9913019123</v>
      </c>
      <c r="I217" s="608">
        <f>+H217/C217*100</f>
        <v>75.6005811931763</v>
      </c>
      <c r="J217" s="612">
        <f>+J123+J137</f>
        <v>9913019123</v>
      </c>
      <c r="K217" s="607">
        <f>+J217/C217*100</f>
        <v>75.6005811931763</v>
      </c>
      <c r="L217" s="613">
        <v>100</v>
      </c>
      <c r="M217" s="607">
        <f>SUM(M137+M123)/2</f>
        <v>74.81498412587447</v>
      </c>
      <c r="N217" s="614">
        <f>N123+N137</f>
        <v>3199339230</v>
      </c>
      <c r="O217" s="606"/>
    </row>
    <row r="218" spans="1:14" ht="12" customHeight="1">
      <c r="A218" s="126"/>
      <c r="B218" s="135"/>
      <c r="C218" s="136"/>
      <c r="D218" s="208"/>
      <c r="E218" s="60"/>
      <c r="F218" s="207"/>
      <c r="G218" s="244"/>
      <c r="H218" s="44"/>
      <c r="I218" s="617"/>
      <c r="J218" s="1"/>
      <c r="K218" s="117"/>
      <c r="L218" s="117" t="s">
        <v>176</v>
      </c>
      <c r="M218" s="117"/>
      <c r="N218" s="117"/>
    </row>
    <row r="219" spans="1:14" ht="12" customHeight="1">
      <c r="A219" s="126"/>
      <c r="B219" s="138"/>
      <c r="C219" s="84"/>
      <c r="D219" s="199"/>
      <c r="E219" s="139"/>
      <c r="F219" s="207"/>
      <c r="G219" s="244"/>
      <c r="H219" s="45"/>
      <c r="I219" s="317"/>
      <c r="J219" s="1"/>
      <c r="K219" s="617"/>
      <c r="L219" s="617" t="s">
        <v>73</v>
      </c>
      <c r="M219" s="617"/>
      <c r="N219" s="617"/>
    </row>
    <row r="220" spans="1:14" ht="12" customHeight="1">
      <c r="A220" s="126"/>
      <c r="B220" s="105" t="s">
        <v>82</v>
      </c>
      <c r="C220" s="106">
        <f>H217/C217*100</f>
        <v>75.6005811931763</v>
      </c>
      <c r="D220" s="222"/>
      <c r="E220" s="60"/>
      <c r="F220" s="208"/>
      <c r="G220" s="224"/>
      <c r="H220" s="44"/>
      <c r="I220" s="617"/>
      <c r="J220" s="1"/>
      <c r="K220" s="617"/>
      <c r="L220" s="617" t="s">
        <v>72</v>
      </c>
      <c r="M220" s="617"/>
      <c r="N220" s="617"/>
    </row>
    <row r="221" spans="1:14" ht="12" customHeight="1">
      <c r="A221" s="126"/>
      <c r="B221" s="105"/>
      <c r="C221" s="106"/>
      <c r="D221" s="222"/>
      <c r="E221" s="60"/>
      <c r="F221" s="208"/>
      <c r="G221" s="224"/>
      <c r="H221" s="44"/>
      <c r="I221" s="617"/>
      <c r="J221" s="1"/>
      <c r="K221" s="617"/>
      <c r="L221" s="617"/>
      <c r="M221" s="617"/>
      <c r="N221" s="617"/>
    </row>
    <row r="222" spans="1:14" ht="12" customHeight="1">
      <c r="A222" s="126"/>
      <c r="B222" s="140"/>
      <c r="C222" s="141"/>
      <c r="D222" s="223"/>
      <c r="E222" s="60"/>
      <c r="F222" s="208"/>
      <c r="G222" s="224"/>
      <c r="H222" s="44"/>
      <c r="I222" s="617"/>
      <c r="J222" s="1"/>
      <c r="K222" s="617"/>
      <c r="L222" s="617"/>
      <c r="M222" s="617"/>
      <c r="N222" s="617"/>
    </row>
    <row r="223" spans="1:14" ht="12" customHeight="1">
      <c r="A223" s="126"/>
      <c r="B223" s="140"/>
      <c r="C223" s="141"/>
      <c r="D223" s="223"/>
      <c r="E223" s="60"/>
      <c r="F223" s="208"/>
      <c r="G223" s="224"/>
      <c r="H223" s="44"/>
      <c r="I223" s="617"/>
      <c r="J223" s="1"/>
      <c r="K223" s="617"/>
      <c r="L223" s="617"/>
      <c r="M223" s="617"/>
      <c r="N223" s="617"/>
    </row>
    <row r="224" spans="1:14" ht="12" customHeight="1">
      <c r="A224" s="126"/>
      <c r="B224" s="128"/>
      <c r="C224" s="84"/>
      <c r="D224" s="199"/>
      <c r="E224" s="60"/>
      <c r="F224" s="207"/>
      <c r="G224" s="244"/>
      <c r="H224" s="46"/>
      <c r="I224" s="617"/>
      <c r="J224" s="108"/>
      <c r="K224" s="108"/>
      <c r="L224" s="108" t="s">
        <v>74</v>
      </c>
      <c r="M224" s="1"/>
      <c r="N224" s="1"/>
    </row>
    <row r="225" spans="1:14" ht="12" customHeight="1">
      <c r="A225" s="151"/>
      <c r="B225" s="127"/>
      <c r="C225" s="84"/>
      <c r="D225" s="199"/>
      <c r="E225" s="60"/>
      <c r="F225" s="187"/>
      <c r="G225" s="224"/>
      <c r="H225" s="46"/>
      <c r="I225" s="617"/>
      <c r="J225" s="617"/>
      <c r="K225" s="617"/>
      <c r="L225" s="617" t="s">
        <v>75</v>
      </c>
      <c r="M225" s="1"/>
      <c r="N225" s="1"/>
    </row>
    <row r="226" spans="1:14" ht="12" customHeight="1">
      <c r="A226" s="617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</row>
  </sheetData>
  <sheetProtection/>
  <mergeCells count="59">
    <mergeCell ref="A1:N1"/>
    <mergeCell ref="A2:N2"/>
    <mergeCell ref="A3:N3"/>
    <mergeCell ref="A5:B5"/>
    <mergeCell ref="A7:A9"/>
    <mergeCell ref="B7:B9"/>
    <mergeCell ref="C7:C9"/>
    <mergeCell ref="D7:D9"/>
    <mergeCell ref="E7:E9"/>
    <mergeCell ref="N7:N9"/>
    <mergeCell ref="O7:O9"/>
    <mergeCell ref="H8:H9"/>
    <mergeCell ref="I8:I9"/>
    <mergeCell ref="J8:J9"/>
    <mergeCell ref="K8:K9"/>
    <mergeCell ref="L8:L9"/>
    <mergeCell ref="M8:M9"/>
    <mergeCell ref="F7:F9"/>
    <mergeCell ref="G7:G9"/>
    <mergeCell ref="H7:K7"/>
    <mergeCell ref="L7:M7"/>
    <mergeCell ref="A113:N113"/>
    <mergeCell ref="A114:N114"/>
    <mergeCell ref="A115:N115"/>
    <mergeCell ref="A117:B117"/>
    <mergeCell ref="A119:A121"/>
    <mergeCell ref="B119:B121"/>
    <mergeCell ref="C119:C121"/>
    <mergeCell ref="D119:D121"/>
    <mergeCell ref="E119:E121"/>
    <mergeCell ref="F119:F121"/>
    <mergeCell ref="G119:G121"/>
    <mergeCell ref="H119:K119"/>
    <mergeCell ref="M170:M171"/>
    <mergeCell ref="N119:N121"/>
    <mergeCell ref="O119:O121"/>
    <mergeCell ref="H120:H121"/>
    <mergeCell ref="I120:I121"/>
    <mergeCell ref="J120:J121"/>
    <mergeCell ref="K120:K121"/>
    <mergeCell ref="L120:L121"/>
    <mergeCell ref="M120:M121"/>
    <mergeCell ref="L119:M119"/>
    <mergeCell ref="G169:G171"/>
    <mergeCell ref="H169:K169"/>
    <mergeCell ref="L169:M169"/>
    <mergeCell ref="N169:N171"/>
    <mergeCell ref="O169:O171"/>
    <mergeCell ref="H170:H171"/>
    <mergeCell ref="I170:I171"/>
    <mergeCell ref="J170:J171"/>
    <mergeCell ref="K170:K171"/>
    <mergeCell ref="L170:L171"/>
    <mergeCell ref="A169:A171"/>
    <mergeCell ref="B169:B171"/>
    <mergeCell ref="C169:C171"/>
    <mergeCell ref="D169:D171"/>
    <mergeCell ref="E169:E171"/>
    <mergeCell ref="F169:F171"/>
  </mergeCells>
  <printOptions horizontalCentered="1"/>
  <pageMargins left="0.2" right="0.45" top="0.75" bottom="0.75" header="0.3" footer="0.3"/>
  <pageSetup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se7en</dc:creator>
  <cp:keywords/>
  <dc:description/>
  <cp:lastModifiedBy>KLH Demak</cp:lastModifiedBy>
  <cp:lastPrinted>2019-12-23T06:00:02Z</cp:lastPrinted>
  <dcterms:created xsi:type="dcterms:W3CDTF">2017-12-27T00:53:44Z</dcterms:created>
  <dcterms:modified xsi:type="dcterms:W3CDTF">2019-12-31T03:10:02Z</dcterms:modified>
  <cp:category/>
  <cp:version/>
  <cp:contentType/>
  <cp:contentStatus/>
</cp:coreProperties>
</file>