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BD5147C4-8C1A-4C0F-8DED-7F1FD183DA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1" sheetId="12" r:id="rId1"/>
  </sheets>
  <definedNames>
    <definedName name="_xlnm._FilterDatabase" localSheetId="0" hidden="1">'2281'!$A$5:$R$84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4" i="12" l="1"/>
  <c r="M84" i="12"/>
  <c r="E84" i="12"/>
  <c r="O83" i="12"/>
  <c r="M83" i="12"/>
  <c r="O82" i="12"/>
  <c r="M82" i="12"/>
  <c r="E82" i="12"/>
  <c r="O81" i="12"/>
  <c r="M81" i="12"/>
  <c r="E81" i="12"/>
  <c r="O80" i="12"/>
  <c r="G80" i="12"/>
  <c r="Q79" i="12"/>
  <c r="P79" i="12"/>
  <c r="O79" i="12"/>
  <c r="M79" i="12"/>
  <c r="K79" i="12"/>
  <c r="H79" i="12"/>
  <c r="G79" i="12"/>
  <c r="E79" i="12"/>
  <c r="R78" i="12"/>
  <c r="Q78" i="12"/>
  <c r="P78" i="12"/>
  <c r="O78" i="12"/>
  <c r="N78" i="12"/>
  <c r="M78" i="12"/>
  <c r="K78" i="12"/>
  <c r="H78" i="12"/>
  <c r="F78" i="12"/>
  <c r="E78" i="12"/>
  <c r="O77" i="12"/>
  <c r="M77" i="12"/>
  <c r="K77" i="12"/>
  <c r="E77" i="12"/>
  <c r="Q76" i="12"/>
  <c r="O76" i="12"/>
  <c r="M76" i="12"/>
  <c r="K76" i="12"/>
  <c r="E76" i="12"/>
  <c r="O75" i="12"/>
  <c r="M75" i="12"/>
  <c r="O74" i="12"/>
  <c r="M74" i="12"/>
  <c r="H74" i="12"/>
  <c r="F74" i="12"/>
  <c r="E74" i="12"/>
  <c r="P73" i="12"/>
  <c r="O73" i="12"/>
  <c r="M73" i="12"/>
  <c r="E73" i="12"/>
  <c r="O72" i="12"/>
  <c r="M72" i="12"/>
  <c r="E72" i="12"/>
  <c r="O71" i="12"/>
  <c r="M71" i="12"/>
  <c r="G71" i="12"/>
  <c r="E71" i="12"/>
  <c r="O70" i="12"/>
  <c r="M70" i="12"/>
  <c r="E70" i="12"/>
  <c r="P69" i="12"/>
  <c r="O69" i="12"/>
  <c r="M68" i="12"/>
  <c r="K68" i="12"/>
  <c r="E68" i="12"/>
  <c r="P66" i="12"/>
  <c r="O66" i="12"/>
  <c r="M66" i="12"/>
  <c r="Q65" i="12"/>
  <c r="O65" i="12"/>
  <c r="M65" i="12"/>
  <c r="K65" i="12"/>
  <c r="G65" i="12"/>
  <c r="E65" i="12"/>
  <c r="Q64" i="12"/>
  <c r="O64" i="12"/>
  <c r="Q63" i="12"/>
  <c r="O63" i="12"/>
  <c r="M63" i="12"/>
  <c r="E63" i="12"/>
  <c r="Q62" i="12"/>
  <c r="O62" i="12"/>
  <c r="M62" i="12"/>
  <c r="H62" i="12"/>
  <c r="G62" i="12"/>
  <c r="E62" i="12"/>
  <c r="Q61" i="12"/>
  <c r="O61" i="12"/>
  <c r="M61" i="12"/>
  <c r="K61" i="12"/>
  <c r="H61" i="12"/>
  <c r="G61" i="12"/>
  <c r="E61" i="12"/>
  <c r="Q60" i="12"/>
  <c r="O60" i="12"/>
  <c r="M60" i="12"/>
  <c r="K60" i="12"/>
  <c r="E60" i="12"/>
  <c r="O59" i="12"/>
  <c r="M59" i="12"/>
  <c r="E59" i="12"/>
  <c r="O58" i="12"/>
  <c r="Q57" i="12"/>
  <c r="O57" i="12"/>
  <c r="K57" i="12"/>
  <c r="Q56" i="12"/>
  <c r="O56" i="12"/>
  <c r="N56" i="12"/>
  <c r="M56" i="12"/>
  <c r="H56" i="12"/>
  <c r="F56" i="12"/>
  <c r="E56" i="12"/>
  <c r="O55" i="12"/>
  <c r="K55" i="12"/>
  <c r="G55" i="12"/>
  <c r="E55" i="12"/>
  <c r="R54" i="12"/>
  <c r="P54" i="12"/>
  <c r="O54" i="12"/>
  <c r="M54" i="12"/>
  <c r="L54" i="12"/>
  <c r="K54" i="12"/>
  <c r="E54" i="12"/>
  <c r="Q53" i="12"/>
  <c r="O53" i="12"/>
  <c r="M53" i="12"/>
  <c r="K53" i="12"/>
  <c r="E53" i="12"/>
  <c r="O52" i="12"/>
  <c r="M52" i="12"/>
  <c r="O51" i="12"/>
  <c r="M51" i="12"/>
  <c r="G51" i="12"/>
  <c r="E51" i="12"/>
  <c r="Q50" i="12"/>
  <c r="O50" i="12"/>
  <c r="M50" i="12"/>
  <c r="G50" i="12"/>
  <c r="E50" i="12"/>
  <c r="O49" i="12"/>
  <c r="O47" i="12"/>
  <c r="O46" i="12"/>
  <c r="M46" i="12"/>
  <c r="R45" i="12"/>
  <c r="Q45" i="12"/>
  <c r="P45" i="12"/>
  <c r="O45" i="12"/>
  <c r="N45" i="12"/>
  <c r="M45" i="12"/>
  <c r="K45" i="12"/>
  <c r="G45" i="12"/>
  <c r="F45" i="12"/>
  <c r="E45" i="12"/>
  <c r="O43" i="12"/>
  <c r="M43" i="12"/>
  <c r="K43" i="12"/>
  <c r="Q42" i="12"/>
  <c r="O42" i="12"/>
  <c r="M42" i="12"/>
  <c r="K42" i="12"/>
  <c r="O41" i="12"/>
  <c r="M41" i="12"/>
  <c r="K41" i="12"/>
  <c r="E41" i="12"/>
  <c r="Q40" i="12"/>
  <c r="O40" i="12"/>
  <c r="M40" i="12"/>
  <c r="K40" i="12"/>
  <c r="G40" i="12"/>
  <c r="O39" i="12"/>
  <c r="N39" i="12"/>
  <c r="M39" i="12"/>
  <c r="H39" i="12"/>
  <c r="F39" i="12"/>
  <c r="Q38" i="12"/>
  <c r="O38" i="12"/>
  <c r="M38" i="12"/>
  <c r="K38" i="12"/>
  <c r="H38" i="12"/>
  <c r="G38" i="12"/>
  <c r="E38" i="12"/>
  <c r="O37" i="12"/>
  <c r="O36" i="12"/>
  <c r="M36" i="12"/>
  <c r="E36" i="12"/>
  <c r="Q35" i="12"/>
  <c r="O35" i="12"/>
  <c r="M35" i="12"/>
  <c r="E35" i="12"/>
  <c r="Q34" i="12"/>
  <c r="O34" i="12"/>
  <c r="M34" i="12"/>
  <c r="O33" i="12"/>
  <c r="M33" i="12"/>
  <c r="E33" i="12"/>
  <c r="O32" i="12"/>
  <c r="M32" i="12"/>
  <c r="E32" i="12"/>
  <c r="P31" i="12"/>
  <c r="O31" i="12"/>
  <c r="M31" i="12"/>
  <c r="E31" i="12"/>
  <c r="P30" i="12"/>
  <c r="O30" i="12"/>
  <c r="M30" i="12"/>
  <c r="H30" i="12"/>
  <c r="G30" i="12"/>
  <c r="E30" i="12"/>
  <c r="P29" i="12"/>
  <c r="O29" i="12"/>
  <c r="M29" i="12"/>
  <c r="E29" i="12"/>
  <c r="O28" i="12"/>
  <c r="M28" i="12"/>
  <c r="Q27" i="12"/>
  <c r="O27" i="12"/>
  <c r="M27" i="12"/>
  <c r="G27" i="12"/>
  <c r="E27" i="12"/>
  <c r="O26" i="12"/>
  <c r="M26" i="12"/>
  <c r="O25" i="12"/>
  <c r="M25" i="12"/>
  <c r="E25" i="12"/>
  <c r="Q24" i="12"/>
  <c r="O24" i="12"/>
  <c r="M24" i="12"/>
  <c r="K24" i="12"/>
  <c r="G24" i="12"/>
  <c r="E24" i="12"/>
  <c r="Q23" i="12"/>
  <c r="O23" i="12"/>
  <c r="M23" i="12"/>
  <c r="G23" i="12"/>
  <c r="E23" i="12"/>
  <c r="O22" i="12"/>
  <c r="M22" i="12"/>
  <c r="E22" i="12"/>
  <c r="O21" i="12"/>
  <c r="M21" i="12"/>
  <c r="K21" i="12"/>
  <c r="E21" i="12"/>
  <c r="O20" i="12"/>
  <c r="M20" i="12"/>
  <c r="G20" i="12"/>
  <c r="E20" i="12"/>
  <c r="Q19" i="12"/>
  <c r="O19" i="12"/>
  <c r="M19" i="12"/>
  <c r="O18" i="12"/>
  <c r="M18" i="12"/>
  <c r="E18" i="12"/>
  <c r="O17" i="12"/>
  <c r="O16" i="12"/>
  <c r="M16" i="12"/>
  <c r="E16" i="12"/>
  <c r="R15" i="12"/>
  <c r="P15" i="12"/>
  <c r="O15" i="12"/>
  <c r="N15" i="12"/>
  <c r="M15" i="12"/>
  <c r="L15" i="12"/>
  <c r="F15" i="12"/>
  <c r="E15" i="12"/>
  <c r="O14" i="12"/>
  <c r="M14" i="12"/>
  <c r="E14" i="12"/>
  <c r="O13" i="12"/>
  <c r="M13" i="12"/>
  <c r="E13" i="12"/>
  <c r="Q12" i="12"/>
  <c r="O12" i="12"/>
  <c r="M12" i="12"/>
  <c r="K12" i="12"/>
  <c r="G12" i="12"/>
  <c r="E12" i="12"/>
  <c r="Q11" i="12"/>
  <c r="O11" i="12"/>
  <c r="M11" i="12"/>
  <c r="K11" i="12"/>
  <c r="E11" i="12"/>
  <c r="Q10" i="12"/>
  <c r="O10" i="12"/>
  <c r="M10" i="12"/>
  <c r="E10" i="12"/>
  <c r="R9" i="12"/>
  <c r="Q9" i="12"/>
  <c r="P9" i="12"/>
  <c r="O9" i="12"/>
  <c r="N9" i="12"/>
  <c r="M9" i="12"/>
  <c r="L9" i="12"/>
  <c r="K9" i="12"/>
  <c r="F9" i="12"/>
  <c r="E9" i="12"/>
  <c r="R8" i="12"/>
  <c r="P8" i="12"/>
  <c r="O8" i="12"/>
  <c r="N8" i="12"/>
  <c r="M8" i="12"/>
  <c r="L8" i="12"/>
  <c r="F8" i="12"/>
  <c r="Q7" i="12"/>
  <c r="O7" i="12"/>
  <c r="M7" i="12"/>
  <c r="E7" i="12"/>
  <c r="Q6" i="12"/>
  <c r="M6" i="12"/>
  <c r="K6" i="12"/>
  <c r="E6" i="12"/>
  <c r="J85" i="12" l="1"/>
  <c r="I85" i="12"/>
  <c r="H85" i="12"/>
  <c r="L85" i="12"/>
  <c r="F85" i="12"/>
  <c r="Q85" i="12"/>
  <c r="M85" i="12"/>
  <c r="K85" i="12"/>
  <c r="R85" i="12" l="1"/>
  <c r="N85" i="12"/>
  <c r="O85" i="12"/>
  <c r="E85" i="12"/>
  <c r="G85" i="12"/>
  <c r="P85" i="12"/>
  <c r="E86" i="12"/>
</calcChain>
</file>

<file path=xl/sharedStrings.xml><?xml version="1.0" encoding="utf-8"?>
<sst xmlns="http://schemas.openxmlformats.org/spreadsheetml/2006/main" count="188" uniqueCount="111">
  <si>
    <t>KECAMATAN</t>
  </si>
  <si>
    <t>JUMLAH</t>
  </si>
  <si>
    <t>TOTAL</t>
  </si>
  <si>
    <t>Capaian Indikator Peserta KB Baru</t>
  </si>
  <si>
    <t>REGISTER</t>
  </si>
  <si>
    <t>NAMA FASKES</t>
  </si>
  <si>
    <t>PB IUD</t>
  </si>
  <si>
    <t>PB MOW</t>
  </si>
  <si>
    <t>PB MOP</t>
  </si>
  <si>
    <t>PB KONDOM</t>
  </si>
  <si>
    <t>PB IMPLANT</t>
  </si>
  <si>
    <t>PB SUNTIK</t>
  </si>
  <si>
    <t>PB PIL</t>
  </si>
  <si>
    <t>PEMERINTAH</t>
  </si>
  <si>
    <t>SWASTA</t>
  </si>
  <si>
    <t>BPM MUTIARA BUNDA</t>
  </si>
  <si>
    <t>MRANGGEN</t>
  </si>
  <si>
    <t>KLINIK KASIH SAYANG BUNDA</t>
  </si>
  <si>
    <t>PUSKESMAS MRANGGEN I</t>
  </si>
  <si>
    <t>PUSKESMAS MRANGGEN III</t>
  </si>
  <si>
    <t>KKB INDRI SUJARWO</t>
  </si>
  <si>
    <t>KLINIK PUCANG ANOM MEDIKA</t>
  </si>
  <si>
    <t>RS PELITA ANUGERAH</t>
  </si>
  <si>
    <t>BP/RB ANANDA SEHAT</t>
  </si>
  <si>
    <t>KLINIK IRMA SOLIKIN</t>
  </si>
  <si>
    <t>PUSKESMAS MRANGGEN II</t>
  </si>
  <si>
    <t>BPM HJ. KHUMAEROH, S.SIT</t>
  </si>
  <si>
    <t>KARANGAWEN</t>
  </si>
  <si>
    <t>KLINIK AL ITTIHAD</t>
  </si>
  <si>
    <t>PUSKESMAS KARANGAWEN II</t>
  </si>
  <si>
    <t>KLINIK KHOIR AKBAR</t>
  </si>
  <si>
    <t>PUSKESMAS KARANGAWEN I</t>
  </si>
  <si>
    <t>KLINIK NARWASTU</t>
  </si>
  <si>
    <t>BPM ASIH</t>
  </si>
  <si>
    <t>RSUD SULTAN FATAH</t>
  </si>
  <si>
    <t>PUSKESMAS GUNTUR II</t>
  </si>
  <si>
    <t>GUNTUR</t>
  </si>
  <si>
    <t>KLINIK MUTIARA BUNDA</t>
  </si>
  <si>
    <t>PMB WAHYU</t>
  </si>
  <si>
    <t>PUSKESMAS GUNTUR I</t>
  </si>
  <si>
    <t>YULI MURTININGSIH</t>
  </si>
  <si>
    <t>BPM WINASTUTY</t>
  </si>
  <si>
    <t>SAYUNG</t>
  </si>
  <si>
    <t>PUSKESMAS SAYUNG II</t>
  </si>
  <si>
    <t>PUSKEMAS SAYUNG I</t>
  </si>
  <si>
    <t>BPM SUDARTIK</t>
  </si>
  <si>
    <t>LEGO WASPODO</t>
  </si>
  <si>
    <t xml:space="preserve">KR TENGAH </t>
  </si>
  <si>
    <t>HAMZAH</t>
  </si>
  <si>
    <t>BPM Siti Nur Baroroh</t>
  </si>
  <si>
    <t>Puskesmas Karangtengah</t>
  </si>
  <si>
    <t>KAWAN SEJATI</t>
  </si>
  <si>
    <t xml:space="preserve">RS CHARLIE HOSPITAL </t>
  </si>
  <si>
    <t>PKM Wonosalam II</t>
  </si>
  <si>
    <t>WNSALAM</t>
  </si>
  <si>
    <t>RSI NU</t>
  </si>
  <si>
    <t>BPM Lestari</t>
  </si>
  <si>
    <t>PKM WONOSALAM I</t>
  </si>
  <si>
    <t>KLINIK PRATAMA ANUGRAH</t>
  </si>
  <si>
    <t>KLINIK MITRA PERMATA HATI</t>
  </si>
  <si>
    <t>DEMPET</t>
  </si>
  <si>
    <t>PUSKESMAS DEMPET</t>
  </si>
  <si>
    <t>BPM KHOIR SANTOSO</t>
  </si>
  <si>
    <t>BPM PUJI HASTUTIK</t>
  </si>
  <si>
    <t>BPM RETNO SUSANTI</t>
  </si>
  <si>
    <t>GAJAH</t>
  </si>
  <si>
    <t>BPM BIMOARTI</t>
  </si>
  <si>
    <t>PUSKESMAS GAJAH 2</t>
  </si>
  <si>
    <t>PUSKESMAS GAJAH 1</t>
  </si>
  <si>
    <t>BPM Sumirah Samiyono</t>
  </si>
  <si>
    <t>BPM Sri Mujiati</t>
  </si>
  <si>
    <t>Klinik Bina Citra</t>
  </si>
  <si>
    <t>KR.ANYAR</t>
  </si>
  <si>
    <t>PKM KRANYAR 1</t>
  </si>
  <si>
    <t>PKM KRANYAR 2</t>
  </si>
  <si>
    <t>BPM Muslimah</t>
  </si>
  <si>
    <t>KLINIK dr. INDAH</t>
  </si>
  <si>
    <t>BPM NENI SURYATIN</t>
  </si>
  <si>
    <t>MIJEN</t>
  </si>
  <si>
    <t>HARAPAN KASIH</t>
  </si>
  <si>
    <t>PUSKESMAS MIJEN 2</t>
  </si>
  <si>
    <t>PUSKESMAS MIJEN I</t>
  </si>
  <si>
    <t>BPM YULAIKAH</t>
  </si>
  <si>
    <t>DEMAK</t>
  </si>
  <si>
    <t>KLINIK POLRES DEMAK</t>
  </si>
  <si>
    <t>RSUD SUNAN KALIJAGA</t>
  </si>
  <si>
    <t>PUSKESMAS DEMAK I</t>
  </si>
  <si>
    <t>RB BP DARUSSALAM</t>
  </si>
  <si>
    <t>BPM SARTINAH</t>
  </si>
  <si>
    <t>PUSKESMAS DEMAK 2</t>
  </si>
  <si>
    <t>PUSKESMAS DEMAK III</t>
  </si>
  <si>
    <t>RS HJ FATIMAH SULHAN</t>
  </si>
  <si>
    <t>KLINIK Q-NANG</t>
  </si>
  <si>
    <t>BONANG</t>
  </si>
  <si>
    <t>PUSKESMAS BONANG II</t>
  </si>
  <si>
    <t>PUSKESMAS BONANG I</t>
  </si>
  <si>
    <t>KLINIK RIFDA</t>
  </si>
  <si>
    <t>TITIK MUSLIKHAH</t>
  </si>
  <si>
    <t>BPM AIDI ZULAIKHAH</t>
  </si>
  <si>
    <t>WEDUNG</t>
  </si>
  <si>
    <t>PUSKESMAS WEDUNG I</t>
  </si>
  <si>
    <t>PUSKESMAS WEDUNG II</t>
  </si>
  <si>
    <t>PKM KB AGUNG</t>
  </si>
  <si>
    <t>KEBONAGUNG</t>
  </si>
  <si>
    <t>PMB LULI P</t>
  </si>
  <si>
    <t>PMB UMIYATUN</t>
  </si>
  <si>
    <t>PMB SITI FATIMAH</t>
  </si>
  <si>
    <t>BPM SRI WIJI</t>
  </si>
  <si>
    <t>No</t>
  </si>
  <si>
    <t>TAHUN 2025</t>
  </si>
  <si>
    <t>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</si>
</sst>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9" xfId="0" applyFont="1" applyBorder="1"/>
    <xf numFmtId="0" fontId="3" fillId="3" borderId="9" xfId="0" applyFont="1" applyFill="1" applyBorder="1"/>
    <xf numFmtId="0" fontId="3" fillId="4" borderId="9" xfId="0" applyFont="1" applyFill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zoomScale="70" zoomScaleNormal="70" workbookViewId="0">
      <selection activeCell="J10" sqref="J10"/>
    </sheetView>
  </sheetViews>
  <sheetFormatPr defaultColWidth="12.6328125" defaultRowHeight="14.5" x14ac:dyDescent="0.35"/>
  <cols>
    <col min="1" max="1" width="4.54296875" customWidth="1"/>
    <col min="2" max="2" width="10.1796875" customWidth="1"/>
    <col min="3" max="3" width="26.1796875" customWidth="1"/>
    <col min="4" max="4" width="13.81640625" customWidth="1"/>
    <col min="5" max="5" width="14.453125" customWidth="1"/>
    <col min="6" max="6" width="11.54296875" customWidth="1"/>
    <col min="7" max="7" width="14.453125" customWidth="1"/>
    <col min="8" max="8" width="11.54296875" customWidth="1"/>
    <col min="9" max="9" width="14.453125" customWidth="1"/>
    <col min="10" max="10" width="11.54296875" customWidth="1"/>
    <col min="11" max="11" width="14.453125" customWidth="1"/>
    <col min="12" max="12" width="11.54296875" customWidth="1"/>
    <col min="13" max="13" width="14.453125" customWidth="1"/>
    <col min="14" max="14" width="11.54296875" customWidth="1"/>
    <col min="15" max="15" width="14.453125" customWidth="1"/>
    <col min="16" max="16" width="11.54296875" customWidth="1"/>
    <col min="17" max="17" width="14.453125" customWidth="1"/>
    <col min="18" max="18" width="11.54296875" customWidth="1"/>
  </cols>
  <sheetData>
    <row r="1" spans="1:18" x14ac:dyDescent="0.35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thickBot="1" x14ac:dyDescent="0.4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5">
      <c r="A3" s="28" t="s">
        <v>108</v>
      </c>
      <c r="B3" s="28" t="s">
        <v>4</v>
      </c>
      <c r="C3" s="28" t="s">
        <v>5</v>
      </c>
      <c r="D3" s="31" t="s">
        <v>0</v>
      </c>
      <c r="E3" s="25" t="s">
        <v>110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x14ac:dyDescent="0.35">
      <c r="A4" s="29"/>
      <c r="B4" s="29"/>
      <c r="C4" s="29"/>
      <c r="D4" s="32"/>
      <c r="E4" s="42" t="s">
        <v>6</v>
      </c>
      <c r="F4" s="39"/>
      <c r="G4" s="39" t="s">
        <v>7</v>
      </c>
      <c r="H4" s="40"/>
      <c r="I4" s="39" t="s">
        <v>8</v>
      </c>
      <c r="J4" s="40"/>
      <c r="K4" s="39" t="s">
        <v>9</v>
      </c>
      <c r="L4" s="40"/>
      <c r="M4" s="39" t="s">
        <v>10</v>
      </c>
      <c r="N4" s="40"/>
      <c r="O4" s="39" t="s">
        <v>11</v>
      </c>
      <c r="P4" s="40"/>
      <c r="Q4" s="39" t="s">
        <v>12</v>
      </c>
      <c r="R4" s="41"/>
    </row>
    <row r="5" spans="1:18" x14ac:dyDescent="0.35">
      <c r="A5" s="30"/>
      <c r="B5" s="30"/>
      <c r="C5" s="30"/>
      <c r="D5" s="33"/>
      <c r="E5" s="24" t="s">
        <v>13</v>
      </c>
      <c r="F5" s="23" t="s">
        <v>14</v>
      </c>
      <c r="G5" s="23" t="s">
        <v>13</v>
      </c>
      <c r="H5" s="23" t="s">
        <v>14</v>
      </c>
      <c r="I5" s="23" t="s">
        <v>13</v>
      </c>
      <c r="J5" s="23" t="s">
        <v>14</v>
      </c>
      <c r="K5" s="23" t="s">
        <v>13</v>
      </c>
      <c r="L5" s="23" t="s">
        <v>14</v>
      </c>
      <c r="M5" s="23" t="s">
        <v>13</v>
      </c>
      <c r="N5" s="23" t="s">
        <v>14</v>
      </c>
      <c r="O5" s="23" t="s">
        <v>13</v>
      </c>
      <c r="P5" s="23" t="s">
        <v>14</v>
      </c>
      <c r="Q5" s="23" t="s">
        <v>13</v>
      </c>
      <c r="R5" s="16" t="s">
        <v>14</v>
      </c>
    </row>
    <row r="6" spans="1:18" x14ac:dyDescent="0.35">
      <c r="A6" s="3">
        <v>1</v>
      </c>
      <c r="B6" s="4">
        <v>3321074</v>
      </c>
      <c r="C6" s="4" t="s">
        <v>15</v>
      </c>
      <c r="D6" s="19" t="s">
        <v>16</v>
      </c>
      <c r="E6" s="8">
        <f>1+7+7</f>
        <v>15</v>
      </c>
      <c r="F6" s="8"/>
      <c r="G6" s="8"/>
      <c r="H6" s="8"/>
      <c r="I6" s="8"/>
      <c r="J6" s="8"/>
      <c r="K6" s="9">
        <f>4+4</f>
        <v>8</v>
      </c>
      <c r="L6" s="8"/>
      <c r="M6" s="9">
        <f>20+20</f>
        <v>40</v>
      </c>
      <c r="N6" s="8"/>
      <c r="O6" s="9">
        <v>2</v>
      </c>
      <c r="P6" s="8"/>
      <c r="Q6" s="9">
        <f>1+1</f>
        <v>2</v>
      </c>
      <c r="R6" s="8"/>
    </row>
    <row r="7" spans="1:18" x14ac:dyDescent="0.35">
      <c r="A7" s="5">
        <v>2</v>
      </c>
      <c r="B7" s="6">
        <v>3321115</v>
      </c>
      <c r="C7" s="6" t="s">
        <v>17</v>
      </c>
      <c r="D7" s="20" t="s">
        <v>16</v>
      </c>
      <c r="E7" s="10">
        <f>1</f>
        <v>1</v>
      </c>
      <c r="F7" s="10"/>
      <c r="G7" s="10"/>
      <c r="H7" s="10"/>
      <c r="I7" s="10"/>
      <c r="J7" s="10"/>
      <c r="K7" s="11">
        <v>1</v>
      </c>
      <c r="L7" s="10"/>
      <c r="M7" s="11">
        <f>1+1</f>
        <v>2</v>
      </c>
      <c r="N7" s="10"/>
      <c r="O7" s="11">
        <f>4+1+2+1+2+2+1+2+1</f>
        <v>16</v>
      </c>
      <c r="P7" s="10"/>
      <c r="Q7" s="11">
        <f>1+1</f>
        <v>2</v>
      </c>
      <c r="R7" s="10"/>
    </row>
    <row r="8" spans="1:18" x14ac:dyDescent="0.35">
      <c r="A8" s="3">
        <v>3</v>
      </c>
      <c r="B8" s="4">
        <v>3321016</v>
      </c>
      <c r="C8" s="4" t="s">
        <v>18</v>
      </c>
      <c r="D8" s="19" t="s">
        <v>16</v>
      </c>
      <c r="E8" s="8"/>
      <c r="F8" s="8">
        <f>2+1+1+1</f>
        <v>5</v>
      </c>
      <c r="G8" s="8"/>
      <c r="H8" s="8"/>
      <c r="I8" s="8"/>
      <c r="J8" s="8"/>
      <c r="K8" s="12"/>
      <c r="L8" s="8">
        <f>4+5</f>
        <v>9</v>
      </c>
      <c r="M8" s="12">
        <f>1+1+1</f>
        <v>3</v>
      </c>
      <c r="N8" s="8">
        <f>2+1+1+1+2</f>
        <v>7</v>
      </c>
      <c r="O8" s="12">
        <f>2</f>
        <v>2</v>
      </c>
      <c r="P8" s="8">
        <f>21+1+1+2+10+10+6+5+12</f>
        <v>68</v>
      </c>
      <c r="Q8" s="12"/>
      <c r="R8" s="8">
        <f>4+1+1+1+1+1+3</f>
        <v>12</v>
      </c>
    </row>
    <row r="9" spans="1:18" x14ac:dyDescent="0.35">
      <c r="A9" s="5">
        <v>4</v>
      </c>
      <c r="B9" s="4">
        <v>3321013</v>
      </c>
      <c r="C9" s="4" t="s">
        <v>19</v>
      </c>
      <c r="D9" s="19" t="s">
        <v>16</v>
      </c>
      <c r="E9" s="8">
        <f>1</f>
        <v>1</v>
      </c>
      <c r="F9" s="8">
        <f>1+1</f>
        <v>2</v>
      </c>
      <c r="G9" s="8"/>
      <c r="H9" s="8"/>
      <c r="I9" s="8"/>
      <c r="J9" s="8"/>
      <c r="K9" s="12">
        <f>1+1+1+1</f>
        <v>4</v>
      </c>
      <c r="L9" s="8">
        <f>6+1+6</f>
        <v>13</v>
      </c>
      <c r="M9" s="12">
        <f>1+1+1+1+1+5</f>
        <v>10</v>
      </c>
      <c r="N9" s="8">
        <f>1+1+2+2+4</f>
        <v>10</v>
      </c>
      <c r="O9" s="12">
        <f>10+5+4+4</f>
        <v>23</v>
      </c>
      <c r="P9" s="8">
        <f>28+3+2+1+6+6+7+4+10</f>
        <v>67</v>
      </c>
      <c r="Q9" s="12">
        <f>7+2+2+2</f>
        <v>13</v>
      </c>
      <c r="R9" s="8">
        <f>10+1+3+3+5+2+6</f>
        <v>30</v>
      </c>
    </row>
    <row r="10" spans="1:18" x14ac:dyDescent="0.35">
      <c r="A10" s="3">
        <v>5</v>
      </c>
      <c r="B10" s="4">
        <v>3321042</v>
      </c>
      <c r="C10" s="4" t="s">
        <v>20</v>
      </c>
      <c r="D10" s="19" t="s">
        <v>16</v>
      </c>
      <c r="E10" s="8">
        <f>1+1+1+1+1+1+9</f>
        <v>15</v>
      </c>
      <c r="F10" s="8"/>
      <c r="G10" s="8"/>
      <c r="H10" s="8"/>
      <c r="I10" s="8"/>
      <c r="J10" s="8"/>
      <c r="K10" s="12"/>
      <c r="L10" s="8"/>
      <c r="M10" s="12">
        <f>2+2+2+2+1+1+2+8</f>
        <v>20</v>
      </c>
      <c r="N10" s="8"/>
      <c r="O10" s="12">
        <f>2+2+2+2+2+2+3+4</f>
        <v>19</v>
      </c>
      <c r="P10" s="8"/>
      <c r="Q10" s="12">
        <f>1+1+1+1</f>
        <v>4</v>
      </c>
      <c r="R10" s="8"/>
    </row>
    <row r="11" spans="1:18" x14ac:dyDescent="0.35">
      <c r="A11" s="5">
        <v>6</v>
      </c>
      <c r="B11" s="4">
        <v>3321079</v>
      </c>
      <c r="C11" s="4" t="s">
        <v>21</v>
      </c>
      <c r="D11" s="19" t="s">
        <v>16</v>
      </c>
      <c r="E11" s="8">
        <f>1+3+1</f>
        <v>5</v>
      </c>
      <c r="F11" s="8"/>
      <c r="G11" s="8"/>
      <c r="H11" s="8"/>
      <c r="I11" s="8"/>
      <c r="J11" s="8"/>
      <c r="K11" s="12">
        <f>1+3+1+1+1+1</f>
        <v>8</v>
      </c>
      <c r="L11" s="8"/>
      <c r="M11" s="12">
        <f>1+17</f>
        <v>18</v>
      </c>
      <c r="N11" s="8"/>
      <c r="O11" s="12">
        <f>1+1</f>
        <v>2</v>
      </c>
      <c r="P11" s="8"/>
      <c r="Q11" s="12">
        <f>1+2</f>
        <v>3</v>
      </c>
      <c r="R11" s="8"/>
    </row>
    <row r="12" spans="1:18" x14ac:dyDescent="0.35">
      <c r="A12" s="3">
        <v>7</v>
      </c>
      <c r="B12" s="4">
        <v>3321075</v>
      </c>
      <c r="C12" s="4" t="s">
        <v>22</v>
      </c>
      <c r="D12" s="19" t="s">
        <v>16</v>
      </c>
      <c r="E12" s="8">
        <f>1+1+3+1+1+1+3</f>
        <v>11</v>
      </c>
      <c r="F12" s="8"/>
      <c r="G12" s="8">
        <f>10+12+6+7+5+5+11+6+7</f>
        <v>69</v>
      </c>
      <c r="H12" s="8"/>
      <c r="I12" s="8"/>
      <c r="J12" s="8"/>
      <c r="K12" s="12">
        <f>19+11+6+6+9+9+8+15+12</f>
        <v>95</v>
      </c>
      <c r="L12" s="8"/>
      <c r="M12" s="12">
        <f>1+3+2+1</f>
        <v>7</v>
      </c>
      <c r="N12" s="8"/>
      <c r="O12" s="12">
        <f>3+1+1+2</f>
        <v>7</v>
      </c>
      <c r="P12" s="8"/>
      <c r="Q12" s="12">
        <f>3+3+1+1+1+1</f>
        <v>10</v>
      </c>
      <c r="R12" s="8"/>
    </row>
    <row r="13" spans="1:18" x14ac:dyDescent="0.35">
      <c r="A13" s="5">
        <v>8</v>
      </c>
      <c r="B13" s="4">
        <v>3321010</v>
      </c>
      <c r="C13" s="4" t="s">
        <v>23</v>
      </c>
      <c r="D13" s="19" t="s">
        <v>16</v>
      </c>
      <c r="E13" s="8">
        <f>2+1+2+1</f>
        <v>6</v>
      </c>
      <c r="F13" s="8"/>
      <c r="G13" s="8"/>
      <c r="H13" s="8"/>
      <c r="I13" s="8"/>
      <c r="J13" s="8"/>
      <c r="K13" s="12"/>
      <c r="L13" s="8"/>
      <c r="M13" s="12">
        <f>4+5+1+28</f>
        <v>38</v>
      </c>
      <c r="N13" s="8"/>
      <c r="O13" s="12">
        <f>3+1+1+1+4+1</f>
        <v>11</v>
      </c>
      <c r="P13" s="8"/>
      <c r="Q13" s="12"/>
      <c r="R13" s="8"/>
    </row>
    <row r="14" spans="1:18" x14ac:dyDescent="0.35">
      <c r="A14" s="3">
        <v>9</v>
      </c>
      <c r="B14" s="4">
        <v>3321064</v>
      </c>
      <c r="C14" s="4" t="s">
        <v>24</v>
      </c>
      <c r="D14" s="19" t="s">
        <v>16</v>
      </c>
      <c r="E14" s="8">
        <f>4+1+1</f>
        <v>6</v>
      </c>
      <c r="F14" s="8"/>
      <c r="G14" s="8"/>
      <c r="H14" s="8"/>
      <c r="I14" s="8"/>
      <c r="J14" s="8"/>
      <c r="K14" s="12"/>
      <c r="L14" s="8"/>
      <c r="M14" s="12">
        <f>4+5+1</f>
        <v>10</v>
      </c>
      <c r="N14" s="8"/>
      <c r="O14" s="12">
        <f>1+2+2</f>
        <v>5</v>
      </c>
      <c r="P14" s="8"/>
      <c r="Q14" s="12"/>
      <c r="R14" s="8"/>
    </row>
    <row r="15" spans="1:18" x14ac:dyDescent="0.35">
      <c r="A15" s="5">
        <v>10</v>
      </c>
      <c r="B15" s="4">
        <v>3321076</v>
      </c>
      <c r="C15" s="4" t="s">
        <v>25</v>
      </c>
      <c r="D15" s="19" t="s">
        <v>16</v>
      </c>
      <c r="E15" s="8">
        <f>1+1+1</f>
        <v>3</v>
      </c>
      <c r="F15" s="8">
        <f>1+1</f>
        <v>2</v>
      </c>
      <c r="G15" s="8"/>
      <c r="H15" s="8"/>
      <c r="I15" s="8"/>
      <c r="J15" s="8"/>
      <c r="K15" s="12"/>
      <c r="L15" s="8">
        <f>4+2</f>
        <v>6</v>
      </c>
      <c r="M15" s="12">
        <f>1+1+1+1+4+2+2</f>
        <v>12</v>
      </c>
      <c r="N15" s="8">
        <f>1+1+2</f>
        <v>4</v>
      </c>
      <c r="O15" s="12">
        <f>60+62+62+60+66+66+65+65+80</f>
        <v>586</v>
      </c>
      <c r="P15" s="8">
        <f>20+1+3+5+5+3+20</f>
        <v>57</v>
      </c>
      <c r="Q15" s="12"/>
      <c r="R15" s="8">
        <f>6+2+2+2+7</f>
        <v>19</v>
      </c>
    </row>
    <row r="16" spans="1:18" x14ac:dyDescent="0.35">
      <c r="A16" s="3">
        <v>11</v>
      </c>
      <c r="B16" s="4">
        <v>332100707</v>
      </c>
      <c r="C16" s="4" t="s">
        <v>26</v>
      </c>
      <c r="D16" s="19" t="s">
        <v>27</v>
      </c>
      <c r="E16" s="9">
        <f>1+1</f>
        <v>2</v>
      </c>
      <c r="F16" s="13"/>
      <c r="G16" s="13"/>
      <c r="H16" s="13"/>
      <c r="I16" s="13"/>
      <c r="J16" s="13"/>
      <c r="K16" s="13"/>
      <c r="L16" s="13"/>
      <c r="M16" s="13">
        <f>1+10+10</f>
        <v>21</v>
      </c>
      <c r="N16" s="13"/>
      <c r="O16" s="13">
        <f>1+2+3+2+2+7</f>
        <v>17</v>
      </c>
      <c r="P16" s="13"/>
      <c r="Q16" s="13"/>
      <c r="R16" s="13"/>
    </row>
    <row r="17" spans="1:18" x14ac:dyDescent="0.35">
      <c r="A17" s="5">
        <v>12</v>
      </c>
      <c r="B17" s="4">
        <v>3321083</v>
      </c>
      <c r="C17" s="4" t="s">
        <v>28</v>
      </c>
      <c r="D17" s="19" t="s">
        <v>27</v>
      </c>
      <c r="E17" s="12"/>
      <c r="F17" s="14"/>
      <c r="G17" s="14"/>
      <c r="H17" s="14"/>
      <c r="I17" s="14"/>
      <c r="J17" s="14"/>
      <c r="K17" s="14"/>
      <c r="L17" s="14"/>
      <c r="M17" s="14"/>
      <c r="N17" s="14"/>
      <c r="O17" s="14">
        <f>27+1+1</f>
        <v>29</v>
      </c>
      <c r="P17" s="14"/>
      <c r="Q17" s="14"/>
      <c r="R17" s="14"/>
    </row>
    <row r="18" spans="1:18" x14ac:dyDescent="0.35">
      <c r="A18" s="3">
        <v>13</v>
      </c>
      <c r="B18" s="4">
        <v>3321089</v>
      </c>
      <c r="C18" s="4" t="s">
        <v>29</v>
      </c>
      <c r="D18" s="19" t="s">
        <v>27</v>
      </c>
      <c r="E18" s="12">
        <f>5+2+2+1</f>
        <v>10</v>
      </c>
      <c r="F18" s="14"/>
      <c r="G18" s="14"/>
      <c r="H18" s="14"/>
      <c r="I18" s="14"/>
      <c r="J18" s="14"/>
      <c r="K18" s="14"/>
      <c r="L18" s="14"/>
      <c r="M18" s="14">
        <f>4+5+1+1+1+2</f>
        <v>14</v>
      </c>
      <c r="N18" s="14"/>
      <c r="O18" s="14">
        <f>22+10+20+7+20+20+30+15</f>
        <v>144</v>
      </c>
      <c r="P18" s="14"/>
      <c r="Q18" s="14"/>
      <c r="R18" s="14"/>
    </row>
    <row r="19" spans="1:18" ht="15.75" customHeight="1" x14ac:dyDescent="0.35">
      <c r="A19" s="5">
        <v>14</v>
      </c>
      <c r="B19" s="4">
        <v>3321084</v>
      </c>
      <c r="C19" s="4" t="s">
        <v>30</v>
      </c>
      <c r="D19" s="19" t="s">
        <v>27</v>
      </c>
      <c r="E19" s="12"/>
      <c r="F19" s="14"/>
      <c r="G19" s="14"/>
      <c r="H19" s="14"/>
      <c r="I19" s="14"/>
      <c r="J19" s="14"/>
      <c r="K19" s="14"/>
      <c r="L19" s="14"/>
      <c r="M19" s="14">
        <f>19</f>
        <v>19</v>
      </c>
      <c r="N19" s="14"/>
      <c r="O19" s="14">
        <f>10+1+20+6+6+11+1</f>
        <v>55</v>
      </c>
      <c r="P19" s="14"/>
      <c r="Q19" s="14">
        <f>2+3</f>
        <v>5</v>
      </c>
      <c r="R19" s="14"/>
    </row>
    <row r="20" spans="1:18" ht="15.75" customHeight="1" x14ac:dyDescent="0.35">
      <c r="A20" s="3">
        <v>15</v>
      </c>
      <c r="B20" s="4">
        <v>3321087</v>
      </c>
      <c r="C20" s="4" t="s">
        <v>31</v>
      </c>
      <c r="D20" s="19" t="s">
        <v>27</v>
      </c>
      <c r="E20" s="12">
        <f>3+1</f>
        <v>4</v>
      </c>
      <c r="F20" s="14">
        <v>1</v>
      </c>
      <c r="G20" s="14">
        <f>1+2</f>
        <v>3</v>
      </c>
      <c r="H20" s="14"/>
      <c r="I20" s="14"/>
      <c r="J20" s="14"/>
      <c r="K20" s="14"/>
      <c r="L20" s="14"/>
      <c r="M20" s="14">
        <f>1+2+1+4+1+1+1</f>
        <v>11</v>
      </c>
      <c r="N20" s="14"/>
      <c r="O20" s="14">
        <f>39+19+43+28+43+43+44+42+62</f>
        <v>363</v>
      </c>
      <c r="P20" s="14"/>
      <c r="Q20" s="14"/>
      <c r="R20" s="14"/>
    </row>
    <row r="21" spans="1:18" ht="15.75" customHeight="1" x14ac:dyDescent="0.35">
      <c r="A21" s="5">
        <v>16</v>
      </c>
      <c r="B21" s="4">
        <v>3321088</v>
      </c>
      <c r="C21" s="4" t="s">
        <v>32</v>
      </c>
      <c r="D21" s="19" t="s">
        <v>27</v>
      </c>
      <c r="E21" s="12">
        <f>1+1</f>
        <v>2</v>
      </c>
      <c r="F21" s="14"/>
      <c r="G21" s="14"/>
      <c r="H21" s="14"/>
      <c r="I21" s="14"/>
      <c r="J21" s="14"/>
      <c r="K21" s="14">
        <f>1</f>
        <v>1</v>
      </c>
      <c r="L21" s="14"/>
      <c r="M21" s="14">
        <f>3+2+2+8+4+7</f>
        <v>26</v>
      </c>
      <c r="N21" s="14"/>
      <c r="O21" s="14">
        <f>5+1+1+21</f>
        <v>28</v>
      </c>
      <c r="P21" s="14"/>
      <c r="Q21" s="14"/>
      <c r="R21" s="14"/>
    </row>
    <row r="22" spans="1:18" ht="15.75" customHeight="1" x14ac:dyDescent="0.35">
      <c r="A22" s="3">
        <v>17</v>
      </c>
      <c r="B22" s="4">
        <v>332100909</v>
      </c>
      <c r="C22" s="4" t="s">
        <v>33</v>
      </c>
      <c r="D22" s="19" t="s">
        <v>27</v>
      </c>
      <c r="E22" s="12">
        <f>1+3</f>
        <v>4</v>
      </c>
      <c r="F22" s="14"/>
      <c r="G22" s="14"/>
      <c r="H22" s="14"/>
      <c r="I22" s="14"/>
      <c r="J22" s="14"/>
      <c r="K22" s="14">
        <v>1</v>
      </c>
      <c r="L22" s="14"/>
      <c r="M22" s="14">
        <f>1</f>
        <v>1</v>
      </c>
      <c r="N22" s="14"/>
      <c r="O22" s="14">
        <f>4+4+3+4+4+3+4</f>
        <v>26</v>
      </c>
      <c r="P22" s="14"/>
      <c r="Q22" s="14"/>
      <c r="R22" s="14"/>
    </row>
    <row r="23" spans="1:18" ht="15.75" customHeight="1" x14ac:dyDescent="0.35">
      <c r="A23" s="5">
        <v>18</v>
      </c>
      <c r="B23" s="4">
        <v>3321105</v>
      </c>
      <c r="C23" s="4" t="s">
        <v>34</v>
      </c>
      <c r="D23" s="19" t="s">
        <v>27</v>
      </c>
      <c r="E23" s="12">
        <f>9+1+1+1+2+2+1+1</f>
        <v>18</v>
      </c>
      <c r="F23" s="14"/>
      <c r="G23" s="14">
        <f>8+13+9+8+3+3+2+5+2</f>
        <v>53</v>
      </c>
      <c r="H23" s="14"/>
      <c r="I23" s="14"/>
      <c r="J23" s="14"/>
      <c r="K23" s="14"/>
      <c r="L23" s="14"/>
      <c r="M23" s="14">
        <f>1+1</f>
        <v>2</v>
      </c>
      <c r="N23" s="14"/>
      <c r="O23" s="14">
        <f>4+2</f>
        <v>6</v>
      </c>
      <c r="P23" s="14"/>
      <c r="Q23" s="14">
        <f>8+3+1+24</f>
        <v>36</v>
      </c>
      <c r="R23" s="14"/>
    </row>
    <row r="24" spans="1:18" ht="15.75" customHeight="1" x14ac:dyDescent="0.35">
      <c r="A24" s="3">
        <v>19</v>
      </c>
      <c r="B24" s="4">
        <v>3321027</v>
      </c>
      <c r="C24" s="4" t="s">
        <v>35</v>
      </c>
      <c r="D24" s="19" t="s">
        <v>36</v>
      </c>
      <c r="E24" s="8">
        <f>1+1+2</f>
        <v>4</v>
      </c>
      <c r="F24" s="8"/>
      <c r="G24" s="8">
        <f>1+3+1+1+1+3+3+5</f>
        <v>18</v>
      </c>
      <c r="H24" s="8"/>
      <c r="I24" s="8"/>
      <c r="J24" s="8"/>
      <c r="K24" s="8">
        <f>1+3</f>
        <v>4</v>
      </c>
      <c r="L24" s="8"/>
      <c r="M24" s="8">
        <f>1+1+2+1+1+1</f>
        <v>7</v>
      </c>
      <c r="N24" s="8"/>
      <c r="O24" s="8">
        <f>24+21+27+23+46+46+34+30+38</f>
        <v>289</v>
      </c>
      <c r="P24" s="8"/>
      <c r="Q24" s="8">
        <f>1+2+8</f>
        <v>11</v>
      </c>
      <c r="R24" s="8"/>
    </row>
    <row r="25" spans="1:18" ht="15.75" customHeight="1" x14ac:dyDescent="0.35">
      <c r="A25" s="5">
        <v>20</v>
      </c>
      <c r="B25" s="4">
        <v>3321048</v>
      </c>
      <c r="C25" s="4" t="s">
        <v>37</v>
      </c>
      <c r="D25" s="19" t="s">
        <v>36</v>
      </c>
      <c r="E25" s="8">
        <f>1+1</f>
        <v>2</v>
      </c>
      <c r="F25" s="8"/>
      <c r="G25" s="8"/>
      <c r="H25" s="8"/>
      <c r="I25" s="8"/>
      <c r="J25" s="8"/>
      <c r="K25" s="8"/>
      <c r="L25" s="8"/>
      <c r="M25" s="8">
        <f>1+1+4+1+6+6+1+1+4</f>
        <v>25</v>
      </c>
      <c r="N25" s="8"/>
      <c r="O25" s="8">
        <f>1+7+2</f>
        <v>10</v>
      </c>
      <c r="P25" s="8"/>
      <c r="Q25" s="8"/>
      <c r="R25" s="8"/>
    </row>
    <row r="26" spans="1:18" ht="15.75" customHeight="1" x14ac:dyDescent="0.35">
      <c r="A26" s="3">
        <v>21</v>
      </c>
      <c r="B26" s="4">
        <v>3321047</v>
      </c>
      <c r="C26" s="4" t="s">
        <v>38</v>
      </c>
      <c r="D26" s="19" t="s">
        <v>36</v>
      </c>
      <c r="E26" s="8">
        <v>2</v>
      </c>
      <c r="F26" s="8"/>
      <c r="G26" s="8"/>
      <c r="H26" s="8"/>
      <c r="I26" s="8"/>
      <c r="J26" s="8"/>
      <c r="K26" s="8"/>
      <c r="L26" s="8"/>
      <c r="M26" s="8">
        <f>8+1</f>
        <v>9</v>
      </c>
      <c r="N26" s="8"/>
      <c r="O26" s="8">
        <f>1+1+1+9</f>
        <v>12</v>
      </c>
      <c r="P26" s="8"/>
      <c r="Q26" s="8"/>
      <c r="R26" s="8"/>
    </row>
    <row r="27" spans="1:18" ht="15.75" customHeight="1" x14ac:dyDescent="0.35">
      <c r="A27" s="5">
        <v>22</v>
      </c>
      <c r="B27" s="4">
        <v>3321035</v>
      </c>
      <c r="C27" s="4" t="s">
        <v>39</v>
      </c>
      <c r="D27" s="19" t="s">
        <v>36</v>
      </c>
      <c r="E27" s="8">
        <f>1+1+1+1+1+5+2</f>
        <v>12</v>
      </c>
      <c r="F27" s="8"/>
      <c r="G27" s="8">
        <f>3+2+6+3+2+2+4+4+1</f>
        <v>27</v>
      </c>
      <c r="H27" s="8"/>
      <c r="I27" s="8"/>
      <c r="J27" s="8"/>
      <c r="K27" s="8"/>
      <c r="L27" s="8"/>
      <c r="M27" s="8">
        <f>15+2+5+5+1+4+7</f>
        <v>39</v>
      </c>
      <c r="N27" s="8"/>
      <c r="O27" s="8">
        <f>64+54+37+51+35+35+43+37+14</f>
        <v>370</v>
      </c>
      <c r="P27" s="8"/>
      <c r="Q27" s="8">
        <f>1</f>
        <v>1</v>
      </c>
      <c r="R27" s="8"/>
    </row>
    <row r="28" spans="1:18" ht="15.75" customHeight="1" x14ac:dyDescent="0.35">
      <c r="A28" s="3">
        <v>23</v>
      </c>
      <c r="B28" s="4">
        <v>3321093</v>
      </c>
      <c r="C28" s="4" t="s">
        <v>40</v>
      </c>
      <c r="D28" s="19" t="s">
        <v>36</v>
      </c>
      <c r="E28" s="8"/>
      <c r="F28" s="8"/>
      <c r="G28" s="8"/>
      <c r="H28" s="8"/>
      <c r="I28" s="8"/>
      <c r="J28" s="8"/>
      <c r="K28" s="8"/>
      <c r="L28" s="8"/>
      <c r="M28" s="8">
        <f>3</f>
        <v>3</v>
      </c>
      <c r="N28" s="8"/>
      <c r="O28" s="8">
        <f>2+1+1+1+1</f>
        <v>6</v>
      </c>
      <c r="P28" s="8"/>
      <c r="Q28" s="8"/>
      <c r="R28" s="8"/>
    </row>
    <row r="29" spans="1:18" ht="15.75" customHeight="1" x14ac:dyDescent="0.35">
      <c r="A29" s="5">
        <v>24</v>
      </c>
      <c r="B29" s="4">
        <v>3321086</v>
      </c>
      <c r="C29" s="4" t="s">
        <v>41</v>
      </c>
      <c r="D29" s="19" t="s">
        <v>42</v>
      </c>
      <c r="E29" s="8">
        <f>3+1+1+1+1+2</f>
        <v>9</v>
      </c>
      <c r="F29" s="8"/>
      <c r="G29" s="8"/>
      <c r="H29" s="8"/>
      <c r="I29" s="8"/>
      <c r="J29" s="8"/>
      <c r="K29" s="8"/>
      <c r="L29" s="8"/>
      <c r="M29" s="8">
        <f>11+1+1+1+6</f>
        <v>20</v>
      </c>
      <c r="N29" s="8"/>
      <c r="O29" s="8">
        <f>5+10+4</f>
        <v>19</v>
      </c>
      <c r="P29" s="8">
        <f>10+10</f>
        <v>20</v>
      </c>
      <c r="Q29" s="8"/>
      <c r="R29" s="8"/>
    </row>
    <row r="30" spans="1:18" ht="15.75" customHeight="1" x14ac:dyDescent="0.35">
      <c r="A30" s="3">
        <v>25</v>
      </c>
      <c r="B30" s="4">
        <v>3321024</v>
      </c>
      <c r="C30" s="4" t="s">
        <v>43</v>
      </c>
      <c r="D30" s="19" t="s">
        <v>42</v>
      </c>
      <c r="E30" s="8">
        <f>1+1</f>
        <v>2</v>
      </c>
      <c r="F30" s="8"/>
      <c r="G30" s="8">
        <f>3+2</f>
        <v>5</v>
      </c>
      <c r="H30" s="8">
        <f>2+3+1</f>
        <v>6</v>
      </c>
      <c r="I30" s="8"/>
      <c r="J30" s="8"/>
      <c r="K30" s="8">
        <v>2</v>
      </c>
      <c r="L30" s="8"/>
      <c r="M30" s="8">
        <f>3+3+2+6+1+1+6+4</f>
        <v>26</v>
      </c>
      <c r="N30" s="8"/>
      <c r="O30" s="8">
        <f>54+57+40+60+54+54+20+4+24</f>
        <v>367</v>
      </c>
      <c r="P30" s="8">
        <f>21+21+40+20</f>
        <v>102</v>
      </c>
      <c r="Q30" s="8"/>
      <c r="R30" s="8"/>
    </row>
    <row r="31" spans="1:18" ht="15.75" customHeight="1" x14ac:dyDescent="0.35">
      <c r="A31" s="5">
        <v>26</v>
      </c>
      <c r="B31" s="4">
        <v>3321011</v>
      </c>
      <c r="C31" s="4" t="s">
        <v>44</v>
      </c>
      <c r="D31" s="19" t="s">
        <v>42</v>
      </c>
      <c r="E31" s="8">
        <f>2+4+4+1</f>
        <v>11</v>
      </c>
      <c r="F31" s="8"/>
      <c r="G31" s="8"/>
      <c r="H31" s="8"/>
      <c r="I31" s="8">
        <v>1</v>
      </c>
      <c r="J31" s="8"/>
      <c r="K31" s="8"/>
      <c r="L31" s="8"/>
      <c r="M31" s="8">
        <f>1+6+1+1+11+11+3</f>
        <v>34</v>
      </c>
      <c r="N31" s="8"/>
      <c r="O31" s="8">
        <f>60+32+29+60+29+29+22+22+18</f>
        <v>301</v>
      </c>
      <c r="P31" s="8">
        <f>32+32+40+50</f>
        <v>154</v>
      </c>
      <c r="Q31" s="8"/>
      <c r="R31" s="8"/>
    </row>
    <row r="32" spans="1:18" x14ac:dyDescent="0.35">
      <c r="A32" s="3">
        <v>27</v>
      </c>
      <c r="B32" s="4">
        <v>3321037</v>
      </c>
      <c r="C32" s="4" t="s">
        <v>45</v>
      </c>
      <c r="D32" s="19" t="s">
        <v>42</v>
      </c>
      <c r="E32" s="8">
        <f>1+6+4</f>
        <v>11</v>
      </c>
      <c r="F32" s="8"/>
      <c r="G32" s="8"/>
      <c r="H32" s="8"/>
      <c r="I32" s="8"/>
      <c r="J32" s="8"/>
      <c r="K32" s="8"/>
      <c r="L32" s="8"/>
      <c r="M32" s="8">
        <f>9+22</f>
        <v>31</v>
      </c>
      <c r="N32" s="8"/>
      <c r="O32" s="8">
        <f>1+1+1+2+1</f>
        <v>6</v>
      </c>
      <c r="P32" s="8"/>
      <c r="Q32" s="8"/>
      <c r="R32" s="8"/>
    </row>
    <row r="33" spans="1:18" x14ac:dyDescent="0.35">
      <c r="A33" s="5">
        <v>28</v>
      </c>
      <c r="B33" s="4">
        <v>332100339</v>
      </c>
      <c r="C33" s="4" t="s">
        <v>46</v>
      </c>
      <c r="D33" s="19" t="s">
        <v>47</v>
      </c>
      <c r="E33" s="8">
        <f>2+1+2</f>
        <v>5</v>
      </c>
      <c r="F33" s="8"/>
      <c r="G33" s="8"/>
      <c r="H33" s="8"/>
      <c r="I33" s="8"/>
      <c r="J33" s="8"/>
      <c r="K33" s="8"/>
      <c r="L33" s="8"/>
      <c r="M33" s="8">
        <f>5+1</f>
        <v>6</v>
      </c>
      <c r="N33" s="8"/>
      <c r="O33" s="8">
        <f>2+5+1+3+1+2</f>
        <v>14</v>
      </c>
      <c r="P33" s="8"/>
      <c r="Q33" s="8"/>
      <c r="R33" s="8"/>
    </row>
    <row r="34" spans="1:18" x14ac:dyDescent="0.35">
      <c r="A34" s="3">
        <v>29</v>
      </c>
      <c r="B34" s="4">
        <v>3321077</v>
      </c>
      <c r="C34" s="4" t="s">
        <v>48</v>
      </c>
      <c r="D34" s="19" t="s">
        <v>47</v>
      </c>
      <c r="E34" s="8">
        <v>2</v>
      </c>
      <c r="F34" s="8"/>
      <c r="G34" s="8"/>
      <c r="H34" s="8"/>
      <c r="I34" s="8"/>
      <c r="J34" s="8"/>
      <c r="K34" s="8"/>
      <c r="L34" s="8"/>
      <c r="M34" s="8">
        <f>1+1+2</f>
        <v>4</v>
      </c>
      <c r="N34" s="8"/>
      <c r="O34" s="8">
        <f>2+1+1+10</f>
        <v>14</v>
      </c>
      <c r="P34" s="8"/>
      <c r="Q34" s="8">
        <f>5</f>
        <v>5</v>
      </c>
      <c r="R34" s="8"/>
    </row>
    <row r="35" spans="1:18" x14ac:dyDescent="0.35">
      <c r="A35" s="5">
        <v>30</v>
      </c>
      <c r="B35" s="4">
        <v>3321090</v>
      </c>
      <c r="C35" s="4" t="s">
        <v>49</v>
      </c>
      <c r="D35" s="19" t="s">
        <v>47</v>
      </c>
      <c r="E35" s="8">
        <f>2+2</f>
        <v>4</v>
      </c>
      <c r="F35" s="8"/>
      <c r="G35" s="8"/>
      <c r="H35" s="8"/>
      <c r="I35" s="8"/>
      <c r="J35" s="8"/>
      <c r="K35" s="8"/>
      <c r="L35" s="8"/>
      <c r="M35" s="8">
        <f>3+3</f>
        <v>6</v>
      </c>
      <c r="N35" s="8"/>
      <c r="O35" s="8">
        <f>2+10+2+3+3+10+3+4</f>
        <v>37</v>
      </c>
      <c r="P35" s="8"/>
      <c r="Q35" s="8">
        <f>5</f>
        <v>5</v>
      </c>
      <c r="R35" s="8"/>
    </row>
    <row r="36" spans="1:18" x14ac:dyDescent="0.35">
      <c r="A36" s="3">
        <v>31</v>
      </c>
      <c r="B36" s="4">
        <v>332101610</v>
      </c>
      <c r="C36" s="4" t="s">
        <v>50</v>
      </c>
      <c r="D36" s="19" t="s">
        <v>47</v>
      </c>
      <c r="E36" s="8">
        <f>9+1+4+4+2+3</f>
        <v>23</v>
      </c>
      <c r="F36" s="8"/>
      <c r="G36" s="8"/>
      <c r="H36" s="8">
        <v>2</v>
      </c>
      <c r="I36" s="8"/>
      <c r="J36" s="8"/>
      <c r="K36" s="8"/>
      <c r="L36" s="8"/>
      <c r="M36" s="8">
        <f>17+1+1+1+1+6+6</f>
        <v>33</v>
      </c>
      <c r="N36" s="8"/>
      <c r="O36" s="8">
        <f>60+5+14+6+6+50+2+13</f>
        <v>156</v>
      </c>
      <c r="P36" s="8"/>
      <c r="Q36" s="8"/>
      <c r="R36" s="8"/>
    </row>
    <row r="37" spans="1:18" x14ac:dyDescent="0.35">
      <c r="A37" s="5">
        <v>32</v>
      </c>
      <c r="B37" s="4">
        <v>332107763</v>
      </c>
      <c r="C37" s="4" t="s">
        <v>51</v>
      </c>
      <c r="D37" s="19" t="s">
        <v>47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f>7+2</f>
        <v>9</v>
      </c>
      <c r="P37" s="8"/>
      <c r="Q37" s="8"/>
      <c r="R37" s="8"/>
    </row>
    <row r="38" spans="1:18" x14ac:dyDescent="0.35">
      <c r="A38" s="3">
        <v>33</v>
      </c>
      <c r="B38" s="4">
        <v>3321119</v>
      </c>
      <c r="C38" s="7" t="s">
        <v>52</v>
      </c>
      <c r="D38" s="21" t="s">
        <v>47</v>
      </c>
      <c r="E38" s="15">
        <f>4+4+1+5+4</f>
        <v>18</v>
      </c>
      <c r="F38" s="15"/>
      <c r="G38" s="15">
        <f>2+3+5</f>
        <v>10</v>
      </c>
      <c r="H38" s="15">
        <f>11+11</f>
        <v>22</v>
      </c>
      <c r="I38" s="15"/>
      <c r="J38" s="15"/>
      <c r="K38" s="15">
        <f>4+1+2+1</f>
        <v>8</v>
      </c>
      <c r="L38" s="15"/>
      <c r="M38" s="15">
        <f>1+1+1+1+1</f>
        <v>5</v>
      </c>
      <c r="N38" s="15"/>
      <c r="O38" s="15">
        <f>1+1+1+3+1+3</f>
        <v>10</v>
      </c>
      <c r="P38" s="15"/>
      <c r="Q38" s="15">
        <f>2+6+7</f>
        <v>15</v>
      </c>
      <c r="R38" s="15"/>
    </row>
    <row r="39" spans="1:18" x14ac:dyDescent="0.35">
      <c r="A39" s="5">
        <v>34</v>
      </c>
      <c r="B39" s="4">
        <v>3321025</v>
      </c>
      <c r="C39" s="4" t="s">
        <v>53</v>
      </c>
      <c r="D39" s="19" t="s">
        <v>54</v>
      </c>
      <c r="E39" s="8"/>
      <c r="F39" s="8">
        <f>1+1+1+1+1</f>
        <v>5</v>
      </c>
      <c r="G39" s="8"/>
      <c r="H39" s="8">
        <f>1+2+1+6+2+2+4+3</f>
        <v>21</v>
      </c>
      <c r="I39" s="8"/>
      <c r="J39" s="8"/>
      <c r="K39" s="8"/>
      <c r="L39" s="8"/>
      <c r="M39" s="8">
        <f>1+10+6</f>
        <v>17</v>
      </c>
      <c r="N39" s="8">
        <f>1+1</f>
        <v>2</v>
      </c>
      <c r="O39" s="8">
        <f>53+40+50+37+37+28+31+26</f>
        <v>302</v>
      </c>
      <c r="P39" s="8">
        <v>32</v>
      </c>
      <c r="Q39" s="8"/>
      <c r="R39" s="8"/>
    </row>
    <row r="40" spans="1:18" x14ac:dyDescent="0.35">
      <c r="A40" s="3">
        <v>35</v>
      </c>
      <c r="B40" s="4">
        <v>3321022</v>
      </c>
      <c r="C40" s="4" t="s">
        <v>55</v>
      </c>
      <c r="D40" s="19" t="s">
        <v>54</v>
      </c>
      <c r="E40" s="8"/>
      <c r="F40" s="8"/>
      <c r="G40" s="8">
        <f>7+5+8+10+2+2+5+4+5</f>
        <v>48</v>
      </c>
      <c r="H40" s="8"/>
      <c r="I40" s="8"/>
      <c r="J40" s="8"/>
      <c r="K40" s="8">
        <f>9+5+2+3+2+2+11+10+2</f>
        <v>46</v>
      </c>
      <c r="L40" s="8"/>
      <c r="M40" s="8">
        <f>2</f>
        <v>2</v>
      </c>
      <c r="N40" s="8"/>
      <c r="O40" s="8">
        <f>11+7+6+7+7+7+7+5+9</f>
        <v>66</v>
      </c>
      <c r="P40" s="8"/>
      <c r="Q40" s="8">
        <f>7+5+4+16+16+16+6+7+13</f>
        <v>90</v>
      </c>
      <c r="R40" s="8"/>
    </row>
    <row r="41" spans="1:18" x14ac:dyDescent="0.35">
      <c r="A41" s="5">
        <v>36</v>
      </c>
      <c r="B41" s="4">
        <v>3321057</v>
      </c>
      <c r="C41" s="4" t="s">
        <v>56</v>
      </c>
      <c r="D41" s="19" t="s">
        <v>54</v>
      </c>
      <c r="E41" s="8">
        <f>1+1+2</f>
        <v>4</v>
      </c>
      <c r="F41" s="8"/>
      <c r="G41" s="8"/>
      <c r="H41" s="8"/>
      <c r="I41" s="8"/>
      <c r="J41" s="8"/>
      <c r="K41" s="8">
        <f>1</f>
        <v>1</v>
      </c>
      <c r="L41" s="8"/>
      <c r="M41" s="8">
        <f>15+7+7+11</f>
        <v>40</v>
      </c>
      <c r="N41" s="8"/>
      <c r="O41" s="8">
        <f>1+1+1+1+3</f>
        <v>7</v>
      </c>
      <c r="P41" s="8"/>
      <c r="Q41" s="8"/>
      <c r="R41" s="8"/>
    </row>
    <row r="42" spans="1:18" x14ac:dyDescent="0.35">
      <c r="A42" s="3">
        <v>37</v>
      </c>
      <c r="B42" s="4">
        <v>3321020</v>
      </c>
      <c r="C42" s="4" t="s">
        <v>57</v>
      </c>
      <c r="D42" s="19" t="s">
        <v>54</v>
      </c>
      <c r="E42" s="8"/>
      <c r="F42" s="8"/>
      <c r="G42" s="8"/>
      <c r="H42" s="8"/>
      <c r="I42" s="8"/>
      <c r="J42" s="8"/>
      <c r="K42" s="8">
        <f>11</f>
        <v>11</v>
      </c>
      <c r="L42" s="8"/>
      <c r="M42" s="8">
        <f>9+2</f>
        <v>11</v>
      </c>
      <c r="N42" s="8"/>
      <c r="O42" s="8">
        <f>54+27+49+27+48+48+22+11+8</f>
        <v>294</v>
      </c>
      <c r="P42" s="8">
        <v>27</v>
      </c>
      <c r="Q42" s="8">
        <f>17</f>
        <v>17</v>
      </c>
      <c r="R42" s="8"/>
    </row>
    <row r="43" spans="1:18" x14ac:dyDescent="0.35">
      <c r="A43" s="5">
        <v>38</v>
      </c>
      <c r="B43" s="4">
        <v>3321085</v>
      </c>
      <c r="C43" s="4" t="s">
        <v>58</v>
      </c>
      <c r="D43" s="19" t="s">
        <v>54</v>
      </c>
      <c r="E43" s="8">
        <v>1</v>
      </c>
      <c r="F43" s="8"/>
      <c r="G43" s="8"/>
      <c r="H43" s="8"/>
      <c r="I43" s="8"/>
      <c r="J43" s="8"/>
      <c r="K43" s="8">
        <f>5</f>
        <v>5</v>
      </c>
      <c r="L43" s="8"/>
      <c r="M43" s="8">
        <f>5+1+1</f>
        <v>7</v>
      </c>
      <c r="N43" s="8"/>
      <c r="O43" s="8">
        <f>3+3+2+2+2+1</f>
        <v>13</v>
      </c>
      <c r="P43" s="8"/>
      <c r="Q43" s="8"/>
      <c r="R43" s="8"/>
    </row>
    <row r="44" spans="1:18" x14ac:dyDescent="0.35">
      <c r="A44" s="3">
        <v>39</v>
      </c>
      <c r="B44" s="4">
        <v>3321001</v>
      </c>
      <c r="C44" s="4" t="s">
        <v>59</v>
      </c>
      <c r="D44" s="19" t="s">
        <v>60</v>
      </c>
      <c r="E44" s="8"/>
      <c r="F44" s="8"/>
      <c r="G44" s="8"/>
      <c r="H44" s="8"/>
      <c r="I44" s="8"/>
      <c r="J44" s="8"/>
      <c r="K44" s="8"/>
      <c r="L44" s="8"/>
      <c r="M44" s="8">
        <v>6</v>
      </c>
      <c r="N44" s="8"/>
      <c r="O44" s="8"/>
      <c r="P44" s="8"/>
      <c r="Q44" s="8"/>
      <c r="R44" s="8"/>
    </row>
    <row r="45" spans="1:18" x14ac:dyDescent="0.35">
      <c r="A45" s="5">
        <v>40</v>
      </c>
      <c r="B45" s="4">
        <v>3321007</v>
      </c>
      <c r="C45" s="4" t="s">
        <v>61</v>
      </c>
      <c r="D45" s="19" t="s">
        <v>60</v>
      </c>
      <c r="E45" s="8">
        <f>2+1+3</f>
        <v>6</v>
      </c>
      <c r="F45" s="8">
        <f>1+2+2+1</f>
        <v>6</v>
      </c>
      <c r="G45" s="8">
        <f>8+2+4+4+2+3+10</f>
        <v>33</v>
      </c>
      <c r="H45" s="8"/>
      <c r="I45" s="8">
        <v>1</v>
      </c>
      <c r="J45" s="8"/>
      <c r="K45" s="8">
        <f>1</f>
        <v>1</v>
      </c>
      <c r="L45" s="8">
        <v>2</v>
      </c>
      <c r="M45" s="8">
        <f>1+7+6</f>
        <v>14</v>
      </c>
      <c r="N45" s="8">
        <f>1+1+1+1</f>
        <v>4</v>
      </c>
      <c r="O45" s="8">
        <f>56+34+37+40+19+19+18+2</f>
        <v>225</v>
      </c>
      <c r="P45" s="8">
        <f>7+5+13+20+39+39+40+49</f>
        <v>212</v>
      </c>
      <c r="Q45" s="8">
        <f>1+2</f>
        <v>3</v>
      </c>
      <c r="R45" s="8">
        <f>3+1+2+2+2</f>
        <v>10</v>
      </c>
    </row>
    <row r="46" spans="1:18" x14ac:dyDescent="0.35">
      <c r="A46" s="3">
        <v>41</v>
      </c>
      <c r="B46" s="4">
        <v>3321092</v>
      </c>
      <c r="C46" s="4" t="s">
        <v>62</v>
      </c>
      <c r="D46" s="19" t="s">
        <v>60</v>
      </c>
      <c r="E46" s="8"/>
      <c r="F46" s="8"/>
      <c r="G46" s="8"/>
      <c r="H46" s="8"/>
      <c r="I46" s="8"/>
      <c r="J46" s="8"/>
      <c r="K46" s="8"/>
      <c r="L46" s="8"/>
      <c r="M46" s="8">
        <f>1+4+4+5+3</f>
        <v>17</v>
      </c>
      <c r="N46" s="8"/>
      <c r="O46" s="8">
        <f>2+4</f>
        <v>6</v>
      </c>
      <c r="P46" s="8"/>
      <c r="Q46" s="8"/>
      <c r="R46" s="8"/>
    </row>
    <row r="47" spans="1:18" x14ac:dyDescent="0.35">
      <c r="A47" s="5">
        <v>42</v>
      </c>
      <c r="B47" s="4">
        <v>3321098</v>
      </c>
      <c r="C47" s="4" t="s">
        <v>63</v>
      </c>
      <c r="D47" s="19" t="s">
        <v>60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>
        <f>2+1+2+2</f>
        <v>7</v>
      </c>
      <c r="P47" s="8"/>
      <c r="Q47" s="8"/>
      <c r="R47" s="8"/>
    </row>
    <row r="48" spans="1:18" x14ac:dyDescent="0.35">
      <c r="A48" s="3">
        <v>43</v>
      </c>
      <c r="B48" s="4">
        <v>3321002</v>
      </c>
      <c r="C48" s="4" t="s">
        <v>64</v>
      </c>
      <c r="D48" s="19" t="s">
        <v>65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35">
      <c r="A49" s="5">
        <v>44</v>
      </c>
      <c r="B49" s="4">
        <v>3321003</v>
      </c>
      <c r="C49" s="4" t="s">
        <v>66</v>
      </c>
      <c r="D49" s="19" t="s">
        <v>65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>
        <f>2+2+2+2+2+2+2+2</f>
        <v>16</v>
      </c>
      <c r="P49" s="8"/>
      <c r="Q49" s="8"/>
      <c r="R49" s="8"/>
    </row>
    <row r="50" spans="1:18" x14ac:dyDescent="0.35">
      <c r="A50" s="3">
        <v>45</v>
      </c>
      <c r="B50" s="4">
        <v>3321005</v>
      </c>
      <c r="C50" s="4" t="s">
        <v>67</v>
      </c>
      <c r="D50" s="19" t="s">
        <v>65</v>
      </c>
      <c r="E50" s="8">
        <f>3+1+1</f>
        <v>5</v>
      </c>
      <c r="F50" s="8"/>
      <c r="G50" s="8">
        <f>1+1</f>
        <v>2</v>
      </c>
      <c r="H50" s="8"/>
      <c r="I50" s="8"/>
      <c r="J50" s="8"/>
      <c r="K50" s="8"/>
      <c r="L50" s="8"/>
      <c r="M50" s="8">
        <f>5</f>
        <v>5</v>
      </c>
      <c r="N50" s="8"/>
      <c r="O50" s="8">
        <f>16+5+5+5+15</f>
        <v>46</v>
      </c>
      <c r="P50" s="8"/>
      <c r="Q50" s="8">
        <f>4</f>
        <v>4</v>
      </c>
      <c r="R50" s="8"/>
    </row>
    <row r="51" spans="1:18" x14ac:dyDescent="0.35">
      <c r="A51" s="5">
        <v>46</v>
      </c>
      <c r="B51" s="4">
        <v>3321004</v>
      </c>
      <c r="C51" s="4" t="s">
        <v>68</v>
      </c>
      <c r="D51" s="19" t="s">
        <v>65</v>
      </c>
      <c r="E51" s="8">
        <f>1+1+1</f>
        <v>3</v>
      </c>
      <c r="F51" s="8"/>
      <c r="G51" s="8">
        <f>1+1</f>
        <v>2</v>
      </c>
      <c r="H51" s="8">
        <v>1</v>
      </c>
      <c r="I51" s="8"/>
      <c r="J51" s="8"/>
      <c r="K51" s="8"/>
      <c r="L51" s="8"/>
      <c r="M51" s="8">
        <f>2+2</f>
        <v>4</v>
      </c>
      <c r="N51" s="8"/>
      <c r="O51" s="8">
        <f>15+4+14+10+10+7+11+12</f>
        <v>83</v>
      </c>
      <c r="P51" s="8"/>
      <c r="Q51" s="8"/>
      <c r="R51" s="8"/>
    </row>
    <row r="52" spans="1:18" x14ac:dyDescent="0.35">
      <c r="A52" s="3">
        <v>47</v>
      </c>
      <c r="B52" s="4">
        <v>3321081</v>
      </c>
      <c r="C52" s="4" t="s">
        <v>69</v>
      </c>
      <c r="D52" s="19" t="s">
        <v>65</v>
      </c>
      <c r="E52" s="8"/>
      <c r="F52" s="8"/>
      <c r="G52" s="8"/>
      <c r="H52" s="8"/>
      <c r="I52" s="8"/>
      <c r="J52" s="8"/>
      <c r="K52" s="8"/>
      <c r="L52" s="8"/>
      <c r="M52" s="8">
        <f>1+1+7</f>
        <v>9</v>
      </c>
      <c r="N52" s="8"/>
      <c r="O52" s="8">
        <f>9</f>
        <v>9</v>
      </c>
      <c r="P52" s="8"/>
      <c r="Q52" s="8"/>
      <c r="R52" s="8"/>
    </row>
    <row r="53" spans="1:18" x14ac:dyDescent="0.35">
      <c r="A53" s="5">
        <v>48</v>
      </c>
      <c r="B53" s="4">
        <v>3321082</v>
      </c>
      <c r="C53" s="4" t="s">
        <v>70</v>
      </c>
      <c r="D53" s="19" t="s">
        <v>65</v>
      </c>
      <c r="E53" s="8">
        <f>1+3+3</f>
        <v>7</v>
      </c>
      <c r="F53" s="8"/>
      <c r="G53" s="8"/>
      <c r="H53" s="8"/>
      <c r="I53" s="8"/>
      <c r="J53" s="8"/>
      <c r="K53" s="8">
        <f>1+2</f>
        <v>3</v>
      </c>
      <c r="L53" s="8"/>
      <c r="M53" s="8">
        <f>3+15+15</f>
        <v>33</v>
      </c>
      <c r="N53" s="8"/>
      <c r="O53" s="8">
        <f>5+5+3+5+5+5+5+10</f>
        <v>43</v>
      </c>
      <c r="P53" s="8"/>
      <c r="Q53" s="8">
        <f>5+5</f>
        <v>10</v>
      </c>
      <c r="R53" s="8"/>
    </row>
    <row r="54" spans="1:18" x14ac:dyDescent="0.35">
      <c r="A54" s="3">
        <v>49</v>
      </c>
      <c r="B54" s="4">
        <v>3321069</v>
      </c>
      <c r="C54" s="4" t="s">
        <v>71</v>
      </c>
      <c r="D54" s="19" t="s">
        <v>72</v>
      </c>
      <c r="E54" s="8">
        <f>7+3+3</f>
        <v>13</v>
      </c>
      <c r="F54" s="8"/>
      <c r="G54" s="8"/>
      <c r="H54" s="8"/>
      <c r="I54" s="8"/>
      <c r="J54" s="8"/>
      <c r="K54" s="8">
        <f>1+2+2</f>
        <v>5</v>
      </c>
      <c r="L54" s="8">
        <f>1</f>
        <v>1</v>
      </c>
      <c r="M54" s="8">
        <f>9+6+6</f>
        <v>21</v>
      </c>
      <c r="N54" s="8"/>
      <c r="O54" s="8">
        <f>2+1+1+3+3</f>
        <v>10</v>
      </c>
      <c r="P54" s="8">
        <f>1</f>
        <v>1</v>
      </c>
      <c r="Q54" s="8"/>
      <c r="R54" s="8">
        <f>1</f>
        <v>1</v>
      </c>
    </row>
    <row r="55" spans="1:18" x14ac:dyDescent="0.35">
      <c r="A55" s="5">
        <v>50</v>
      </c>
      <c r="B55" s="4">
        <v>3321008</v>
      </c>
      <c r="C55" s="4" t="s">
        <v>73</v>
      </c>
      <c r="D55" s="19" t="s">
        <v>72</v>
      </c>
      <c r="E55" s="8">
        <f>4+4</f>
        <v>8</v>
      </c>
      <c r="F55" s="8"/>
      <c r="G55" s="8">
        <f>4+4</f>
        <v>8</v>
      </c>
      <c r="H55" s="8"/>
      <c r="I55" s="8"/>
      <c r="J55" s="8"/>
      <c r="K55" s="8">
        <f>2+1+1</f>
        <v>4</v>
      </c>
      <c r="L55" s="8"/>
      <c r="M55" s="8">
        <v>8</v>
      </c>
      <c r="N55" s="8"/>
      <c r="O55" s="8">
        <f>33+36+28+26+26+31+33+33</f>
        <v>246</v>
      </c>
      <c r="P55" s="8"/>
      <c r="Q55" s="8">
        <v>1</v>
      </c>
      <c r="R55" s="8"/>
    </row>
    <row r="56" spans="1:18" x14ac:dyDescent="0.35">
      <c r="A56" s="3">
        <v>51</v>
      </c>
      <c r="B56" s="4">
        <v>3321023</v>
      </c>
      <c r="C56" s="4" t="s">
        <v>74</v>
      </c>
      <c r="D56" s="19" t="s">
        <v>72</v>
      </c>
      <c r="E56" s="8">
        <f>7+4</f>
        <v>11</v>
      </c>
      <c r="F56" s="8">
        <f>1+1+1</f>
        <v>3</v>
      </c>
      <c r="G56" s="8"/>
      <c r="H56" s="8">
        <f>2+1</f>
        <v>3</v>
      </c>
      <c r="I56" s="8"/>
      <c r="J56" s="8"/>
      <c r="K56" s="8"/>
      <c r="L56" s="8"/>
      <c r="M56" s="8">
        <f>3+18+7+1+1+1+1</f>
        <v>32</v>
      </c>
      <c r="N56" s="8">
        <f>2+2</f>
        <v>4</v>
      </c>
      <c r="O56" s="8">
        <f>37+34+34+40+50+50+23+17+17</f>
        <v>302</v>
      </c>
      <c r="P56" s="8"/>
      <c r="Q56" s="8">
        <f>1+2+20+20+7+7</f>
        <v>57</v>
      </c>
      <c r="R56" s="8"/>
    </row>
    <row r="57" spans="1:18" x14ac:dyDescent="0.35">
      <c r="A57" s="5">
        <v>52</v>
      </c>
      <c r="B57" s="4">
        <v>3321056</v>
      </c>
      <c r="C57" s="4" t="s">
        <v>75</v>
      </c>
      <c r="D57" s="19" t="s">
        <v>72</v>
      </c>
      <c r="E57" s="8"/>
      <c r="F57" s="8"/>
      <c r="G57" s="8"/>
      <c r="H57" s="8"/>
      <c r="I57" s="8"/>
      <c r="J57" s="8"/>
      <c r="K57" s="8">
        <f>10+10+10+10+10+10</f>
        <v>60</v>
      </c>
      <c r="L57" s="8"/>
      <c r="M57" s="8">
        <v>1</v>
      </c>
      <c r="N57" s="8"/>
      <c r="O57" s="8">
        <f>20+1</f>
        <v>21</v>
      </c>
      <c r="P57" s="8"/>
      <c r="Q57" s="8">
        <f>10+10+10+10+10</f>
        <v>50</v>
      </c>
      <c r="R57" s="8"/>
    </row>
    <row r="58" spans="1:18" x14ac:dyDescent="0.35">
      <c r="A58" s="3">
        <v>53</v>
      </c>
      <c r="B58" s="4">
        <v>3321120</v>
      </c>
      <c r="C58" s="4" t="s">
        <v>76</v>
      </c>
      <c r="D58" s="19" t="s">
        <v>72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f>6+3</f>
        <v>9</v>
      </c>
      <c r="P58" s="8"/>
      <c r="Q58" s="8"/>
      <c r="R58" s="8">
        <v>2</v>
      </c>
    </row>
    <row r="59" spans="1:18" x14ac:dyDescent="0.35">
      <c r="A59" s="5">
        <v>54</v>
      </c>
      <c r="B59" s="4">
        <v>3321080</v>
      </c>
      <c r="C59" s="4" t="s">
        <v>77</v>
      </c>
      <c r="D59" s="19" t="s">
        <v>78</v>
      </c>
      <c r="E59" s="8">
        <f>2+3+1</f>
        <v>6</v>
      </c>
      <c r="F59" s="8"/>
      <c r="G59" s="8"/>
      <c r="H59" s="8"/>
      <c r="I59" s="8"/>
      <c r="J59" s="8"/>
      <c r="K59" s="8"/>
      <c r="L59" s="8"/>
      <c r="M59" s="8">
        <f>10+12</f>
        <v>22</v>
      </c>
      <c r="N59" s="8"/>
      <c r="O59" s="8">
        <f>2+2+5+3+2+2+3+2+2</f>
        <v>23</v>
      </c>
      <c r="P59" s="8"/>
      <c r="Q59" s="8"/>
      <c r="R59" s="8"/>
    </row>
    <row r="60" spans="1:18" x14ac:dyDescent="0.35">
      <c r="A60" s="3">
        <v>55</v>
      </c>
      <c r="B60" s="4">
        <v>3321039</v>
      </c>
      <c r="C60" s="4" t="s">
        <v>79</v>
      </c>
      <c r="D60" s="19" t="s">
        <v>78</v>
      </c>
      <c r="E60" s="8">
        <f>2</f>
        <v>2</v>
      </c>
      <c r="F60" s="8"/>
      <c r="G60" s="8"/>
      <c r="H60" s="8"/>
      <c r="I60" s="8"/>
      <c r="J60" s="8"/>
      <c r="K60" s="8">
        <f>3</f>
        <v>3</v>
      </c>
      <c r="L60" s="8"/>
      <c r="M60" s="8">
        <f>1+2+1+11+1</f>
        <v>16</v>
      </c>
      <c r="N60" s="8"/>
      <c r="O60" s="8">
        <f>10+8+5+5+42</f>
        <v>70</v>
      </c>
      <c r="P60" s="8"/>
      <c r="Q60" s="8">
        <f>11</f>
        <v>11</v>
      </c>
      <c r="R60" s="8"/>
    </row>
    <row r="61" spans="1:18" x14ac:dyDescent="0.35">
      <c r="A61" s="5">
        <v>56</v>
      </c>
      <c r="B61" s="4">
        <v>3321028</v>
      </c>
      <c r="C61" s="4" t="s">
        <v>80</v>
      </c>
      <c r="D61" s="19" t="s">
        <v>78</v>
      </c>
      <c r="E61" s="8">
        <f>7+7+1+4</f>
        <v>19</v>
      </c>
      <c r="F61" s="8"/>
      <c r="G61" s="8">
        <f>2</f>
        <v>2</v>
      </c>
      <c r="H61" s="8">
        <f>2+1</f>
        <v>3</v>
      </c>
      <c r="I61" s="8"/>
      <c r="J61" s="8"/>
      <c r="K61" s="8">
        <f>1</f>
        <v>1</v>
      </c>
      <c r="L61" s="8"/>
      <c r="M61" s="8">
        <f>10+10</f>
        <v>20</v>
      </c>
      <c r="N61" s="8"/>
      <c r="O61" s="8">
        <f>36+26+25+30+24+24+23+23+20</f>
        <v>231</v>
      </c>
      <c r="P61" s="8"/>
      <c r="Q61" s="8">
        <f>2+2+2+20</f>
        <v>26</v>
      </c>
      <c r="R61" s="8"/>
    </row>
    <row r="62" spans="1:18" x14ac:dyDescent="0.35">
      <c r="A62" s="3">
        <v>57</v>
      </c>
      <c r="B62" s="4">
        <v>3321012</v>
      </c>
      <c r="C62" s="4" t="s">
        <v>81</v>
      </c>
      <c r="D62" s="19" t="s">
        <v>78</v>
      </c>
      <c r="E62" s="8">
        <f>1+1+1+2</f>
        <v>5</v>
      </c>
      <c r="F62" s="8"/>
      <c r="G62" s="8">
        <f>3+1+2</f>
        <v>6</v>
      </c>
      <c r="H62" s="8">
        <f>1+2+1</f>
        <v>4</v>
      </c>
      <c r="I62" s="8"/>
      <c r="J62" s="8"/>
      <c r="K62" s="8"/>
      <c r="L62" s="8"/>
      <c r="M62" s="8">
        <f>7+5+2+2+8</f>
        <v>24</v>
      </c>
      <c r="N62" s="8"/>
      <c r="O62" s="8">
        <f>10+17+25+32+27+27+12+17+15</f>
        <v>182</v>
      </c>
      <c r="P62" s="8"/>
      <c r="Q62" s="8">
        <f>5+4+6+3+4</f>
        <v>22</v>
      </c>
      <c r="R62" s="8"/>
    </row>
    <row r="63" spans="1:18" x14ac:dyDescent="0.35">
      <c r="A63" s="5">
        <v>58</v>
      </c>
      <c r="B63" s="4">
        <v>3321078</v>
      </c>
      <c r="C63" s="4" t="s">
        <v>82</v>
      </c>
      <c r="D63" s="19" t="s">
        <v>83</v>
      </c>
      <c r="E63" s="8">
        <f>6+1+1+1+5</f>
        <v>14</v>
      </c>
      <c r="F63" s="8"/>
      <c r="G63" s="8"/>
      <c r="H63" s="8"/>
      <c r="I63" s="8"/>
      <c r="J63" s="8"/>
      <c r="K63" s="8"/>
      <c r="L63" s="8"/>
      <c r="M63" s="8">
        <f>1+16+24</f>
        <v>41</v>
      </c>
      <c r="N63" s="8"/>
      <c r="O63" s="8">
        <f>5+5+10+10+10+5+2</f>
        <v>47</v>
      </c>
      <c r="P63" s="8"/>
      <c r="Q63" s="8">
        <f>1</f>
        <v>1</v>
      </c>
      <c r="R63" s="8"/>
    </row>
    <row r="64" spans="1:18" x14ac:dyDescent="0.35">
      <c r="A64" s="3">
        <v>59</v>
      </c>
      <c r="B64" s="4">
        <v>3321018</v>
      </c>
      <c r="C64" s="4" t="s">
        <v>84</v>
      </c>
      <c r="D64" s="19" t="s">
        <v>83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>
        <f>10</f>
        <v>10</v>
      </c>
      <c r="P64" s="8"/>
      <c r="Q64" s="8">
        <f>4</f>
        <v>4</v>
      </c>
      <c r="R64" s="8"/>
    </row>
    <row r="65" spans="1:18" x14ac:dyDescent="0.35">
      <c r="A65" s="5">
        <v>60</v>
      </c>
      <c r="B65" s="4">
        <v>3321019</v>
      </c>
      <c r="C65" s="4" t="s">
        <v>85</v>
      </c>
      <c r="D65" s="19" t="s">
        <v>83</v>
      </c>
      <c r="E65" s="8">
        <f>3+1+2+26+26+14+5+4</f>
        <v>81</v>
      </c>
      <c r="F65" s="8"/>
      <c r="G65" s="8">
        <f>3+7+2+21+21+19+10+3</f>
        <v>86</v>
      </c>
      <c r="H65" s="8"/>
      <c r="I65" s="8"/>
      <c r="J65" s="8"/>
      <c r="K65" s="8">
        <f>4+11+66+66+5</f>
        <v>152</v>
      </c>
      <c r="L65" s="8"/>
      <c r="M65" s="8">
        <f>1+1+45+45+2+14</f>
        <v>108</v>
      </c>
      <c r="N65" s="8"/>
      <c r="O65" s="8">
        <f>4+4+10+25+25+31+31+10</f>
        <v>140</v>
      </c>
      <c r="P65" s="8"/>
      <c r="Q65" s="8">
        <f>4+6+6+32+20+5</f>
        <v>73</v>
      </c>
      <c r="R65" s="8"/>
    </row>
    <row r="66" spans="1:18" x14ac:dyDescent="0.35">
      <c r="A66" s="3">
        <v>61</v>
      </c>
      <c r="B66" s="4">
        <v>3321029</v>
      </c>
      <c r="C66" s="4" t="s">
        <v>86</v>
      </c>
      <c r="D66" s="19" t="s">
        <v>83</v>
      </c>
      <c r="E66" s="8"/>
      <c r="F66" s="8"/>
      <c r="G66" s="8"/>
      <c r="H66" s="8"/>
      <c r="I66" s="8"/>
      <c r="J66" s="8"/>
      <c r="K66" s="8"/>
      <c r="L66" s="8"/>
      <c r="M66" s="8">
        <f>1</f>
        <v>1</v>
      </c>
      <c r="N66" s="8"/>
      <c r="O66" s="8">
        <f>8+9+4+6+5</f>
        <v>32</v>
      </c>
      <c r="P66" s="8">
        <f>25</f>
        <v>25</v>
      </c>
      <c r="Q66" s="8"/>
      <c r="R66" s="8"/>
    </row>
    <row r="67" spans="1:18" x14ac:dyDescent="0.35">
      <c r="A67" s="5">
        <v>62</v>
      </c>
      <c r="B67" s="4">
        <v>3321031</v>
      </c>
      <c r="C67" s="4" t="s">
        <v>87</v>
      </c>
      <c r="D67" s="19" t="s">
        <v>83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35">
      <c r="A68" s="3">
        <v>63</v>
      </c>
      <c r="B68" s="4">
        <v>3321045</v>
      </c>
      <c r="C68" s="4" t="s">
        <v>88</v>
      </c>
      <c r="D68" s="19" t="s">
        <v>83</v>
      </c>
      <c r="E68" s="8">
        <f>3</f>
        <v>3</v>
      </c>
      <c r="F68" s="8"/>
      <c r="G68" s="8"/>
      <c r="H68" s="8"/>
      <c r="I68" s="8"/>
      <c r="J68" s="8"/>
      <c r="K68" s="8">
        <f>1</f>
        <v>1</v>
      </c>
      <c r="L68" s="8"/>
      <c r="M68" s="8">
        <f>13</f>
        <v>13</v>
      </c>
      <c r="N68" s="8"/>
      <c r="O68" s="8"/>
      <c r="P68" s="8"/>
      <c r="Q68" s="8"/>
      <c r="R68" s="8"/>
    </row>
    <row r="69" spans="1:18" x14ac:dyDescent="0.35">
      <c r="A69" s="5">
        <v>64</v>
      </c>
      <c r="B69" s="4">
        <v>3321030</v>
      </c>
      <c r="C69" s="4" t="s">
        <v>89</v>
      </c>
      <c r="D69" s="19" t="s">
        <v>83</v>
      </c>
      <c r="E69" s="8"/>
      <c r="F69" s="8"/>
      <c r="G69" s="8"/>
      <c r="H69" s="8"/>
      <c r="I69" s="8"/>
      <c r="J69" s="8"/>
      <c r="K69" s="8"/>
      <c r="L69" s="8"/>
      <c r="M69" s="8">
        <v>4</v>
      </c>
      <c r="N69" s="8"/>
      <c r="O69" s="8">
        <f>7+5+30+10+22+25</f>
        <v>99</v>
      </c>
      <c r="P69" s="8">
        <f>15</f>
        <v>15</v>
      </c>
      <c r="Q69" s="8"/>
      <c r="R69" s="8"/>
    </row>
    <row r="70" spans="1:18" x14ac:dyDescent="0.35">
      <c r="A70" s="3">
        <v>65</v>
      </c>
      <c r="B70" s="4">
        <v>3321017</v>
      </c>
      <c r="C70" s="4" t="s">
        <v>90</v>
      </c>
      <c r="D70" s="19" t="s">
        <v>83</v>
      </c>
      <c r="E70" s="8">
        <f>1+2</f>
        <v>3</v>
      </c>
      <c r="F70" s="8"/>
      <c r="G70" s="8"/>
      <c r="H70" s="8"/>
      <c r="I70" s="8"/>
      <c r="J70" s="8"/>
      <c r="K70" s="8"/>
      <c r="L70" s="8"/>
      <c r="M70" s="8">
        <f>1+2+1+1+1+4</f>
        <v>10</v>
      </c>
      <c r="N70" s="8"/>
      <c r="O70" s="8">
        <f>2+2+5+17</f>
        <v>26</v>
      </c>
      <c r="P70" s="8"/>
      <c r="Q70" s="8"/>
      <c r="R70" s="8"/>
    </row>
    <row r="71" spans="1:18" x14ac:dyDescent="0.35">
      <c r="A71" s="5">
        <v>66</v>
      </c>
      <c r="B71" s="4">
        <v>3321099</v>
      </c>
      <c r="C71" s="4" t="s">
        <v>91</v>
      </c>
      <c r="D71" s="19" t="s">
        <v>83</v>
      </c>
      <c r="E71" s="8">
        <f>2+4+3+3+3+4+5+1</f>
        <v>25</v>
      </c>
      <c r="F71" s="8"/>
      <c r="G71" s="8">
        <f>4+1+3+3+5+3+4</f>
        <v>23</v>
      </c>
      <c r="H71" s="8"/>
      <c r="I71" s="8"/>
      <c r="J71" s="8"/>
      <c r="K71" s="8">
        <v>2</v>
      </c>
      <c r="L71" s="8"/>
      <c r="M71" s="8">
        <f>1+2+2+1+3</f>
        <v>9</v>
      </c>
      <c r="N71" s="8"/>
      <c r="O71" s="8">
        <f>2+4+2+2+4+6</f>
        <v>20</v>
      </c>
      <c r="P71" s="8"/>
      <c r="Q71" s="8">
        <v>1</v>
      </c>
      <c r="R71" s="8"/>
    </row>
    <row r="72" spans="1:18" x14ac:dyDescent="0.35">
      <c r="A72" s="3">
        <v>67</v>
      </c>
      <c r="B72" s="4">
        <v>3321059</v>
      </c>
      <c r="C72" s="4" t="s">
        <v>92</v>
      </c>
      <c r="D72" s="19" t="s">
        <v>93</v>
      </c>
      <c r="E72" s="8">
        <f>1</f>
        <v>1</v>
      </c>
      <c r="F72" s="8"/>
      <c r="G72" s="8"/>
      <c r="H72" s="8"/>
      <c r="I72" s="8"/>
      <c r="J72" s="8"/>
      <c r="K72" s="8"/>
      <c r="L72" s="8"/>
      <c r="M72" s="8">
        <f>1+1+1+2</f>
        <v>5</v>
      </c>
      <c r="N72" s="8"/>
      <c r="O72" s="8">
        <f>2+1+1+1+1</f>
        <v>6</v>
      </c>
      <c r="P72" s="8"/>
      <c r="Q72" s="8"/>
      <c r="R72" s="8"/>
    </row>
    <row r="73" spans="1:18" x14ac:dyDescent="0.35">
      <c r="A73" s="5">
        <v>68</v>
      </c>
      <c r="B73" s="4">
        <v>3321021</v>
      </c>
      <c r="C73" s="4" t="s">
        <v>94</v>
      </c>
      <c r="D73" s="19" t="s">
        <v>93</v>
      </c>
      <c r="E73" s="8">
        <f>1+1+2</f>
        <v>4</v>
      </c>
      <c r="F73" s="8">
        <v>3</v>
      </c>
      <c r="G73" s="8"/>
      <c r="H73" s="8"/>
      <c r="I73" s="8"/>
      <c r="J73" s="8"/>
      <c r="K73" s="8"/>
      <c r="L73" s="8"/>
      <c r="M73" s="8">
        <f>3+7+7+2+2+3+2+5</f>
        <v>31</v>
      </c>
      <c r="N73" s="8"/>
      <c r="O73" s="8">
        <f>39+41+38+25+25+20+25</f>
        <v>213</v>
      </c>
      <c r="P73" s="8">
        <f>13+46+32+32+36+6</f>
        <v>165</v>
      </c>
      <c r="Q73" s="8"/>
      <c r="R73" s="8"/>
    </row>
    <row r="74" spans="1:18" x14ac:dyDescent="0.35">
      <c r="A74" s="3">
        <v>69</v>
      </c>
      <c r="B74" s="4">
        <v>3321108</v>
      </c>
      <c r="C74" s="4" t="s">
        <v>95</v>
      </c>
      <c r="D74" s="19" t="s">
        <v>93</v>
      </c>
      <c r="E74" s="8">
        <f>2+3+3+5</f>
        <v>13</v>
      </c>
      <c r="F74" s="8">
        <f>2+1+1+1+1+2</f>
        <v>8</v>
      </c>
      <c r="G74" s="8">
        <v>6</v>
      </c>
      <c r="H74" s="8">
        <f>2+1+2+2+4</f>
        <v>11</v>
      </c>
      <c r="I74" s="8"/>
      <c r="J74" s="8"/>
      <c r="K74" s="8"/>
      <c r="L74" s="8"/>
      <c r="M74" s="8">
        <f>3+3+2+2+3</f>
        <v>13</v>
      </c>
      <c r="N74" s="8"/>
      <c r="O74" s="8">
        <f>36+45+40+50+50+50+15+30+39</f>
        <v>355</v>
      </c>
      <c r="P74" s="8"/>
      <c r="Q74" s="8"/>
      <c r="R74" s="8"/>
    </row>
    <row r="75" spans="1:18" x14ac:dyDescent="0.35">
      <c r="A75" s="5">
        <v>70</v>
      </c>
      <c r="B75" s="4">
        <v>3321009</v>
      </c>
      <c r="C75" s="4" t="s">
        <v>96</v>
      </c>
      <c r="D75" s="19" t="s">
        <v>93</v>
      </c>
      <c r="E75" s="8"/>
      <c r="F75" s="8"/>
      <c r="G75" s="8"/>
      <c r="H75" s="8"/>
      <c r="I75" s="8"/>
      <c r="J75" s="8"/>
      <c r="K75" s="8"/>
      <c r="L75" s="8"/>
      <c r="M75" s="8">
        <f>10+1+1+2</f>
        <v>14</v>
      </c>
      <c r="N75" s="8"/>
      <c r="O75" s="8">
        <f>1</f>
        <v>1</v>
      </c>
      <c r="P75" s="8"/>
      <c r="Q75" s="8"/>
      <c r="R75" s="8"/>
    </row>
    <row r="76" spans="1:18" x14ac:dyDescent="0.35">
      <c r="A76" s="3">
        <v>71</v>
      </c>
      <c r="B76" s="4">
        <v>3321052</v>
      </c>
      <c r="C76" s="4" t="s">
        <v>97</v>
      </c>
      <c r="D76" s="19" t="s">
        <v>93</v>
      </c>
      <c r="E76" s="8">
        <f>1+1+1</f>
        <v>3</v>
      </c>
      <c r="F76" s="8"/>
      <c r="G76" s="8"/>
      <c r="H76" s="8"/>
      <c r="I76" s="8"/>
      <c r="J76" s="8"/>
      <c r="K76" s="8">
        <f>1+1+2+2</f>
        <v>6</v>
      </c>
      <c r="L76" s="8"/>
      <c r="M76" s="8">
        <f>3+2+5+5+1</f>
        <v>16</v>
      </c>
      <c r="N76" s="8"/>
      <c r="O76" s="8">
        <f>6+21+7+9+17+17+4+4+8</f>
        <v>93</v>
      </c>
      <c r="P76" s="8"/>
      <c r="Q76" s="8">
        <f>3+2+2+1</f>
        <v>8</v>
      </c>
      <c r="R76" s="8"/>
    </row>
    <row r="77" spans="1:18" x14ac:dyDescent="0.35">
      <c r="A77" s="5">
        <v>72</v>
      </c>
      <c r="B77" s="4">
        <v>3321046</v>
      </c>
      <c r="C77" s="4" t="s">
        <v>98</v>
      </c>
      <c r="D77" s="19" t="s">
        <v>99</v>
      </c>
      <c r="E77" s="8">
        <f>2+2+2+1</f>
        <v>7</v>
      </c>
      <c r="F77" s="8"/>
      <c r="G77" s="8"/>
      <c r="H77" s="8"/>
      <c r="I77" s="8"/>
      <c r="J77" s="8"/>
      <c r="K77" s="8">
        <f>1</f>
        <v>1</v>
      </c>
      <c r="L77" s="8"/>
      <c r="M77" s="8">
        <f>13+4+4+9</f>
        <v>30</v>
      </c>
      <c r="N77" s="8"/>
      <c r="O77" s="8">
        <f>14+5+6+5+5+7</f>
        <v>42</v>
      </c>
      <c r="P77" s="8"/>
      <c r="Q77" s="8"/>
      <c r="R77" s="8"/>
    </row>
    <row r="78" spans="1:18" x14ac:dyDescent="0.35">
      <c r="A78" s="3">
        <v>73</v>
      </c>
      <c r="B78" s="4">
        <v>3321032</v>
      </c>
      <c r="C78" s="4" t="s">
        <v>100</v>
      </c>
      <c r="D78" s="19" t="s">
        <v>99</v>
      </c>
      <c r="E78" s="8">
        <f>2+1+3+2+2+4+2</f>
        <v>16</v>
      </c>
      <c r="F78" s="8">
        <f>1+1+2</f>
        <v>4</v>
      </c>
      <c r="G78" s="8"/>
      <c r="H78" s="8">
        <f>1+6+3+6+5+5+3+2+5</f>
        <v>36</v>
      </c>
      <c r="I78" s="8"/>
      <c r="J78" s="8"/>
      <c r="K78" s="8">
        <f>1+1</f>
        <v>2</v>
      </c>
      <c r="L78" s="8"/>
      <c r="M78" s="8">
        <f>3+2+8+1+1+10</f>
        <v>25</v>
      </c>
      <c r="N78" s="8">
        <f>2</f>
        <v>2</v>
      </c>
      <c r="O78" s="8">
        <f>30+7+7+7+9+9+18+22+56</f>
        <v>165</v>
      </c>
      <c r="P78" s="8">
        <f>35+31+35+45+45+38+37+48</f>
        <v>314</v>
      </c>
      <c r="Q78" s="8">
        <f>2+5+1</f>
        <v>8</v>
      </c>
      <c r="R78" s="8">
        <f>137+3</f>
        <v>140</v>
      </c>
    </row>
    <row r="79" spans="1:18" x14ac:dyDescent="0.35">
      <c r="A79" s="5">
        <v>74</v>
      </c>
      <c r="B79" s="4">
        <v>3321026</v>
      </c>
      <c r="C79" s="4" t="s">
        <v>101</v>
      </c>
      <c r="D79" s="19" t="s">
        <v>99</v>
      </c>
      <c r="E79" s="8">
        <f>2+1+1+1+1+2+5</f>
        <v>13</v>
      </c>
      <c r="F79" s="8">
        <v>3</v>
      </c>
      <c r="G79" s="8">
        <f>6</f>
        <v>6</v>
      </c>
      <c r="H79" s="8">
        <f>3+4+3+6+3+3+2</f>
        <v>24</v>
      </c>
      <c r="I79" s="8"/>
      <c r="J79" s="8"/>
      <c r="K79" s="8">
        <f>3</f>
        <v>3</v>
      </c>
      <c r="L79" s="8"/>
      <c r="M79" s="8">
        <f>1+2+1+1+1+8+1</f>
        <v>15</v>
      </c>
      <c r="N79" s="8">
        <v>3</v>
      </c>
      <c r="O79" s="8">
        <f>24+4+16+16+33+33+8+15</f>
        <v>149</v>
      </c>
      <c r="P79" s="8">
        <f>118+118+19+19+12</f>
        <v>286</v>
      </c>
      <c r="Q79" s="8">
        <f>9+9+7</f>
        <v>25</v>
      </c>
      <c r="R79" s="8"/>
    </row>
    <row r="80" spans="1:18" x14ac:dyDescent="0.35">
      <c r="A80" s="3">
        <v>75</v>
      </c>
      <c r="B80" s="4">
        <v>3321006</v>
      </c>
      <c r="C80" s="4" t="s">
        <v>102</v>
      </c>
      <c r="D80" s="19" t="s">
        <v>103</v>
      </c>
      <c r="E80" s="8"/>
      <c r="F80" s="8"/>
      <c r="G80" s="8">
        <f>1+1+1</f>
        <v>3</v>
      </c>
      <c r="H80" s="8"/>
      <c r="I80" s="8"/>
      <c r="J80" s="8"/>
      <c r="K80" s="8"/>
      <c r="L80" s="8"/>
      <c r="M80" s="8"/>
      <c r="N80" s="8"/>
      <c r="O80" s="8">
        <f>5+39+40+45</f>
        <v>129</v>
      </c>
      <c r="P80" s="8">
        <v>35</v>
      </c>
      <c r="Q80" s="8">
        <v>5</v>
      </c>
      <c r="R80" s="8"/>
    </row>
    <row r="81" spans="1:18" x14ac:dyDescent="0.35">
      <c r="A81" s="5">
        <v>76</v>
      </c>
      <c r="B81" s="4">
        <v>3321068</v>
      </c>
      <c r="C81" s="4" t="s">
        <v>104</v>
      </c>
      <c r="D81" s="19" t="s">
        <v>103</v>
      </c>
      <c r="E81" s="8">
        <f>1+1+1</f>
        <v>3</v>
      </c>
      <c r="F81" s="8"/>
      <c r="G81" s="8"/>
      <c r="H81" s="8"/>
      <c r="I81" s="8"/>
      <c r="J81" s="8"/>
      <c r="K81" s="8"/>
      <c r="L81" s="8"/>
      <c r="M81" s="8">
        <f>2+3</f>
        <v>5</v>
      </c>
      <c r="N81" s="8"/>
      <c r="O81" s="8">
        <f>5+6+3+5+2+2+3+3+3</f>
        <v>32</v>
      </c>
      <c r="P81" s="8"/>
      <c r="Q81" s="8"/>
      <c r="R81" s="8"/>
    </row>
    <row r="82" spans="1:18" x14ac:dyDescent="0.35">
      <c r="A82" s="3">
        <v>77</v>
      </c>
      <c r="B82" s="4">
        <v>3321066</v>
      </c>
      <c r="C82" s="4" t="s">
        <v>105</v>
      </c>
      <c r="D82" s="19" t="s">
        <v>103</v>
      </c>
      <c r="E82" s="8">
        <f>2+2+2</f>
        <v>6</v>
      </c>
      <c r="F82" s="8"/>
      <c r="G82" s="8"/>
      <c r="H82" s="8"/>
      <c r="I82" s="8"/>
      <c r="J82" s="8"/>
      <c r="K82" s="8"/>
      <c r="L82" s="8"/>
      <c r="M82" s="8">
        <f>3+3</f>
        <v>6</v>
      </c>
      <c r="N82" s="8"/>
      <c r="O82" s="8">
        <f>1+3+3+1+2+2+1+4</f>
        <v>17</v>
      </c>
      <c r="P82" s="8"/>
      <c r="Q82" s="8"/>
      <c r="R82" s="8"/>
    </row>
    <row r="83" spans="1:18" x14ac:dyDescent="0.35">
      <c r="A83" s="5">
        <v>78</v>
      </c>
      <c r="B83" s="4">
        <v>3321067</v>
      </c>
      <c r="C83" s="4" t="s">
        <v>106</v>
      </c>
      <c r="D83" s="19" t="s">
        <v>103</v>
      </c>
      <c r="E83" s="8">
        <v>1</v>
      </c>
      <c r="F83" s="8"/>
      <c r="G83" s="8"/>
      <c r="H83" s="8"/>
      <c r="I83" s="8"/>
      <c r="J83" s="8"/>
      <c r="K83" s="8"/>
      <c r="L83" s="8"/>
      <c r="M83" s="8">
        <f>2+9+3+3+3+2+1+21</f>
        <v>44</v>
      </c>
      <c r="N83" s="8"/>
      <c r="O83" s="8">
        <f>2+5+2+4+2+2+4+5+3</f>
        <v>29</v>
      </c>
      <c r="P83" s="8"/>
      <c r="Q83" s="8"/>
      <c r="R83" s="8"/>
    </row>
    <row r="84" spans="1:18" x14ac:dyDescent="0.35">
      <c r="A84" s="3">
        <v>79</v>
      </c>
      <c r="B84" s="4">
        <v>3321058</v>
      </c>
      <c r="C84" s="4" t="s">
        <v>107</v>
      </c>
      <c r="D84" s="19" t="s">
        <v>103</v>
      </c>
      <c r="E84" s="8">
        <f>1+1+1</f>
        <v>3</v>
      </c>
      <c r="F84" s="8"/>
      <c r="G84" s="8"/>
      <c r="H84" s="8"/>
      <c r="I84" s="8"/>
      <c r="J84" s="8"/>
      <c r="K84" s="8"/>
      <c r="L84" s="8"/>
      <c r="M84" s="8">
        <f>1+6+1</f>
        <v>8</v>
      </c>
      <c r="N84" s="8"/>
      <c r="O84" s="8">
        <f>2+1+2+4+4+3+2+1</f>
        <v>19</v>
      </c>
      <c r="P84" s="8"/>
      <c r="Q84" s="8"/>
      <c r="R84" s="8"/>
    </row>
    <row r="85" spans="1:18" x14ac:dyDescent="0.35">
      <c r="A85" s="34" t="s">
        <v>1</v>
      </c>
      <c r="B85" s="34"/>
      <c r="C85" s="34"/>
      <c r="D85" s="35"/>
      <c r="E85" s="17">
        <f>SUM(E6:E84)</f>
        <v>494</v>
      </c>
      <c r="F85" s="22">
        <f t="shared" ref="F85:R85" si="0">SUM(F6:F84)</f>
        <v>42</v>
      </c>
      <c r="G85" s="22">
        <f t="shared" si="0"/>
        <v>410</v>
      </c>
      <c r="H85" s="22">
        <f t="shared" si="0"/>
        <v>133</v>
      </c>
      <c r="I85" s="22">
        <f t="shared" si="0"/>
        <v>2</v>
      </c>
      <c r="J85" s="22">
        <f t="shared" si="0"/>
        <v>0</v>
      </c>
      <c r="K85" s="22">
        <f t="shared" si="0"/>
        <v>439</v>
      </c>
      <c r="L85" s="22">
        <f t="shared" si="0"/>
        <v>31</v>
      </c>
      <c r="M85" s="22">
        <f t="shared" si="0"/>
        <v>1209</v>
      </c>
      <c r="N85" s="22">
        <f t="shared" si="0"/>
        <v>36</v>
      </c>
      <c r="O85" s="22">
        <f t="shared" si="0"/>
        <v>6796</v>
      </c>
      <c r="P85" s="22">
        <f t="shared" si="0"/>
        <v>1580</v>
      </c>
      <c r="Q85" s="22">
        <f t="shared" si="0"/>
        <v>528</v>
      </c>
      <c r="R85" s="18">
        <f t="shared" si="0"/>
        <v>214</v>
      </c>
    </row>
    <row r="86" spans="1:18" ht="15" thickBot="1" x14ac:dyDescent="0.4">
      <c r="A86" s="34" t="s">
        <v>2</v>
      </c>
      <c r="B86" s="34"/>
      <c r="C86" s="34"/>
      <c r="D86" s="35"/>
      <c r="E86" s="36">
        <f>SUM(E85:R85)</f>
        <v>11914</v>
      </c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92" spans="1:18" x14ac:dyDescent="0.35">
      <c r="H92" s="1"/>
    </row>
  </sheetData>
  <mergeCells count="15">
    <mergeCell ref="A86:D86"/>
    <mergeCell ref="E86:R86"/>
    <mergeCell ref="I4:J4"/>
    <mergeCell ref="K4:L4"/>
    <mergeCell ref="M4:N4"/>
    <mergeCell ref="O4:P4"/>
    <mergeCell ref="Q4:R4"/>
    <mergeCell ref="A85:D85"/>
    <mergeCell ref="E4:F4"/>
    <mergeCell ref="G4:H4"/>
    <mergeCell ref="E3:R3"/>
    <mergeCell ref="A3:A5"/>
    <mergeCell ref="B3:B5"/>
    <mergeCell ref="C3:C5"/>
    <mergeCell ref="D3:D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2026-01-21T02:46:50Z</dcterms:modified>
</cp:coreProperties>
</file>