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F68D7B0E-7F79-4985-B31E-F07CC707C5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81" sheetId="12" r:id="rId1"/>
  </sheets>
  <definedNames>
    <definedName name="_xlnm._FilterDatabase" localSheetId="0" hidden="1">'2281'!$A$5:$D$84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5" i="12" l="1"/>
  <c r="Q85" i="12"/>
  <c r="P85" i="12"/>
  <c r="O85" i="12"/>
  <c r="N85" i="12"/>
  <c r="M85" i="12"/>
  <c r="L85" i="12"/>
  <c r="K85" i="12"/>
  <c r="J85" i="12"/>
  <c r="I85" i="12"/>
  <c r="H85" i="12"/>
  <c r="G85" i="12"/>
  <c r="E86" i="12" s="1"/>
  <c r="F85" i="12"/>
  <c r="E85" i="12"/>
  <c r="AC84" i="12"/>
  <c r="AA84" i="12"/>
  <c r="S84" i="12"/>
  <c r="AC83" i="12"/>
  <c r="AA83" i="12"/>
  <c r="AC82" i="12"/>
  <c r="AA82" i="12"/>
  <c r="S82" i="12"/>
  <c r="AC81" i="12"/>
  <c r="S81" i="12"/>
  <c r="AC80" i="12"/>
  <c r="U80" i="12"/>
  <c r="AE79" i="12"/>
  <c r="AD79" i="12"/>
  <c r="AC79" i="12"/>
  <c r="AA79" i="12"/>
  <c r="V79" i="12"/>
  <c r="S79" i="12"/>
  <c r="AF78" i="12"/>
  <c r="AE78" i="12"/>
  <c r="AD78" i="12"/>
  <c r="AC78" i="12"/>
  <c r="AA78" i="12"/>
  <c r="Y78" i="12"/>
  <c r="V78" i="12"/>
  <c r="T78" i="12"/>
  <c r="S78" i="12"/>
  <c r="AC77" i="12"/>
  <c r="AA77" i="12"/>
  <c r="Y77" i="12"/>
  <c r="S77" i="12"/>
  <c r="AE76" i="12"/>
  <c r="AC76" i="12"/>
  <c r="AA76" i="12"/>
  <c r="Y76" i="12"/>
  <c r="S76" i="12"/>
  <c r="AC75" i="12"/>
  <c r="AC74" i="12"/>
  <c r="AA74" i="12"/>
  <c r="V74" i="12"/>
  <c r="T74" i="12"/>
  <c r="S74" i="12"/>
  <c r="AD73" i="12"/>
  <c r="AC73" i="12"/>
  <c r="AA73" i="12"/>
  <c r="S73" i="12"/>
  <c r="AC72" i="12"/>
  <c r="AA72" i="12"/>
  <c r="AC71" i="12"/>
  <c r="AA71" i="12"/>
  <c r="U71" i="12"/>
  <c r="S71" i="12"/>
  <c r="AC70" i="12"/>
  <c r="AA70" i="12"/>
  <c r="AD69" i="12"/>
  <c r="AC69" i="12"/>
  <c r="AD66" i="12"/>
  <c r="AC66" i="12"/>
  <c r="AE65" i="12"/>
  <c r="AC65" i="12"/>
  <c r="AA65" i="12"/>
  <c r="Y65" i="12"/>
  <c r="U65" i="12"/>
  <c r="S65" i="12"/>
  <c r="AC63" i="12"/>
  <c r="AA63" i="12"/>
  <c r="S63" i="12"/>
  <c r="AE62" i="12"/>
  <c r="AC62" i="12"/>
  <c r="AA62" i="12"/>
  <c r="V62" i="12"/>
  <c r="U62" i="12"/>
  <c r="S62" i="12"/>
  <c r="AE61" i="12"/>
  <c r="AC61" i="12"/>
  <c r="AA61" i="12"/>
  <c r="V61" i="12"/>
  <c r="U61" i="12"/>
  <c r="S61" i="12"/>
  <c r="AC60" i="12"/>
  <c r="AA60" i="12"/>
  <c r="S60" i="12"/>
  <c r="AC59" i="12"/>
  <c r="AE57" i="12"/>
  <c r="AC57" i="12"/>
  <c r="Y57" i="12"/>
  <c r="AE56" i="12"/>
  <c r="AC56" i="12"/>
  <c r="AA56" i="12"/>
  <c r="V56" i="12"/>
  <c r="T56" i="12"/>
  <c r="S56" i="12"/>
  <c r="AC55" i="12"/>
  <c r="Y55" i="12"/>
  <c r="U55" i="12"/>
  <c r="S55" i="12"/>
  <c r="AC54" i="12"/>
  <c r="AA54" i="12"/>
  <c r="Y54" i="12"/>
  <c r="S54" i="12"/>
  <c r="AC53" i="12"/>
  <c r="AA53" i="12"/>
  <c r="S53" i="12"/>
  <c r="AA52" i="12"/>
  <c r="AC51" i="12"/>
  <c r="AA51" i="12"/>
  <c r="U51" i="12"/>
  <c r="S51" i="12"/>
  <c r="AC50" i="12"/>
  <c r="AA50" i="12"/>
  <c r="U50" i="12"/>
  <c r="S50" i="12"/>
  <c r="AC49" i="12"/>
  <c r="AC47" i="12"/>
  <c r="AC46" i="12"/>
  <c r="AA46" i="12"/>
  <c r="AF45" i="12"/>
  <c r="AD45" i="12"/>
  <c r="AC45" i="12"/>
  <c r="AB45" i="12"/>
  <c r="AA45" i="12"/>
  <c r="U45" i="12"/>
  <c r="T45" i="12"/>
  <c r="S45" i="12"/>
  <c r="AC43" i="12"/>
  <c r="AA43" i="12"/>
  <c r="Y43" i="12"/>
  <c r="AC42" i="12"/>
  <c r="AA42" i="12"/>
  <c r="AC41" i="12"/>
  <c r="AA41" i="12"/>
  <c r="S41" i="12"/>
  <c r="AE40" i="12"/>
  <c r="AC40" i="12"/>
  <c r="AA40" i="12"/>
  <c r="Y40" i="12"/>
  <c r="U40" i="12"/>
  <c r="AC39" i="12"/>
  <c r="AB39" i="12"/>
  <c r="AA39" i="12"/>
  <c r="V39" i="12"/>
  <c r="T39" i="12"/>
  <c r="AC38" i="12"/>
  <c r="AA38" i="12"/>
  <c r="V38" i="12"/>
  <c r="S38" i="12"/>
  <c r="AC36" i="12"/>
  <c r="AA36" i="12"/>
  <c r="S36" i="12"/>
  <c r="AC35" i="12"/>
  <c r="AA35" i="12"/>
  <c r="S35" i="12"/>
  <c r="AC34" i="12"/>
  <c r="AA34" i="12"/>
  <c r="AC33" i="12"/>
  <c r="S33" i="12"/>
  <c r="AC32" i="12"/>
  <c r="AA32" i="12"/>
  <c r="S32" i="12"/>
  <c r="AD31" i="12"/>
  <c r="AC31" i="12"/>
  <c r="AA31" i="12"/>
  <c r="S31" i="12"/>
  <c r="AD30" i="12"/>
  <c r="AC30" i="12"/>
  <c r="AA30" i="12"/>
  <c r="V30" i="12"/>
  <c r="U30" i="12"/>
  <c r="S30" i="12"/>
  <c r="AD29" i="12"/>
  <c r="AC29" i="12"/>
  <c r="AA29" i="12"/>
  <c r="S29" i="12"/>
  <c r="AC28" i="12"/>
  <c r="AC27" i="12"/>
  <c r="AA27" i="12"/>
  <c r="U27" i="12"/>
  <c r="S27" i="12"/>
  <c r="AC26" i="12"/>
  <c r="AA26" i="12"/>
  <c r="AC25" i="12"/>
  <c r="AA25" i="12"/>
  <c r="S25" i="12"/>
  <c r="AE24" i="12"/>
  <c r="AC24" i="12"/>
  <c r="AA24" i="12"/>
  <c r="Y24" i="12"/>
  <c r="U24" i="12"/>
  <c r="AE23" i="12"/>
  <c r="U23" i="12"/>
  <c r="S23" i="12"/>
  <c r="AC22" i="12"/>
  <c r="AC21" i="12"/>
  <c r="AA21" i="12"/>
  <c r="S21" i="12"/>
  <c r="AC20" i="12"/>
  <c r="AA20" i="12"/>
  <c r="U20" i="12"/>
  <c r="AC19" i="12"/>
  <c r="AC18" i="12"/>
  <c r="AA18" i="12"/>
  <c r="S18" i="12"/>
  <c r="AC17" i="12"/>
  <c r="AC16" i="12"/>
  <c r="AA16" i="12"/>
  <c r="S16" i="12"/>
  <c r="AF15" i="12"/>
  <c r="AD15" i="12"/>
  <c r="AC15" i="12"/>
  <c r="AB15" i="12"/>
  <c r="AA15" i="12"/>
  <c r="T15" i="12"/>
  <c r="S15" i="12"/>
  <c r="AC14" i="12"/>
  <c r="AA14" i="12"/>
  <c r="S14" i="12"/>
  <c r="AC13" i="12"/>
  <c r="AA13" i="12"/>
  <c r="S13" i="12"/>
  <c r="AE12" i="12"/>
  <c r="AC12" i="12"/>
  <c r="AA12" i="12"/>
  <c r="Y12" i="12"/>
  <c r="U12" i="12"/>
  <c r="S12" i="12"/>
  <c r="AE11" i="12"/>
  <c r="AA11" i="12"/>
  <c r="Y11" i="12"/>
  <c r="S11" i="12"/>
  <c r="AE10" i="12"/>
  <c r="AC10" i="12"/>
  <c r="AA10" i="12"/>
  <c r="S10" i="12"/>
  <c r="AF9" i="12"/>
  <c r="AE9" i="12"/>
  <c r="AD9" i="12"/>
  <c r="AC9" i="12"/>
  <c r="AB9" i="12"/>
  <c r="AA9" i="12"/>
  <c r="Z9" i="12"/>
  <c r="Y9" i="12"/>
  <c r="T9" i="12"/>
  <c r="AF8" i="12"/>
  <c r="AD8" i="12"/>
  <c r="AB8" i="12"/>
  <c r="AA8" i="12"/>
  <c r="T8" i="12"/>
  <c r="AE7" i="12"/>
  <c r="AC7" i="12"/>
  <c r="AA7" i="12"/>
  <c r="S7" i="12"/>
  <c r="AE6" i="12"/>
  <c r="AA6" i="12"/>
  <c r="Y6" i="12"/>
  <c r="S6" i="12"/>
  <c r="AF85" i="12" l="1"/>
  <c r="AE85" i="12"/>
  <c r="AD85" i="12"/>
  <c r="AC85" i="12"/>
  <c r="AB85" i="12"/>
  <c r="AA85" i="12"/>
  <c r="Z85" i="12"/>
  <c r="Y85" i="12"/>
  <c r="X85" i="12"/>
  <c r="W85" i="12"/>
  <c r="V85" i="12"/>
  <c r="U85" i="12"/>
  <c r="T85" i="12"/>
  <c r="S85" i="12"/>
  <c r="S86" i="12" l="1"/>
</calcChain>
</file>

<file path=xl/sharedStrings.xml><?xml version="1.0" encoding="utf-8"?>
<sst xmlns="http://schemas.openxmlformats.org/spreadsheetml/2006/main" count="210" uniqueCount="112">
  <si>
    <t>KECAMATAN</t>
  </si>
  <si>
    <t>JUMLAH</t>
  </si>
  <si>
    <t>TOTAL</t>
  </si>
  <si>
    <t>Capaian Indikator Peserta KB Baru</t>
  </si>
  <si>
    <t>REGISTER</t>
  </si>
  <si>
    <t>NAMA FASKES</t>
  </si>
  <si>
    <t>PB IUD</t>
  </si>
  <si>
    <t>PB MOW</t>
  </si>
  <si>
    <t>PB MOP</t>
  </si>
  <si>
    <t>PB KONDOM</t>
  </si>
  <si>
    <t>PB IMPLANT</t>
  </si>
  <si>
    <t>PB SUNTIK</t>
  </si>
  <si>
    <t>PB PIL</t>
  </si>
  <si>
    <t>PEMERINTAH</t>
  </si>
  <si>
    <t>SWASTA</t>
  </si>
  <si>
    <t>BPM MUTIARA BUNDA</t>
  </si>
  <si>
    <t>MRANGGEN</t>
  </si>
  <si>
    <t>KLINIK KASIH SAYANG BUNDA</t>
  </si>
  <si>
    <t>PUSKESMAS MRANGGEN I</t>
  </si>
  <si>
    <t>PUSKESMAS MRANGGEN III</t>
  </si>
  <si>
    <t>KKB INDRI SUJARWO</t>
  </si>
  <si>
    <t>KLINIK PUCANG ANOM MEDIKA</t>
  </si>
  <si>
    <t>RS PELITA ANUGERAH</t>
  </si>
  <si>
    <t>BP/RB ANANDA SEHAT</t>
  </si>
  <si>
    <t>KLINIK IRMA SOLIKIN</t>
  </si>
  <si>
    <t>PUSKESMAS MRANGGEN II</t>
  </si>
  <si>
    <t>BPM HJ. KHUMAEROH, S.SIT</t>
  </si>
  <si>
    <t>KARANGAWEN</t>
  </si>
  <si>
    <t>KLINIK AL ITTIHAD</t>
  </si>
  <si>
    <t>PUSKESMAS KARANGAWEN II</t>
  </si>
  <si>
    <t>KLINIK KHOIR AKBAR</t>
  </si>
  <si>
    <t>PUSKESMAS KARANGAWEN I</t>
  </si>
  <si>
    <t>KLINIK NARWASTU</t>
  </si>
  <si>
    <t>BPM ASIH</t>
  </si>
  <si>
    <t>RSUD SULTAN FATAH</t>
  </si>
  <si>
    <t>PUSKESMAS GUNTUR II</t>
  </si>
  <si>
    <t>GUNTUR</t>
  </si>
  <si>
    <t>KLINIK MUTIARA BUNDA</t>
  </si>
  <si>
    <t>PMB WAHYU</t>
  </si>
  <si>
    <t>PUSKESMAS GUNTUR I</t>
  </si>
  <si>
    <t>YULI MURTININGSIH</t>
  </si>
  <si>
    <t>BPM WINASTUTY</t>
  </si>
  <si>
    <t>SAYUNG</t>
  </si>
  <si>
    <t>PUSKESMAS SAYUNG II</t>
  </si>
  <si>
    <t>PUSKEMAS SAYUNG I</t>
  </si>
  <si>
    <t>BPM SUDARTIK</t>
  </si>
  <si>
    <t>LEGO WASPODO</t>
  </si>
  <si>
    <t xml:space="preserve">KR TENGAH </t>
  </si>
  <si>
    <t>HAMZAH</t>
  </si>
  <si>
    <t>BPM Siti Nur Baroroh</t>
  </si>
  <si>
    <t>Puskesmas Karangtengah</t>
  </si>
  <si>
    <t>KAWAN SEJATI</t>
  </si>
  <si>
    <t xml:space="preserve">RS CHARLIE HOSPITAL </t>
  </si>
  <si>
    <t>PKM Wonosalam II</t>
  </si>
  <si>
    <t>WNSALAM</t>
  </si>
  <si>
    <t>RSI NU</t>
  </si>
  <si>
    <t>BPM Lestari</t>
  </si>
  <si>
    <t>PKM WONOSALAM I</t>
  </si>
  <si>
    <t>KLINIK PRATAMA ANUGRAH</t>
  </si>
  <si>
    <t>KLINIK MITRA PERMATA HATI</t>
  </si>
  <si>
    <t>DEMPET</t>
  </si>
  <si>
    <t>PUSKESMAS DEMPET</t>
  </si>
  <si>
    <t>BPM KHOIR SANTOSO</t>
  </si>
  <si>
    <t>BPM PUJI HASTUTIK</t>
  </si>
  <si>
    <t>BPM RETNO SUSANTI</t>
  </si>
  <si>
    <t>GAJAH</t>
  </si>
  <si>
    <t>BPM BIMOARTI</t>
  </si>
  <si>
    <t>PUSKESMAS GAJAH 2</t>
  </si>
  <si>
    <t>PUSKESMAS GAJAH 1</t>
  </si>
  <si>
    <t>BPM Sumirah Samiyono</t>
  </si>
  <si>
    <t>BPM Sri Mujiati</t>
  </si>
  <si>
    <t>Klinik Bina Citra</t>
  </si>
  <si>
    <t>KR.ANYAR</t>
  </si>
  <si>
    <t>PKM KRANYAR 1</t>
  </si>
  <si>
    <t>PKM KRANYAR 2</t>
  </si>
  <si>
    <t>BPM Muslimah</t>
  </si>
  <si>
    <t>KLINIK dr. INDAH</t>
  </si>
  <si>
    <t>BPM NENI SURYATIN</t>
  </si>
  <si>
    <t>MIJEN</t>
  </si>
  <si>
    <t>HARAPAN KASIH</t>
  </si>
  <si>
    <t>PUSKESMAS MIJEN 2</t>
  </si>
  <si>
    <t>PUSKESMAS MIJEN I</t>
  </si>
  <si>
    <t>BPM YULAIKAH</t>
  </si>
  <si>
    <t>DEMAK</t>
  </si>
  <si>
    <t>KLINIK POLRES DEMAK</t>
  </si>
  <si>
    <t>RSUD SUNAN KALIJAGA</t>
  </si>
  <si>
    <t>PUSKESMAS DEMAK I</t>
  </si>
  <si>
    <t>RB BP DARUSSALAM</t>
  </si>
  <si>
    <t>BPM SARTINAH</t>
  </si>
  <si>
    <t>PUSKESMAS DEMAK 2</t>
  </si>
  <si>
    <t>PUSKESMAS DEMAK III</t>
  </si>
  <si>
    <t>RS HJ FATIMAH SULHAN</t>
  </si>
  <si>
    <t>KLINIK Q-NANG</t>
  </si>
  <si>
    <t>BONANG</t>
  </si>
  <si>
    <t>PUSKESMAS BONANG II</t>
  </si>
  <si>
    <t>PUSKESMAS BONANG I</t>
  </si>
  <si>
    <t>KLINIK RIFDA</t>
  </si>
  <si>
    <t>TITIK MUSLIKHAH</t>
  </si>
  <si>
    <t>BPM AIDI ZULAIKHAH</t>
  </si>
  <si>
    <t>WEDUNG</t>
  </si>
  <si>
    <t>PUSKESMAS WEDUNG I</t>
  </si>
  <si>
    <t>PUSKESMAS WEDUNG II</t>
  </si>
  <si>
    <t>PKM KB AGUNG</t>
  </si>
  <si>
    <t>KEBONAGUNG</t>
  </si>
  <si>
    <t>PMB LULI P</t>
  </si>
  <si>
    <t>PMB UMIYATUN</t>
  </si>
  <si>
    <t>PMB SITI FATIMAH</t>
  </si>
  <si>
    <t>BPM SRI WIJI</t>
  </si>
  <si>
    <t>No</t>
  </si>
  <si>
    <t>Triwulan II</t>
  </si>
  <si>
    <t>TAHUN 2025</t>
  </si>
  <si>
    <t>Triwulan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</si>
</sst>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0" fillId="0" borderId="0" xfId="0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9" xfId="0" applyFont="1" applyBorder="1"/>
    <xf numFmtId="0" fontId="3" fillId="3" borderId="9" xfId="0" applyFont="1" applyFill="1" applyBorder="1"/>
    <xf numFmtId="0" fontId="3" fillId="4" borderId="9" xfId="0" applyFont="1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3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4" fillId="0" borderId="1" xfId="0" applyFont="1" applyBorder="1"/>
    <xf numFmtId="0" fontId="3" fillId="2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2"/>
  <sheetViews>
    <sheetView tabSelected="1" topLeftCell="H1" zoomScale="50" zoomScaleNormal="50" workbookViewId="0">
      <selection activeCell="N13" sqref="N13"/>
    </sheetView>
  </sheetViews>
  <sheetFormatPr defaultColWidth="12.6328125" defaultRowHeight="14.5" x14ac:dyDescent="0.35"/>
  <cols>
    <col min="1" max="1" width="4.54296875" customWidth="1"/>
    <col min="2" max="2" width="10.26953125" customWidth="1"/>
    <col min="3" max="3" width="26.26953125" customWidth="1"/>
    <col min="4" max="18" width="13.7265625" customWidth="1"/>
    <col min="19" max="19" width="14.453125" customWidth="1"/>
    <col min="20" max="20" width="11.54296875" customWidth="1"/>
    <col min="21" max="21" width="14.453125" customWidth="1"/>
    <col min="22" max="22" width="11.54296875" customWidth="1"/>
    <col min="23" max="23" width="14.453125" customWidth="1"/>
    <col min="24" max="24" width="11.54296875" customWidth="1"/>
    <col min="25" max="25" width="14.453125" customWidth="1"/>
    <col min="26" max="26" width="11.54296875" customWidth="1"/>
    <col min="27" max="27" width="14.453125" customWidth="1"/>
    <col min="28" max="28" width="11.54296875" customWidth="1"/>
    <col min="29" max="29" width="14.453125" customWidth="1"/>
    <col min="30" max="30" width="11.54296875" customWidth="1"/>
    <col min="31" max="31" width="14.453125" customWidth="1"/>
    <col min="32" max="32" width="11.54296875" customWidth="1"/>
  </cols>
  <sheetData>
    <row r="1" spans="1:32" x14ac:dyDescent="0.35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5" thickBot="1" x14ac:dyDescent="0.4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5">
      <c r="A3" s="37" t="s">
        <v>108</v>
      </c>
      <c r="B3" s="37" t="s">
        <v>4</v>
      </c>
      <c r="C3" s="37" t="s">
        <v>5</v>
      </c>
      <c r="D3" s="40" t="s">
        <v>0</v>
      </c>
      <c r="E3" s="56" t="s">
        <v>111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5" t="s">
        <v>109</v>
      </c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6"/>
    </row>
    <row r="4" spans="1:32" x14ac:dyDescent="0.35">
      <c r="A4" s="38"/>
      <c r="B4" s="38"/>
      <c r="C4" s="38"/>
      <c r="D4" s="41"/>
      <c r="E4" s="43" t="s">
        <v>6</v>
      </c>
      <c r="F4" s="43"/>
      <c r="G4" s="43" t="s">
        <v>7</v>
      </c>
      <c r="H4" s="50"/>
      <c r="I4" s="43" t="s">
        <v>8</v>
      </c>
      <c r="J4" s="50"/>
      <c r="K4" s="43" t="s">
        <v>9</v>
      </c>
      <c r="L4" s="50"/>
      <c r="M4" s="43" t="s">
        <v>10</v>
      </c>
      <c r="N4" s="50"/>
      <c r="O4" s="43" t="s">
        <v>11</v>
      </c>
      <c r="P4" s="50"/>
      <c r="Q4" s="43" t="s">
        <v>12</v>
      </c>
      <c r="R4" s="50"/>
      <c r="S4" s="51" t="s">
        <v>6</v>
      </c>
      <c r="T4" s="43"/>
      <c r="U4" s="43" t="s">
        <v>7</v>
      </c>
      <c r="V4" s="50"/>
      <c r="W4" s="43" t="s">
        <v>8</v>
      </c>
      <c r="X4" s="50"/>
      <c r="Y4" s="43" t="s">
        <v>9</v>
      </c>
      <c r="Z4" s="50"/>
      <c r="AA4" s="43" t="s">
        <v>10</v>
      </c>
      <c r="AB4" s="50"/>
      <c r="AC4" s="43" t="s">
        <v>11</v>
      </c>
      <c r="AD4" s="50"/>
      <c r="AE4" s="43" t="s">
        <v>12</v>
      </c>
      <c r="AF4" s="44"/>
    </row>
    <row r="5" spans="1:32" x14ac:dyDescent="0.35">
      <c r="A5" s="39"/>
      <c r="B5" s="39"/>
      <c r="C5" s="39"/>
      <c r="D5" s="42"/>
      <c r="E5" s="17" t="s">
        <v>13</v>
      </c>
      <c r="F5" s="17" t="s">
        <v>14</v>
      </c>
      <c r="G5" s="17" t="s">
        <v>13</v>
      </c>
      <c r="H5" s="17" t="s">
        <v>14</v>
      </c>
      <c r="I5" s="17" t="s">
        <v>13</v>
      </c>
      <c r="J5" s="17" t="s">
        <v>14</v>
      </c>
      <c r="K5" s="17" t="s">
        <v>13</v>
      </c>
      <c r="L5" s="17" t="s">
        <v>14</v>
      </c>
      <c r="M5" s="17" t="s">
        <v>13</v>
      </c>
      <c r="N5" s="17" t="s">
        <v>14</v>
      </c>
      <c r="O5" s="17" t="s">
        <v>13</v>
      </c>
      <c r="P5" s="17" t="s">
        <v>14</v>
      </c>
      <c r="Q5" s="17" t="s">
        <v>13</v>
      </c>
      <c r="R5" s="17" t="s">
        <v>14</v>
      </c>
      <c r="S5" s="18" t="s">
        <v>13</v>
      </c>
      <c r="T5" s="17" t="s">
        <v>14</v>
      </c>
      <c r="U5" s="17" t="s">
        <v>13</v>
      </c>
      <c r="V5" s="17" t="s">
        <v>14</v>
      </c>
      <c r="W5" s="17" t="s">
        <v>13</v>
      </c>
      <c r="X5" s="17" t="s">
        <v>14</v>
      </c>
      <c r="Y5" s="17" t="s">
        <v>13</v>
      </c>
      <c r="Z5" s="17" t="s">
        <v>14</v>
      </c>
      <c r="AA5" s="17" t="s">
        <v>13</v>
      </c>
      <c r="AB5" s="17" t="s">
        <v>14</v>
      </c>
      <c r="AC5" s="17" t="s">
        <v>13</v>
      </c>
      <c r="AD5" s="17" t="s">
        <v>14</v>
      </c>
      <c r="AE5" s="17" t="s">
        <v>13</v>
      </c>
      <c r="AF5" s="19" t="s">
        <v>14</v>
      </c>
    </row>
    <row r="6" spans="1:32" x14ac:dyDescent="0.35">
      <c r="A6" s="3">
        <v>1</v>
      </c>
      <c r="B6" s="4">
        <v>3321074</v>
      </c>
      <c r="C6" s="4" t="s">
        <v>15</v>
      </c>
      <c r="D6" s="32" t="s">
        <v>16</v>
      </c>
      <c r="E6" s="3">
        <v>1</v>
      </c>
      <c r="F6" s="3"/>
      <c r="G6" s="3"/>
      <c r="H6" s="3"/>
      <c r="I6" s="3"/>
      <c r="J6" s="3"/>
      <c r="K6" s="52"/>
      <c r="L6" s="3"/>
      <c r="M6" s="52"/>
      <c r="N6" s="3"/>
      <c r="O6" s="52"/>
      <c r="P6" s="3"/>
      <c r="Q6" s="52"/>
      <c r="R6" s="3"/>
      <c r="S6" s="20">
        <f>1+7+7</f>
        <v>15</v>
      </c>
      <c r="T6" s="8"/>
      <c r="U6" s="8"/>
      <c r="V6" s="8"/>
      <c r="W6" s="8"/>
      <c r="X6" s="8"/>
      <c r="Y6" s="9">
        <f>4+4</f>
        <v>8</v>
      </c>
      <c r="Z6" s="8"/>
      <c r="AA6" s="9">
        <f>20+20</f>
        <v>40</v>
      </c>
      <c r="AB6" s="8"/>
      <c r="AC6" s="9">
        <v>2</v>
      </c>
      <c r="AD6" s="8"/>
      <c r="AE6" s="9">
        <f>1+1</f>
        <v>2</v>
      </c>
      <c r="AF6" s="21"/>
    </row>
    <row r="7" spans="1:32" x14ac:dyDescent="0.35">
      <c r="A7" s="5">
        <v>2</v>
      </c>
      <c r="B7" s="6">
        <v>3321115</v>
      </c>
      <c r="C7" s="6" t="s">
        <v>17</v>
      </c>
      <c r="D7" s="33" t="s">
        <v>16</v>
      </c>
      <c r="E7" s="5">
        <v>1</v>
      </c>
      <c r="F7" s="5"/>
      <c r="G7" s="5"/>
      <c r="H7" s="5"/>
      <c r="I7" s="5"/>
      <c r="J7" s="5"/>
      <c r="K7" s="53">
        <v>1</v>
      </c>
      <c r="L7" s="5"/>
      <c r="M7" s="53">
        <v>2</v>
      </c>
      <c r="N7" s="5"/>
      <c r="O7" s="53">
        <v>7</v>
      </c>
      <c r="P7" s="5"/>
      <c r="Q7" s="53"/>
      <c r="R7" s="5"/>
      <c r="S7" s="22">
        <f>1</f>
        <v>1</v>
      </c>
      <c r="T7" s="10"/>
      <c r="U7" s="10"/>
      <c r="V7" s="10"/>
      <c r="W7" s="10"/>
      <c r="X7" s="10"/>
      <c r="Y7" s="11">
        <v>1</v>
      </c>
      <c r="Z7" s="10"/>
      <c r="AA7" s="11">
        <f>1+1</f>
        <v>2</v>
      </c>
      <c r="AB7" s="10"/>
      <c r="AC7" s="11">
        <f>4+1+2+1+2+2</f>
        <v>12</v>
      </c>
      <c r="AD7" s="10"/>
      <c r="AE7" s="11">
        <f>1+1</f>
        <v>2</v>
      </c>
      <c r="AF7" s="23"/>
    </row>
    <row r="8" spans="1:32" x14ac:dyDescent="0.35">
      <c r="A8" s="3">
        <v>3</v>
      </c>
      <c r="B8" s="4">
        <v>3321016</v>
      </c>
      <c r="C8" s="4" t="s">
        <v>18</v>
      </c>
      <c r="D8" s="32" t="s">
        <v>16</v>
      </c>
      <c r="E8" s="3"/>
      <c r="F8" s="3">
        <v>2</v>
      </c>
      <c r="G8" s="3"/>
      <c r="H8" s="3"/>
      <c r="I8" s="3"/>
      <c r="J8" s="3"/>
      <c r="K8" s="52"/>
      <c r="L8" s="3">
        <v>4</v>
      </c>
      <c r="M8" s="52"/>
      <c r="N8" s="3">
        <v>2</v>
      </c>
      <c r="O8" s="52"/>
      <c r="P8" s="3">
        <v>23</v>
      </c>
      <c r="Q8" s="52"/>
      <c r="R8" s="3">
        <v>5</v>
      </c>
      <c r="S8" s="20"/>
      <c r="T8" s="8">
        <f>2+1+1</f>
        <v>4</v>
      </c>
      <c r="U8" s="8"/>
      <c r="V8" s="8"/>
      <c r="W8" s="8"/>
      <c r="X8" s="8"/>
      <c r="Y8" s="12"/>
      <c r="Z8" s="8">
        <v>4</v>
      </c>
      <c r="AA8" s="12">
        <f>1+1</f>
        <v>2</v>
      </c>
      <c r="AB8" s="8">
        <f>2+1+1+1</f>
        <v>5</v>
      </c>
      <c r="AC8" s="12"/>
      <c r="AD8" s="8">
        <f>21+1+1+2+10+10</f>
        <v>45</v>
      </c>
      <c r="AE8" s="12"/>
      <c r="AF8" s="21">
        <f>4+1+1+1+1</f>
        <v>8</v>
      </c>
    </row>
    <row r="9" spans="1:32" x14ac:dyDescent="0.35">
      <c r="A9" s="5">
        <v>4</v>
      </c>
      <c r="B9" s="4">
        <v>3321013</v>
      </c>
      <c r="C9" s="4" t="s">
        <v>19</v>
      </c>
      <c r="D9" s="32" t="s">
        <v>16</v>
      </c>
      <c r="E9" s="3"/>
      <c r="F9" s="3"/>
      <c r="G9" s="3"/>
      <c r="H9" s="3"/>
      <c r="I9" s="3"/>
      <c r="J9" s="3"/>
      <c r="K9" s="52">
        <v>3</v>
      </c>
      <c r="L9" s="3">
        <v>7</v>
      </c>
      <c r="M9" s="52">
        <v>3</v>
      </c>
      <c r="N9" s="3">
        <v>1</v>
      </c>
      <c r="O9" s="52">
        <v>19</v>
      </c>
      <c r="P9" s="3">
        <v>33</v>
      </c>
      <c r="Q9" s="52">
        <v>11</v>
      </c>
      <c r="R9" s="3">
        <v>10</v>
      </c>
      <c r="S9" s="20"/>
      <c r="T9" s="8">
        <f>1+1</f>
        <v>2</v>
      </c>
      <c r="U9" s="8"/>
      <c r="V9" s="8"/>
      <c r="W9" s="8"/>
      <c r="X9" s="8"/>
      <c r="Y9" s="12">
        <f>1+1+1+1</f>
        <v>4</v>
      </c>
      <c r="Z9" s="8">
        <f>6+1</f>
        <v>7</v>
      </c>
      <c r="AA9" s="12">
        <f>1+1+1+1</f>
        <v>4</v>
      </c>
      <c r="AB9" s="8">
        <f>1+1+2+2</f>
        <v>6</v>
      </c>
      <c r="AC9" s="12">
        <f>10+5+4+4</f>
        <v>23</v>
      </c>
      <c r="AD9" s="8">
        <f>28+3+2+1+6+6</f>
        <v>46</v>
      </c>
      <c r="AE9" s="12">
        <f>7+2+2+2</f>
        <v>13</v>
      </c>
      <c r="AF9" s="21">
        <f>10+1+3+3</f>
        <v>17</v>
      </c>
    </row>
    <row r="10" spans="1:32" x14ac:dyDescent="0.35">
      <c r="A10" s="3">
        <v>5</v>
      </c>
      <c r="B10" s="4">
        <v>3321042</v>
      </c>
      <c r="C10" s="4" t="s">
        <v>20</v>
      </c>
      <c r="D10" s="32" t="s">
        <v>16</v>
      </c>
      <c r="E10" s="3">
        <v>3</v>
      </c>
      <c r="F10" s="3"/>
      <c r="G10" s="3"/>
      <c r="H10" s="3"/>
      <c r="I10" s="3"/>
      <c r="J10" s="3"/>
      <c r="K10" s="52"/>
      <c r="L10" s="3"/>
      <c r="M10" s="52">
        <v>6</v>
      </c>
      <c r="N10" s="3"/>
      <c r="O10" s="52">
        <v>6</v>
      </c>
      <c r="P10" s="3"/>
      <c r="Q10" s="52">
        <v>3</v>
      </c>
      <c r="R10" s="3"/>
      <c r="S10" s="20">
        <f>1+1+1+1</f>
        <v>4</v>
      </c>
      <c r="T10" s="8"/>
      <c r="U10" s="8"/>
      <c r="V10" s="8"/>
      <c r="W10" s="8"/>
      <c r="X10" s="8"/>
      <c r="Y10" s="12"/>
      <c r="Z10" s="8"/>
      <c r="AA10" s="12">
        <f>2+2+2+2+1+1</f>
        <v>10</v>
      </c>
      <c r="AB10" s="8"/>
      <c r="AC10" s="12">
        <f>2+2+2+2+2+2</f>
        <v>12</v>
      </c>
      <c r="AD10" s="8"/>
      <c r="AE10" s="12">
        <f>1+1+1+1</f>
        <v>4</v>
      </c>
      <c r="AF10" s="21"/>
    </row>
    <row r="11" spans="1:32" x14ac:dyDescent="0.35">
      <c r="A11" s="5">
        <v>6</v>
      </c>
      <c r="B11" s="4">
        <v>3321079</v>
      </c>
      <c r="C11" s="4" t="s">
        <v>21</v>
      </c>
      <c r="D11" s="32" t="s">
        <v>16</v>
      </c>
      <c r="E11" s="3">
        <v>4</v>
      </c>
      <c r="F11" s="3"/>
      <c r="G11" s="3"/>
      <c r="H11" s="3"/>
      <c r="I11" s="3"/>
      <c r="J11" s="3"/>
      <c r="K11" s="52">
        <v>4</v>
      </c>
      <c r="L11" s="3"/>
      <c r="M11" s="52">
        <v>18</v>
      </c>
      <c r="N11" s="3"/>
      <c r="O11" s="52"/>
      <c r="P11" s="3"/>
      <c r="Q11" s="52">
        <v>3</v>
      </c>
      <c r="R11" s="3"/>
      <c r="S11" s="20">
        <f>1+3</f>
        <v>4</v>
      </c>
      <c r="T11" s="8"/>
      <c r="U11" s="8"/>
      <c r="V11" s="8"/>
      <c r="W11" s="8"/>
      <c r="X11" s="8"/>
      <c r="Y11" s="12">
        <f>1+3+1</f>
        <v>5</v>
      </c>
      <c r="Z11" s="8"/>
      <c r="AA11" s="12">
        <f>1+17</f>
        <v>18</v>
      </c>
      <c r="AB11" s="8"/>
      <c r="AC11" s="12">
        <v>1</v>
      </c>
      <c r="AD11" s="8"/>
      <c r="AE11" s="12">
        <f>1+2</f>
        <v>3</v>
      </c>
      <c r="AF11" s="21"/>
    </row>
    <row r="12" spans="1:32" x14ac:dyDescent="0.35">
      <c r="A12" s="3">
        <v>7</v>
      </c>
      <c r="B12" s="4">
        <v>3321075</v>
      </c>
      <c r="C12" s="4" t="s">
        <v>22</v>
      </c>
      <c r="D12" s="32" t="s">
        <v>16</v>
      </c>
      <c r="E12" s="3">
        <v>2</v>
      </c>
      <c r="F12" s="3"/>
      <c r="G12" s="3">
        <v>28</v>
      </c>
      <c r="H12" s="3"/>
      <c r="I12" s="3"/>
      <c r="J12" s="3"/>
      <c r="K12" s="52">
        <v>36</v>
      </c>
      <c r="L12" s="3"/>
      <c r="M12" s="52">
        <v>4</v>
      </c>
      <c r="N12" s="3"/>
      <c r="O12" s="52">
        <v>4</v>
      </c>
      <c r="P12" s="3"/>
      <c r="Q12" s="52">
        <v>6</v>
      </c>
      <c r="R12" s="3"/>
      <c r="S12" s="20">
        <f>1+1+3+1+1</f>
        <v>7</v>
      </c>
      <c r="T12" s="8"/>
      <c r="U12" s="8">
        <f>10+12+6+7+5+5</f>
        <v>45</v>
      </c>
      <c r="V12" s="8"/>
      <c r="W12" s="8"/>
      <c r="X12" s="8"/>
      <c r="Y12" s="12">
        <f>19+11+6+6+9+9</f>
        <v>60</v>
      </c>
      <c r="Z12" s="8"/>
      <c r="AA12" s="12">
        <f>1+3</f>
        <v>4</v>
      </c>
      <c r="AB12" s="8"/>
      <c r="AC12" s="12">
        <f>3+1</f>
        <v>4</v>
      </c>
      <c r="AD12" s="8"/>
      <c r="AE12" s="12">
        <f>3+3+1+1</f>
        <v>8</v>
      </c>
      <c r="AF12" s="21"/>
    </row>
    <row r="13" spans="1:32" x14ac:dyDescent="0.35">
      <c r="A13" s="5">
        <v>8</v>
      </c>
      <c r="B13" s="4">
        <v>3321010</v>
      </c>
      <c r="C13" s="4" t="s">
        <v>23</v>
      </c>
      <c r="D13" s="32" t="s">
        <v>16</v>
      </c>
      <c r="E13" s="3">
        <v>3</v>
      </c>
      <c r="F13" s="3"/>
      <c r="G13" s="3"/>
      <c r="H13" s="3"/>
      <c r="I13" s="3"/>
      <c r="J13" s="3"/>
      <c r="K13" s="52"/>
      <c r="L13" s="3"/>
      <c r="M13" s="52">
        <v>9</v>
      </c>
      <c r="N13" s="3"/>
      <c r="O13" s="52">
        <v>3</v>
      </c>
      <c r="P13" s="3"/>
      <c r="Q13" s="52"/>
      <c r="R13" s="3"/>
      <c r="S13" s="20">
        <f>2+1</f>
        <v>3</v>
      </c>
      <c r="T13" s="8"/>
      <c r="U13" s="8"/>
      <c r="V13" s="8"/>
      <c r="W13" s="8"/>
      <c r="X13" s="8"/>
      <c r="Y13" s="12"/>
      <c r="Z13" s="8"/>
      <c r="AA13" s="12">
        <f>4+5+1</f>
        <v>10</v>
      </c>
      <c r="AB13" s="8"/>
      <c r="AC13" s="12">
        <f>3+1+1+1</f>
        <v>6</v>
      </c>
      <c r="AD13" s="8"/>
      <c r="AE13" s="12"/>
      <c r="AF13" s="21"/>
    </row>
    <row r="14" spans="1:32" x14ac:dyDescent="0.35">
      <c r="A14" s="3">
        <v>9</v>
      </c>
      <c r="B14" s="4">
        <v>3321064</v>
      </c>
      <c r="C14" s="4" t="s">
        <v>24</v>
      </c>
      <c r="D14" s="32" t="s">
        <v>16</v>
      </c>
      <c r="E14" s="3">
        <v>4</v>
      </c>
      <c r="F14" s="3"/>
      <c r="G14" s="3"/>
      <c r="H14" s="3"/>
      <c r="I14" s="3"/>
      <c r="J14" s="3"/>
      <c r="K14" s="52"/>
      <c r="L14" s="3"/>
      <c r="M14" s="52">
        <v>4</v>
      </c>
      <c r="N14" s="3"/>
      <c r="O14" s="52">
        <v>1</v>
      </c>
      <c r="P14" s="3"/>
      <c r="Q14" s="52"/>
      <c r="R14" s="3"/>
      <c r="S14" s="20">
        <f>4+1</f>
        <v>5</v>
      </c>
      <c r="T14" s="8"/>
      <c r="U14" s="8"/>
      <c r="V14" s="8"/>
      <c r="W14" s="8"/>
      <c r="X14" s="8"/>
      <c r="Y14" s="12"/>
      <c r="Z14" s="8"/>
      <c r="AA14" s="12">
        <f>4+5</f>
        <v>9</v>
      </c>
      <c r="AB14" s="8"/>
      <c r="AC14" s="12">
        <f>1+2+2</f>
        <v>5</v>
      </c>
      <c r="AD14" s="8"/>
      <c r="AE14" s="12"/>
      <c r="AF14" s="21"/>
    </row>
    <row r="15" spans="1:32" x14ac:dyDescent="0.35">
      <c r="A15" s="5">
        <v>10</v>
      </c>
      <c r="B15" s="4">
        <v>3321076</v>
      </c>
      <c r="C15" s="4" t="s">
        <v>25</v>
      </c>
      <c r="D15" s="32" t="s">
        <v>16</v>
      </c>
      <c r="E15" s="3">
        <v>2</v>
      </c>
      <c r="F15" s="3"/>
      <c r="G15" s="3"/>
      <c r="H15" s="3"/>
      <c r="I15" s="3"/>
      <c r="J15" s="3"/>
      <c r="K15" s="52"/>
      <c r="L15" s="3">
        <v>4</v>
      </c>
      <c r="M15" s="52">
        <v>2</v>
      </c>
      <c r="N15" s="3"/>
      <c r="O15" s="52">
        <v>184</v>
      </c>
      <c r="P15" s="3">
        <v>21</v>
      </c>
      <c r="Q15" s="52"/>
      <c r="R15" s="3">
        <v>6</v>
      </c>
      <c r="S15" s="20">
        <f>1+1</f>
        <v>2</v>
      </c>
      <c r="T15" s="8">
        <f>1+1</f>
        <v>2</v>
      </c>
      <c r="U15" s="8"/>
      <c r="V15" s="8"/>
      <c r="W15" s="8"/>
      <c r="X15" s="8"/>
      <c r="Y15" s="12"/>
      <c r="Z15" s="8">
        <v>4</v>
      </c>
      <c r="AA15" s="12">
        <f>1+1+1+1</f>
        <v>4</v>
      </c>
      <c r="AB15" s="8">
        <f>1+1</f>
        <v>2</v>
      </c>
      <c r="AC15" s="12">
        <f>60+62+62+60+66+66</f>
        <v>376</v>
      </c>
      <c r="AD15" s="8">
        <f>20+1+3+5+5</f>
        <v>34</v>
      </c>
      <c r="AE15" s="12"/>
      <c r="AF15" s="21">
        <f>6+2+2</f>
        <v>10</v>
      </c>
    </row>
    <row r="16" spans="1:32" x14ac:dyDescent="0.35">
      <c r="A16" s="3">
        <v>11</v>
      </c>
      <c r="B16" s="4">
        <v>332100707</v>
      </c>
      <c r="C16" s="4" t="s">
        <v>26</v>
      </c>
      <c r="D16" s="32" t="s">
        <v>27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>
        <v>3</v>
      </c>
      <c r="P16" s="52"/>
      <c r="Q16" s="52"/>
      <c r="R16" s="52"/>
      <c r="S16" s="24">
        <f>1+1</f>
        <v>2</v>
      </c>
      <c r="T16" s="13"/>
      <c r="U16" s="13"/>
      <c r="V16" s="13"/>
      <c r="W16" s="13"/>
      <c r="X16" s="13"/>
      <c r="Y16" s="13"/>
      <c r="Z16" s="13"/>
      <c r="AA16" s="13">
        <f>1+10+10</f>
        <v>21</v>
      </c>
      <c r="AB16" s="13"/>
      <c r="AC16" s="13">
        <f>1+2+3+2+2</f>
        <v>10</v>
      </c>
      <c r="AD16" s="13"/>
      <c r="AE16" s="13"/>
      <c r="AF16" s="25"/>
    </row>
    <row r="17" spans="1:32" x14ac:dyDescent="0.35">
      <c r="A17" s="5">
        <v>12</v>
      </c>
      <c r="B17" s="4">
        <v>3321083</v>
      </c>
      <c r="C17" s="4" t="s">
        <v>28</v>
      </c>
      <c r="D17" s="32" t="s">
        <v>27</v>
      </c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>
        <v>27</v>
      </c>
      <c r="P17" s="52"/>
      <c r="Q17" s="52"/>
      <c r="R17" s="52"/>
      <c r="S17" s="26"/>
      <c r="T17" s="14"/>
      <c r="U17" s="14"/>
      <c r="V17" s="14"/>
      <c r="W17" s="14"/>
      <c r="X17" s="14"/>
      <c r="Y17" s="14"/>
      <c r="Z17" s="14"/>
      <c r="AA17" s="14"/>
      <c r="AB17" s="14"/>
      <c r="AC17" s="14">
        <f>27+1</f>
        <v>28</v>
      </c>
      <c r="AD17" s="14"/>
      <c r="AE17" s="14"/>
      <c r="AF17" s="27"/>
    </row>
    <row r="18" spans="1:32" x14ac:dyDescent="0.35">
      <c r="A18" s="3">
        <v>13</v>
      </c>
      <c r="B18" s="4">
        <v>3321089</v>
      </c>
      <c r="C18" s="4" t="s">
        <v>29</v>
      </c>
      <c r="D18" s="32" t="s">
        <v>27</v>
      </c>
      <c r="E18" s="52">
        <v>5</v>
      </c>
      <c r="F18" s="52"/>
      <c r="G18" s="52"/>
      <c r="H18" s="52"/>
      <c r="I18" s="52"/>
      <c r="J18" s="52"/>
      <c r="K18" s="52"/>
      <c r="L18" s="52"/>
      <c r="M18" s="52">
        <v>9</v>
      </c>
      <c r="N18" s="52"/>
      <c r="O18" s="52">
        <v>52</v>
      </c>
      <c r="P18" s="52"/>
      <c r="Q18" s="52"/>
      <c r="R18" s="52"/>
      <c r="S18" s="26">
        <f>5+2+2</f>
        <v>9</v>
      </c>
      <c r="T18" s="14"/>
      <c r="U18" s="14"/>
      <c r="V18" s="14"/>
      <c r="W18" s="14"/>
      <c r="X18" s="14"/>
      <c r="Y18" s="14"/>
      <c r="Z18" s="14"/>
      <c r="AA18" s="14">
        <f>4+5+1+1+1</f>
        <v>12</v>
      </c>
      <c r="AB18" s="14"/>
      <c r="AC18" s="14">
        <f>22+10+20+7+20+20</f>
        <v>99</v>
      </c>
      <c r="AD18" s="14"/>
      <c r="AE18" s="14"/>
      <c r="AF18" s="27"/>
    </row>
    <row r="19" spans="1:32" ht="15.75" customHeight="1" x14ac:dyDescent="0.35">
      <c r="A19" s="5">
        <v>14</v>
      </c>
      <c r="B19" s="4">
        <v>3321084</v>
      </c>
      <c r="C19" s="4" t="s">
        <v>30</v>
      </c>
      <c r="D19" s="32" t="s">
        <v>27</v>
      </c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>
        <v>11</v>
      </c>
      <c r="P19" s="52"/>
      <c r="Q19" s="52"/>
      <c r="R19" s="52"/>
      <c r="S19" s="26"/>
      <c r="T19" s="14"/>
      <c r="U19" s="14"/>
      <c r="V19" s="14"/>
      <c r="W19" s="14"/>
      <c r="X19" s="14"/>
      <c r="Y19" s="14"/>
      <c r="Z19" s="14"/>
      <c r="AA19" s="14"/>
      <c r="AB19" s="14"/>
      <c r="AC19" s="14">
        <f>10+1+20+6+6</f>
        <v>43</v>
      </c>
      <c r="AD19" s="14"/>
      <c r="AE19" s="14"/>
      <c r="AF19" s="27"/>
    </row>
    <row r="20" spans="1:32" ht="15.75" customHeight="1" x14ac:dyDescent="0.35">
      <c r="A20" s="3">
        <v>15</v>
      </c>
      <c r="B20" s="4">
        <v>3321087</v>
      </c>
      <c r="C20" s="4" t="s">
        <v>31</v>
      </c>
      <c r="D20" s="32" t="s">
        <v>27</v>
      </c>
      <c r="E20" s="52"/>
      <c r="F20" s="52">
        <v>1</v>
      </c>
      <c r="G20" s="52">
        <v>3</v>
      </c>
      <c r="H20" s="52"/>
      <c r="I20" s="52"/>
      <c r="J20" s="52"/>
      <c r="K20" s="52"/>
      <c r="L20" s="52"/>
      <c r="M20" s="52">
        <v>4</v>
      </c>
      <c r="N20" s="52"/>
      <c r="O20" s="52">
        <v>101</v>
      </c>
      <c r="P20" s="52"/>
      <c r="Q20" s="52"/>
      <c r="R20" s="52"/>
      <c r="S20" s="26">
        <v>3</v>
      </c>
      <c r="T20" s="14">
        <v>1</v>
      </c>
      <c r="U20" s="14">
        <f>1+2</f>
        <v>3</v>
      </c>
      <c r="V20" s="14"/>
      <c r="W20" s="14"/>
      <c r="X20" s="14"/>
      <c r="Y20" s="14"/>
      <c r="Z20" s="14"/>
      <c r="AA20" s="14">
        <f>1+2+1+4+1+1</f>
        <v>10</v>
      </c>
      <c r="AB20" s="14"/>
      <c r="AC20" s="14">
        <f>39+19+43+28+43+43</f>
        <v>215</v>
      </c>
      <c r="AD20" s="14"/>
      <c r="AE20" s="14"/>
      <c r="AF20" s="27"/>
    </row>
    <row r="21" spans="1:32" ht="15.75" customHeight="1" x14ac:dyDescent="0.35">
      <c r="A21" s="5">
        <v>16</v>
      </c>
      <c r="B21" s="4">
        <v>3321088</v>
      </c>
      <c r="C21" s="4" t="s">
        <v>32</v>
      </c>
      <c r="D21" s="32" t="s">
        <v>27</v>
      </c>
      <c r="E21" s="52">
        <v>1</v>
      </c>
      <c r="F21" s="52"/>
      <c r="G21" s="52"/>
      <c r="H21" s="52"/>
      <c r="I21" s="52"/>
      <c r="J21" s="52"/>
      <c r="K21" s="52"/>
      <c r="L21" s="52"/>
      <c r="M21" s="52">
        <v>3</v>
      </c>
      <c r="N21" s="52"/>
      <c r="O21" s="52">
        <v>6</v>
      </c>
      <c r="P21" s="52"/>
      <c r="Q21" s="52"/>
      <c r="R21" s="52"/>
      <c r="S21" s="26">
        <f>1+1</f>
        <v>2</v>
      </c>
      <c r="T21" s="14"/>
      <c r="U21" s="14"/>
      <c r="V21" s="14"/>
      <c r="W21" s="14"/>
      <c r="X21" s="14"/>
      <c r="Y21" s="14"/>
      <c r="Z21" s="14"/>
      <c r="AA21" s="14">
        <f>3+2+2</f>
        <v>7</v>
      </c>
      <c r="AB21" s="14"/>
      <c r="AC21" s="14">
        <f>5+1</f>
        <v>6</v>
      </c>
      <c r="AD21" s="14"/>
      <c r="AE21" s="14"/>
      <c r="AF21" s="27"/>
    </row>
    <row r="22" spans="1:32" ht="15.75" customHeight="1" x14ac:dyDescent="0.35">
      <c r="A22" s="3">
        <v>17</v>
      </c>
      <c r="B22" s="4">
        <v>332100909</v>
      </c>
      <c r="C22" s="4" t="s">
        <v>33</v>
      </c>
      <c r="D22" s="32" t="s">
        <v>27</v>
      </c>
      <c r="E22" s="52">
        <v>1</v>
      </c>
      <c r="F22" s="52"/>
      <c r="G22" s="52"/>
      <c r="H22" s="52"/>
      <c r="I22" s="52"/>
      <c r="J22" s="52"/>
      <c r="K22" s="52">
        <v>1</v>
      </c>
      <c r="L22" s="52"/>
      <c r="M22" s="52"/>
      <c r="N22" s="52"/>
      <c r="O22" s="52">
        <v>11</v>
      </c>
      <c r="P22" s="52"/>
      <c r="Q22" s="52"/>
      <c r="R22" s="52"/>
      <c r="S22" s="26">
        <v>1</v>
      </c>
      <c r="T22" s="14"/>
      <c r="U22" s="14"/>
      <c r="V22" s="14"/>
      <c r="W22" s="14"/>
      <c r="X22" s="14"/>
      <c r="Y22" s="14">
        <v>1</v>
      </c>
      <c r="Z22" s="14"/>
      <c r="AA22" s="14"/>
      <c r="AB22" s="14"/>
      <c r="AC22" s="14">
        <f>4+4+3+4+4</f>
        <v>19</v>
      </c>
      <c r="AD22" s="14"/>
      <c r="AE22" s="14"/>
      <c r="AF22" s="27"/>
    </row>
    <row r="23" spans="1:32" ht="15.75" customHeight="1" x14ac:dyDescent="0.35">
      <c r="A23" s="5">
        <v>18</v>
      </c>
      <c r="B23" s="4">
        <v>3321105</v>
      </c>
      <c r="C23" s="4" t="s">
        <v>34</v>
      </c>
      <c r="D23" s="32" t="s">
        <v>27</v>
      </c>
      <c r="E23" s="52">
        <v>11</v>
      </c>
      <c r="F23" s="52"/>
      <c r="G23" s="52">
        <v>30</v>
      </c>
      <c r="H23" s="52"/>
      <c r="I23" s="52"/>
      <c r="J23" s="52"/>
      <c r="K23" s="52"/>
      <c r="L23" s="52"/>
      <c r="M23" s="52">
        <v>1</v>
      </c>
      <c r="N23" s="52"/>
      <c r="O23" s="52">
        <v>4</v>
      </c>
      <c r="P23" s="52"/>
      <c r="Q23" s="52">
        <v>12</v>
      </c>
      <c r="R23" s="52"/>
      <c r="S23" s="26">
        <f>9+1+1+1+2+2</f>
        <v>16</v>
      </c>
      <c r="T23" s="14"/>
      <c r="U23" s="14">
        <f>8+13+9+8+3+3</f>
        <v>44</v>
      </c>
      <c r="V23" s="14"/>
      <c r="W23" s="14"/>
      <c r="X23" s="14"/>
      <c r="Y23" s="14"/>
      <c r="Z23" s="14"/>
      <c r="AA23" s="14">
        <v>1</v>
      </c>
      <c r="AB23" s="14"/>
      <c r="AC23" s="14">
        <v>4</v>
      </c>
      <c r="AD23" s="14"/>
      <c r="AE23" s="14">
        <f>8+3+1</f>
        <v>12</v>
      </c>
      <c r="AF23" s="27"/>
    </row>
    <row r="24" spans="1:32" ht="15.75" customHeight="1" x14ac:dyDescent="0.35">
      <c r="A24" s="3">
        <v>19</v>
      </c>
      <c r="B24" s="4">
        <v>3321027</v>
      </c>
      <c r="C24" s="4" t="s">
        <v>35</v>
      </c>
      <c r="D24" s="32" t="s">
        <v>36</v>
      </c>
      <c r="E24" s="3"/>
      <c r="F24" s="3"/>
      <c r="G24" s="3">
        <v>4</v>
      </c>
      <c r="H24" s="3"/>
      <c r="I24" s="3"/>
      <c r="J24" s="3"/>
      <c r="K24" s="3">
        <v>4</v>
      </c>
      <c r="L24" s="3"/>
      <c r="M24" s="3">
        <v>2</v>
      </c>
      <c r="N24" s="3"/>
      <c r="O24" s="3">
        <v>72</v>
      </c>
      <c r="P24" s="3"/>
      <c r="Q24" s="3">
        <v>1</v>
      </c>
      <c r="R24" s="3"/>
      <c r="S24" s="20">
        <v>1</v>
      </c>
      <c r="T24" s="8"/>
      <c r="U24" s="8">
        <f>1+3+1+1+1</f>
        <v>7</v>
      </c>
      <c r="V24" s="8"/>
      <c r="W24" s="8"/>
      <c r="X24" s="8"/>
      <c r="Y24" s="8">
        <f>1+3</f>
        <v>4</v>
      </c>
      <c r="Z24" s="8"/>
      <c r="AA24" s="8">
        <f>1+1+2+1+1</f>
        <v>6</v>
      </c>
      <c r="AB24" s="8"/>
      <c r="AC24" s="8">
        <f>24+21+27+23+46+46</f>
        <v>187</v>
      </c>
      <c r="AD24" s="8"/>
      <c r="AE24" s="8">
        <f>1+2</f>
        <v>3</v>
      </c>
      <c r="AF24" s="21"/>
    </row>
    <row r="25" spans="1:32" ht="15.75" customHeight="1" x14ac:dyDescent="0.35">
      <c r="A25" s="5">
        <v>20</v>
      </c>
      <c r="B25" s="4">
        <v>3321048</v>
      </c>
      <c r="C25" s="4" t="s">
        <v>37</v>
      </c>
      <c r="D25" s="32" t="s">
        <v>36</v>
      </c>
      <c r="E25" s="3"/>
      <c r="F25" s="3"/>
      <c r="G25" s="3"/>
      <c r="H25" s="3"/>
      <c r="I25" s="3"/>
      <c r="J25" s="3"/>
      <c r="K25" s="3"/>
      <c r="L25" s="3"/>
      <c r="M25" s="3">
        <v>6</v>
      </c>
      <c r="N25" s="3"/>
      <c r="O25" s="3">
        <v>4</v>
      </c>
      <c r="P25" s="3"/>
      <c r="Q25" s="3"/>
      <c r="R25" s="3"/>
      <c r="S25" s="20">
        <f>1+1</f>
        <v>2</v>
      </c>
      <c r="T25" s="8"/>
      <c r="U25" s="8"/>
      <c r="V25" s="8"/>
      <c r="W25" s="8"/>
      <c r="X25" s="8"/>
      <c r="Y25" s="8"/>
      <c r="Z25" s="8"/>
      <c r="AA25" s="8">
        <f>1+1+4+1+6+6</f>
        <v>19</v>
      </c>
      <c r="AB25" s="8"/>
      <c r="AC25" s="8">
        <f>1+1+2+1+1</f>
        <v>6</v>
      </c>
      <c r="AD25" s="8"/>
      <c r="AE25" s="8"/>
      <c r="AF25" s="21"/>
    </row>
    <row r="26" spans="1:32" ht="15.75" customHeight="1" x14ac:dyDescent="0.35">
      <c r="A26" s="3">
        <v>21</v>
      </c>
      <c r="B26" s="4">
        <v>3321047</v>
      </c>
      <c r="C26" s="4" t="s">
        <v>38</v>
      </c>
      <c r="D26" s="32" t="s">
        <v>36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>
        <v>1</v>
      </c>
      <c r="P26" s="3"/>
      <c r="Q26" s="3"/>
      <c r="R26" s="3"/>
      <c r="S26" s="20">
        <v>2</v>
      </c>
      <c r="T26" s="8"/>
      <c r="U26" s="8"/>
      <c r="V26" s="8"/>
      <c r="W26" s="8"/>
      <c r="X26" s="8"/>
      <c r="Y26" s="8"/>
      <c r="Z26" s="8"/>
      <c r="AA26" s="8">
        <f>8</f>
        <v>8</v>
      </c>
      <c r="AB26" s="8"/>
      <c r="AC26" s="8">
        <f>1+1</f>
        <v>2</v>
      </c>
      <c r="AD26" s="8"/>
      <c r="AE26" s="8"/>
      <c r="AF26" s="21"/>
    </row>
    <row r="27" spans="1:32" ht="15.75" customHeight="1" x14ac:dyDescent="0.35">
      <c r="A27" s="5">
        <v>22</v>
      </c>
      <c r="B27" s="4">
        <v>3321035</v>
      </c>
      <c r="C27" s="4" t="s">
        <v>39</v>
      </c>
      <c r="D27" s="32" t="s">
        <v>36</v>
      </c>
      <c r="E27" s="3">
        <v>3</v>
      </c>
      <c r="F27" s="3"/>
      <c r="G27" s="3">
        <v>11</v>
      </c>
      <c r="H27" s="3"/>
      <c r="I27" s="3"/>
      <c r="J27" s="3"/>
      <c r="K27" s="3"/>
      <c r="L27" s="3"/>
      <c r="M27" s="3">
        <v>15</v>
      </c>
      <c r="N27" s="3"/>
      <c r="O27" s="3">
        <v>155</v>
      </c>
      <c r="P27" s="3"/>
      <c r="Q27" s="3"/>
      <c r="R27" s="3"/>
      <c r="S27" s="20">
        <f>1+1+1+1+1</f>
        <v>5</v>
      </c>
      <c r="T27" s="8"/>
      <c r="U27" s="8">
        <f>3+2+6+3+2+2</f>
        <v>18</v>
      </c>
      <c r="V27" s="8"/>
      <c r="W27" s="8"/>
      <c r="X27" s="8"/>
      <c r="Y27" s="8"/>
      <c r="Z27" s="8"/>
      <c r="AA27" s="8">
        <f>15+2+5+5</f>
        <v>27</v>
      </c>
      <c r="AB27" s="8"/>
      <c r="AC27" s="8">
        <f>64+54+37+51+35+35</f>
        <v>276</v>
      </c>
      <c r="AD27" s="8"/>
      <c r="AE27" s="8"/>
      <c r="AF27" s="21"/>
    </row>
    <row r="28" spans="1:32" ht="15.75" customHeight="1" x14ac:dyDescent="0.35">
      <c r="A28" s="3">
        <v>23</v>
      </c>
      <c r="B28" s="4">
        <v>3321093</v>
      </c>
      <c r="C28" s="4" t="s">
        <v>40</v>
      </c>
      <c r="D28" s="32" t="s">
        <v>36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20"/>
      <c r="T28" s="8"/>
      <c r="U28" s="8"/>
      <c r="V28" s="8"/>
      <c r="W28" s="8"/>
      <c r="X28" s="8"/>
      <c r="Y28" s="8"/>
      <c r="Z28" s="8"/>
      <c r="AA28" s="8"/>
      <c r="AB28" s="8"/>
      <c r="AC28" s="8">
        <f>2+1+1</f>
        <v>4</v>
      </c>
      <c r="AD28" s="8"/>
      <c r="AE28" s="8"/>
      <c r="AF28" s="21"/>
    </row>
    <row r="29" spans="1:32" ht="15.75" customHeight="1" x14ac:dyDescent="0.35">
      <c r="A29" s="5">
        <v>24</v>
      </c>
      <c r="B29" s="4">
        <v>3321086</v>
      </c>
      <c r="C29" s="4" t="s">
        <v>41</v>
      </c>
      <c r="D29" s="32" t="s">
        <v>42</v>
      </c>
      <c r="E29" s="3">
        <v>3</v>
      </c>
      <c r="F29" s="3"/>
      <c r="G29" s="3"/>
      <c r="H29" s="3"/>
      <c r="I29" s="3"/>
      <c r="J29" s="3"/>
      <c r="K29" s="3"/>
      <c r="L29" s="3"/>
      <c r="M29" s="3">
        <v>11</v>
      </c>
      <c r="N29" s="3"/>
      <c r="O29" s="3">
        <v>15</v>
      </c>
      <c r="P29" s="3"/>
      <c r="Q29" s="3"/>
      <c r="R29" s="3"/>
      <c r="S29" s="20">
        <f>3+1+1+1</f>
        <v>6</v>
      </c>
      <c r="T29" s="8"/>
      <c r="U29" s="8"/>
      <c r="V29" s="8"/>
      <c r="W29" s="8"/>
      <c r="X29" s="8"/>
      <c r="Y29" s="8"/>
      <c r="Z29" s="8"/>
      <c r="AA29" s="8">
        <f>11+1+1+1</f>
        <v>14</v>
      </c>
      <c r="AB29" s="8"/>
      <c r="AC29" s="8">
        <f>5+10+4</f>
        <v>19</v>
      </c>
      <c r="AD29" s="8">
        <f>10+10</f>
        <v>20</v>
      </c>
      <c r="AE29" s="8"/>
      <c r="AF29" s="21"/>
    </row>
    <row r="30" spans="1:32" ht="15.75" customHeight="1" x14ac:dyDescent="0.35">
      <c r="A30" s="3">
        <v>25</v>
      </c>
      <c r="B30" s="4">
        <v>3321024</v>
      </c>
      <c r="C30" s="4" t="s">
        <v>43</v>
      </c>
      <c r="D30" s="32" t="s">
        <v>42</v>
      </c>
      <c r="E30" s="3">
        <v>1</v>
      </c>
      <c r="F30" s="3"/>
      <c r="G30" s="3"/>
      <c r="H30" s="3">
        <v>6</v>
      </c>
      <c r="I30" s="3"/>
      <c r="J30" s="3"/>
      <c r="K30" s="3">
        <v>2</v>
      </c>
      <c r="L30" s="3"/>
      <c r="M30" s="3">
        <v>8</v>
      </c>
      <c r="N30" s="3"/>
      <c r="O30" s="3">
        <v>151</v>
      </c>
      <c r="P30" s="3"/>
      <c r="Q30" s="3"/>
      <c r="R30" s="3"/>
      <c r="S30" s="20">
        <f>1+1</f>
        <v>2</v>
      </c>
      <c r="T30" s="8"/>
      <c r="U30" s="8">
        <f>3</f>
        <v>3</v>
      </c>
      <c r="V30" s="8">
        <f>2+3+1</f>
        <v>6</v>
      </c>
      <c r="W30" s="8"/>
      <c r="X30" s="8"/>
      <c r="Y30" s="8">
        <v>2</v>
      </c>
      <c r="Z30" s="8"/>
      <c r="AA30" s="8">
        <f>3+3+2+6+1+1</f>
        <v>16</v>
      </c>
      <c r="AB30" s="8"/>
      <c r="AC30" s="8">
        <f>54+57+40+60+54+54</f>
        <v>319</v>
      </c>
      <c r="AD30" s="8">
        <f>21+21</f>
        <v>42</v>
      </c>
      <c r="AE30" s="8"/>
      <c r="AF30" s="21"/>
    </row>
    <row r="31" spans="1:32" ht="15.75" customHeight="1" x14ac:dyDescent="0.35">
      <c r="A31" s="5">
        <v>26</v>
      </c>
      <c r="B31" s="4">
        <v>3321011</v>
      </c>
      <c r="C31" s="4" t="s">
        <v>44</v>
      </c>
      <c r="D31" s="32" t="s">
        <v>42</v>
      </c>
      <c r="E31" s="3">
        <v>2</v>
      </c>
      <c r="F31" s="3"/>
      <c r="G31" s="3"/>
      <c r="H31" s="3"/>
      <c r="I31" s="3">
        <v>1</v>
      </c>
      <c r="J31" s="3"/>
      <c r="K31" s="3"/>
      <c r="L31" s="3"/>
      <c r="M31" s="3">
        <v>8</v>
      </c>
      <c r="N31" s="3"/>
      <c r="O31" s="3">
        <v>121</v>
      </c>
      <c r="P31" s="3"/>
      <c r="Q31" s="3"/>
      <c r="R31" s="3"/>
      <c r="S31" s="20">
        <f>2+4+4</f>
        <v>10</v>
      </c>
      <c r="T31" s="8"/>
      <c r="U31" s="8"/>
      <c r="V31" s="8"/>
      <c r="W31" s="8">
        <v>1</v>
      </c>
      <c r="X31" s="8"/>
      <c r="Y31" s="8"/>
      <c r="Z31" s="8"/>
      <c r="AA31" s="8">
        <f>1+6+1+1+11+11</f>
        <v>31</v>
      </c>
      <c r="AB31" s="8"/>
      <c r="AC31" s="8">
        <f>60+32+29+60+29+29</f>
        <v>239</v>
      </c>
      <c r="AD31" s="8">
        <f>32+32</f>
        <v>64</v>
      </c>
      <c r="AE31" s="8"/>
      <c r="AF31" s="21"/>
    </row>
    <row r="32" spans="1:32" x14ac:dyDescent="0.35">
      <c r="A32" s="3">
        <v>27</v>
      </c>
      <c r="B32" s="4">
        <v>3321037</v>
      </c>
      <c r="C32" s="4" t="s">
        <v>45</v>
      </c>
      <c r="D32" s="32" t="s">
        <v>42</v>
      </c>
      <c r="E32" s="3">
        <v>1</v>
      </c>
      <c r="F32" s="3"/>
      <c r="G32" s="3"/>
      <c r="H32" s="3"/>
      <c r="I32" s="3"/>
      <c r="J32" s="3"/>
      <c r="K32" s="3"/>
      <c r="L32" s="3"/>
      <c r="M32" s="3"/>
      <c r="N32" s="3"/>
      <c r="O32" s="3">
        <v>3</v>
      </c>
      <c r="P32" s="3"/>
      <c r="Q32" s="3"/>
      <c r="R32" s="3"/>
      <c r="S32" s="20">
        <f>1+6</f>
        <v>7</v>
      </c>
      <c r="T32" s="8"/>
      <c r="U32" s="8"/>
      <c r="V32" s="8"/>
      <c r="W32" s="8"/>
      <c r="X32" s="8"/>
      <c r="Y32" s="8"/>
      <c r="Z32" s="8"/>
      <c r="AA32" s="8">
        <f>9</f>
        <v>9</v>
      </c>
      <c r="AB32" s="8"/>
      <c r="AC32" s="8">
        <f>1+1+1</f>
        <v>3</v>
      </c>
      <c r="AD32" s="8"/>
      <c r="AE32" s="8"/>
      <c r="AF32" s="21"/>
    </row>
    <row r="33" spans="1:32" x14ac:dyDescent="0.35">
      <c r="A33" s="5">
        <v>28</v>
      </c>
      <c r="B33" s="4">
        <v>332100339</v>
      </c>
      <c r="C33" s="4" t="s">
        <v>46</v>
      </c>
      <c r="D33" s="32" t="s">
        <v>47</v>
      </c>
      <c r="E33" s="3">
        <v>5</v>
      </c>
      <c r="F33" s="3"/>
      <c r="G33" s="3"/>
      <c r="H33" s="3"/>
      <c r="I33" s="3"/>
      <c r="J33" s="3"/>
      <c r="K33" s="3"/>
      <c r="L33" s="3"/>
      <c r="M33" s="3">
        <v>5</v>
      </c>
      <c r="N33" s="3"/>
      <c r="O33" s="3">
        <v>7</v>
      </c>
      <c r="P33" s="3"/>
      <c r="Q33" s="3"/>
      <c r="R33" s="3"/>
      <c r="S33" s="20">
        <f>2+1+2</f>
        <v>5</v>
      </c>
      <c r="T33" s="8"/>
      <c r="U33" s="8"/>
      <c r="V33" s="8"/>
      <c r="W33" s="8"/>
      <c r="X33" s="8"/>
      <c r="Y33" s="8"/>
      <c r="Z33" s="8"/>
      <c r="AA33" s="8">
        <v>5</v>
      </c>
      <c r="AB33" s="8"/>
      <c r="AC33" s="8">
        <f>2+5+1</f>
        <v>8</v>
      </c>
      <c r="AD33" s="8"/>
      <c r="AE33" s="8"/>
      <c r="AF33" s="21"/>
    </row>
    <row r="34" spans="1:32" x14ac:dyDescent="0.35">
      <c r="A34" s="3">
        <v>29</v>
      </c>
      <c r="B34" s="4">
        <v>3321077</v>
      </c>
      <c r="C34" s="4" t="s">
        <v>48</v>
      </c>
      <c r="D34" s="32" t="s">
        <v>47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>
        <v>2</v>
      </c>
      <c r="P34" s="3"/>
      <c r="Q34" s="3"/>
      <c r="R34" s="3"/>
      <c r="S34" s="20"/>
      <c r="T34" s="8"/>
      <c r="U34" s="8"/>
      <c r="V34" s="8"/>
      <c r="W34" s="8"/>
      <c r="X34" s="8"/>
      <c r="Y34" s="8"/>
      <c r="Z34" s="8"/>
      <c r="AA34" s="8">
        <f>1+1</f>
        <v>2</v>
      </c>
      <c r="AB34" s="8"/>
      <c r="AC34" s="8">
        <f>2+1+1</f>
        <v>4</v>
      </c>
      <c r="AD34" s="8"/>
      <c r="AE34" s="8"/>
      <c r="AF34" s="21"/>
    </row>
    <row r="35" spans="1:32" x14ac:dyDescent="0.35">
      <c r="A35" s="5">
        <v>30</v>
      </c>
      <c r="B35" s="4">
        <v>3321090</v>
      </c>
      <c r="C35" s="4" t="s">
        <v>49</v>
      </c>
      <c r="D35" s="32" t="s">
        <v>47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>
        <v>12</v>
      </c>
      <c r="P35" s="3"/>
      <c r="Q35" s="3"/>
      <c r="R35" s="3"/>
      <c r="S35" s="20">
        <f>2+2</f>
        <v>4</v>
      </c>
      <c r="T35" s="8"/>
      <c r="U35" s="8"/>
      <c r="V35" s="8"/>
      <c r="W35" s="8"/>
      <c r="X35" s="8"/>
      <c r="Y35" s="8"/>
      <c r="Z35" s="8"/>
      <c r="AA35" s="8">
        <f>3+3</f>
        <v>6</v>
      </c>
      <c r="AB35" s="8"/>
      <c r="AC35" s="8">
        <f>2+10+2+3+3</f>
        <v>20</v>
      </c>
      <c r="AD35" s="8"/>
      <c r="AE35" s="8"/>
      <c r="AF35" s="21"/>
    </row>
    <row r="36" spans="1:32" x14ac:dyDescent="0.35">
      <c r="A36" s="3">
        <v>31</v>
      </c>
      <c r="B36" s="4">
        <v>332101610</v>
      </c>
      <c r="C36" s="4" t="s">
        <v>50</v>
      </c>
      <c r="D36" s="32" t="s">
        <v>47</v>
      </c>
      <c r="E36" s="3">
        <v>10</v>
      </c>
      <c r="F36" s="3"/>
      <c r="G36" s="3"/>
      <c r="H36" s="3"/>
      <c r="I36" s="3"/>
      <c r="J36" s="3"/>
      <c r="K36" s="3"/>
      <c r="L36" s="3"/>
      <c r="M36" s="3">
        <v>18</v>
      </c>
      <c r="N36" s="3"/>
      <c r="O36" s="3">
        <v>65</v>
      </c>
      <c r="P36" s="3"/>
      <c r="Q36" s="3"/>
      <c r="R36" s="3"/>
      <c r="S36" s="20">
        <f>9+1+4+4</f>
        <v>18</v>
      </c>
      <c r="T36" s="8"/>
      <c r="U36" s="8"/>
      <c r="V36" s="8">
        <v>2</v>
      </c>
      <c r="W36" s="8"/>
      <c r="X36" s="8"/>
      <c r="Y36" s="8"/>
      <c r="Z36" s="8"/>
      <c r="AA36" s="8">
        <f>17+1+1+1+1</f>
        <v>21</v>
      </c>
      <c r="AB36" s="8"/>
      <c r="AC36" s="8">
        <f>60+5+14+6+6</f>
        <v>91</v>
      </c>
      <c r="AD36" s="8"/>
      <c r="AE36" s="8"/>
      <c r="AF36" s="21"/>
    </row>
    <row r="37" spans="1:32" x14ac:dyDescent="0.35">
      <c r="A37" s="5">
        <v>32</v>
      </c>
      <c r="B37" s="4">
        <v>332107763</v>
      </c>
      <c r="C37" s="4" t="s">
        <v>51</v>
      </c>
      <c r="D37" s="32" t="s">
        <v>47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>
        <v>7</v>
      </c>
      <c r="P37" s="3"/>
      <c r="Q37" s="3"/>
      <c r="R37" s="3"/>
      <c r="S37" s="20"/>
      <c r="T37" s="8"/>
      <c r="U37" s="8"/>
      <c r="V37" s="8"/>
      <c r="W37" s="8"/>
      <c r="X37" s="8"/>
      <c r="Y37" s="8"/>
      <c r="Z37" s="8"/>
      <c r="AA37" s="8"/>
      <c r="AB37" s="8"/>
      <c r="AC37" s="8">
        <v>7</v>
      </c>
      <c r="AD37" s="8"/>
      <c r="AE37" s="8"/>
      <c r="AF37" s="21"/>
    </row>
    <row r="38" spans="1:32" x14ac:dyDescent="0.35">
      <c r="A38" s="3">
        <v>33</v>
      </c>
      <c r="B38" s="4">
        <v>3321119</v>
      </c>
      <c r="C38" s="7" t="s">
        <v>52</v>
      </c>
      <c r="D38" s="34" t="s">
        <v>47</v>
      </c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28">
        <f>4+4</f>
        <v>8</v>
      </c>
      <c r="T38" s="15"/>
      <c r="U38" s="15"/>
      <c r="V38" s="15">
        <f>11+11</f>
        <v>22</v>
      </c>
      <c r="W38" s="15"/>
      <c r="X38" s="15"/>
      <c r="Y38" s="15">
        <v>4</v>
      </c>
      <c r="Z38" s="15"/>
      <c r="AA38" s="15">
        <f>1+1+1</f>
        <v>3</v>
      </c>
      <c r="AB38" s="15"/>
      <c r="AC38" s="15">
        <f>1+1+1</f>
        <v>3</v>
      </c>
      <c r="AD38" s="15"/>
      <c r="AE38" s="15"/>
      <c r="AF38" s="29"/>
    </row>
    <row r="39" spans="1:32" x14ac:dyDescent="0.35">
      <c r="A39" s="5">
        <v>34</v>
      </c>
      <c r="B39" s="4">
        <v>3321025</v>
      </c>
      <c r="C39" s="4" t="s">
        <v>53</v>
      </c>
      <c r="D39" s="32" t="s">
        <v>54</v>
      </c>
      <c r="E39" s="3"/>
      <c r="F39" s="3">
        <v>1</v>
      </c>
      <c r="G39" s="3"/>
      <c r="H39" s="3">
        <v>4</v>
      </c>
      <c r="I39" s="3"/>
      <c r="J39" s="3"/>
      <c r="K39" s="3"/>
      <c r="L39" s="3"/>
      <c r="M39" s="3">
        <v>1</v>
      </c>
      <c r="N39" s="3"/>
      <c r="O39" s="3">
        <v>93</v>
      </c>
      <c r="P39" s="3">
        <v>32</v>
      </c>
      <c r="Q39" s="3"/>
      <c r="R39" s="3"/>
      <c r="S39" s="20"/>
      <c r="T39" s="8">
        <f>1+1+1</f>
        <v>3</v>
      </c>
      <c r="U39" s="8"/>
      <c r="V39" s="8">
        <f>1+2+1+6+2+2</f>
        <v>14</v>
      </c>
      <c r="W39" s="8"/>
      <c r="X39" s="8"/>
      <c r="Y39" s="8"/>
      <c r="Z39" s="8"/>
      <c r="AA39" s="8">
        <f>1+10</f>
        <v>11</v>
      </c>
      <c r="AB39" s="8">
        <f>1+1</f>
        <v>2</v>
      </c>
      <c r="AC39" s="8">
        <f>53+40+50+37+37</f>
        <v>217</v>
      </c>
      <c r="AD39" s="8">
        <v>32</v>
      </c>
      <c r="AE39" s="8"/>
      <c r="AF39" s="21"/>
    </row>
    <row r="40" spans="1:32" x14ac:dyDescent="0.35">
      <c r="A40" s="3">
        <v>35</v>
      </c>
      <c r="B40" s="4">
        <v>3321022</v>
      </c>
      <c r="C40" s="4" t="s">
        <v>55</v>
      </c>
      <c r="D40" s="32" t="s">
        <v>54</v>
      </c>
      <c r="E40" s="3"/>
      <c r="F40" s="3"/>
      <c r="G40" s="3">
        <v>20</v>
      </c>
      <c r="H40" s="3"/>
      <c r="I40" s="3"/>
      <c r="J40" s="3"/>
      <c r="K40" s="3">
        <v>16</v>
      </c>
      <c r="L40" s="3"/>
      <c r="M40" s="3"/>
      <c r="N40" s="3"/>
      <c r="O40" s="3">
        <v>24</v>
      </c>
      <c r="P40" s="3"/>
      <c r="Q40" s="3">
        <v>16</v>
      </c>
      <c r="R40" s="3"/>
      <c r="S40" s="20"/>
      <c r="T40" s="8"/>
      <c r="U40" s="8">
        <f>7+5+8+10+2+2</f>
        <v>34</v>
      </c>
      <c r="V40" s="8"/>
      <c r="W40" s="8"/>
      <c r="X40" s="8"/>
      <c r="Y40" s="8">
        <f>9+5+2+3+2+2</f>
        <v>23</v>
      </c>
      <c r="Z40" s="8"/>
      <c r="AA40" s="8">
        <f>2</f>
        <v>2</v>
      </c>
      <c r="AB40" s="8"/>
      <c r="AC40" s="8">
        <f>11+7+6+7+7+7</f>
        <v>45</v>
      </c>
      <c r="AD40" s="8"/>
      <c r="AE40" s="8">
        <f>7+5+4+16+16+16</f>
        <v>64</v>
      </c>
      <c r="AF40" s="21"/>
    </row>
    <row r="41" spans="1:32" x14ac:dyDescent="0.35">
      <c r="A41" s="5">
        <v>36</v>
      </c>
      <c r="B41" s="4">
        <v>3321057</v>
      </c>
      <c r="C41" s="4" t="s">
        <v>56</v>
      </c>
      <c r="D41" s="32" t="s">
        <v>54</v>
      </c>
      <c r="E41" s="3"/>
      <c r="F41" s="3"/>
      <c r="G41" s="3"/>
      <c r="H41" s="3"/>
      <c r="I41" s="3"/>
      <c r="J41" s="3"/>
      <c r="K41" s="3"/>
      <c r="L41" s="3"/>
      <c r="M41" s="3">
        <v>15</v>
      </c>
      <c r="N41" s="3"/>
      <c r="O41" s="3">
        <v>1</v>
      </c>
      <c r="P41" s="3"/>
      <c r="Q41" s="3"/>
      <c r="R41" s="3"/>
      <c r="S41" s="20">
        <f>1+1</f>
        <v>2</v>
      </c>
      <c r="T41" s="8"/>
      <c r="U41" s="8"/>
      <c r="V41" s="8"/>
      <c r="W41" s="8"/>
      <c r="X41" s="8"/>
      <c r="Y41" s="8"/>
      <c r="Z41" s="8"/>
      <c r="AA41" s="8">
        <f>15+7+7</f>
        <v>29</v>
      </c>
      <c r="AB41" s="8"/>
      <c r="AC41" s="8">
        <f>1+1+1+1</f>
        <v>4</v>
      </c>
      <c r="AD41" s="8"/>
      <c r="AE41" s="8"/>
      <c r="AF41" s="21"/>
    </row>
    <row r="42" spans="1:32" x14ac:dyDescent="0.35">
      <c r="A42" s="3">
        <v>37</v>
      </c>
      <c r="B42" s="4">
        <v>3321020</v>
      </c>
      <c r="C42" s="4" t="s">
        <v>57</v>
      </c>
      <c r="D42" s="32" t="s">
        <v>54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>
        <v>130</v>
      </c>
      <c r="P42" s="3">
        <v>27</v>
      </c>
      <c r="Q42" s="3"/>
      <c r="R42" s="3"/>
      <c r="S42" s="20"/>
      <c r="T42" s="8"/>
      <c r="U42" s="8"/>
      <c r="V42" s="8"/>
      <c r="W42" s="8"/>
      <c r="X42" s="8"/>
      <c r="Y42" s="8"/>
      <c r="Z42" s="8"/>
      <c r="AA42" s="8">
        <f>9</f>
        <v>9</v>
      </c>
      <c r="AB42" s="8"/>
      <c r="AC42" s="8">
        <f>54+27+49+27+48+48</f>
        <v>253</v>
      </c>
      <c r="AD42" s="8">
        <v>27</v>
      </c>
      <c r="AE42" s="8"/>
      <c r="AF42" s="21"/>
    </row>
    <row r="43" spans="1:32" x14ac:dyDescent="0.35">
      <c r="A43" s="5">
        <v>38</v>
      </c>
      <c r="B43" s="4">
        <v>3321085</v>
      </c>
      <c r="C43" s="4" t="s">
        <v>58</v>
      </c>
      <c r="D43" s="32" t="s">
        <v>54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>
        <v>3</v>
      </c>
      <c r="P43" s="3"/>
      <c r="Q43" s="3"/>
      <c r="R43" s="3"/>
      <c r="S43" s="20">
        <v>1</v>
      </c>
      <c r="T43" s="8"/>
      <c r="U43" s="8"/>
      <c r="V43" s="8"/>
      <c r="W43" s="8"/>
      <c r="X43" s="8"/>
      <c r="Y43" s="8">
        <f>5</f>
        <v>5</v>
      </c>
      <c r="Z43" s="8"/>
      <c r="AA43" s="8">
        <f>5+1+1</f>
        <v>7</v>
      </c>
      <c r="AB43" s="8"/>
      <c r="AC43" s="8">
        <f>3+3+2+2</f>
        <v>10</v>
      </c>
      <c r="AD43" s="8"/>
      <c r="AE43" s="8"/>
      <c r="AF43" s="21"/>
    </row>
    <row r="44" spans="1:32" x14ac:dyDescent="0.35">
      <c r="A44" s="3">
        <v>39</v>
      </c>
      <c r="B44" s="4">
        <v>3321001</v>
      </c>
      <c r="C44" s="4" t="s">
        <v>59</v>
      </c>
      <c r="D44" s="32" t="s">
        <v>60</v>
      </c>
      <c r="E44" s="3"/>
      <c r="F44" s="3"/>
      <c r="G44" s="3"/>
      <c r="H44" s="3"/>
      <c r="I44" s="3"/>
      <c r="J44" s="3"/>
      <c r="K44" s="3"/>
      <c r="L44" s="3"/>
      <c r="M44" s="3">
        <v>6</v>
      </c>
      <c r="N44" s="3"/>
      <c r="O44" s="3"/>
      <c r="P44" s="3"/>
      <c r="Q44" s="3"/>
      <c r="R44" s="3"/>
      <c r="S44" s="20"/>
      <c r="T44" s="8"/>
      <c r="U44" s="8"/>
      <c r="V44" s="8"/>
      <c r="W44" s="8"/>
      <c r="X44" s="8"/>
      <c r="Y44" s="8"/>
      <c r="Z44" s="8"/>
      <c r="AA44" s="8">
        <v>6</v>
      </c>
      <c r="AB44" s="8"/>
      <c r="AC44" s="8"/>
      <c r="AD44" s="8"/>
      <c r="AE44" s="8"/>
      <c r="AF44" s="21"/>
    </row>
    <row r="45" spans="1:32" x14ac:dyDescent="0.35">
      <c r="A45" s="5">
        <v>40</v>
      </c>
      <c r="B45" s="4">
        <v>3321007</v>
      </c>
      <c r="C45" s="4" t="s">
        <v>61</v>
      </c>
      <c r="D45" s="32" t="s">
        <v>60</v>
      </c>
      <c r="E45" s="3"/>
      <c r="F45" s="3">
        <v>1</v>
      </c>
      <c r="G45" s="3">
        <v>20</v>
      </c>
      <c r="H45" s="3"/>
      <c r="I45" s="3">
        <v>1</v>
      </c>
      <c r="J45" s="3"/>
      <c r="K45" s="3"/>
      <c r="L45" s="3">
        <v>2</v>
      </c>
      <c r="M45" s="3">
        <v>1</v>
      </c>
      <c r="N45" s="3">
        <v>2</v>
      </c>
      <c r="O45" s="3">
        <v>127</v>
      </c>
      <c r="P45" s="3">
        <v>25</v>
      </c>
      <c r="Q45" s="3"/>
      <c r="R45" s="3">
        <v>4</v>
      </c>
      <c r="S45" s="20">
        <f>2</f>
        <v>2</v>
      </c>
      <c r="T45" s="8">
        <f>1+2+2</f>
        <v>5</v>
      </c>
      <c r="U45" s="8">
        <f>8+2+4+4</f>
        <v>18</v>
      </c>
      <c r="V45" s="8"/>
      <c r="W45" s="8">
        <v>1</v>
      </c>
      <c r="X45" s="8"/>
      <c r="Y45" s="8"/>
      <c r="Z45" s="8">
        <v>2</v>
      </c>
      <c r="AA45" s="8">
        <f>1+7</f>
        <v>8</v>
      </c>
      <c r="AB45" s="8">
        <f>1+1+1+1</f>
        <v>4</v>
      </c>
      <c r="AC45" s="8">
        <f>56+34+37+40+19+19</f>
        <v>205</v>
      </c>
      <c r="AD45" s="8">
        <f>7+5+13+20+39+39</f>
        <v>123</v>
      </c>
      <c r="AE45" s="8"/>
      <c r="AF45" s="21">
        <f>3+1+2+2+2</f>
        <v>10</v>
      </c>
    </row>
    <row r="46" spans="1:32" x14ac:dyDescent="0.35">
      <c r="A46" s="3">
        <v>41</v>
      </c>
      <c r="B46" s="4">
        <v>3321092</v>
      </c>
      <c r="C46" s="4" t="s">
        <v>62</v>
      </c>
      <c r="D46" s="32" t="s">
        <v>60</v>
      </c>
      <c r="E46" s="3"/>
      <c r="F46" s="3"/>
      <c r="G46" s="3"/>
      <c r="H46" s="3"/>
      <c r="I46" s="3"/>
      <c r="J46" s="3"/>
      <c r="K46" s="3"/>
      <c r="L46" s="3"/>
      <c r="M46" s="3">
        <v>1</v>
      </c>
      <c r="N46" s="3"/>
      <c r="O46" s="3"/>
      <c r="P46" s="3"/>
      <c r="Q46" s="3"/>
      <c r="R46" s="3"/>
      <c r="S46" s="20"/>
      <c r="T46" s="8"/>
      <c r="U46" s="8"/>
      <c r="V46" s="8"/>
      <c r="W46" s="8"/>
      <c r="X46" s="8"/>
      <c r="Y46" s="8"/>
      <c r="Z46" s="8"/>
      <c r="AA46" s="8">
        <f>1+4+4</f>
        <v>9</v>
      </c>
      <c r="AB46" s="8"/>
      <c r="AC46" s="8">
        <f>2</f>
        <v>2</v>
      </c>
      <c r="AD46" s="8"/>
      <c r="AE46" s="8"/>
      <c r="AF46" s="21"/>
    </row>
    <row r="47" spans="1:32" x14ac:dyDescent="0.35">
      <c r="A47" s="5">
        <v>42</v>
      </c>
      <c r="B47" s="4">
        <v>3321098</v>
      </c>
      <c r="C47" s="4" t="s">
        <v>63</v>
      </c>
      <c r="D47" s="32" t="s">
        <v>60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>
        <v>2</v>
      </c>
      <c r="P47" s="3"/>
      <c r="Q47" s="3"/>
      <c r="R47" s="3"/>
      <c r="S47" s="20"/>
      <c r="T47" s="8"/>
      <c r="U47" s="8"/>
      <c r="V47" s="8"/>
      <c r="W47" s="8"/>
      <c r="X47" s="8"/>
      <c r="Y47" s="8"/>
      <c r="Z47" s="8"/>
      <c r="AA47" s="8"/>
      <c r="AB47" s="8"/>
      <c r="AC47" s="8">
        <f>2+1+2+2</f>
        <v>7</v>
      </c>
      <c r="AD47" s="8"/>
      <c r="AE47" s="8"/>
      <c r="AF47" s="21"/>
    </row>
    <row r="48" spans="1:32" x14ac:dyDescent="0.35">
      <c r="A48" s="3">
        <v>43</v>
      </c>
      <c r="B48" s="4">
        <v>3321002</v>
      </c>
      <c r="C48" s="4" t="s">
        <v>64</v>
      </c>
      <c r="D48" s="32" t="s">
        <v>65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20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21"/>
    </row>
    <row r="49" spans="1:32" x14ac:dyDescent="0.35">
      <c r="A49" s="5">
        <v>44</v>
      </c>
      <c r="B49" s="4">
        <v>3321003</v>
      </c>
      <c r="C49" s="4" t="s">
        <v>66</v>
      </c>
      <c r="D49" s="32" t="s">
        <v>65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>
        <v>4</v>
      </c>
      <c r="P49" s="3"/>
      <c r="Q49" s="3"/>
      <c r="R49" s="3"/>
      <c r="S49" s="20"/>
      <c r="T49" s="8"/>
      <c r="U49" s="8"/>
      <c r="V49" s="8"/>
      <c r="W49" s="8"/>
      <c r="X49" s="8"/>
      <c r="Y49" s="8"/>
      <c r="Z49" s="8"/>
      <c r="AA49" s="8"/>
      <c r="AB49" s="8"/>
      <c r="AC49" s="8">
        <f>2+2+2+2+2</f>
        <v>10</v>
      </c>
      <c r="AD49" s="8"/>
      <c r="AE49" s="8"/>
      <c r="AF49" s="21"/>
    </row>
    <row r="50" spans="1:32" x14ac:dyDescent="0.35">
      <c r="A50" s="3">
        <v>45</v>
      </c>
      <c r="B50" s="4">
        <v>3321005</v>
      </c>
      <c r="C50" s="4" t="s">
        <v>67</v>
      </c>
      <c r="D50" s="32" t="s">
        <v>65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>
        <v>21</v>
      </c>
      <c r="P50" s="3"/>
      <c r="Q50" s="3"/>
      <c r="R50" s="3"/>
      <c r="S50" s="20">
        <f>3+1+1</f>
        <v>5</v>
      </c>
      <c r="T50" s="8"/>
      <c r="U50" s="8">
        <f>1+1</f>
        <v>2</v>
      </c>
      <c r="V50" s="8"/>
      <c r="W50" s="8"/>
      <c r="X50" s="8"/>
      <c r="Y50" s="8"/>
      <c r="Z50" s="8"/>
      <c r="AA50" s="8">
        <f>5</f>
        <v>5</v>
      </c>
      <c r="AB50" s="8"/>
      <c r="AC50" s="8">
        <f>16+5+5+5</f>
        <v>31</v>
      </c>
      <c r="AD50" s="8"/>
      <c r="AE50" s="8"/>
      <c r="AF50" s="21"/>
    </row>
    <row r="51" spans="1:32" x14ac:dyDescent="0.35">
      <c r="A51" s="5">
        <v>46</v>
      </c>
      <c r="B51" s="4">
        <v>3321004</v>
      </c>
      <c r="C51" s="4" t="s">
        <v>68</v>
      </c>
      <c r="D51" s="32" t="s">
        <v>65</v>
      </c>
      <c r="E51" s="3">
        <v>1</v>
      </c>
      <c r="F51" s="3"/>
      <c r="G51" s="3"/>
      <c r="H51" s="3">
        <v>1</v>
      </c>
      <c r="I51" s="3"/>
      <c r="J51" s="3"/>
      <c r="K51" s="3"/>
      <c r="L51" s="3"/>
      <c r="M51" s="3">
        <v>4</v>
      </c>
      <c r="N51" s="3"/>
      <c r="O51" s="3">
        <v>19</v>
      </c>
      <c r="P51" s="3"/>
      <c r="Q51" s="3"/>
      <c r="R51" s="3"/>
      <c r="S51" s="20">
        <f>1+1+1</f>
        <v>3</v>
      </c>
      <c r="T51" s="8"/>
      <c r="U51" s="8">
        <f>1+1</f>
        <v>2</v>
      </c>
      <c r="V51" s="8">
        <v>1</v>
      </c>
      <c r="W51" s="8"/>
      <c r="X51" s="8"/>
      <c r="Y51" s="8"/>
      <c r="Z51" s="8"/>
      <c r="AA51" s="8">
        <f>2+2</f>
        <v>4</v>
      </c>
      <c r="AB51" s="8"/>
      <c r="AC51" s="8">
        <f>15+4+14+10+10</f>
        <v>53</v>
      </c>
      <c r="AD51" s="8"/>
      <c r="AE51" s="8"/>
      <c r="AF51" s="21"/>
    </row>
    <row r="52" spans="1:32" x14ac:dyDescent="0.35">
      <c r="A52" s="3">
        <v>47</v>
      </c>
      <c r="B52" s="4">
        <v>3321081</v>
      </c>
      <c r="C52" s="4" t="s">
        <v>69</v>
      </c>
      <c r="D52" s="32" t="s">
        <v>65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20"/>
      <c r="T52" s="8"/>
      <c r="U52" s="8"/>
      <c r="V52" s="8"/>
      <c r="W52" s="8"/>
      <c r="X52" s="8"/>
      <c r="Y52" s="8"/>
      <c r="Z52" s="8"/>
      <c r="AA52" s="8">
        <f>1</f>
        <v>1</v>
      </c>
      <c r="AB52" s="8"/>
      <c r="AC52" s="8"/>
      <c r="AD52" s="8"/>
      <c r="AE52" s="8"/>
      <c r="AF52" s="21"/>
    </row>
    <row r="53" spans="1:32" x14ac:dyDescent="0.35">
      <c r="A53" s="5">
        <v>48</v>
      </c>
      <c r="B53" s="4">
        <v>3321082</v>
      </c>
      <c r="C53" s="4" t="s">
        <v>70</v>
      </c>
      <c r="D53" s="32" t="s">
        <v>65</v>
      </c>
      <c r="E53" s="3">
        <v>1</v>
      </c>
      <c r="F53" s="3"/>
      <c r="G53" s="3"/>
      <c r="H53" s="3"/>
      <c r="I53" s="3"/>
      <c r="J53" s="3"/>
      <c r="K53" s="3"/>
      <c r="L53" s="3"/>
      <c r="M53" s="3"/>
      <c r="N53" s="3"/>
      <c r="O53" s="3">
        <v>13</v>
      </c>
      <c r="P53" s="3"/>
      <c r="Q53" s="3">
        <v>5</v>
      </c>
      <c r="R53" s="3"/>
      <c r="S53" s="20">
        <f>1+3+3</f>
        <v>7</v>
      </c>
      <c r="T53" s="8"/>
      <c r="U53" s="8"/>
      <c r="V53" s="8"/>
      <c r="W53" s="8"/>
      <c r="X53" s="8"/>
      <c r="Y53" s="8"/>
      <c r="Z53" s="8"/>
      <c r="AA53" s="8">
        <f>3+15+15</f>
        <v>33</v>
      </c>
      <c r="AB53" s="8"/>
      <c r="AC53" s="8">
        <f>5+5+3+5+5</f>
        <v>23</v>
      </c>
      <c r="AD53" s="8"/>
      <c r="AE53" s="8">
        <v>5</v>
      </c>
      <c r="AF53" s="21"/>
    </row>
    <row r="54" spans="1:32" x14ac:dyDescent="0.35">
      <c r="A54" s="3">
        <v>49</v>
      </c>
      <c r="B54" s="4">
        <v>3321069</v>
      </c>
      <c r="C54" s="4" t="s">
        <v>71</v>
      </c>
      <c r="D54" s="32" t="s">
        <v>72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>
        <v>2</v>
      </c>
      <c r="P54" s="3"/>
      <c r="Q54" s="3"/>
      <c r="R54" s="3"/>
      <c r="S54" s="20">
        <f>7+3+3</f>
        <v>13</v>
      </c>
      <c r="T54" s="8"/>
      <c r="U54" s="8"/>
      <c r="V54" s="8"/>
      <c r="W54" s="8"/>
      <c r="X54" s="8"/>
      <c r="Y54" s="8">
        <f>1+2+2</f>
        <v>5</v>
      </c>
      <c r="Z54" s="8"/>
      <c r="AA54" s="8">
        <f>9+6+6</f>
        <v>21</v>
      </c>
      <c r="AB54" s="8"/>
      <c r="AC54" s="8">
        <f>2+1+1</f>
        <v>4</v>
      </c>
      <c r="AD54" s="8"/>
      <c r="AE54" s="8"/>
      <c r="AF54" s="21"/>
    </row>
    <row r="55" spans="1:32" x14ac:dyDescent="0.35">
      <c r="A55" s="5">
        <v>50</v>
      </c>
      <c r="B55" s="4">
        <v>3321008</v>
      </c>
      <c r="C55" s="4" t="s">
        <v>73</v>
      </c>
      <c r="D55" s="32" t="s">
        <v>72</v>
      </c>
      <c r="E55" s="3">
        <v>8</v>
      </c>
      <c r="F55" s="3"/>
      <c r="G55" s="3"/>
      <c r="H55" s="3"/>
      <c r="I55" s="3"/>
      <c r="J55" s="3"/>
      <c r="K55" s="3">
        <v>4</v>
      </c>
      <c r="L55" s="3"/>
      <c r="M55" s="3">
        <v>8</v>
      </c>
      <c r="N55" s="3"/>
      <c r="O55" s="3">
        <v>97</v>
      </c>
      <c r="P55" s="3"/>
      <c r="Q55" s="3">
        <v>1</v>
      </c>
      <c r="R55" s="3"/>
      <c r="S55" s="20">
        <f>4+4</f>
        <v>8</v>
      </c>
      <c r="T55" s="8"/>
      <c r="U55" s="8">
        <f>4+4</f>
        <v>8</v>
      </c>
      <c r="V55" s="8"/>
      <c r="W55" s="8"/>
      <c r="X55" s="8"/>
      <c r="Y55" s="8">
        <f>2+1+1</f>
        <v>4</v>
      </c>
      <c r="Z55" s="8"/>
      <c r="AA55" s="8">
        <v>8</v>
      </c>
      <c r="AB55" s="8"/>
      <c r="AC55" s="8">
        <f>33+36+28+26+26</f>
        <v>149</v>
      </c>
      <c r="AD55" s="8"/>
      <c r="AE55" s="8">
        <v>1</v>
      </c>
      <c r="AF55" s="21"/>
    </row>
    <row r="56" spans="1:32" x14ac:dyDescent="0.35">
      <c r="A56" s="3">
        <v>51</v>
      </c>
      <c r="B56" s="4">
        <v>3321023</v>
      </c>
      <c r="C56" s="4" t="s">
        <v>74</v>
      </c>
      <c r="D56" s="32" t="s">
        <v>72</v>
      </c>
      <c r="E56" s="3">
        <v>11</v>
      </c>
      <c r="F56" s="3">
        <v>3</v>
      </c>
      <c r="G56" s="3"/>
      <c r="H56" s="3">
        <v>3</v>
      </c>
      <c r="I56" s="3"/>
      <c r="J56" s="3"/>
      <c r="K56" s="3"/>
      <c r="L56" s="3"/>
      <c r="M56" s="3">
        <v>28</v>
      </c>
      <c r="N56" s="3"/>
      <c r="O56" s="3">
        <v>105</v>
      </c>
      <c r="P56" s="3"/>
      <c r="Q56" s="3">
        <v>3</v>
      </c>
      <c r="R56" s="3"/>
      <c r="S56" s="20">
        <f>7+4</f>
        <v>11</v>
      </c>
      <c r="T56" s="8">
        <f>1+1+1</f>
        <v>3</v>
      </c>
      <c r="U56" s="8"/>
      <c r="V56" s="8">
        <f>2+1</f>
        <v>3</v>
      </c>
      <c r="W56" s="8"/>
      <c r="X56" s="8"/>
      <c r="Y56" s="8"/>
      <c r="Z56" s="8"/>
      <c r="AA56" s="8">
        <f>3+18+7+1</f>
        <v>29</v>
      </c>
      <c r="AB56" s="8"/>
      <c r="AC56" s="8">
        <f>37+34+34+40+50+50</f>
        <v>245</v>
      </c>
      <c r="AD56" s="8"/>
      <c r="AE56" s="8">
        <f>1+2+20+20</f>
        <v>43</v>
      </c>
      <c r="AF56" s="21"/>
    </row>
    <row r="57" spans="1:32" x14ac:dyDescent="0.35">
      <c r="A57" s="5">
        <v>52</v>
      </c>
      <c r="B57" s="4">
        <v>3321056</v>
      </c>
      <c r="C57" s="4" t="s">
        <v>75</v>
      </c>
      <c r="D57" s="32" t="s">
        <v>72</v>
      </c>
      <c r="E57" s="3"/>
      <c r="F57" s="3"/>
      <c r="G57" s="3"/>
      <c r="H57" s="3"/>
      <c r="I57" s="3"/>
      <c r="J57" s="3"/>
      <c r="K57" s="3">
        <v>30</v>
      </c>
      <c r="L57" s="3"/>
      <c r="M57" s="3"/>
      <c r="N57" s="3"/>
      <c r="O57" s="3">
        <v>21</v>
      </c>
      <c r="P57" s="3"/>
      <c r="Q57" s="3">
        <v>20</v>
      </c>
      <c r="R57" s="3"/>
      <c r="S57" s="20"/>
      <c r="T57" s="8"/>
      <c r="U57" s="8"/>
      <c r="V57" s="8"/>
      <c r="W57" s="8"/>
      <c r="X57" s="8"/>
      <c r="Y57" s="8">
        <f>10+10+10+10+10+10</f>
        <v>60</v>
      </c>
      <c r="Z57" s="8"/>
      <c r="AA57" s="8">
        <v>1</v>
      </c>
      <c r="AB57" s="8"/>
      <c r="AC57" s="8">
        <f>20+1</f>
        <v>21</v>
      </c>
      <c r="AD57" s="8"/>
      <c r="AE57" s="8">
        <f>10+10+10+10+10</f>
        <v>50</v>
      </c>
      <c r="AF57" s="21"/>
    </row>
    <row r="58" spans="1:32" x14ac:dyDescent="0.35">
      <c r="A58" s="3">
        <v>53</v>
      </c>
      <c r="B58" s="4">
        <v>3321120</v>
      </c>
      <c r="C58" s="4" t="s">
        <v>76</v>
      </c>
      <c r="D58" s="32" t="s">
        <v>72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>
        <v>6</v>
      </c>
      <c r="P58" s="3"/>
      <c r="Q58" s="3"/>
      <c r="R58" s="3">
        <v>2</v>
      </c>
      <c r="S58" s="20"/>
      <c r="T58" s="8"/>
      <c r="U58" s="8"/>
      <c r="V58" s="8"/>
      <c r="W58" s="8"/>
      <c r="X58" s="8"/>
      <c r="Y58" s="8"/>
      <c r="Z58" s="8"/>
      <c r="AA58" s="8"/>
      <c r="AB58" s="8"/>
      <c r="AC58" s="8">
        <v>6</v>
      </c>
      <c r="AD58" s="8"/>
      <c r="AE58" s="8"/>
      <c r="AF58" s="21">
        <v>2</v>
      </c>
    </row>
    <row r="59" spans="1:32" x14ac:dyDescent="0.35">
      <c r="A59" s="5">
        <v>54</v>
      </c>
      <c r="B59" s="4">
        <v>3321080</v>
      </c>
      <c r="C59" s="4" t="s">
        <v>77</v>
      </c>
      <c r="D59" s="32" t="s">
        <v>78</v>
      </c>
      <c r="E59" s="3">
        <v>2</v>
      </c>
      <c r="F59" s="3"/>
      <c r="G59" s="3"/>
      <c r="H59" s="3"/>
      <c r="I59" s="3"/>
      <c r="J59" s="3"/>
      <c r="K59" s="3"/>
      <c r="L59" s="3"/>
      <c r="M59" s="3">
        <v>10</v>
      </c>
      <c r="N59" s="3"/>
      <c r="O59" s="3">
        <v>9</v>
      </c>
      <c r="P59" s="3"/>
      <c r="Q59" s="3"/>
      <c r="R59" s="3"/>
      <c r="S59" s="20">
        <v>2</v>
      </c>
      <c r="T59" s="8"/>
      <c r="U59" s="8"/>
      <c r="V59" s="8"/>
      <c r="W59" s="8"/>
      <c r="X59" s="8"/>
      <c r="Y59" s="8"/>
      <c r="Z59" s="8"/>
      <c r="AA59" s="8">
        <v>10</v>
      </c>
      <c r="AB59" s="8"/>
      <c r="AC59" s="8">
        <f>2+2+5+3+2+2</f>
        <v>16</v>
      </c>
      <c r="AD59" s="8"/>
      <c r="AE59" s="8"/>
      <c r="AF59" s="21"/>
    </row>
    <row r="60" spans="1:32" x14ac:dyDescent="0.35">
      <c r="A60" s="3">
        <v>55</v>
      </c>
      <c r="B60" s="4">
        <v>3321039</v>
      </c>
      <c r="C60" s="4" t="s">
        <v>79</v>
      </c>
      <c r="D60" s="32" t="s">
        <v>78</v>
      </c>
      <c r="E60" s="3"/>
      <c r="F60" s="3"/>
      <c r="G60" s="3"/>
      <c r="H60" s="3"/>
      <c r="I60" s="3"/>
      <c r="J60" s="3"/>
      <c r="K60" s="3"/>
      <c r="L60" s="3"/>
      <c r="M60" s="3">
        <v>4</v>
      </c>
      <c r="N60" s="3"/>
      <c r="O60" s="3">
        <v>23</v>
      </c>
      <c r="P60" s="3"/>
      <c r="Q60" s="3"/>
      <c r="R60" s="3"/>
      <c r="S60" s="20">
        <f>2</f>
        <v>2</v>
      </c>
      <c r="T60" s="8"/>
      <c r="U60" s="8"/>
      <c r="V60" s="8"/>
      <c r="W60" s="8"/>
      <c r="X60" s="8"/>
      <c r="Y60" s="8"/>
      <c r="Z60" s="8"/>
      <c r="AA60" s="8">
        <f>1+2+1+11</f>
        <v>15</v>
      </c>
      <c r="AB60" s="8"/>
      <c r="AC60" s="8">
        <f>10+8+5</f>
        <v>23</v>
      </c>
      <c r="AD60" s="8"/>
      <c r="AE60" s="8"/>
      <c r="AF60" s="21"/>
    </row>
    <row r="61" spans="1:32" x14ac:dyDescent="0.35">
      <c r="A61" s="5">
        <v>56</v>
      </c>
      <c r="B61" s="4">
        <v>3321028</v>
      </c>
      <c r="C61" s="4" t="s">
        <v>80</v>
      </c>
      <c r="D61" s="32" t="s">
        <v>78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>
        <v>87</v>
      </c>
      <c r="P61" s="3"/>
      <c r="Q61" s="3"/>
      <c r="R61" s="3"/>
      <c r="S61" s="20">
        <f>7+7</f>
        <v>14</v>
      </c>
      <c r="T61" s="8"/>
      <c r="U61" s="8">
        <f>2</f>
        <v>2</v>
      </c>
      <c r="V61" s="8">
        <f>2</f>
        <v>2</v>
      </c>
      <c r="W61" s="8"/>
      <c r="X61" s="8"/>
      <c r="Y61" s="8"/>
      <c r="Z61" s="8"/>
      <c r="AA61" s="8">
        <f>10+10</f>
        <v>20</v>
      </c>
      <c r="AB61" s="8"/>
      <c r="AC61" s="8">
        <f>36+26+25+30+24+24</f>
        <v>165</v>
      </c>
      <c r="AD61" s="8"/>
      <c r="AE61" s="8">
        <f>2+2</f>
        <v>4</v>
      </c>
      <c r="AF61" s="21"/>
    </row>
    <row r="62" spans="1:32" x14ac:dyDescent="0.35">
      <c r="A62" s="3">
        <v>57</v>
      </c>
      <c r="B62" s="4">
        <v>3321012</v>
      </c>
      <c r="C62" s="4" t="s">
        <v>81</v>
      </c>
      <c r="D62" s="32" t="s">
        <v>78</v>
      </c>
      <c r="E62" s="3">
        <v>1</v>
      </c>
      <c r="F62" s="3"/>
      <c r="G62" s="3">
        <v>3</v>
      </c>
      <c r="H62" s="3">
        <v>1</v>
      </c>
      <c r="I62" s="3"/>
      <c r="J62" s="3"/>
      <c r="K62" s="3"/>
      <c r="L62" s="3"/>
      <c r="M62" s="3">
        <v>12</v>
      </c>
      <c r="N62" s="3"/>
      <c r="O62" s="3">
        <v>52</v>
      </c>
      <c r="P62" s="3"/>
      <c r="Q62" s="3">
        <v>9</v>
      </c>
      <c r="R62" s="3"/>
      <c r="S62" s="20">
        <f>1+1+1</f>
        <v>3</v>
      </c>
      <c r="T62" s="8"/>
      <c r="U62" s="8">
        <f>3+1+2</f>
        <v>6</v>
      </c>
      <c r="V62" s="8">
        <f>1+2</f>
        <v>3</v>
      </c>
      <c r="W62" s="8"/>
      <c r="X62" s="8"/>
      <c r="Y62" s="8"/>
      <c r="Z62" s="8"/>
      <c r="AA62" s="8">
        <f>7+5</f>
        <v>12</v>
      </c>
      <c r="AB62" s="8"/>
      <c r="AC62" s="8">
        <f>10+17+25+32+27+27</f>
        <v>138</v>
      </c>
      <c r="AD62" s="8"/>
      <c r="AE62" s="8">
        <f>5+4+6</f>
        <v>15</v>
      </c>
      <c r="AF62" s="21"/>
    </row>
    <row r="63" spans="1:32" x14ac:dyDescent="0.35">
      <c r="A63" s="5">
        <v>58</v>
      </c>
      <c r="B63" s="4">
        <v>3321078</v>
      </c>
      <c r="C63" s="4" t="s">
        <v>82</v>
      </c>
      <c r="D63" s="32" t="s">
        <v>83</v>
      </c>
      <c r="E63" s="3">
        <v>6</v>
      </c>
      <c r="F63" s="3"/>
      <c r="G63" s="3"/>
      <c r="H63" s="3"/>
      <c r="I63" s="3"/>
      <c r="J63" s="3"/>
      <c r="K63" s="3"/>
      <c r="L63" s="3"/>
      <c r="M63" s="3">
        <v>17</v>
      </c>
      <c r="N63" s="3"/>
      <c r="O63" s="3">
        <v>10</v>
      </c>
      <c r="P63" s="3"/>
      <c r="Q63" s="3"/>
      <c r="R63" s="3"/>
      <c r="S63" s="20">
        <f>6+1+1+1</f>
        <v>9</v>
      </c>
      <c r="T63" s="8"/>
      <c r="U63" s="8"/>
      <c r="V63" s="8"/>
      <c r="W63" s="8"/>
      <c r="X63" s="8"/>
      <c r="Y63" s="8"/>
      <c r="Z63" s="8"/>
      <c r="AA63" s="8">
        <f>1+16</f>
        <v>17</v>
      </c>
      <c r="AB63" s="8"/>
      <c r="AC63" s="8">
        <f>5+5+10+10+10</f>
        <v>40</v>
      </c>
      <c r="AD63" s="8"/>
      <c r="AE63" s="8"/>
      <c r="AF63" s="21"/>
    </row>
    <row r="64" spans="1:32" x14ac:dyDescent="0.35">
      <c r="A64" s="3">
        <v>59</v>
      </c>
      <c r="B64" s="4">
        <v>3321018</v>
      </c>
      <c r="C64" s="4" t="s">
        <v>84</v>
      </c>
      <c r="D64" s="32" t="s">
        <v>83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20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21"/>
    </row>
    <row r="65" spans="1:32" x14ac:dyDescent="0.35">
      <c r="A65" s="5">
        <v>60</v>
      </c>
      <c r="B65" s="4">
        <v>3321019</v>
      </c>
      <c r="C65" s="4" t="s">
        <v>85</v>
      </c>
      <c r="D65" s="32" t="s">
        <v>83</v>
      </c>
      <c r="E65" s="3">
        <v>6</v>
      </c>
      <c r="F65" s="3"/>
      <c r="G65" s="3">
        <v>12</v>
      </c>
      <c r="H65" s="3"/>
      <c r="I65" s="3"/>
      <c r="J65" s="3"/>
      <c r="K65" s="3">
        <v>15</v>
      </c>
      <c r="L65" s="3"/>
      <c r="M65" s="3">
        <v>2</v>
      </c>
      <c r="N65" s="3"/>
      <c r="O65" s="3">
        <v>18</v>
      </c>
      <c r="P65" s="3"/>
      <c r="Q65" s="3">
        <v>4</v>
      </c>
      <c r="R65" s="3"/>
      <c r="S65" s="20">
        <f>3+1+2+26+26</f>
        <v>58</v>
      </c>
      <c r="T65" s="8"/>
      <c r="U65" s="8">
        <f>3+7+2+21+21</f>
        <v>54</v>
      </c>
      <c r="V65" s="8"/>
      <c r="W65" s="8"/>
      <c r="X65" s="8"/>
      <c r="Y65" s="8">
        <f>4+11+66+66</f>
        <v>147</v>
      </c>
      <c r="Z65" s="8"/>
      <c r="AA65" s="8">
        <f>1+1+45+45</f>
        <v>92</v>
      </c>
      <c r="AB65" s="8"/>
      <c r="AC65" s="8">
        <f>4+4+10+25+25</f>
        <v>68</v>
      </c>
      <c r="AD65" s="8"/>
      <c r="AE65" s="8">
        <f>4+6+6</f>
        <v>16</v>
      </c>
      <c r="AF65" s="21"/>
    </row>
    <row r="66" spans="1:32" x14ac:dyDescent="0.35">
      <c r="A66" s="3">
        <v>61</v>
      </c>
      <c r="B66" s="4">
        <v>3321029</v>
      </c>
      <c r="C66" s="4" t="s">
        <v>86</v>
      </c>
      <c r="D66" s="32" t="s">
        <v>83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>
        <v>21</v>
      </c>
      <c r="P66" s="3"/>
      <c r="Q66" s="3"/>
      <c r="R66" s="3"/>
      <c r="S66" s="20"/>
      <c r="T66" s="8"/>
      <c r="U66" s="8"/>
      <c r="V66" s="8"/>
      <c r="W66" s="8"/>
      <c r="X66" s="8"/>
      <c r="Y66" s="8"/>
      <c r="Z66" s="8"/>
      <c r="AA66" s="8"/>
      <c r="AB66" s="8"/>
      <c r="AC66" s="8">
        <f>8+9+4</f>
        <v>21</v>
      </c>
      <c r="AD66" s="8">
        <f>25</f>
        <v>25</v>
      </c>
      <c r="AE66" s="8"/>
      <c r="AF66" s="21"/>
    </row>
    <row r="67" spans="1:32" x14ac:dyDescent="0.35">
      <c r="A67" s="5">
        <v>62</v>
      </c>
      <c r="B67" s="4">
        <v>3321031</v>
      </c>
      <c r="C67" s="4" t="s">
        <v>87</v>
      </c>
      <c r="D67" s="32" t="s">
        <v>83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20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21"/>
    </row>
    <row r="68" spans="1:32" x14ac:dyDescent="0.35">
      <c r="A68" s="3">
        <v>63</v>
      </c>
      <c r="B68" s="4">
        <v>3321045</v>
      </c>
      <c r="C68" s="4" t="s">
        <v>88</v>
      </c>
      <c r="D68" s="32" t="s">
        <v>83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20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21"/>
    </row>
    <row r="69" spans="1:32" x14ac:dyDescent="0.35">
      <c r="A69" s="5">
        <v>64</v>
      </c>
      <c r="B69" s="4">
        <v>3321030</v>
      </c>
      <c r="C69" s="4" t="s">
        <v>89</v>
      </c>
      <c r="D69" s="32" t="s">
        <v>83</v>
      </c>
      <c r="E69" s="3"/>
      <c r="F69" s="3"/>
      <c r="G69" s="3"/>
      <c r="H69" s="3"/>
      <c r="I69" s="3"/>
      <c r="J69" s="3"/>
      <c r="K69" s="3"/>
      <c r="L69" s="3"/>
      <c r="M69" s="3">
        <v>4</v>
      </c>
      <c r="N69" s="3"/>
      <c r="O69" s="3">
        <v>42</v>
      </c>
      <c r="P69" s="3"/>
      <c r="Q69" s="3"/>
      <c r="R69" s="3"/>
      <c r="S69" s="20"/>
      <c r="T69" s="8"/>
      <c r="U69" s="8"/>
      <c r="V69" s="8"/>
      <c r="W69" s="8"/>
      <c r="X69" s="8"/>
      <c r="Y69" s="8"/>
      <c r="Z69" s="8"/>
      <c r="AA69" s="8">
        <v>4</v>
      </c>
      <c r="AB69" s="8"/>
      <c r="AC69" s="8">
        <f>7+5+30+10</f>
        <v>52</v>
      </c>
      <c r="AD69" s="8">
        <f>15</f>
        <v>15</v>
      </c>
      <c r="AE69" s="8"/>
      <c r="AF69" s="21"/>
    </row>
    <row r="70" spans="1:32" x14ac:dyDescent="0.35">
      <c r="A70" s="3">
        <v>65</v>
      </c>
      <c r="B70" s="4">
        <v>3321017</v>
      </c>
      <c r="C70" s="4" t="s">
        <v>90</v>
      </c>
      <c r="D70" s="32" t="s">
        <v>83</v>
      </c>
      <c r="E70" s="3">
        <v>1</v>
      </c>
      <c r="F70" s="3"/>
      <c r="G70" s="3"/>
      <c r="H70" s="3"/>
      <c r="I70" s="3"/>
      <c r="J70" s="3"/>
      <c r="K70" s="3"/>
      <c r="L70" s="3"/>
      <c r="M70" s="3">
        <v>3</v>
      </c>
      <c r="N70" s="3"/>
      <c r="O70" s="3">
        <v>4</v>
      </c>
      <c r="P70" s="3"/>
      <c r="Q70" s="3"/>
      <c r="R70" s="3"/>
      <c r="S70" s="20">
        <v>1</v>
      </c>
      <c r="T70" s="8"/>
      <c r="U70" s="8"/>
      <c r="V70" s="8"/>
      <c r="W70" s="8"/>
      <c r="X70" s="8"/>
      <c r="Y70" s="8"/>
      <c r="Z70" s="8"/>
      <c r="AA70" s="8">
        <f>1+2+1+1</f>
        <v>5</v>
      </c>
      <c r="AB70" s="8"/>
      <c r="AC70" s="8">
        <f>2+2</f>
        <v>4</v>
      </c>
      <c r="AD70" s="8"/>
      <c r="AE70" s="8"/>
      <c r="AF70" s="21"/>
    </row>
    <row r="71" spans="1:32" x14ac:dyDescent="0.35">
      <c r="A71" s="5">
        <v>66</v>
      </c>
      <c r="B71" s="4">
        <v>3321099</v>
      </c>
      <c r="C71" s="4" t="s">
        <v>91</v>
      </c>
      <c r="D71" s="32" t="s">
        <v>83</v>
      </c>
      <c r="E71" s="3">
        <v>6</v>
      </c>
      <c r="F71" s="3"/>
      <c r="G71" s="3">
        <v>4</v>
      </c>
      <c r="H71" s="3"/>
      <c r="I71" s="3"/>
      <c r="J71" s="3"/>
      <c r="K71" s="3">
        <v>2</v>
      </c>
      <c r="L71" s="3"/>
      <c r="M71" s="3">
        <v>1</v>
      </c>
      <c r="N71" s="3"/>
      <c r="O71" s="3">
        <v>2</v>
      </c>
      <c r="P71" s="3"/>
      <c r="Q71" s="3">
        <v>1</v>
      </c>
      <c r="R71" s="3"/>
      <c r="S71" s="20">
        <f>2+4+3+3+3</f>
        <v>15</v>
      </c>
      <c r="T71" s="8"/>
      <c r="U71" s="8">
        <f>4+1+3+3</f>
        <v>11</v>
      </c>
      <c r="V71" s="8"/>
      <c r="W71" s="8"/>
      <c r="X71" s="8"/>
      <c r="Y71" s="8">
        <v>2</v>
      </c>
      <c r="Z71" s="8"/>
      <c r="AA71" s="8">
        <f>1+2+2</f>
        <v>5</v>
      </c>
      <c r="AB71" s="8"/>
      <c r="AC71" s="8">
        <f>2+4+2+2</f>
        <v>10</v>
      </c>
      <c r="AD71" s="8"/>
      <c r="AE71" s="8">
        <v>1</v>
      </c>
      <c r="AF71" s="21"/>
    </row>
    <row r="72" spans="1:32" x14ac:dyDescent="0.35">
      <c r="A72" s="3">
        <v>67</v>
      </c>
      <c r="B72" s="4">
        <v>3321059</v>
      </c>
      <c r="C72" s="4" t="s">
        <v>92</v>
      </c>
      <c r="D72" s="32" t="s">
        <v>93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>
        <v>3</v>
      </c>
      <c r="P72" s="3"/>
      <c r="Q72" s="3"/>
      <c r="R72" s="3"/>
      <c r="S72" s="20"/>
      <c r="T72" s="8"/>
      <c r="U72" s="8"/>
      <c r="V72" s="8"/>
      <c r="W72" s="8"/>
      <c r="X72" s="8"/>
      <c r="Y72" s="8"/>
      <c r="Z72" s="8"/>
      <c r="AA72" s="8">
        <f>1+1</f>
        <v>2</v>
      </c>
      <c r="AB72" s="8"/>
      <c r="AC72" s="8">
        <f>2+1+1+1</f>
        <v>5</v>
      </c>
      <c r="AD72" s="8"/>
      <c r="AE72" s="8"/>
      <c r="AF72" s="21"/>
    </row>
    <row r="73" spans="1:32" x14ac:dyDescent="0.35">
      <c r="A73" s="5">
        <v>68</v>
      </c>
      <c r="B73" s="4">
        <v>3321021</v>
      </c>
      <c r="C73" s="4" t="s">
        <v>94</v>
      </c>
      <c r="D73" s="32" t="s">
        <v>93</v>
      </c>
      <c r="E73" s="3">
        <v>2</v>
      </c>
      <c r="F73" s="3">
        <v>3</v>
      </c>
      <c r="G73" s="3"/>
      <c r="H73" s="3"/>
      <c r="I73" s="3"/>
      <c r="J73" s="3"/>
      <c r="K73" s="3"/>
      <c r="L73" s="3"/>
      <c r="M73" s="3">
        <v>10</v>
      </c>
      <c r="N73" s="3"/>
      <c r="O73" s="3">
        <v>118</v>
      </c>
      <c r="P73" s="3">
        <v>13</v>
      </c>
      <c r="Q73" s="3"/>
      <c r="R73" s="3"/>
      <c r="S73" s="20">
        <f>1+1</f>
        <v>2</v>
      </c>
      <c r="T73" s="8">
        <v>3</v>
      </c>
      <c r="U73" s="8"/>
      <c r="V73" s="8"/>
      <c r="W73" s="8"/>
      <c r="X73" s="8"/>
      <c r="Y73" s="8"/>
      <c r="Z73" s="8"/>
      <c r="AA73" s="8">
        <f>3+7+7+2+2</f>
        <v>21</v>
      </c>
      <c r="AB73" s="8"/>
      <c r="AC73" s="8">
        <f>39+41+38+25+25</f>
        <v>168</v>
      </c>
      <c r="AD73" s="8">
        <f>13+46+32+32</f>
        <v>123</v>
      </c>
      <c r="AE73" s="8"/>
      <c r="AF73" s="21"/>
    </row>
    <row r="74" spans="1:32" x14ac:dyDescent="0.35">
      <c r="A74" s="3">
        <v>69</v>
      </c>
      <c r="B74" s="4">
        <v>3321108</v>
      </c>
      <c r="C74" s="4" t="s">
        <v>95</v>
      </c>
      <c r="D74" s="32" t="s">
        <v>93</v>
      </c>
      <c r="E74" s="3"/>
      <c r="F74" s="3">
        <v>3</v>
      </c>
      <c r="G74" s="3">
        <v>6</v>
      </c>
      <c r="H74" s="3">
        <v>4</v>
      </c>
      <c r="I74" s="3"/>
      <c r="J74" s="3"/>
      <c r="K74" s="3"/>
      <c r="L74" s="3"/>
      <c r="M74" s="3">
        <v>3</v>
      </c>
      <c r="N74" s="3"/>
      <c r="O74" s="3">
        <v>121</v>
      </c>
      <c r="P74" s="3"/>
      <c r="Q74" s="3"/>
      <c r="R74" s="3"/>
      <c r="S74" s="20">
        <f>2+3+3</f>
        <v>8</v>
      </c>
      <c r="T74" s="8">
        <f>2+1+1+1+1</f>
        <v>6</v>
      </c>
      <c r="U74" s="8">
        <v>6</v>
      </c>
      <c r="V74" s="8">
        <f>2+1+2+2</f>
        <v>7</v>
      </c>
      <c r="W74" s="8"/>
      <c r="X74" s="8"/>
      <c r="Y74" s="8"/>
      <c r="Z74" s="8"/>
      <c r="AA74" s="8">
        <f>3+3</f>
        <v>6</v>
      </c>
      <c r="AB74" s="8"/>
      <c r="AC74" s="8">
        <f>36+45+40+50+50+50</f>
        <v>271</v>
      </c>
      <c r="AD74" s="8"/>
      <c r="AE74" s="8"/>
      <c r="AF74" s="21"/>
    </row>
    <row r="75" spans="1:32" x14ac:dyDescent="0.35">
      <c r="A75" s="5">
        <v>70</v>
      </c>
      <c r="B75" s="4">
        <v>3321009</v>
      </c>
      <c r="C75" s="4" t="s">
        <v>96</v>
      </c>
      <c r="D75" s="32" t="s">
        <v>93</v>
      </c>
      <c r="E75" s="3"/>
      <c r="F75" s="3"/>
      <c r="G75" s="3"/>
      <c r="H75" s="3"/>
      <c r="I75" s="3"/>
      <c r="J75" s="3"/>
      <c r="K75" s="3"/>
      <c r="L75" s="3"/>
      <c r="M75" s="3">
        <v>10</v>
      </c>
      <c r="N75" s="3"/>
      <c r="O75" s="3"/>
      <c r="P75" s="3"/>
      <c r="Q75" s="3"/>
      <c r="R75" s="3"/>
      <c r="S75" s="20"/>
      <c r="T75" s="8"/>
      <c r="U75" s="8"/>
      <c r="V75" s="8"/>
      <c r="W75" s="8"/>
      <c r="X75" s="8"/>
      <c r="Y75" s="8"/>
      <c r="Z75" s="8"/>
      <c r="AA75" s="8">
        <v>10</v>
      </c>
      <c r="AB75" s="8"/>
      <c r="AC75" s="8">
        <f>1</f>
        <v>1</v>
      </c>
      <c r="AD75" s="8"/>
      <c r="AE75" s="8"/>
      <c r="AF75" s="21"/>
    </row>
    <row r="76" spans="1:32" x14ac:dyDescent="0.35">
      <c r="A76" s="3">
        <v>71</v>
      </c>
      <c r="B76" s="4">
        <v>3321052</v>
      </c>
      <c r="C76" s="4" t="s">
        <v>97</v>
      </c>
      <c r="D76" s="32" t="s">
        <v>93</v>
      </c>
      <c r="E76" s="3">
        <v>1</v>
      </c>
      <c r="F76" s="3"/>
      <c r="G76" s="3"/>
      <c r="H76" s="3"/>
      <c r="I76" s="3"/>
      <c r="J76" s="3"/>
      <c r="K76" s="3">
        <v>2</v>
      </c>
      <c r="L76" s="3"/>
      <c r="M76" s="3">
        <v>5</v>
      </c>
      <c r="N76" s="3"/>
      <c r="O76" s="3">
        <v>34</v>
      </c>
      <c r="P76" s="3"/>
      <c r="Q76" s="3">
        <v>5</v>
      </c>
      <c r="R76" s="3"/>
      <c r="S76" s="20">
        <f>1+1+1</f>
        <v>3</v>
      </c>
      <c r="T76" s="8"/>
      <c r="U76" s="8"/>
      <c r="V76" s="8"/>
      <c r="W76" s="8"/>
      <c r="X76" s="8"/>
      <c r="Y76" s="8">
        <f>1+1+2+2</f>
        <v>6</v>
      </c>
      <c r="Z76" s="8"/>
      <c r="AA76" s="8">
        <f>3+2+5+5</f>
        <v>15</v>
      </c>
      <c r="AB76" s="8"/>
      <c r="AC76" s="8">
        <f>6+21+7+9+17+17</f>
        <v>77</v>
      </c>
      <c r="AD76" s="8"/>
      <c r="AE76" s="8">
        <f>3+2</f>
        <v>5</v>
      </c>
      <c r="AF76" s="21"/>
    </row>
    <row r="77" spans="1:32" x14ac:dyDescent="0.35">
      <c r="A77" s="5">
        <v>72</v>
      </c>
      <c r="B77" s="4">
        <v>3321046</v>
      </c>
      <c r="C77" s="4" t="s">
        <v>98</v>
      </c>
      <c r="D77" s="32" t="s">
        <v>99</v>
      </c>
      <c r="E77" s="3">
        <v>2</v>
      </c>
      <c r="F77" s="3"/>
      <c r="G77" s="3"/>
      <c r="H77" s="3"/>
      <c r="I77" s="3"/>
      <c r="J77" s="3"/>
      <c r="K77" s="3"/>
      <c r="L77" s="3"/>
      <c r="M77" s="3">
        <v>13</v>
      </c>
      <c r="N77" s="3"/>
      <c r="O77" s="3">
        <v>25</v>
      </c>
      <c r="P77" s="3"/>
      <c r="Q77" s="3"/>
      <c r="R77" s="3"/>
      <c r="S77" s="20">
        <f>2+2+2</f>
        <v>6</v>
      </c>
      <c r="T77" s="8"/>
      <c r="U77" s="8"/>
      <c r="V77" s="8"/>
      <c r="W77" s="8"/>
      <c r="X77" s="8"/>
      <c r="Y77" s="8">
        <f>1</f>
        <v>1</v>
      </c>
      <c r="Z77" s="8"/>
      <c r="AA77" s="8">
        <f>13+4+4</f>
        <v>21</v>
      </c>
      <c r="AB77" s="8"/>
      <c r="AC77" s="8">
        <f>14+5+6+5+5</f>
        <v>35</v>
      </c>
      <c r="AD77" s="8"/>
      <c r="AE77" s="8"/>
      <c r="AF77" s="21"/>
    </row>
    <row r="78" spans="1:32" x14ac:dyDescent="0.35">
      <c r="A78" s="3">
        <v>73</v>
      </c>
      <c r="B78" s="4">
        <v>3321032</v>
      </c>
      <c r="C78" s="4" t="s">
        <v>100</v>
      </c>
      <c r="D78" s="32" t="s">
        <v>99</v>
      </c>
      <c r="E78" s="3">
        <v>3</v>
      </c>
      <c r="F78" s="3">
        <v>1</v>
      </c>
      <c r="G78" s="3"/>
      <c r="H78" s="3">
        <v>10</v>
      </c>
      <c r="I78" s="3"/>
      <c r="J78" s="3"/>
      <c r="K78" s="3">
        <v>2</v>
      </c>
      <c r="L78" s="3"/>
      <c r="M78" s="3">
        <v>5</v>
      </c>
      <c r="N78" s="3"/>
      <c r="O78" s="3">
        <v>44</v>
      </c>
      <c r="P78" s="3">
        <v>66</v>
      </c>
      <c r="Q78" s="3">
        <v>7</v>
      </c>
      <c r="R78" s="3">
        <v>137</v>
      </c>
      <c r="S78" s="20">
        <f>2+1+3+2+2</f>
        <v>10</v>
      </c>
      <c r="T78" s="8">
        <f>1+1</f>
        <v>2</v>
      </c>
      <c r="U78" s="8"/>
      <c r="V78" s="8">
        <f>1+6+3+6+5+5</f>
        <v>26</v>
      </c>
      <c r="W78" s="8"/>
      <c r="X78" s="8"/>
      <c r="Y78" s="8">
        <f>1+1</f>
        <v>2</v>
      </c>
      <c r="Z78" s="8"/>
      <c r="AA78" s="8">
        <f>3+2+8</f>
        <v>13</v>
      </c>
      <c r="AB78" s="8"/>
      <c r="AC78" s="8">
        <f>30+7+7+7+9+9</f>
        <v>69</v>
      </c>
      <c r="AD78" s="8">
        <f>35+31+35+45+45</f>
        <v>191</v>
      </c>
      <c r="AE78" s="8">
        <f>2+5+1</f>
        <v>8</v>
      </c>
      <c r="AF78" s="21">
        <f>137+3</f>
        <v>140</v>
      </c>
    </row>
    <row r="79" spans="1:32" x14ac:dyDescent="0.35">
      <c r="A79" s="5">
        <v>74</v>
      </c>
      <c r="B79" s="4">
        <v>3321026</v>
      </c>
      <c r="C79" s="4" t="s">
        <v>101</v>
      </c>
      <c r="D79" s="32" t="s">
        <v>99</v>
      </c>
      <c r="E79" s="3">
        <v>3</v>
      </c>
      <c r="F79" s="3">
        <v>3</v>
      </c>
      <c r="G79" s="3"/>
      <c r="H79" s="3">
        <v>10</v>
      </c>
      <c r="I79" s="3"/>
      <c r="J79" s="3"/>
      <c r="K79" s="3"/>
      <c r="L79" s="3"/>
      <c r="M79" s="3">
        <v>1</v>
      </c>
      <c r="N79" s="3">
        <v>3</v>
      </c>
      <c r="O79" s="3">
        <v>44</v>
      </c>
      <c r="P79" s="3">
        <v>236</v>
      </c>
      <c r="Q79" s="3"/>
      <c r="R79" s="3"/>
      <c r="S79" s="20">
        <f>2+1+1+1+1</f>
        <v>6</v>
      </c>
      <c r="T79" s="8">
        <v>3</v>
      </c>
      <c r="U79" s="8"/>
      <c r="V79" s="8">
        <f>3+4+3+6+3+3</f>
        <v>22</v>
      </c>
      <c r="W79" s="8"/>
      <c r="X79" s="8"/>
      <c r="Y79" s="8"/>
      <c r="Z79" s="8"/>
      <c r="AA79" s="8">
        <f>1+2+1+1</f>
        <v>5</v>
      </c>
      <c r="AB79" s="8">
        <v>3</v>
      </c>
      <c r="AC79" s="8">
        <f>24+4+16+16+33+33</f>
        <v>126</v>
      </c>
      <c r="AD79" s="8">
        <f>118+118+19+19</f>
        <v>274</v>
      </c>
      <c r="AE79" s="8">
        <f>9+9</f>
        <v>18</v>
      </c>
      <c r="AF79" s="21"/>
    </row>
    <row r="80" spans="1:32" x14ac:dyDescent="0.35">
      <c r="A80" s="3">
        <v>75</v>
      </c>
      <c r="B80" s="4">
        <v>3321006</v>
      </c>
      <c r="C80" s="4" t="s">
        <v>102</v>
      </c>
      <c r="D80" s="32" t="s">
        <v>103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>
        <v>84</v>
      </c>
      <c r="P80" s="3">
        <v>35</v>
      </c>
      <c r="Q80" s="3">
        <v>5</v>
      </c>
      <c r="R80" s="3"/>
      <c r="S80" s="20"/>
      <c r="T80" s="8"/>
      <c r="U80" s="8">
        <f>1+1+1</f>
        <v>3</v>
      </c>
      <c r="V80" s="8"/>
      <c r="W80" s="8"/>
      <c r="X80" s="8"/>
      <c r="Y80" s="8"/>
      <c r="Z80" s="8"/>
      <c r="AA80" s="8"/>
      <c r="AB80" s="8"/>
      <c r="AC80" s="8">
        <f>5+39+40</f>
        <v>84</v>
      </c>
      <c r="AD80" s="8">
        <v>35</v>
      </c>
      <c r="AE80" s="8">
        <v>5</v>
      </c>
      <c r="AF80" s="21"/>
    </row>
    <row r="81" spans="1:32" x14ac:dyDescent="0.35">
      <c r="A81" s="5">
        <v>76</v>
      </c>
      <c r="B81" s="4">
        <v>3321068</v>
      </c>
      <c r="C81" s="4" t="s">
        <v>104</v>
      </c>
      <c r="D81" s="32" t="s">
        <v>103</v>
      </c>
      <c r="E81" s="3">
        <v>2</v>
      </c>
      <c r="F81" s="3"/>
      <c r="G81" s="3"/>
      <c r="H81" s="3"/>
      <c r="I81" s="3"/>
      <c r="J81" s="3"/>
      <c r="K81" s="3"/>
      <c r="L81" s="3"/>
      <c r="M81" s="3">
        <v>2</v>
      </c>
      <c r="N81" s="3"/>
      <c r="O81" s="3">
        <v>14</v>
      </c>
      <c r="P81" s="3"/>
      <c r="Q81" s="3"/>
      <c r="R81" s="3"/>
      <c r="S81" s="20">
        <f>1+1</f>
        <v>2</v>
      </c>
      <c r="T81" s="8"/>
      <c r="U81" s="8"/>
      <c r="V81" s="8"/>
      <c r="W81" s="8"/>
      <c r="X81" s="8"/>
      <c r="Y81" s="8"/>
      <c r="Z81" s="8"/>
      <c r="AA81" s="8">
        <v>2</v>
      </c>
      <c r="AB81" s="8"/>
      <c r="AC81" s="8">
        <f>5+6+3+5+2+2</f>
        <v>23</v>
      </c>
      <c r="AD81" s="8"/>
      <c r="AE81" s="8"/>
      <c r="AF81" s="21"/>
    </row>
    <row r="82" spans="1:32" x14ac:dyDescent="0.35">
      <c r="A82" s="3">
        <v>77</v>
      </c>
      <c r="B82" s="4">
        <v>3321066</v>
      </c>
      <c r="C82" s="4" t="s">
        <v>105</v>
      </c>
      <c r="D82" s="32" t="s">
        <v>103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>
        <v>7</v>
      </c>
      <c r="P82" s="3"/>
      <c r="Q82" s="3"/>
      <c r="R82" s="3"/>
      <c r="S82" s="20">
        <f>2+2</f>
        <v>4</v>
      </c>
      <c r="T82" s="8"/>
      <c r="U82" s="8"/>
      <c r="V82" s="8"/>
      <c r="W82" s="8"/>
      <c r="X82" s="8"/>
      <c r="Y82" s="8"/>
      <c r="Z82" s="8"/>
      <c r="AA82" s="8">
        <f>3+3</f>
        <v>6</v>
      </c>
      <c r="AB82" s="8"/>
      <c r="AC82" s="8">
        <f>1+3+3+1+2+2</f>
        <v>12</v>
      </c>
      <c r="AD82" s="8"/>
      <c r="AE82" s="8"/>
      <c r="AF82" s="21"/>
    </row>
    <row r="83" spans="1:32" x14ac:dyDescent="0.35">
      <c r="A83" s="5">
        <v>78</v>
      </c>
      <c r="B83" s="4">
        <v>3321067</v>
      </c>
      <c r="C83" s="4" t="s">
        <v>106</v>
      </c>
      <c r="D83" s="32" t="s">
        <v>103</v>
      </c>
      <c r="E83" s="3">
        <v>1</v>
      </c>
      <c r="F83" s="3"/>
      <c r="G83" s="3"/>
      <c r="H83" s="3"/>
      <c r="I83" s="3"/>
      <c r="J83" s="3"/>
      <c r="K83" s="3"/>
      <c r="L83" s="3"/>
      <c r="M83" s="3">
        <v>14</v>
      </c>
      <c r="N83" s="3"/>
      <c r="O83" s="3">
        <v>9</v>
      </c>
      <c r="P83" s="3"/>
      <c r="Q83" s="3"/>
      <c r="R83" s="3"/>
      <c r="S83" s="20">
        <v>1</v>
      </c>
      <c r="T83" s="8"/>
      <c r="U83" s="8"/>
      <c r="V83" s="8"/>
      <c r="W83" s="8"/>
      <c r="X83" s="8"/>
      <c r="Y83" s="8"/>
      <c r="Z83" s="8"/>
      <c r="AA83" s="8">
        <f>2+9+3+3+3</f>
        <v>20</v>
      </c>
      <c r="AB83" s="8"/>
      <c r="AC83" s="8">
        <f>2+5+2+4+2+2</f>
        <v>17</v>
      </c>
      <c r="AD83" s="8"/>
      <c r="AE83" s="8"/>
      <c r="AF83" s="21"/>
    </row>
    <row r="84" spans="1:32" x14ac:dyDescent="0.35">
      <c r="A84" s="3">
        <v>79</v>
      </c>
      <c r="B84" s="4">
        <v>3321058</v>
      </c>
      <c r="C84" s="4" t="s">
        <v>107</v>
      </c>
      <c r="D84" s="32" t="s">
        <v>103</v>
      </c>
      <c r="E84" s="3"/>
      <c r="F84" s="3"/>
      <c r="G84" s="3"/>
      <c r="H84" s="3"/>
      <c r="I84" s="3"/>
      <c r="J84" s="3"/>
      <c r="K84" s="3"/>
      <c r="L84" s="3"/>
      <c r="M84" s="3">
        <v>1</v>
      </c>
      <c r="N84" s="3"/>
      <c r="O84" s="3">
        <v>3</v>
      </c>
      <c r="P84" s="3"/>
      <c r="Q84" s="3"/>
      <c r="R84" s="3"/>
      <c r="S84" s="20">
        <f>1</f>
        <v>1</v>
      </c>
      <c r="T84" s="8"/>
      <c r="U84" s="8"/>
      <c r="V84" s="8"/>
      <c r="W84" s="8"/>
      <c r="X84" s="8"/>
      <c r="Y84" s="8"/>
      <c r="Z84" s="8"/>
      <c r="AA84" s="8">
        <f>1+6</f>
        <v>7</v>
      </c>
      <c r="AB84" s="8"/>
      <c r="AC84" s="8">
        <f>2+1+2+4+4</f>
        <v>13</v>
      </c>
      <c r="AD84" s="8"/>
      <c r="AE84" s="8"/>
      <c r="AF84" s="21"/>
    </row>
    <row r="85" spans="1:32" x14ac:dyDescent="0.35">
      <c r="A85" s="45" t="s">
        <v>1</v>
      </c>
      <c r="B85" s="45"/>
      <c r="C85" s="45"/>
      <c r="D85" s="46"/>
      <c r="E85" s="16">
        <f>SUM(E6:E84)</f>
        <v>120</v>
      </c>
      <c r="F85" s="16">
        <f t="shared" ref="F85:R85" si="0">SUM(F6:F84)</f>
        <v>18</v>
      </c>
      <c r="G85" s="16">
        <f t="shared" si="0"/>
        <v>141</v>
      </c>
      <c r="H85" s="16">
        <f t="shared" si="0"/>
        <v>39</v>
      </c>
      <c r="I85" s="16">
        <f t="shared" si="0"/>
        <v>2</v>
      </c>
      <c r="J85" s="16">
        <f t="shared" si="0"/>
        <v>0</v>
      </c>
      <c r="K85" s="16">
        <f t="shared" si="0"/>
        <v>122</v>
      </c>
      <c r="L85" s="16">
        <f t="shared" si="0"/>
        <v>17</v>
      </c>
      <c r="M85" s="16">
        <f t="shared" si="0"/>
        <v>319</v>
      </c>
      <c r="N85" s="16">
        <f t="shared" si="0"/>
        <v>8</v>
      </c>
      <c r="O85" s="16">
        <f t="shared" si="0"/>
        <v>2496</v>
      </c>
      <c r="P85" s="16">
        <f t="shared" si="0"/>
        <v>511</v>
      </c>
      <c r="Q85" s="16">
        <f t="shared" si="0"/>
        <v>112</v>
      </c>
      <c r="R85" s="16">
        <f t="shared" si="0"/>
        <v>164</v>
      </c>
      <c r="S85" s="30">
        <f>SUM(S6:S84)</f>
        <v>343</v>
      </c>
      <c r="T85" s="16">
        <f t="shared" ref="T85:AF85" si="1">SUM(T6:T84)</f>
        <v>34</v>
      </c>
      <c r="U85" s="16">
        <f t="shared" si="1"/>
        <v>266</v>
      </c>
      <c r="V85" s="16">
        <f t="shared" si="1"/>
        <v>108</v>
      </c>
      <c r="W85" s="16">
        <f t="shared" si="1"/>
        <v>2</v>
      </c>
      <c r="X85" s="16">
        <f t="shared" si="1"/>
        <v>0</v>
      </c>
      <c r="Y85" s="16">
        <f t="shared" si="1"/>
        <v>344</v>
      </c>
      <c r="Z85" s="16">
        <f t="shared" si="1"/>
        <v>17</v>
      </c>
      <c r="AA85" s="16">
        <f t="shared" si="1"/>
        <v>812</v>
      </c>
      <c r="AB85" s="16">
        <f t="shared" si="1"/>
        <v>22</v>
      </c>
      <c r="AC85" s="16">
        <f t="shared" si="1"/>
        <v>4776</v>
      </c>
      <c r="AD85" s="16">
        <f t="shared" si="1"/>
        <v>1096</v>
      </c>
      <c r="AE85" s="16">
        <f t="shared" si="1"/>
        <v>282</v>
      </c>
      <c r="AF85" s="31">
        <f t="shared" si="1"/>
        <v>187</v>
      </c>
    </row>
    <row r="86" spans="1:32" ht="15" thickBot="1" x14ac:dyDescent="0.4">
      <c r="A86" s="45" t="s">
        <v>2</v>
      </c>
      <c r="B86" s="45"/>
      <c r="C86" s="45"/>
      <c r="D86" s="46"/>
      <c r="E86" s="45">
        <f>SUM(E85:R85)</f>
        <v>4069</v>
      </c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7">
        <f>SUM(S85:AF85)</f>
        <v>8289</v>
      </c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9"/>
    </row>
    <row r="92" spans="1:32" x14ac:dyDescent="0.35">
      <c r="V92" s="1"/>
    </row>
  </sheetData>
  <mergeCells count="24">
    <mergeCell ref="E86:R86"/>
    <mergeCell ref="E3:R3"/>
    <mergeCell ref="A86:D86"/>
    <mergeCell ref="A85:D85"/>
    <mergeCell ref="S86:AF86"/>
    <mergeCell ref="U4:V4"/>
    <mergeCell ref="W4:X4"/>
    <mergeCell ref="Y4:Z4"/>
    <mergeCell ref="AA4:AB4"/>
    <mergeCell ref="AC4:AD4"/>
    <mergeCell ref="S4:T4"/>
    <mergeCell ref="E4:F4"/>
    <mergeCell ref="G4:H4"/>
    <mergeCell ref="I4:J4"/>
    <mergeCell ref="K4:L4"/>
    <mergeCell ref="M4:N4"/>
    <mergeCell ref="O4:P4"/>
    <mergeCell ref="Q4:R4"/>
    <mergeCell ref="S3:AF3"/>
    <mergeCell ref="A3:A5"/>
    <mergeCell ref="B3:B5"/>
    <mergeCell ref="C3:C5"/>
    <mergeCell ref="D3:D5"/>
    <mergeCell ref="AE4:AF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2026-01-21T02:45:32Z</dcterms:modified>
</cp:coreProperties>
</file>