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OPEN DATA 2020\02.KARTU PERSEDIAAN BRG SMT 1 TH 2019\"/>
    </mc:Choice>
  </mc:AlternateContent>
  <bookViews>
    <workbookView xWindow="-15" yWindow="-15" windowWidth="20520" windowHeight="8160" activeTab="1"/>
  </bookViews>
  <sheets>
    <sheet name="SAMPUL" sheetId="2" r:id="rId1"/>
    <sheet name="REAPITULASI BHP 2019" sheetId="1" r:id="rId2"/>
  </sheets>
  <definedNames>
    <definedName name="_xlnm.Print_Area" localSheetId="1">'REAPITULASI BHP 2019'!$A$1:$F$185</definedName>
    <definedName name="_xlnm.Print_Titles" localSheetId="1">'REAPITULASI BHP 2019'!$5:$5</definedName>
  </definedNames>
  <calcPr calcId="152511"/>
</workbook>
</file>

<file path=xl/calcChain.xml><?xml version="1.0" encoding="utf-8"?>
<calcChain xmlns="http://schemas.openxmlformats.org/spreadsheetml/2006/main">
  <c r="E16" i="1" l="1"/>
  <c r="E15" i="1"/>
  <c r="E14" i="1"/>
  <c r="E12" i="1"/>
  <c r="E11" i="1"/>
  <c r="E10" i="1"/>
  <c r="E9" i="1"/>
  <c r="E8" i="1"/>
  <c r="C7" i="1" l="1"/>
  <c r="E7" i="1"/>
  <c r="D7" i="1"/>
  <c r="F66" i="1" l="1"/>
  <c r="F67" i="1"/>
  <c r="E64" i="1" l="1"/>
  <c r="D64" i="1"/>
  <c r="C64" i="1"/>
  <c r="F65" i="1"/>
  <c r="F64" i="1" s="1"/>
  <c r="E167" i="1" l="1"/>
  <c r="D167" i="1"/>
  <c r="D115" i="1" l="1"/>
  <c r="E115" i="1"/>
  <c r="C115" i="1"/>
  <c r="E110" i="1"/>
  <c r="D110" i="1"/>
  <c r="C74" i="1"/>
  <c r="D74" i="1"/>
  <c r="I16" i="1"/>
  <c r="I15" i="1" l="1"/>
  <c r="I12" i="1"/>
  <c r="I10" i="1"/>
  <c r="I8" i="1"/>
  <c r="E161" i="1" l="1"/>
  <c r="D161" i="1"/>
  <c r="C161" i="1"/>
  <c r="D165" i="1" l="1"/>
  <c r="F165" i="1" s="1"/>
  <c r="E164" i="1"/>
  <c r="D164" i="1"/>
  <c r="E163" i="1"/>
  <c r="C163" i="1"/>
  <c r="E162" i="1"/>
  <c r="D162" i="1"/>
  <c r="C162" i="1"/>
  <c r="E160" i="1"/>
  <c r="D160" i="1"/>
  <c r="C160" i="1"/>
  <c r="E159" i="1"/>
  <c r="D159" i="1"/>
  <c r="C159" i="1"/>
  <c r="E158" i="1"/>
  <c r="D158" i="1"/>
  <c r="C158" i="1"/>
  <c r="E157" i="1"/>
  <c r="C157" i="1"/>
  <c r="E156" i="1"/>
  <c r="C156" i="1"/>
  <c r="E155" i="1"/>
  <c r="C155" i="1"/>
  <c r="E154" i="1"/>
  <c r="D154" i="1"/>
  <c r="C154" i="1"/>
  <c r="E153" i="1"/>
  <c r="C153" i="1"/>
  <c r="E151" i="1"/>
  <c r="E152" i="1"/>
  <c r="C152" i="1"/>
  <c r="D151" i="1"/>
  <c r="C151" i="1"/>
  <c r="E150" i="1"/>
  <c r="C150" i="1"/>
  <c r="E149" i="1"/>
  <c r="C149" i="1"/>
  <c r="E148" i="1"/>
  <c r="D148" i="1"/>
  <c r="C148" i="1"/>
  <c r="E147" i="1"/>
  <c r="D147" i="1"/>
  <c r="C147" i="1"/>
  <c r="E146" i="1"/>
  <c r="D146" i="1"/>
  <c r="C146" i="1"/>
  <c r="E145" i="1"/>
  <c r="F164" i="1" l="1"/>
  <c r="F163" i="1"/>
  <c r="D145" i="1"/>
  <c r="C145" i="1"/>
  <c r="E144" i="1"/>
  <c r="D144" i="1"/>
  <c r="C144" i="1"/>
  <c r="E143" i="1"/>
  <c r="D143" i="1"/>
  <c r="C143" i="1"/>
  <c r="D142" i="1" l="1"/>
  <c r="D114" i="1" s="1"/>
  <c r="C142" i="1"/>
  <c r="C114" i="1" s="1"/>
  <c r="E142" i="1"/>
  <c r="E114" i="1" s="1"/>
  <c r="F145" i="1"/>
  <c r="E74" i="1"/>
  <c r="F16" i="1" l="1"/>
  <c r="F15" i="1"/>
  <c r="F12" i="1"/>
  <c r="F10" i="1"/>
  <c r="F13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8" i="1"/>
  <c r="F14" i="1"/>
  <c r="F11" i="1"/>
  <c r="F9" i="1"/>
  <c r="F7" i="1" l="1"/>
  <c r="F169" i="1"/>
  <c r="F168" i="1"/>
  <c r="C167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4" i="1"/>
  <c r="F143" i="1"/>
  <c r="F137" i="1"/>
  <c r="F136" i="1"/>
  <c r="F135" i="1"/>
  <c r="F134" i="1"/>
  <c r="F133" i="1"/>
  <c r="F132" i="1"/>
  <c r="F131" i="1"/>
  <c r="F129" i="1"/>
  <c r="F128" i="1"/>
  <c r="F126" i="1"/>
  <c r="F125" i="1"/>
  <c r="F122" i="1"/>
  <c r="F121" i="1"/>
  <c r="F120" i="1"/>
  <c r="F118" i="1"/>
  <c r="F117" i="1"/>
  <c r="F116" i="1"/>
  <c r="F112" i="1"/>
  <c r="F111" i="1"/>
  <c r="C110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2" i="1"/>
  <c r="F71" i="1"/>
  <c r="F70" i="1"/>
  <c r="E69" i="1"/>
  <c r="E6" i="1" s="1"/>
  <c r="D69" i="1"/>
  <c r="D6" i="1" s="1"/>
  <c r="C69" i="1"/>
  <c r="C6" i="1" l="1"/>
  <c r="F142" i="1"/>
  <c r="F74" i="1"/>
  <c r="F110" i="1"/>
  <c r="F167" i="1"/>
  <c r="F69" i="1"/>
  <c r="F138" i="1"/>
  <c r="F140" i="1"/>
  <c r="F123" i="1"/>
  <c r="F127" i="1"/>
  <c r="F119" i="1"/>
  <c r="F124" i="1"/>
  <c r="F141" i="1"/>
  <c r="F130" i="1"/>
  <c r="F139" i="1"/>
  <c r="F6" i="1" l="1"/>
  <c r="F115" i="1"/>
  <c r="F114" i="1" s="1"/>
</calcChain>
</file>

<file path=xl/sharedStrings.xml><?xml version="1.0" encoding="utf-8"?>
<sst xmlns="http://schemas.openxmlformats.org/spreadsheetml/2006/main" count="194" uniqueCount="188">
  <si>
    <t>REKAPITULASI</t>
  </si>
  <si>
    <t>NO</t>
  </si>
  <si>
    <t>NAMA BARANG</t>
  </si>
  <si>
    <t>PEMBELIAN</t>
  </si>
  <si>
    <t>PENGELUARAN</t>
  </si>
  <si>
    <t>SISA</t>
  </si>
  <si>
    <t>A</t>
  </si>
  <si>
    <t>BAHAN HABIS PAKAI</t>
  </si>
  <si>
    <t>ATK</t>
  </si>
  <si>
    <t>Kertas HVS F4 70 Gram</t>
  </si>
  <si>
    <t>Snelhekter</t>
  </si>
  <si>
    <t>Isi Staples Kecil (Dus)</t>
  </si>
  <si>
    <t>Kilp</t>
  </si>
  <si>
    <t>Amplop Tanggung</t>
  </si>
  <si>
    <t>Bolpoint Pilot</t>
  </si>
  <si>
    <t>Kwitansi Tanggung</t>
  </si>
  <si>
    <t>Alat Listrik dan Elektonik</t>
  </si>
  <si>
    <t>Lampu TL 20 W</t>
  </si>
  <si>
    <t>Isolasi Kecil</t>
  </si>
  <si>
    <t>Kabel</t>
  </si>
  <si>
    <t>Peralatan Kebersihan dan Bahan Pembersih</t>
  </si>
  <si>
    <t>Sapu Lidi</t>
  </si>
  <si>
    <t>Bahan Bakar Minyak</t>
  </si>
  <si>
    <t>Pertalite</t>
  </si>
  <si>
    <t>B</t>
  </si>
  <si>
    <t>BAHAN / MATERIAL</t>
  </si>
  <si>
    <t>Belanja Bahan</t>
  </si>
  <si>
    <t>Alokon  (Droping dari BKKBN Prov.Jateng</t>
  </si>
  <si>
    <t>IUD</t>
  </si>
  <si>
    <t>PIL</t>
  </si>
  <si>
    <t>Kondom</t>
  </si>
  <si>
    <t>Suntik</t>
  </si>
  <si>
    <t xml:space="preserve">Implant / susuk </t>
  </si>
  <si>
    <t>Speet 3 ml</t>
  </si>
  <si>
    <t>Kapas Putih</t>
  </si>
  <si>
    <t>Amoxilin</t>
  </si>
  <si>
    <t>Antiseptik</t>
  </si>
  <si>
    <t>Alkohol</t>
  </si>
  <si>
    <t>Povidon Iodin</t>
  </si>
  <si>
    <t>Lidocain</t>
  </si>
  <si>
    <t>Kassa Gulung</t>
  </si>
  <si>
    <t>Kassa Steril</t>
  </si>
  <si>
    <t>Bisturi</t>
  </si>
  <si>
    <t>Hand Schoon  no.7</t>
  </si>
  <si>
    <t>Plaster Antiseptik</t>
  </si>
  <si>
    <t>Facemask</t>
  </si>
  <si>
    <t>Safety Box</t>
  </si>
  <si>
    <t>Analgetik</t>
  </si>
  <si>
    <t>C</t>
  </si>
  <si>
    <t>Bahan Cetak dan Penggandaan</t>
  </si>
  <si>
    <t>Bahan Cetak</t>
  </si>
  <si>
    <t>Bahan Penggandaan</t>
  </si>
  <si>
    <t>Mengetahui :</t>
  </si>
  <si>
    <t>Pengurus Barang</t>
  </si>
  <si>
    <t>Atasan Langsung Pengurus Barang</t>
  </si>
  <si>
    <t>Dinpermades P2KB Kab.Demak</t>
  </si>
  <si>
    <t>AMIRUDDIEN,S.IP</t>
  </si>
  <si>
    <t>SUNARSO</t>
  </si>
  <si>
    <t>NIP. 19700706 198903 1 004</t>
  </si>
  <si>
    <t>NIP. 19720723 199903 1 006</t>
  </si>
  <si>
    <t>Mengetahui</t>
  </si>
  <si>
    <t>Kabupaten Demak</t>
  </si>
  <si>
    <t xml:space="preserve">BARANG PERSEDIAAN  SEMESTER I  </t>
  </si>
  <si>
    <t>DINPERMADES P2KB KAB.DEMAK TA. 2019</t>
  </si>
  <si>
    <t>Buku Tulis</t>
  </si>
  <si>
    <t>Stopmap Folio</t>
  </si>
  <si>
    <t xml:space="preserve">: Amplop Sedang Merpati </t>
  </si>
  <si>
    <t>: Tinta Stempel</t>
  </si>
  <si>
    <t>: Tinta Refil</t>
  </si>
  <si>
    <t>: Tinta Color</t>
  </si>
  <si>
    <t>: Stopmap Plastik</t>
  </si>
  <si>
    <t>: Stopmap Batik</t>
  </si>
  <si>
    <t>: Stempel Kesen</t>
  </si>
  <si>
    <t>: Staples Kecil</t>
  </si>
  <si>
    <t>: Spidol Putih</t>
  </si>
  <si>
    <t>: Spidol Permanen</t>
  </si>
  <si>
    <t>: Spidol Non Permanen</t>
  </si>
  <si>
    <t>: Refil Tinta Epson</t>
  </si>
  <si>
    <t>: Refil Laser</t>
  </si>
  <si>
    <t>: Refil Tinta Black</t>
  </si>
  <si>
    <t>: Pita Mesin Tik</t>
  </si>
  <si>
    <t>: Pisau Cater Kecil</t>
  </si>
  <si>
    <t>: Pensil</t>
  </si>
  <si>
    <t>: Penghapus Cair / Tipe Ex</t>
  </si>
  <si>
    <t>: Pelubang besar</t>
  </si>
  <si>
    <t>: Lem Cair Tanggung</t>
  </si>
  <si>
    <t>: Lem Cair Besar</t>
  </si>
  <si>
    <t>: Kwitansi Panjang</t>
  </si>
  <si>
    <t>: Kertas Sampul</t>
  </si>
  <si>
    <t>: Kertas HVS 70 gr A4</t>
  </si>
  <si>
    <t>: Kertas Bufalo</t>
  </si>
  <si>
    <t>: Kertas Folio Daito</t>
  </si>
  <si>
    <t>: Jepitan Kertas Kenko</t>
  </si>
  <si>
    <t>: Isolasi Hitam Besar</t>
  </si>
  <si>
    <t>: Isi Staples Besar</t>
  </si>
  <si>
    <t>: Isi Pilot</t>
  </si>
  <si>
    <t>: Isi Pensil Mekanik 2b</t>
  </si>
  <si>
    <t>: Isi Pentel</t>
  </si>
  <si>
    <t>: HVS 60 gram Warna</t>
  </si>
  <si>
    <t>; Gunting sedang</t>
  </si>
  <si>
    <t>; Fledis Kingston 2 GB</t>
  </si>
  <si>
    <t>; Catridge</t>
  </si>
  <si>
    <t>; Buku Tulis Sidu isi 32 lbr</t>
  </si>
  <si>
    <t>; Buku Tulis Sidu isi  100  lbr</t>
  </si>
  <si>
    <t>; Buku Tulis Sidu isi 58  lbr</t>
  </si>
  <si>
    <t>; Buku Folio isi 200 lbr</t>
  </si>
  <si>
    <t>; Buku Ekspedisi</t>
  </si>
  <si>
    <t>; Bolpoint Snowman</t>
  </si>
  <si>
    <t>: Bolpoint Pentel</t>
  </si>
  <si>
    <t>: Bolpoint BPT-P Pilot</t>
  </si>
  <si>
    <t>: Amplop Persegi</t>
  </si>
  <si>
    <t>: Amplop Panjang Kabinet Sidu</t>
  </si>
  <si>
    <t>: Kain Pel Besar</t>
  </si>
  <si>
    <t>: Pewangi Ruangan Glade</t>
  </si>
  <si>
    <t>: Pembersih Vixal</t>
  </si>
  <si>
    <t>: Kreolin</t>
  </si>
  <si>
    <t>: Tongkat Pel</t>
  </si>
  <si>
    <t>: Tisu Kotak Tessa</t>
  </si>
  <si>
    <t>: Engkrak Plastik</t>
  </si>
  <si>
    <t>: Sapu ijuk</t>
  </si>
  <si>
    <t>: Sikat Kamar mandi</t>
  </si>
  <si>
    <t>: Tempat Sampah besar</t>
  </si>
  <si>
    <t>: Pembersih Kaca Cling</t>
  </si>
  <si>
    <t>: Tisu Rol</t>
  </si>
  <si>
    <t>: Hand Shoap Yury</t>
  </si>
  <si>
    <t>: Pewangi Kloset (Swaloow Toilet)</t>
  </si>
  <si>
    <t>: Lap Kaca</t>
  </si>
  <si>
    <t>: Kapur Barus Bagus</t>
  </si>
  <si>
    <t>: Sapu Lowo Lowo</t>
  </si>
  <si>
    <t>: Kain Pel</t>
  </si>
  <si>
    <t>: Pewangi Ruangan</t>
  </si>
  <si>
    <t>: Pembersih Porselain / Closet</t>
  </si>
  <si>
    <t>: Detergent Anti Noda</t>
  </si>
  <si>
    <t>: Sulak</t>
  </si>
  <si>
    <t>: Keset Karpet</t>
  </si>
  <si>
    <t>: Ember Plastik</t>
  </si>
  <si>
    <t>: Keranjang Sampah</t>
  </si>
  <si>
    <t>: Sikat WC</t>
  </si>
  <si>
    <t>: Pembersih Kaca</t>
  </si>
  <si>
    <t>: Tisue Toilet</t>
  </si>
  <si>
    <t>: Hand Shoap</t>
  </si>
  <si>
    <t>: Pewangi WC</t>
  </si>
  <si>
    <t>: Lap Serbet</t>
  </si>
  <si>
    <t>: Sabun Cuci</t>
  </si>
  <si>
    <t>: Isi Bagus</t>
  </si>
  <si>
    <t>Bio Solar</t>
  </si>
  <si>
    <t>: Benang</t>
  </si>
  <si>
    <t>; Maelamin</t>
  </si>
  <si>
    <t>; Teak Oil</t>
  </si>
  <si>
    <t>; Pernis</t>
  </si>
  <si>
    <t>; Cat Politur</t>
  </si>
  <si>
    <t>; Kunci meja kerja</t>
  </si>
  <si>
    <t>; Headle Pintu Meja</t>
  </si>
  <si>
    <t>: Kertas foto</t>
  </si>
  <si>
    <t>: Tinta warna</t>
  </si>
  <si>
    <t>: Album Foto</t>
  </si>
  <si>
    <t>: Sterefom</t>
  </si>
  <si>
    <t>: Kertas Krep</t>
  </si>
  <si>
    <t>: Pines</t>
  </si>
  <si>
    <t>: kertas asturo</t>
  </si>
  <si>
    <t>: kertas manila</t>
  </si>
  <si>
    <t>: Lem</t>
  </si>
  <si>
    <t>: Piala Juara I</t>
  </si>
  <si>
    <t>: Piala Juara 2</t>
  </si>
  <si>
    <t>: Piala Juara 3</t>
  </si>
  <si>
    <t>: Piala Harapan I</t>
  </si>
  <si>
    <t>: Piala Harapan 2</t>
  </si>
  <si>
    <t>: Piala Harapan 3</t>
  </si>
  <si>
    <t>: Piala Harapan 4</t>
  </si>
  <si>
    <t>: Kaos PIK</t>
  </si>
  <si>
    <t>: Aksesoris Kendaraan Roda 2</t>
  </si>
  <si>
    <t>Falope Ring</t>
  </si>
  <si>
    <t>Duk Steril</t>
  </si>
  <si>
    <t>Phantom IUD</t>
  </si>
  <si>
    <t>SALDO 31 DES 2018</t>
  </si>
  <si>
    <t>@</t>
  </si>
  <si>
    <t>HVS</t>
  </si>
  <si>
    <t>Isi Staples kecil</t>
  </si>
  <si>
    <t>Bolpoin pilot</t>
  </si>
  <si>
    <t>Kwitansi</t>
  </si>
  <si>
    <t>Demak, 30 Juni 2019</t>
  </si>
  <si>
    <t>Kepala Dinpermades P2KB</t>
  </si>
  <si>
    <t>Drs.DARYANTO, MM</t>
  </si>
  <si>
    <t>NIP. 19630712 198603 1 019</t>
  </si>
  <si>
    <t>Perangko, Materai dan Benda Pos</t>
  </si>
  <si>
    <t>: Materai 3.000</t>
  </si>
  <si>
    <t>: Materai 6.000</t>
  </si>
  <si>
    <t>: Perangko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</si>
</sst>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</numFmts>
  <fonts count="14" x14ac:knownFonts="1">
    <font>
      <sz val="10"/>
      <name val="Arial"/>
      <charset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9" fillId="0" borderId="0"/>
    <xf numFmtId="0" fontId="1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164" fontId="8" fillId="0" borderId="5" xfId="1" applyFont="1" applyBorder="1"/>
    <xf numFmtId="0" fontId="8" fillId="0" borderId="5" xfId="0" applyFont="1" applyFill="1" applyBorder="1"/>
    <xf numFmtId="164" fontId="8" fillId="0" borderId="5" xfId="1" applyFont="1" applyFill="1" applyBorder="1"/>
    <xf numFmtId="164" fontId="7" fillId="0" borderId="4" xfId="1" applyFont="1" applyBorder="1" applyAlignment="1">
      <alignment vertical="center"/>
    </xf>
    <xf numFmtId="164" fontId="7" fillId="0" borderId="5" xfId="1" applyFont="1" applyBorder="1" applyAlignment="1">
      <alignment horizontal="left" vertical="center"/>
    </xf>
    <xf numFmtId="164" fontId="7" fillId="0" borderId="5" xfId="1" applyFont="1" applyBorder="1" applyAlignment="1">
      <alignment horizontal="center" vertical="center"/>
    </xf>
    <xf numFmtId="0" fontId="4" fillId="0" borderId="0" xfId="0" applyFont="1"/>
    <xf numFmtId="164" fontId="6" fillId="0" borderId="5" xfId="1" applyFont="1" applyBorder="1"/>
    <xf numFmtId="164" fontId="6" fillId="0" borderId="5" xfId="1" applyFont="1" applyBorder="1" applyAlignment="1">
      <alignment vertical="center"/>
    </xf>
    <xf numFmtId="164" fontId="8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164" fontId="6" fillId="0" borderId="5" xfId="1" applyFont="1" applyBorder="1" applyAlignment="1">
      <alignment horizontal="center" vertical="center"/>
    </xf>
    <xf numFmtId="164" fontId="8" fillId="0" borderId="5" xfId="1" applyFont="1" applyBorder="1" applyAlignment="1">
      <alignment vertical="center"/>
    </xf>
    <xf numFmtId="164" fontId="6" fillId="0" borderId="4" xfId="1" applyFont="1" applyBorder="1" applyAlignment="1">
      <alignment vertical="center"/>
    </xf>
    <xf numFmtId="0" fontId="8" fillId="0" borderId="5" xfId="0" quotePrefix="1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vertical="center"/>
    </xf>
    <xf numFmtId="164" fontId="5" fillId="2" borderId="5" xfId="1" applyFont="1" applyFill="1" applyBorder="1" applyAlignment="1">
      <alignment horizontal="center" vertical="center"/>
    </xf>
    <xf numFmtId="164" fontId="7" fillId="0" borderId="5" xfId="1" applyFont="1" applyBorder="1" applyAlignment="1">
      <alignment vertical="center"/>
    </xf>
    <xf numFmtId="0" fontId="8" fillId="0" borderId="6" xfId="0" applyFont="1" applyBorder="1"/>
    <xf numFmtId="164" fontId="8" fillId="0" borderId="4" xfId="1" applyFont="1" applyBorder="1" applyAlignment="1">
      <alignment horizontal="center" vertical="center"/>
    </xf>
    <xf numFmtId="164" fontId="8" fillId="0" borderId="6" xfId="1" applyFont="1" applyBorder="1" applyAlignment="1">
      <alignment vertical="center"/>
    </xf>
    <xf numFmtId="164" fontId="8" fillId="0" borderId="4" xfId="1" applyFont="1" applyBorder="1" applyAlignment="1">
      <alignment vertical="center"/>
    </xf>
    <xf numFmtId="0" fontId="8" fillId="0" borderId="6" xfId="0" quotePrefix="1" applyFont="1" applyBorder="1"/>
    <xf numFmtId="0" fontId="10" fillId="0" borderId="0" xfId="0" applyFont="1" applyAlignment="1">
      <alignment horizontal="center"/>
    </xf>
    <xf numFmtId="0" fontId="7" fillId="0" borderId="6" xfId="0" quotePrefix="1" applyFont="1" applyBorder="1" applyAlignment="1">
      <alignment horizontal="left" wrapText="1"/>
    </xf>
    <xf numFmtId="164" fontId="8" fillId="0" borderId="4" xfId="1" applyFont="1" applyBorder="1"/>
    <xf numFmtId="164" fontId="10" fillId="0" borderId="0" xfId="1" applyFont="1"/>
    <xf numFmtId="0" fontId="10" fillId="0" borderId="0" xfId="0" applyFont="1"/>
    <xf numFmtId="0" fontId="10" fillId="0" borderId="4" xfId="0" applyFont="1" applyBorder="1" applyAlignment="1">
      <alignment horizontal="center"/>
    </xf>
    <xf numFmtId="0" fontId="10" fillId="0" borderId="6" xfId="0" quotePrefix="1" applyFont="1" applyBorder="1"/>
    <xf numFmtId="164" fontId="10" fillId="0" borderId="4" xfId="1" applyFont="1" applyBorder="1" applyAlignment="1">
      <alignment horizontal="center" vertical="center"/>
    </xf>
    <xf numFmtId="164" fontId="10" fillId="0" borderId="6" xfId="1" applyFont="1" applyBorder="1" applyAlignment="1">
      <alignment vertical="center"/>
    </xf>
    <xf numFmtId="0" fontId="10" fillId="0" borderId="4" xfId="0" applyFont="1" applyBorder="1"/>
    <xf numFmtId="164" fontId="10" fillId="0" borderId="4" xfId="1" applyFont="1" applyBorder="1" applyAlignment="1">
      <alignment vertical="center"/>
    </xf>
    <xf numFmtId="0" fontId="5" fillId="2" borderId="5" xfId="0" quotePrefix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quotePrefix="1" applyFont="1" applyBorder="1"/>
    <xf numFmtId="164" fontId="5" fillId="0" borderId="0" xfId="1" applyFont="1" applyBorder="1" applyAlignment="1">
      <alignment horizontal="center" vertical="center"/>
    </xf>
    <xf numFmtId="164" fontId="10" fillId="0" borderId="0" xfId="1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4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4" applyFont="1" applyBorder="1" applyAlignment="1">
      <alignment horizontal="center"/>
    </xf>
    <xf numFmtId="0" fontId="12" fillId="0" borderId="0" xfId="4" applyFont="1" applyBorder="1" applyAlignment="1"/>
    <xf numFmtId="0" fontId="9" fillId="0" borderId="0" xfId="4" applyAlignment="1"/>
    <xf numFmtId="0" fontId="8" fillId="0" borderId="0" xfId="18" applyFont="1"/>
    <xf numFmtId="164" fontId="8" fillId="0" borderId="4" xfId="1" applyFont="1" applyFill="1" applyBorder="1"/>
    <xf numFmtId="164" fontId="10" fillId="0" borderId="0" xfId="0" applyNumberFormat="1" applyFont="1" applyAlignment="1">
      <alignment horizontal="center"/>
    </xf>
    <xf numFmtId="164" fontId="10" fillId="0" borderId="0" xfId="1" applyFont="1" applyAlignment="1">
      <alignment horizontal="center"/>
    </xf>
    <xf numFmtId="0" fontId="2" fillId="0" borderId="0" xfId="0" applyFont="1"/>
    <xf numFmtId="0" fontId="8" fillId="0" borderId="7" xfId="0" applyFont="1" applyBorder="1" applyAlignment="1">
      <alignment horizontal="center"/>
    </xf>
    <xf numFmtId="0" fontId="8" fillId="0" borderId="8" xfId="0" quotePrefix="1" applyFont="1" applyBorder="1"/>
    <xf numFmtId="164" fontId="8" fillId="0" borderId="8" xfId="1" applyFont="1" applyBorder="1" applyAlignment="1">
      <alignment horizontal="center" vertical="center"/>
    </xf>
    <xf numFmtId="164" fontId="8" fillId="0" borderId="8" xfId="1" applyFont="1" applyBorder="1" applyAlignment="1">
      <alignment vertical="center"/>
    </xf>
    <xf numFmtId="0" fontId="2" fillId="0" borderId="0" xfId="0" applyFont="1" applyAlignment="1">
      <alignment horizontal="center"/>
    </xf>
    <xf numFmtId="164" fontId="7" fillId="0" borderId="5" xfId="1" applyFont="1" applyBorder="1" applyAlignment="1">
      <alignment horizontal="left" vertical="center" wrapText="1"/>
    </xf>
    <xf numFmtId="0" fontId="12" fillId="0" borderId="0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4">
    <cellStyle name="Comma [0]" xfId="1" builtinId="6"/>
    <cellStyle name="Comma [0] 2" xfId="5"/>
    <cellStyle name="Comma [0] 2 2" xfId="6"/>
    <cellStyle name="Comma [0] 2 3" xfId="7"/>
    <cellStyle name="Comma [0] 3" xfId="8"/>
    <cellStyle name="Comma [0] 3 2" xfId="9"/>
    <cellStyle name="Comma [0] 3 3" xfId="10"/>
    <cellStyle name="Comma [0] 4" xfId="11"/>
    <cellStyle name="Comma [0] 5" xfId="3"/>
    <cellStyle name="Comma 2" xfId="12"/>
    <cellStyle name="Comma 3" xfId="13"/>
    <cellStyle name="Comma 4" xfId="14"/>
    <cellStyle name="Comma 5" xfId="15"/>
    <cellStyle name="Normal" xfId="0" builtinId="0"/>
    <cellStyle name="Normal 2" xfId="16"/>
    <cellStyle name="Normal 2 2" xfId="4"/>
    <cellStyle name="Normal 2 2 2" xfId="17"/>
    <cellStyle name="Normal 2 2 2 2" xfId="18"/>
    <cellStyle name="Normal 2 2 3" xfId="19"/>
    <cellStyle name="Normal 3" xfId="20"/>
    <cellStyle name="Normal 4" xfId="21"/>
    <cellStyle name="Normal 4 2" xfId="22"/>
    <cellStyle name="Normal 5" xfId="2"/>
    <cellStyle name="Normal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272144</xdr:colOff>
      <xdr:row>2</xdr:row>
      <xdr:rowOff>149676</xdr:rowOff>
    </xdr:from>
    <xdr:ext cx="5592535" cy="1455965"/>
    <xdr:sp macro="" textlink="">
      <xdr:nvSpPr>
        <xdr:cNvPr id="2" name="Rectangle 1"/>
        <xdr:cNvSpPr/>
      </xdr:nvSpPr>
      <xdr:spPr>
        <a:xfrm>
          <a:off x="2109108" y="476247"/>
          <a:ext cx="5592535" cy="145596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2800" b="1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LAPORAN</a:t>
          </a:r>
          <a:r>
            <a:rPr lang="id-ID" sz="28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 </a:t>
          </a:r>
          <a:r>
            <a:rPr lang="id-ID" sz="2800" b="1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BARANG</a:t>
          </a:r>
          <a:r>
            <a:rPr lang="id-ID" sz="28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 PERSEDIAAN</a:t>
          </a:r>
          <a:endParaRPr lang="en-US" sz="2800" b="1" cap="none" spc="0" baseline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r>
            <a:rPr lang="en-US" sz="28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SEMESTER I</a:t>
          </a:r>
          <a:endParaRPr lang="id-ID" sz="2800" b="1" cap="none" spc="0" baseline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r>
            <a:rPr lang="id-ID" sz="28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TAHUN ANGGARAN 201</a:t>
          </a:r>
          <a:r>
            <a:rPr lang="en-US" sz="28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9</a:t>
          </a:r>
          <a:endParaRPr lang="en-US" sz="28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212612</xdr:colOff>
      <xdr:row>27</xdr:row>
      <xdr:rowOff>59524</xdr:rowOff>
    </xdr:from>
    <xdr:ext cx="4491871" cy="1611814"/>
    <xdr:sp macro="" textlink="">
      <xdr:nvSpPr>
        <xdr:cNvPr id="3" name="Rectangle 2"/>
        <xdr:cNvSpPr/>
      </xdr:nvSpPr>
      <xdr:spPr>
        <a:xfrm>
          <a:off x="2661898" y="4468238"/>
          <a:ext cx="4491871" cy="161181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d-ID" sz="2400" b="1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DINAS</a:t>
          </a:r>
          <a:r>
            <a:rPr lang="id-ID" sz="24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PEMBERDAYAAN MASYARAKAT DAN DESA,</a:t>
          </a:r>
        </a:p>
        <a:p>
          <a:pPr algn="ctr"/>
          <a:r>
            <a:rPr lang="id-ID" sz="24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PENGENDALIAN PENDUDUK DAN KELUARGA BERENCANA</a:t>
          </a:r>
        </a:p>
        <a:p>
          <a:pPr algn="ctr"/>
          <a:r>
            <a:rPr lang="id-ID" sz="24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(DINPERMADES P2KB)</a:t>
          </a:r>
        </a:p>
        <a:p>
          <a:pPr algn="ctr"/>
          <a:r>
            <a:rPr lang="id-ID" sz="2400" b="1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KABUPATEN DEMAK</a:t>
          </a:r>
          <a:endParaRPr lang="id-ID" sz="24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571503</xdr:colOff>
      <xdr:row>15</xdr:row>
      <xdr:rowOff>13607</xdr:rowOff>
    </xdr:from>
    <xdr:to>
      <xdr:col>9</xdr:col>
      <xdr:colOff>81644</xdr:colOff>
      <xdr:row>26</xdr:row>
      <xdr:rowOff>5232</xdr:rowOff>
    </xdr:to>
    <xdr:pic>
      <xdr:nvPicPr>
        <xdr:cNvPr id="4" name="Picture 3" descr="Hasil gambar untuk logo kab dem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432" y="2462893"/>
          <a:ext cx="1347105" cy="1787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="70" zoomScaleNormal="70" workbookViewId="0">
      <selection activeCell="E16" sqref="E16"/>
    </sheetView>
  </sheetViews>
  <sheetFormatPr defaultRowHeight="12.75" x14ac:dyDescent="0.2"/>
  <sheetData/>
  <pageMargins left="1.4960629921259843" right="1.1023622047244095" top="0.74803149606299213" bottom="0.74803149606299213" header="0.31496062992125984" footer="0.31496062992125984"/>
  <pageSetup paperSize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5"/>
  <sheetViews>
    <sheetView tabSelected="1" view="pageBreakPreview" topLeftCell="A160" zoomScale="120" zoomScaleSheetLayoutView="120" workbookViewId="0">
      <selection activeCell="B166" sqref="A1:XFD1048576"/>
    </sheetView>
  </sheetViews>
  <sheetFormatPr defaultRowHeight="12.75" x14ac:dyDescent="0.2"/>
  <cols>
    <col min="1" max="1" width="5.28515625" customWidth="1"/>
    <col min="2" max="2" width="23.5703125" customWidth="1"/>
    <col min="3" max="3" width="18.5703125" customWidth="1"/>
    <col min="4" max="4" width="15.140625" customWidth="1"/>
    <col min="5" max="5" width="15.28515625" customWidth="1"/>
    <col min="6" max="6" width="13.42578125" customWidth="1"/>
    <col min="8" max="8" width="3.7109375" customWidth="1"/>
    <col min="9" max="9" width="4.28515625" customWidth="1"/>
  </cols>
  <sheetData>
    <row r="1" spans="1:10" ht="15" x14ac:dyDescent="0.2">
      <c r="A1" s="72" t="s">
        <v>0</v>
      </c>
      <c r="B1" s="72"/>
      <c r="C1" s="72"/>
      <c r="D1" s="72"/>
      <c r="E1" s="72"/>
      <c r="F1" s="72"/>
    </row>
    <row r="2" spans="1:10" ht="15" x14ac:dyDescent="0.2">
      <c r="A2" s="72" t="s">
        <v>62</v>
      </c>
      <c r="B2" s="72"/>
      <c r="C2" s="72"/>
      <c r="D2" s="72"/>
      <c r="E2" s="72"/>
      <c r="F2" s="72"/>
    </row>
    <row r="3" spans="1:10" ht="15" x14ac:dyDescent="0.2">
      <c r="A3" s="72" t="s">
        <v>63</v>
      </c>
      <c r="B3" s="72"/>
      <c r="C3" s="72"/>
      <c r="D3" s="72"/>
      <c r="E3" s="72"/>
      <c r="F3" s="72"/>
    </row>
    <row r="5" spans="1:10" ht="24" customHeight="1" x14ac:dyDescent="0.2">
      <c r="A5" s="1" t="s">
        <v>1</v>
      </c>
      <c r="B5" s="1" t="s">
        <v>2</v>
      </c>
      <c r="C5" s="1" t="s">
        <v>174</v>
      </c>
      <c r="D5" s="1" t="s">
        <v>3</v>
      </c>
      <c r="E5" s="1" t="s">
        <v>4</v>
      </c>
      <c r="F5" s="1" t="s">
        <v>5</v>
      </c>
    </row>
    <row r="6" spans="1:10" ht="15.75" customHeight="1" x14ac:dyDescent="0.2">
      <c r="A6" s="2" t="s">
        <v>6</v>
      </c>
      <c r="B6" s="3" t="s">
        <v>7</v>
      </c>
      <c r="C6" s="4">
        <f>SUM(C7+C64+C69+C74+C110)</f>
        <v>728000</v>
      </c>
      <c r="D6" s="4">
        <f t="shared" ref="D6:F6" si="0">SUM(D7+D64+D69+D74+D110)</f>
        <v>117985700</v>
      </c>
      <c r="E6" s="4">
        <f t="shared" si="0"/>
        <v>118713700</v>
      </c>
      <c r="F6" s="4">
        <f t="shared" si="0"/>
        <v>0</v>
      </c>
    </row>
    <row r="7" spans="1:10" ht="13.5" customHeight="1" x14ac:dyDescent="0.2">
      <c r="A7" s="5"/>
      <c r="B7" s="6" t="s">
        <v>8</v>
      </c>
      <c r="C7" s="7">
        <f>SUM(C8:C62)</f>
        <v>728000</v>
      </c>
      <c r="D7" s="7">
        <f>SUM(D8:D62)</f>
        <v>90312200</v>
      </c>
      <c r="E7" s="7">
        <f t="shared" ref="E7:F7" si="1">SUM(E8:E62)</f>
        <v>91040200</v>
      </c>
      <c r="F7" s="7">
        <f t="shared" si="1"/>
        <v>0</v>
      </c>
    </row>
    <row r="8" spans="1:10" ht="12.95" customHeight="1" x14ac:dyDescent="0.2">
      <c r="A8" s="8">
        <v>1</v>
      </c>
      <c r="B8" s="9" t="s">
        <v>9</v>
      </c>
      <c r="C8" s="10">
        <v>350000</v>
      </c>
      <c r="D8" s="10">
        <v>29881200</v>
      </c>
      <c r="E8" s="10">
        <f>29881200+350000</f>
        <v>30231200</v>
      </c>
      <c r="F8" s="10">
        <f>SUM(C8+D8-E8)</f>
        <v>0</v>
      </c>
      <c r="H8" s="62" t="s">
        <v>175</v>
      </c>
      <c r="I8">
        <f>269200/67300</f>
        <v>4</v>
      </c>
      <c r="J8" s="62" t="s">
        <v>176</v>
      </c>
    </row>
    <row r="9" spans="1:10" ht="12.95" customHeight="1" x14ac:dyDescent="0.2">
      <c r="A9" s="8">
        <v>2</v>
      </c>
      <c r="B9" s="9" t="s">
        <v>65</v>
      </c>
      <c r="C9" s="10">
        <v>15000</v>
      </c>
      <c r="D9" s="10">
        <v>4689600</v>
      </c>
      <c r="E9" s="10">
        <f>4689600+15000</f>
        <v>4704600</v>
      </c>
      <c r="F9" s="10">
        <f t="shared" ref="F9:F63" si="2">SUM(C9+D9-E9)</f>
        <v>0</v>
      </c>
    </row>
    <row r="10" spans="1:10" ht="12.95" customHeight="1" x14ac:dyDescent="0.2">
      <c r="A10" s="8">
        <v>3</v>
      </c>
      <c r="B10" s="9" t="s">
        <v>10</v>
      </c>
      <c r="C10" s="10">
        <v>21000</v>
      </c>
      <c r="D10" s="10">
        <v>1223600</v>
      </c>
      <c r="E10" s="10">
        <f>1223600+21000</f>
        <v>1244600</v>
      </c>
      <c r="F10" s="10">
        <f t="shared" si="2"/>
        <v>0</v>
      </c>
      <c r="H10" s="62" t="s">
        <v>175</v>
      </c>
      <c r="I10">
        <f>66500/13300</f>
        <v>5</v>
      </c>
      <c r="J10" s="62" t="s">
        <v>10</v>
      </c>
    </row>
    <row r="11" spans="1:10" ht="12.95" customHeight="1" x14ac:dyDescent="0.2">
      <c r="A11" s="8">
        <v>4</v>
      </c>
      <c r="B11" s="9" t="s">
        <v>64</v>
      </c>
      <c r="C11" s="10">
        <v>50000</v>
      </c>
      <c r="D11" s="10">
        <v>5515200</v>
      </c>
      <c r="E11" s="10">
        <f>5515200+50000</f>
        <v>5565200</v>
      </c>
      <c r="F11" s="10">
        <f t="shared" si="2"/>
        <v>0</v>
      </c>
    </row>
    <row r="12" spans="1:10" ht="12.95" customHeight="1" x14ac:dyDescent="0.2">
      <c r="A12" s="8">
        <v>5</v>
      </c>
      <c r="B12" s="9" t="s">
        <v>11</v>
      </c>
      <c r="C12" s="10">
        <v>90000</v>
      </c>
      <c r="D12" s="10">
        <v>1090800</v>
      </c>
      <c r="E12" s="10">
        <f>1090800+90000</f>
        <v>1180800</v>
      </c>
      <c r="F12" s="10">
        <f t="shared" si="2"/>
        <v>0</v>
      </c>
      <c r="H12" s="62" t="s">
        <v>175</v>
      </c>
      <c r="I12">
        <f>54000/5400</f>
        <v>10</v>
      </c>
      <c r="J12" s="62" t="s">
        <v>177</v>
      </c>
    </row>
    <row r="13" spans="1:10" ht="12.95" customHeight="1" x14ac:dyDescent="0.2">
      <c r="A13" s="8">
        <v>6</v>
      </c>
      <c r="B13" s="9" t="s">
        <v>12</v>
      </c>
      <c r="C13" s="10">
        <v>36000</v>
      </c>
      <c r="D13" s="10">
        <v>0</v>
      </c>
      <c r="E13" s="10">
        <v>36000</v>
      </c>
      <c r="F13" s="10">
        <f t="shared" si="2"/>
        <v>0</v>
      </c>
    </row>
    <row r="14" spans="1:10" ht="12.95" customHeight="1" x14ac:dyDescent="0.2">
      <c r="A14" s="8">
        <v>7</v>
      </c>
      <c r="B14" s="9" t="s">
        <v>13</v>
      </c>
      <c r="C14" s="10">
        <v>96000</v>
      </c>
      <c r="D14" s="10">
        <v>824600</v>
      </c>
      <c r="E14" s="10">
        <f>824600+96000</f>
        <v>920600</v>
      </c>
      <c r="F14" s="10">
        <f t="shared" si="2"/>
        <v>0</v>
      </c>
    </row>
    <row r="15" spans="1:10" ht="12.95" customHeight="1" x14ac:dyDescent="0.2">
      <c r="A15" s="8">
        <v>8</v>
      </c>
      <c r="B15" s="9" t="s">
        <v>14</v>
      </c>
      <c r="C15" s="10">
        <v>49000</v>
      </c>
      <c r="D15" s="10">
        <v>5112000</v>
      </c>
      <c r="E15" s="10">
        <f>5112000+49000</f>
        <v>5161000</v>
      </c>
      <c r="F15" s="10">
        <f t="shared" si="2"/>
        <v>0</v>
      </c>
      <c r="H15" s="62" t="s">
        <v>175</v>
      </c>
      <c r="I15">
        <f>57600/4800</f>
        <v>12</v>
      </c>
      <c r="J15" s="62" t="s">
        <v>178</v>
      </c>
    </row>
    <row r="16" spans="1:10" ht="12.95" customHeight="1" x14ac:dyDescent="0.2">
      <c r="A16" s="8">
        <v>9</v>
      </c>
      <c r="B16" s="29" t="s">
        <v>15</v>
      </c>
      <c r="C16" s="36">
        <v>21000</v>
      </c>
      <c r="D16" s="10">
        <v>218400</v>
      </c>
      <c r="E16" s="10">
        <f>218400+21000</f>
        <v>239400</v>
      </c>
      <c r="F16" s="10">
        <f t="shared" si="2"/>
        <v>0</v>
      </c>
      <c r="H16" s="62" t="s">
        <v>175</v>
      </c>
      <c r="I16">
        <f>16800/8400</f>
        <v>2</v>
      </c>
      <c r="J16" s="62" t="s">
        <v>179</v>
      </c>
    </row>
    <row r="17" spans="1:6" ht="12.95" customHeight="1" x14ac:dyDescent="0.2">
      <c r="A17" s="8">
        <v>10</v>
      </c>
      <c r="B17" s="58" t="s">
        <v>66</v>
      </c>
      <c r="C17" s="59">
        <v>0</v>
      </c>
      <c r="D17" s="12">
        <v>4144700</v>
      </c>
      <c r="E17" s="12">
        <v>4144700</v>
      </c>
      <c r="F17" s="10">
        <f t="shared" si="2"/>
        <v>0</v>
      </c>
    </row>
    <row r="18" spans="1:6" ht="12.95" customHeight="1" x14ac:dyDescent="0.2">
      <c r="A18" s="8">
        <v>11</v>
      </c>
      <c r="B18" s="58" t="s">
        <v>67</v>
      </c>
      <c r="C18" s="59">
        <v>0</v>
      </c>
      <c r="D18" s="10">
        <v>57500</v>
      </c>
      <c r="E18" s="10">
        <v>57500</v>
      </c>
      <c r="F18" s="10">
        <f t="shared" si="2"/>
        <v>0</v>
      </c>
    </row>
    <row r="19" spans="1:6" ht="12.95" customHeight="1" x14ac:dyDescent="0.2">
      <c r="A19" s="8">
        <v>12</v>
      </c>
      <c r="B19" s="29" t="s">
        <v>68</v>
      </c>
      <c r="C19" s="59">
        <v>0</v>
      </c>
      <c r="D19" s="10">
        <v>4810000</v>
      </c>
      <c r="E19" s="10">
        <v>4810000</v>
      </c>
      <c r="F19" s="10">
        <f t="shared" si="2"/>
        <v>0</v>
      </c>
    </row>
    <row r="20" spans="1:6" ht="12.95" customHeight="1" x14ac:dyDescent="0.2">
      <c r="A20" s="8">
        <v>13</v>
      </c>
      <c r="B20" s="29" t="s">
        <v>69</v>
      </c>
      <c r="C20" s="59">
        <v>0</v>
      </c>
      <c r="D20" s="10">
        <v>600000</v>
      </c>
      <c r="E20" s="10">
        <v>600000</v>
      </c>
      <c r="F20" s="10">
        <f t="shared" si="2"/>
        <v>0</v>
      </c>
    </row>
    <row r="21" spans="1:6" ht="12.95" customHeight="1" x14ac:dyDescent="0.2">
      <c r="A21" s="8">
        <v>14</v>
      </c>
      <c r="B21" s="58" t="s">
        <v>70</v>
      </c>
      <c r="C21" s="59">
        <v>0</v>
      </c>
      <c r="D21" s="10">
        <v>512000</v>
      </c>
      <c r="E21" s="10">
        <v>512000</v>
      </c>
      <c r="F21" s="10">
        <f t="shared" si="2"/>
        <v>0</v>
      </c>
    </row>
    <row r="22" spans="1:6" ht="12.95" customHeight="1" x14ac:dyDescent="0.2">
      <c r="A22" s="8">
        <v>15</v>
      </c>
      <c r="B22" s="29" t="s">
        <v>71</v>
      </c>
      <c r="C22" s="59">
        <v>0</v>
      </c>
      <c r="D22" s="12">
        <v>552000</v>
      </c>
      <c r="E22" s="12">
        <v>552000</v>
      </c>
      <c r="F22" s="10">
        <f t="shared" si="2"/>
        <v>0</v>
      </c>
    </row>
    <row r="23" spans="1:6" ht="12.95" customHeight="1" x14ac:dyDescent="0.2">
      <c r="A23" s="8">
        <v>16</v>
      </c>
      <c r="B23" s="29" t="s">
        <v>72</v>
      </c>
      <c r="C23" s="59">
        <v>0</v>
      </c>
      <c r="D23" s="10">
        <v>264000</v>
      </c>
      <c r="E23" s="10">
        <v>264000</v>
      </c>
      <c r="F23" s="10">
        <f t="shared" si="2"/>
        <v>0</v>
      </c>
    </row>
    <row r="24" spans="1:6" ht="12.95" customHeight="1" x14ac:dyDescent="0.2">
      <c r="A24" s="8">
        <v>17</v>
      </c>
      <c r="B24" s="29" t="s">
        <v>73</v>
      </c>
      <c r="C24" s="59">
        <v>0</v>
      </c>
      <c r="D24" s="10">
        <v>1212300</v>
      </c>
      <c r="E24" s="10">
        <v>1212300</v>
      </c>
      <c r="F24" s="10">
        <f t="shared" si="2"/>
        <v>0</v>
      </c>
    </row>
    <row r="25" spans="1:6" ht="12.95" customHeight="1" x14ac:dyDescent="0.2">
      <c r="A25" s="8">
        <v>18</v>
      </c>
      <c r="B25" s="9" t="s">
        <v>74</v>
      </c>
      <c r="C25" s="59">
        <v>0</v>
      </c>
      <c r="D25" s="10">
        <v>459000</v>
      </c>
      <c r="E25" s="10">
        <v>459000</v>
      </c>
      <c r="F25" s="10">
        <f t="shared" si="2"/>
        <v>0</v>
      </c>
    </row>
    <row r="26" spans="1:6" ht="12.95" customHeight="1" x14ac:dyDescent="0.2">
      <c r="A26" s="8">
        <v>19</v>
      </c>
      <c r="B26" s="9" t="s">
        <v>75</v>
      </c>
      <c r="C26" s="59">
        <v>0</v>
      </c>
      <c r="D26" s="10">
        <v>1959600</v>
      </c>
      <c r="E26" s="10">
        <v>1959600</v>
      </c>
      <c r="F26" s="10">
        <f t="shared" si="2"/>
        <v>0</v>
      </c>
    </row>
    <row r="27" spans="1:6" ht="12.95" customHeight="1" x14ac:dyDescent="0.2">
      <c r="A27" s="8">
        <v>20</v>
      </c>
      <c r="B27" s="9" t="s">
        <v>76</v>
      </c>
      <c r="C27" s="59">
        <v>0</v>
      </c>
      <c r="D27" s="10">
        <v>1315800</v>
      </c>
      <c r="E27" s="10">
        <v>1315800</v>
      </c>
      <c r="F27" s="10">
        <f t="shared" si="2"/>
        <v>0</v>
      </c>
    </row>
    <row r="28" spans="1:6" ht="12.95" customHeight="1" x14ac:dyDescent="0.2">
      <c r="A28" s="8">
        <v>21</v>
      </c>
      <c r="B28" s="9" t="s">
        <v>77</v>
      </c>
      <c r="C28" s="59">
        <v>0</v>
      </c>
      <c r="D28" s="10">
        <v>2300000</v>
      </c>
      <c r="E28" s="10">
        <v>2300000</v>
      </c>
      <c r="F28" s="10">
        <f t="shared" si="2"/>
        <v>0</v>
      </c>
    </row>
    <row r="29" spans="1:6" ht="12.95" customHeight="1" x14ac:dyDescent="0.2">
      <c r="A29" s="8">
        <v>22</v>
      </c>
      <c r="B29" s="9" t="s">
        <v>78</v>
      </c>
      <c r="C29" s="59">
        <v>0</v>
      </c>
      <c r="D29" s="10">
        <v>390000</v>
      </c>
      <c r="E29" s="10">
        <v>390000</v>
      </c>
      <c r="F29" s="10">
        <f t="shared" si="2"/>
        <v>0</v>
      </c>
    </row>
    <row r="30" spans="1:6" ht="12.95" customHeight="1" x14ac:dyDescent="0.2">
      <c r="A30" s="8">
        <v>23</v>
      </c>
      <c r="B30" s="9" t="s">
        <v>79</v>
      </c>
      <c r="C30" s="59">
        <v>0</v>
      </c>
      <c r="D30" s="10">
        <v>8500000</v>
      </c>
      <c r="E30" s="10">
        <v>8500000</v>
      </c>
      <c r="F30" s="10">
        <f t="shared" si="2"/>
        <v>0</v>
      </c>
    </row>
    <row r="31" spans="1:6" ht="12.95" customHeight="1" x14ac:dyDescent="0.2">
      <c r="A31" s="8">
        <v>24</v>
      </c>
      <c r="B31" s="9" t="s">
        <v>80</v>
      </c>
      <c r="C31" s="59">
        <v>0</v>
      </c>
      <c r="D31" s="12">
        <v>183600</v>
      </c>
      <c r="E31" s="12">
        <v>183600</v>
      </c>
      <c r="F31" s="10">
        <f t="shared" si="2"/>
        <v>0</v>
      </c>
    </row>
    <row r="32" spans="1:6" ht="12.95" customHeight="1" x14ac:dyDescent="0.2">
      <c r="A32" s="8">
        <v>25</v>
      </c>
      <c r="B32" s="9" t="s">
        <v>81</v>
      </c>
      <c r="C32" s="59">
        <v>0</v>
      </c>
      <c r="D32" s="10">
        <v>286000</v>
      </c>
      <c r="E32" s="10">
        <v>286000</v>
      </c>
      <c r="F32" s="10">
        <f t="shared" si="2"/>
        <v>0</v>
      </c>
    </row>
    <row r="33" spans="1:6" ht="12.95" customHeight="1" x14ac:dyDescent="0.2">
      <c r="A33" s="8">
        <v>26</v>
      </c>
      <c r="B33" s="9" t="s">
        <v>82</v>
      </c>
      <c r="C33" s="59">
        <v>0</v>
      </c>
      <c r="D33" s="10">
        <v>174000</v>
      </c>
      <c r="E33" s="10">
        <v>174000</v>
      </c>
      <c r="F33" s="10">
        <f t="shared" si="2"/>
        <v>0</v>
      </c>
    </row>
    <row r="34" spans="1:6" ht="12.95" customHeight="1" x14ac:dyDescent="0.2">
      <c r="A34" s="8">
        <v>27</v>
      </c>
      <c r="B34" s="9" t="s">
        <v>83</v>
      </c>
      <c r="C34" s="59">
        <v>0</v>
      </c>
      <c r="D34" s="10">
        <v>355600</v>
      </c>
      <c r="E34" s="10">
        <v>355600</v>
      </c>
      <c r="F34" s="10">
        <f t="shared" si="2"/>
        <v>0</v>
      </c>
    </row>
    <row r="35" spans="1:6" ht="12.95" customHeight="1" x14ac:dyDescent="0.2">
      <c r="A35" s="8">
        <v>28</v>
      </c>
      <c r="B35" s="9" t="s">
        <v>84</v>
      </c>
      <c r="C35" s="59">
        <v>0</v>
      </c>
      <c r="D35" s="10">
        <v>375000</v>
      </c>
      <c r="E35" s="10">
        <v>375000</v>
      </c>
      <c r="F35" s="10">
        <f t="shared" si="2"/>
        <v>0</v>
      </c>
    </row>
    <row r="36" spans="1:6" ht="12.95" customHeight="1" x14ac:dyDescent="0.2">
      <c r="A36" s="8">
        <v>29</v>
      </c>
      <c r="B36" s="11" t="s">
        <v>85</v>
      </c>
      <c r="C36" s="59">
        <v>0</v>
      </c>
      <c r="D36" s="12">
        <v>96000</v>
      </c>
      <c r="E36" s="12">
        <v>96000</v>
      </c>
      <c r="F36" s="10">
        <f t="shared" si="2"/>
        <v>0</v>
      </c>
    </row>
    <row r="37" spans="1:6" ht="12.95" customHeight="1" x14ac:dyDescent="0.2">
      <c r="A37" s="8">
        <v>30</v>
      </c>
      <c r="B37" s="9" t="s">
        <v>86</v>
      </c>
      <c r="C37" s="59">
        <v>0</v>
      </c>
      <c r="D37" s="10">
        <v>72600</v>
      </c>
      <c r="E37" s="10">
        <v>72600</v>
      </c>
      <c r="F37" s="10">
        <f t="shared" si="2"/>
        <v>0</v>
      </c>
    </row>
    <row r="38" spans="1:6" ht="12.95" customHeight="1" x14ac:dyDescent="0.2">
      <c r="A38" s="8">
        <v>31</v>
      </c>
      <c r="B38" s="9" t="s">
        <v>87</v>
      </c>
      <c r="C38" s="59">
        <v>0</v>
      </c>
      <c r="D38" s="10">
        <v>1990800</v>
      </c>
      <c r="E38" s="10">
        <v>1990800</v>
      </c>
      <c r="F38" s="10">
        <f t="shared" si="2"/>
        <v>0</v>
      </c>
    </row>
    <row r="39" spans="1:6" ht="12.95" customHeight="1" x14ac:dyDescent="0.2">
      <c r="A39" s="8">
        <v>32</v>
      </c>
      <c r="B39" s="9" t="s">
        <v>88</v>
      </c>
      <c r="C39" s="59">
        <v>0</v>
      </c>
      <c r="D39" s="10">
        <v>9600</v>
      </c>
      <c r="E39" s="10">
        <v>9600</v>
      </c>
      <c r="F39" s="10">
        <f t="shared" si="2"/>
        <v>0</v>
      </c>
    </row>
    <row r="40" spans="1:6" ht="12.95" customHeight="1" x14ac:dyDescent="0.2">
      <c r="A40" s="8">
        <v>33</v>
      </c>
      <c r="B40" s="9" t="s">
        <v>89</v>
      </c>
      <c r="C40" s="59">
        <v>0</v>
      </c>
      <c r="D40" s="10">
        <v>2401200</v>
      </c>
      <c r="E40" s="10">
        <v>2401200</v>
      </c>
      <c r="F40" s="10">
        <f t="shared" si="2"/>
        <v>0</v>
      </c>
    </row>
    <row r="41" spans="1:6" ht="12.95" customHeight="1" x14ac:dyDescent="0.2">
      <c r="A41" s="8">
        <v>34</v>
      </c>
      <c r="B41" s="9" t="s">
        <v>90</v>
      </c>
      <c r="C41" s="59">
        <v>0</v>
      </c>
      <c r="D41" s="10">
        <v>11200</v>
      </c>
      <c r="E41" s="10">
        <v>11200</v>
      </c>
      <c r="F41" s="10">
        <f t="shared" si="2"/>
        <v>0</v>
      </c>
    </row>
    <row r="42" spans="1:6" ht="12.95" customHeight="1" x14ac:dyDescent="0.2">
      <c r="A42" s="8">
        <v>35</v>
      </c>
      <c r="B42" s="9" t="s">
        <v>91</v>
      </c>
      <c r="C42" s="59">
        <v>0</v>
      </c>
      <c r="D42" s="10">
        <v>361500</v>
      </c>
      <c r="E42" s="10">
        <v>361500</v>
      </c>
      <c r="F42" s="10">
        <f t="shared" si="2"/>
        <v>0</v>
      </c>
    </row>
    <row r="43" spans="1:6" ht="12.95" customHeight="1" x14ac:dyDescent="0.2">
      <c r="A43" s="8">
        <v>36</v>
      </c>
      <c r="B43" s="9" t="s">
        <v>92</v>
      </c>
      <c r="C43" s="59">
        <v>0</v>
      </c>
      <c r="D43" s="10">
        <v>759000</v>
      </c>
      <c r="E43" s="10">
        <v>759000</v>
      </c>
      <c r="F43" s="10">
        <f t="shared" si="2"/>
        <v>0</v>
      </c>
    </row>
    <row r="44" spans="1:6" ht="12.95" customHeight="1" x14ac:dyDescent="0.2">
      <c r="A44" s="8">
        <v>37</v>
      </c>
      <c r="B44" s="9" t="s">
        <v>93</v>
      </c>
      <c r="C44" s="59">
        <v>0</v>
      </c>
      <c r="D44" s="10">
        <v>134400</v>
      </c>
      <c r="E44" s="10">
        <v>134400</v>
      </c>
      <c r="F44" s="10">
        <f t="shared" si="2"/>
        <v>0</v>
      </c>
    </row>
    <row r="45" spans="1:6" ht="12.95" customHeight="1" x14ac:dyDescent="0.2">
      <c r="A45" s="8">
        <v>38</v>
      </c>
      <c r="B45" s="9" t="s">
        <v>94</v>
      </c>
      <c r="C45" s="59">
        <v>0</v>
      </c>
      <c r="D45" s="10">
        <v>1152000</v>
      </c>
      <c r="E45" s="10">
        <v>1152000</v>
      </c>
      <c r="F45" s="10">
        <f t="shared" si="2"/>
        <v>0</v>
      </c>
    </row>
    <row r="46" spans="1:6" ht="12.95" customHeight="1" x14ac:dyDescent="0.2">
      <c r="A46" s="8">
        <v>39</v>
      </c>
      <c r="B46" s="9" t="s">
        <v>95</v>
      </c>
      <c r="C46" s="59">
        <v>0</v>
      </c>
      <c r="D46" s="10">
        <v>49000</v>
      </c>
      <c r="E46" s="10">
        <v>49000</v>
      </c>
      <c r="F46" s="10">
        <f t="shared" si="2"/>
        <v>0</v>
      </c>
    </row>
    <row r="47" spans="1:6" ht="12.95" customHeight="1" x14ac:dyDescent="0.2">
      <c r="A47" s="8">
        <v>40</v>
      </c>
      <c r="B47" s="9" t="s">
        <v>96</v>
      </c>
      <c r="C47" s="59">
        <v>0</v>
      </c>
      <c r="D47" s="10">
        <v>46400</v>
      </c>
      <c r="E47" s="10">
        <v>46400</v>
      </c>
      <c r="F47" s="10">
        <f t="shared" si="2"/>
        <v>0</v>
      </c>
    </row>
    <row r="48" spans="1:6" ht="12.95" customHeight="1" x14ac:dyDescent="0.2">
      <c r="A48" s="8">
        <v>41</v>
      </c>
      <c r="B48" s="9" t="s">
        <v>97</v>
      </c>
      <c r="C48" s="59">
        <v>0</v>
      </c>
      <c r="D48" s="10">
        <v>766000</v>
      </c>
      <c r="E48" s="10">
        <v>766000</v>
      </c>
      <c r="F48" s="10">
        <f t="shared" si="2"/>
        <v>0</v>
      </c>
    </row>
    <row r="49" spans="1:6" ht="12.95" customHeight="1" x14ac:dyDescent="0.2">
      <c r="A49" s="8">
        <v>42</v>
      </c>
      <c r="B49" s="9" t="s">
        <v>98</v>
      </c>
      <c r="C49" s="59">
        <v>0</v>
      </c>
      <c r="D49" s="10">
        <v>128800</v>
      </c>
      <c r="E49" s="10">
        <v>128800</v>
      </c>
      <c r="F49" s="10">
        <f t="shared" si="2"/>
        <v>0</v>
      </c>
    </row>
    <row r="50" spans="1:6" ht="12.95" customHeight="1" x14ac:dyDescent="0.2">
      <c r="A50" s="8">
        <v>43</v>
      </c>
      <c r="B50" s="9" t="s">
        <v>99</v>
      </c>
      <c r="C50" s="59">
        <v>0</v>
      </c>
      <c r="D50" s="10">
        <v>96800</v>
      </c>
      <c r="E50" s="10">
        <v>96800</v>
      </c>
      <c r="F50" s="10">
        <f t="shared" si="2"/>
        <v>0</v>
      </c>
    </row>
    <row r="51" spans="1:6" ht="12.95" customHeight="1" x14ac:dyDescent="0.2">
      <c r="A51" s="8">
        <v>44</v>
      </c>
      <c r="B51" s="9" t="s">
        <v>100</v>
      </c>
      <c r="C51" s="59">
        <v>0</v>
      </c>
      <c r="D51" s="10">
        <v>268800</v>
      </c>
      <c r="E51" s="10">
        <v>268800</v>
      </c>
      <c r="F51" s="10">
        <f t="shared" si="2"/>
        <v>0</v>
      </c>
    </row>
    <row r="52" spans="1:6" ht="12.95" customHeight="1" x14ac:dyDescent="0.2">
      <c r="A52" s="8">
        <v>45</v>
      </c>
      <c r="B52" s="9" t="s">
        <v>101</v>
      </c>
      <c r="C52" s="59">
        <v>0</v>
      </c>
      <c r="D52" s="10">
        <v>1500000</v>
      </c>
      <c r="E52" s="10">
        <v>1500000</v>
      </c>
      <c r="F52" s="10">
        <f t="shared" si="2"/>
        <v>0</v>
      </c>
    </row>
    <row r="53" spans="1:6" ht="12.95" customHeight="1" x14ac:dyDescent="0.2">
      <c r="A53" s="8">
        <v>46</v>
      </c>
      <c r="B53" s="9" t="s">
        <v>102</v>
      </c>
      <c r="C53" s="59">
        <v>0</v>
      </c>
      <c r="D53" s="10">
        <v>28700</v>
      </c>
      <c r="E53" s="10">
        <v>28700</v>
      </c>
      <c r="F53" s="10">
        <f t="shared" si="2"/>
        <v>0</v>
      </c>
    </row>
    <row r="54" spans="1:6" ht="12.95" customHeight="1" x14ac:dyDescent="0.2">
      <c r="A54" s="8">
        <v>47</v>
      </c>
      <c r="B54" s="9" t="s">
        <v>103</v>
      </c>
      <c r="C54" s="59">
        <v>0</v>
      </c>
      <c r="D54" s="10">
        <v>99900</v>
      </c>
      <c r="E54" s="10">
        <v>99900</v>
      </c>
      <c r="F54" s="10">
        <f t="shared" si="2"/>
        <v>0</v>
      </c>
    </row>
    <row r="55" spans="1:6" ht="12.95" customHeight="1" x14ac:dyDescent="0.2">
      <c r="A55" s="8">
        <v>48</v>
      </c>
      <c r="B55" s="9" t="s">
        <v>104</v>
      </c>
      <c r="C55" s="59">
        <v>0</v>
      </c>
      <c r="D55" s="10">
        <v>28800</v>
      </c>
      <c r="E55" s="10">
        <v>28800</v>
      </c>
      <c r="F55" s="10">
        <f t="shared" si="2"/>
        <v>0</v>
      </c>
    </row>
    <row r="56" spans="1:6" ht="12.95" customHeight="1" x14ac:dyDescent="0.2">
      <c r="A56" s="8">
        <v>49</v>
      </c>
      <c r="B56" s="9" t="s">
        <v>105</v>
      </c>
      <c r="C56" s="59">
        <v>0</v>
      </c>
      <c r="D56" s="10">
        <v>580800</v>
      </c>
      <c r="E56" s="10">
        <v>580800</v>
      </c>
      <c r="F56" s="10">
        <f t="shared" si="2"/>
        <v>0</v>
      </c>
    </row>
    <row r="57" spans="1:6" ht="12.95" customHeight="1" x14ac:dyDescent="0.2">
      <c r="A57" s="8">
        <v>50</v>
      </c>
      <c r="B57" s="9" t="s">
        <v>106</v>
      </c>
      <c r="C57" s="59">
        <v>0</v>
      </c>
      <c r="D57" s="10">
        <v>111000</v>
      </c>
      <c r="E57" s="10">
        <v>111000</v>
      </c>
      <c r="F57" s="10">
        <f t="shared" si="2"/>
        <v>0</v>
      </c>
    </row>
    <row r="58" spans="1:6" ht="12.95" customHeight="1" x14ac:dyDescent="0.2">
      <c r="A58" s="8">
        <v>51</v>
      </c>
      <c r="B58" s="9" t="s">
        <v>107</v>
      </c>
      <c r="C58" s="59">
        <v>0</v>
      </c>
      <c r="D58" s="10">
        <v>207900</v>
      </c>
      <c r="E58" s="10">
        <v>207900</v>
      </c>
      <c r="F58" s="10">
        <f t="shared" si="2"/>
        <v>0</v>
      </c>
    </row>
    <row r="59" spans="1:6" ht="12.95" customHeight="1" x14ac:dyDescent="0.2">
      <c r="A59" s="8">
        <v>52</v>
      </c>
      <c r="B59" s="9" t="s">
        <v>108</v>
      </c>
      <c r="C59" s="59">
        <v>0</v>
      </c>
      <c r="D59" s="10">
        <v>819900</v>
      </c>
      <c r="E59" s="10">
        <v>819900</v>
      </c>
      <c r="F59" s="10">
        <f t="shared" si="2"/>
        <v>0</v>
      </c>
    </row>
    <row r="60" spans="1:6" ht="12.95" customHeight="1" x14ac:dyDescent="0.2">
      <c r="A60" s="8">
        <v>53</v>
      </c>
      <c r="B60" s="9" t="s">
        <v>109</v>
      </c>
      <c r="C60" s="59">
        <v>0</v>
      </c>
      <c r="D60" s="10">
        <v>288000</v>
      </c>
      <c r="E60" s="10">
        <v>288000</v>
      </c>
      <c r="F60" s="10">
        <f t="shared" si="2"/>
        <v>0</v>
      </c>
    </row>
    <row r="61" spans="1:6" ht="12.95" customHeight="1" x14ac:dyDescent="0.2">
      <c r="A61" s="8">
        <v>54</v>
      </c>
      <c r="B61" s="9" t="s">
        <v>110</v>
      </c>
      <c r="C61" s="59">
        <v>0</v>
      </c>
      <c r="D61" s="10">
        <v>1006200</v>
      </c>
      <c r="E61" s="10">
        <v>1006200</v>
      </c>
      <c r="F61" s="10">
        <f t="shared" si="2"/>
        <v>0</v>
      </c>
    </row>
    <row r="62" spans="1:6" ht="12.95" customHeight="1" x14ac:dyDescent="0.2">
      <c r="A62" s="8">
        <v>55</v>
      </c>
      <c r="B62" s="9" t="s">
        <v>111</v>
      </c>
      <c r="C62" s="59">
        <v>0</v>
      </c>
      <c r="D62" s="10">
        <v>290400</v>
      </c>
      <c r="E62" s="10">
        <v>290400</v>
      </c>
      <c r="F62" s="10">
        <f t="shared" si="2"/>
        <v>0</v>
      </c>
    </row>
    <row r="63" spans="1:6" ht="12.75" customHeight="1" x14ac:dyDescent="0.2">
      <c r="A63" s="8"/>
      <c r="B63" s="9"/>
      <c r="C63" s="10"/>
      <c r="D63" s="10"/>
      <c r="E63" s="10"/>
      <c r="F63" s="10">
        <f t="shared" si="2"/>
        <v>0</v>
      </c>
    </row>
    <row r="64" spans="1:6" ht="23.25" customHeight="1" x14ac:dyDescent="0.2">
      <c r="A64" s="8"/>
      <c r="B64" s="68" t="s">
        <v>184</v>
      </c>
      <c r="C64" s="15">
        <f>SUM(C65:C67)</f>
        <v>0</v>
      </c>
      <c r="D64" s="15">
        <f>SUM(D65:D67)</f>
        <v>6250000</v>
      </c>
      <c r="E64" s="15">
        <f>SUM(E65:E67)</f>
        <v>6250000</v>
      </c>
      <c r="F64" s="15">
        <f>SUM(F65:F67)</f>
        <v>0</v>
      </c>
    </row>
    <row r="65" spans="1:6" ht="12.95" customHeight="1" x14ac:dyDescent="0.2">
      <c r="A65" s="8">
        <v>1</v>
      </c>
      <c r="B65" s="9" t="s">
        <v>185</v>
      </c>
      <c r="C65" s="17">
        <v>0</v>
      </c>
      <c r="D65" s="10">
        <v>2193000</v>
      </c>
      <c r="E65" s="10">
        <v>2193000</v>
      </c>
      <c r="F65" s="18">
        <f>SUM(D65-E65)</f>
        <v>0</v>
      </c>
    </row>
    <row r="66" spans="1:6" ht="12.95" customHeight="1" x14ac:dyDescent="0.2">
      <c r="A66" s="8">
        <v>2</v>
      </c>
      <c r="B66" s="9" t="s">
        <v>186</v>
      </c>
      <c r="C66" s="17">
        <v>0</v>
      </c>
      <c r="D66" s="10">
        <v>3258000</v>
      </c>
      <c r="E66" s="10">
        <v>3258000</v>
      </c>
      <c r="F66" s="18">
        <f t="shared" ref="F66:F67" si="3">SUM(D66-E66)</f>
        <v>0</v>
      </c>
    </row>
    <row r="67" spans="1:6" ht="12.95" customHeight="1" x14ac:dyDescent="0.2">
      <c r="A67" s="8">
        <v>3</v>
      </c>
      <c r="B67" s="9" t="s">
        <v>187</v>
      </c>
      <c r="C67" s="17">
        <v>0</v>
      </c>
      <c r="D67" s="10">
        <v>799000</v>
      </c>
      <c r="E67" s="10">
        <v>799000</v>
      </c>
      <c r="F67" s="18">
        <f t="shared" si="3"/>
        <v>0</v>
      </c>
    </row>
    <row r="68" spans="1:6" ht="12.95" customHeight="1" x14ac:dyDescent="0.2">
      <c r="A68" s="8"/>
      <c r="B68" s="9"/>
      <c r="C68" s="10"/>
      <c r="D68" s="10"/>
      <c r="E68" s="10"/>
      <c r="F68" s="10"/>
    </row>
    <row r="69" spans="1:6" s="16" customFormat="1" ht="12.75" customHeight="1" x14ac:dyDescent="0.2">
      <c r="A69" s="13"/>
      <c r="B69" s="14" t="s">
        <v>16</v>
      </c>
      <c r="C69" s="15">
        <f>SUM(C70:C72)</f>
        <v>0</v>
      </c>
      <c r="D69" s="15">
        <f>SUM(D70:D72)</f>
        <v>1000000</v>
      </c>
      <c r="E69" s="15">
        <f>SUM(E70:E72)</f>
        <v>1000000</v>
      </c>
      <c r="F69" s="15">
        <f>SUM(F70:F72)</f>
        <v>0</v>
      </c>
    </row>
    <row r="70" spans="1:6" s="16" customFormat="1" ht="12.75" customHeight="1" x14ac:dyDescent="0.2">
      <c r="A70" s="8">
        <v>1</v>
      </c>
      <c r="B70" s="9" t="s">
        <v>17</v>
      </c>
      <c r="C70" s="17">
        <v>0</v>
      </c>
      <c r="D70" s="10">
        <v>840000</v>
      </c>
      <c r="E70" s="10">
        <v>840000</v>
      </c>
      <c r="F70" s="18">
        <f>SUM(D70-E70)</f>
        <v>0</v>
      </c>
    </row>
    <row r="71" spans="1:6" s="16" customFormat="1" ht="12.75" customHeight="1" x14ac:dyDescent="0.2">
      <c r="A71" s="8">
        <v>2</v>
      </c>
      <c r="B71" s="9" t="s">
        <v>18</v>
      </c>
      <c r="C71" s="17">
        <v>0</v>
      </c>
      <c r="D71" s="10">
        <v>10000</v>
      </c>
      <c r="E71" s="10">
        <v>10000</v>
      </c>
      <c r="F71" s="18">
        <f t="shared" ref="F71:F72" si="4">SUM(D71-E71)</f>
        <v>0</v>
      </c>
    </row>
    <row r="72" spans="1:6" s="16" customFormat="1" ht="12.75" customHeight="1" x14ac:dyDescent="0.2">
      <c r="A72" s="8">
        <v>3</v>
      </c>
      <c r="B72" s="9" t="s">
        <v>19</v>
      </c>
      <c r="C72" s="17">
        <v>0</v>
      </c>
      <c r="D72" s="10">
        <v>150000</v>
      </c>
      <c r="E72" s="10">
        <v>150000</v>
      </c>
      <c r="F72" s="18">
        <f t="shared" si="4"/>
        <v>0</v>
      </c>
    </row>
    <row r="73" spans="1:6" s="16" customFormat="1" ht="12.75" customHeight="1" x14ac:dyDescent="0.2">
      <c r="A73" s="23"/>
      <c r="B73" s="19"/>
      <c r="C73" s="22"/>
      <c r="D73" s="22"/>
      <c r="E73" s="22"/>
      <c r="F73" s="22"/>
    </row>
    <row r="74" spans="1:6" s="16" customFormat="1" ht="27.75" customHeight="1" x14ac:dyDescent="0.2">
      <c r="A74" s="13"/>
      <c r="B74" s="20" t="s">
        <v>20</v>
      </c>
      <c r="C74" s="15">
        <f>SUM(C75:C109)</f>
        <v>0</v>
      </c>
      <c r="D74" s="15">
        <f>SUM(D75:D109)</f>
        <v>4023500</v>
      </c>
      <c r="E74" s="15">
        <f t="shared" ref="E74:F74" si="5">SUM(E75:E109)</f>
        <v>4023500</v>
      </c>
      <c r="F74" s="15">
        <f t="shared" si="5"/>
        <v>0</v>
      </c>
    </row>
    <row r="75" spans="1:6" s="16" customFormat="1" ht="12.75" customHeight="1" x14ac:dyDescent="0.2">
      <c r="A75" s="8">
        <v>1</v>
      </c>
      <c r="B75" s="24" t="s">
        <v>21</v>
      </c>
      <c r="C75" s="21">
        <v>0</v>
      </c>
      <c r="D75" s="22">
        <v>37000</v>
      </c>
      <c r="E75" s="22">
        <v>37000</v>
      </c>
      <c r="F75" s="18">
        <f>SUM(D75-E75)</f>
        <v>0</v>
      </c>
    </row>
    <row r="76" spans="1:6" s="16" customFormat="1" ht="12.75" customHeight="1" x14ac:dyDescent="0.2">
      <c r="A76" s="8">
        <v>2</v>
      </c>
      <c r="B76" s="24" t="s">
        <v>112</v>
      </c>
      <c r="C76" s="21">
        <v>0</v>
      </c>
      <c r="D76" s="22">
        <v>41600</v>
      </c>
      <c r="E76" s="22">
        <v>41600</v>
      </c>
      <c r="F76" s="18">
        <f t="shared" ref="F76:F102" si="6">SUM(D76-E76)</f>
        <v>0</v>
      </c>
    </row>
    <row r="77" spans="1:6" s="16" customFormat="1" ht="12.75" customHeight="1" x14ac:dyDescent="0.2">
      <c r="A77" s="8">
        <v>3</v>
      </c>
      <c r="B77" s="24" t="s">
        <v>113</v>
      </c>
      <c r="C77" s="21">
        <v>0</v>
      </c>
      <c r="D77" s="22">
        <v>28400</v>
      </c>
      <c r="E77" s="22">
        <v>28400</v>
      </c>
      <c r="F77" s="18">
        <f t="shared" si="6"/>
        <v>0</v>
      </c>
    </row>
    <row r="78" spans="1:6" s="16" customFormat="1" ht="12.75" customHeight="1" x14ac:dyDescent="0.2">
      <c r="A78" s="8">
        <v>4</v>
      </c>
      <c r="B78" s="24" t="s">
        <v>114</v>
      </c>
      <c r="C78" s="21">
        <v>0</v>
      </c>
      <c r="D78" s="22">
        <v>60900</v>
      </c>
      <c r="E78" s="22">
        <v>60900</v>
      </c>
      <c r="F78" s="18">
        <f t="shared" si="6"/>
        <v>0</v>
      </c>
    </row>
    <row r="79" spans="1:6" s="16" customFormat="1" ht="12.75" customHeight="1" x14ac:dyDescent="0.2">
      <c r="A79" s="8">
        <v>5</v>
      </c>
      <c r="B79" s="24" t="s">
        <v>115</v>
      </c>
      <c r="C79" s="21">
        <v>0</v>
      </c>
      <c r="D79" s="22">
        <v>146200</v>
      </c>
      <c r="E79" s="22">
        <v>146200</v>
      </c>
      <c r="F79" s="18">
        <f t="shared" si="6"/>
        <v>0</v>
      </c>
    </row>
    <row r="80" spans="1:6" s="16" customFormat="1" ht="12.75" customHeight="1" x14ac:dyDescent="0.2">
      <c r="A80" s="8">
        <v>6</v>
      </c>
      <c r="B80" s="24" t="s">
        <v>116</v>
      </c>
      <c r="C80" s="21">
        <v>0</v>
      </c>
      <c r="D80" s="22">
        <v>35000</v>
      </c>
      <c r="E80" s="22">
        <v>35000</v>
      </c>
      <c r="F80" s="18">
        <f t="shared" si="6"/>
        <v>0</v>
      </c>
    </row>
    <row r="81" spans="1:6" s="16" customFormat="1" ht="12.75" customHeight="1" x14ac:dyDescent="0.2">
      <c r="A81" s="8">
        <v>7</v>
      </c>
      <c r="B81" s="24" t="s">
        <v>117</v>
      </c>
      <c r="C81" s="21">
        <v>0</v>
      </c>
      <c r="D81" s="22">
        <v>60000</v>
      </c>
      <c r="E81" s="22">
        <v>60000</v>
      </c>
      <c r="F81" s="18">
        <f t="shared" si="6"/>
        <v>0</v>
      </c>
    </row>
    <row r="82" spans="1:6" s="16" customFormat="1" ht="12.75" customHeight="1" x14ac:dyDescent="0.2">
      <c r="A82" s="8">
        <v>8</v>
      </c>
      <c r="B82" s="24" t="s">
        <v>118</v>
      </c>
      <c r="C82" s="21">
        <v>0</v>
      </c>
      <c r="D82" s="22">
        <v>76500</v>
      </c>
      <c r="E82" s="22">
        <v>76500</v>
      </c>
      <c r="F82" s="18">
        <f t="shared" si="6"/>
        <v>0</v>
      </c>
    </row>
    <row r="83" spans="1:6" s="16" customFormat="1" ht="12.75" customHeight="1" x14ac:dyDescent="0.2">
      <c r="A83" s="8">
        <v>9</v>
      </c>
      <c r="B83" s="24" t="s">
        <v>119</v>
      </c>
      <c r="C83" s="21">
        <v>0</v>
      </c>
      <c r="D83" s="22">
        <v>75000</v>
      </c>
      <c r="E83" s="22">
        <v>75000</v>
      </c>
      <c r="F83" s="18">
        <f t="shared" si="6"/>
        <v>0</v>
      </c>
    </row>
    <row r="84" spans="1:6" s="16" customFormat="1" ht="12.75" customHeight="1" x14ac:dyDescent="0.2">
      <c r="A84" s="8">
        <v>10</v>
      </c>
      <c r="B84" s="24" t="s">
        <v>120</v>
      </c>
      <c r="C84" s="21">
        <v>0</v>
      </c>
      <c r="D84" s="22">
        <v>106000</v>
      </c>
      <c r="E84" s="22">
        <v>106000</v>
      </c>
      <c r="F84" s="18">
        <f t="shared" si="6"/>
        <v>0</v>
      </c>
    </row>
    <row r="85" spans="1:6" s="16" customFormat="1" ht="12.75" customHeight="1" x14ac:dyDescent="0.2">
      <c r="A85" s="8">
        <v>11</v>
      </c>
      <c r="B85" s="24" t="s">
        <v>121</v>
      </c>
      <c r="C85" s="21">
        <v>0</v>
      </c>
      <c r="D85" s="22">
        <v>83100</v>
      </c>
      <c r="E85" s="22">
        <v>83100</v>
      </c>
      <c r="F85" s="18">
        <f t="shared" si="6"/>
        <v>0</v>
      </c>
    </row>
    <row r="86" spans="1:6" s="16" customFormat="1" ht="12.75" customHeight="1" x14ac:dyDescent="0.2">
      <c r="A86" s="8">
        <v>12</v>
      </c>
      <c r="B86" s="24" t="s">
        <v>122</v>
      </c>
      <c r="C86" s="21">
        <v>0</v>
      </c>
      <c r="D86" s="22">
        <v>22000</v>
      </c>
      <c r="E86" s="22">
        <v>22000</v>
      </c>
      <c r="F86" s="18">
        <f t="shared" si="6"/>
        <v>0</v>
      </c>
    </row>
    <row r="87" spans="1:6" s="16" customFormat="1" ht="12.75" customHeight="1" x14ac:dyDescent="0.2">
      <c r="A87" s="8">
        <v>13</v>
      </c>
      <c r="B87" s="24" t="s">
        <v>123</v>
      </c>
      <c r="C87" s="21">
        <v>0</v>
      </c>
      <c r="D87" s="22">
        <v>30000</v>
      </c>
      <c r="E87" s="22">
        <v>30000</v>
      </c>
      <c r="F87" s="18">
        <f t="shared" si="6"/>
        <v>0</v>
      </c>
    </row>
    <row r="88" spans="1:6" s="16" customFormat="1" ht="12.75" customHeight="1" x14ac:dyDescent="0.2">
      <c r="A88" s="8">
        <v>14</v>
      </c>
      <c r="B88" s="24" t="s">
        <v>124</v>
      </c>
      <c r="C88" s="21">
        <v>0</v>
      </c>
      <c r="D88" s="22">
        <v>33700</v>
      </c>
      <c r="E88" s="22">
        <v>33700</v>
      </c>
      <c r="F88" s="18">
        <f t="shared" si="6"/>
        <v>0</v>
      </c>
    </row>
    <row r="89" spans="1:6" s="16" customFormat="1" ht="12.75" customHeight="1" x14ac:dyDescent="0.2">
      <c r="A89" s="8">
        <v>15</v>
      </c>
      <c r="B89" s="24" t="s">
        <v>125</v>
      </c>
      <c r="C89" s="21">
        <v>0</v>
      </c>
      <c r="D89" s="22">
        <v>25800</v>
      </c>
      <c r="E89" s="22">
        <v>25800</v>
      </c>
      <c r="F89" s="18">
        <f t="shared" si="6"/>
        <v>0</v>
      </c>
    </row>
    <row r="90" spans="1:6" s="16" customFormat="1" ht="12.75" customHeight="1" x14ac:dyDescent="0.2">
      <c r="A90" s="8">
        <v>16</v>
      </c>
      <c r="B90" s="24" t="s">
        <v>126</v>
      </c>
      <c r="C90" s="21">
        <v>0</v>
      </c>
      <c r="D90" s="22">
        <v>36800</v>
      </c>
      <c r="E90" s="22">
        <v>36800</v>
      </c>
      <c r="F90" s="18">
        <f t="shared" si="6"/>
        <v>0</v>
      </c>
    </row>
    <row r="91" spans="1:6" s="16" customFormat="1" ht="12.75" customHeight="1" x14ac:dyDescent="0.2">
      <c r="A91" s="8">
        <v>17</v>
      </c>
      <c r="B91" s="24" t="s">
        <v>127</v>
      </c>
      <c r="C91" s="21">
        <v>0</v>
      </c>
      <c r="D91" s="22">
        <v>27000</v>
      </c>
      <c r="E91" s="22">
        <v>27000</v>
      </c>
      <c r="F91" s="18">
        <f t="shared" si="6"/>
        <v>0</v>
      </c>
    </row>
    <row r="92" spans="1:6" s="16" customFormat="1" ht="12.75" customHeight="1" x14ac:dyDescent="0.2">
      <c r="A92" s="8">
        <v>18</v>
      </c>
      <c r="B92" s="24" t="s">
        <v>128</v>
      </c>
      <c r="C92" s="21">
        <v>0</v>
      </c>
      <c r="D92" s="22">
        <v>30000</v>
      </c>
      <c r="E92" s="22">
        <v>30000</v>
      </c>
      <c r="F92" s="18">
        <f t="shared" si="6"/>
        <v>0</v>
      </c>
    </row>
    <row r="93" spans="1:6" s="16" customFormat="1" ht="12.75" customHeight="1" x14ac:dyDescent="0.2">
      <c r="A93" s="8">
        <v>19</v>
      </c>
      <c r="B93" s="24" t="s">
        <v>129</v>
      </c>
      <c r="C93" s="21">
        <v>0</v>
      </c>
      <c r="D93" s="22">
        <v>150000</v>
      </c>
      <c r="E93" s="22">
        <v>150000</v>
      </c>
      <c r="F93" s="18">
        <f t="shared" si="6"/>
        <v>0</v>
      </c>
    </row>
    <row r="94" spans="1:6" s="16" customFormat="1" ht="12.75" customHeight="1" x14ac:dyDescent="0.2">
      <c r="A94" s="8">
        <v>20</v>
      </c>
      <c r="B94" s="24" t="s">
        <v>130</v>
      </c>
      <c r="C94" s="21">
        <v>0</v>
      </c>
      <c r="D94" s="22">
        <v>140000</v>
      </c>
      <c r="E94" s="22">
        <v>140000</v>
      </c>
      <c r="F94" s="18">
        <f t="shared" si="6"/>
        <v>0</v>
      </c>
    </row>
    <row r="95" spans="1:6" s="16" customFormat="1" ht="12.75" customHeight="1" x14ac:dyDescent="0.2">
      <c r="A95" s="8">
        <v>21</v>
      </c>
      <c r="B95" s="24" t="s">
        <v>131</v>
      </c>
      <c r="C95" s="21">
        <v>0</v>
      </c>
      <c r="D95" s="22">
        <v>110000</v>
      </c>
      <c r="E95" s="22">
        <v>110000</v>
      </c>
      <c r="F95" s="18">
        <f t="shared" si="6"/>
        <v>0</v>
      </c>
    </row>
    <row r="96" spans="1:6" s="16" customFormat="1" ht="12.75" customHeight="1" x14ac:dyDescent="0.2">
      <c r="A96" s="8">
        <v>22</v>
      </c>
      <c r="B96" s="24" t="s">
        <v>132</v>
      </c>
      <c r="C96" s="21">
        <v>0</v>
      </c>
      <c r="D96" s="22">
        <v>560000</v>
      </c>
      <c r="E96" s="22">
        <v>560000</v>
      </c>
      <c r="F96" s="18">
        <f t="shared" si="6"/>
        <v>0</v>
      </c>
    </row>
    <row r="97" spans="1:6" s="16" customFormat="1" ht="12.75" customHeight="1" x14ac:dyDescent="0.2">
      <c r="A97" s="8">
        <v>23</v>
      </c>
      <c r="B97" s="24" t="s">
        <v>133</v>
      </c>
      <c r="C97" s="21">
        <v>0</v>
      </c>
      <c r="D97" s="22">
        <v>84000</v>
      </c>
      <c r="E97" s="22">
        <v>84000</v>
      </c>
      <c r="F97" s="18">
        <f t="shared" si="6"/>
        <v>0</v>
      </c>
    </row>
    <row r="98" spans="1:6" s="16" customFormat="1" ht="12.75" customHeight="1" x14ac:dyDescent="0.2">
      <c r="A98" s="8">
        <v>24</v>
      </c>
      <c r="B98" s="24" t="s">
        <v>134</v>
      </c>
      <c r="C98" s="21">
        <v>0</v>
      </c>
      <c r="D98" s="22">
        <v>152000</v>
      </c>
      <c r="E98" s="22">
        <v>152000</v>
      </c>
      <c r="F98" s="18">
        <f t="shared" si="6"/>
        <v>0</v>
      </c>
    </row>
    <row r="99" spans="1:6" s="16" customFormat="1" ht="12.75" customHeight="1" x14ac:dyDescent="0.2">
      <c r="A99" s="8">
        <v>25</v>
      </c>
      <c r="B99" s="24" t="s">
        <v>135</v>
      </c>
      <c r="C99" s="21">
        <v>0</v>
      </c>
      <c r="D99" s="22">
        <v>128000</v>
      </c>
      <c r="E99" s="22">
        <v>128000</v>
      </c>
      <c r="F99" s="18">
        <f t="shared" si="6"/>
        <v>0</v>
      </c>
    </row>
    <row r="100" spans="1:6" s="16" customFormat="1" ht="12.75" customHeight="1" x14ac:dyDescent="0.2">
      <c r="A100" s="8">
        <v>26</v>
      </c>
      <c r="B100" s="24" t="s">
        <v>136</v>
      </c>
      <c r="C100" s="21">
        <v>0</v>
      </c>
      <c r="D100" s="22">
        <v>128000</v>
      </c>
      <c r="E100" s="22">
        <v>128000</v>
      </c>
      <c r="F100" s="18">
        <f t="shared" si="6"/>
        <v>0</v>
      </c>
    </row>
    <row r="101" spans="1:6" s="16" customFormat="1" ht="12.75" customHeight="1" x14ac:dyDescent="0.2">
      <c r="A101" s="8">
        <v>27</v>
      </c>
      <c r="B101" s="24" t="s">
        <v>137</v>
      </c>
      <c r="C101" s="21">
        <v>0</v>
      </c>
      <c r="D101" s="22">
        <v>64000</v>
      </c>
      <c r="E101" s="22">
        <v>64000</v>
      </c>
      <c r="F101" s="18">
        <f t="shared" si="6"/>
        <v>0</v>
      </c>
    </row>
    <row r="102" spans="1:6" s="16" customFormat="1" ht="12.75" customHeight="1" x14ac:dyDescent="0.2">
      <c r="A102" s="8">
        <v>28</v>
      </c>
      <c r="B102" s="24" t="s">
        <v>138</v>
      </c>
      <c r="C102" s="21">
        <v>0</v>
      </c>
      <c r="D102" s="22">
        <v>160000</v>
      </c>
      <c r="E102" s="22">
        <v>160000</v>
      </c>
      <c r="F102" s="18">
        <f t="shared" si="6"/>
        <v>0</v>
      </c>
    </row>
    <row r="103" spans="1:6" s="16" customFormat="1" ht="12.75" customHeight="1" x14ac:dyDescent="0.2">
      <c r="A103" s="8">
        <v>29</v>
      </c>
      <c r="B103" s="24" t="s">
        <v>139</v>
      </c>
      <c r="C103" s="21">
        <v>0</v>
      </c>
      <c r="D103" s="22">
        <v>340000</v>
      </c>
      <c r="E103" s="22">
        <v>340000</v>
      </c>
      <c r="F103" s="18"/>
    </row>
    <row r="104" spans="1:6" s="16" customFormat="1" ht="12.75" customHeight="1" x14ac:dyDescent="0.2">
      <c r="A104" s="8">
        <v>30</v>
      </c>
      <c r="B104" s="24" t="s">
        <v>140</v>
      </c>
      <c r="C104" s="21">
        <v>0</v>
      </c>
      <c r="D104" s="22">
        <v>375000</v>
      </c>
      <c r="E104" s="22">
        <v>375000</v>
      </c>
      <c r="F104" s="18"/>
    </row>
    <row r="105" spans="1:6" s="16" customFormat="1" ht="12.75" customHeight="1" x14ac:dyDescent="0.2">
      <c r="A105" s="8">
        <v>31</v>
      </c>
      <c r="B105" s="24" t="s">
        <v>141</v>
      </c>
      <c r="C105" s="21">
        <v>0</v>
      </c>
      <c r="D105" s="22">
        <v>247500</v>
      </c>
      <c r="E105" s="22">
        <v>247500</v>
      </c>
      <c r="F105" s="18"/>
    </row>
    <row r="106" spans="1:6" s="16" customFormat="1" ht="12.75" customHeight="1" x14ac:dyDescent="0.2">
      <c r="A106" s="8">
        <v>32</v>
      </c>
      <c r="B106" s="24" t="s">
        <v>142</v>
      </c>
      <c r="C106" s="21">
        <v>0</v>
      </c>
      <c r="D106" s="22">
        <v>160000</v>
      </c>
      <c r="E106" s="22">
        <v>160000</v>
      </c>
      <c r="F106" s="18"/>
    </row>
    <row r="107" spans="1:6" s="16" customFormat="1" ht="12.75" customHeight="1" x14ac:dyDescent="0.2">
      <c r="A107" s="8">
        <v>33</v>
      </c>
      <c r="B107" s="24" t="s">
        <v>143</v>
      </c>
      <c r="C107" s="21">
        <v>0</v>
      </c>
      <c r="D107" s="22">
        <v>54000</v>
      </c>
      <c r="E107" s="22">
        <v>54000</v>
      </c>
      <c r="F107" s="18"/>
    </row>
    <row r="108" spans="1:6" s="16" customFormat="1" ht="12.75" customHeight="1" x14ac:dyDescent="0.2">
      <c r="A108" s="8">
        <v>34</v>
      </c>
      <c r="B108" s="24" t="s">
        <v>144</v>
      </c>
      <c r="C108" s="21">
        <v>0</v>
      </c>
      <c r="D108" s="22">
        <v>216000</v>
      </c>
      <c r="E108" s="22">
        <v>216000</v>
      </c>
      <c r="F108" s="18"/>
    </row>
    <row r="109" spans="1:6" s="16" customFormat="1" ht="12.75" customHeight="1" x14ac:dyDescent="0.2">
      <c r="A109" s="8"/>
      <c r="B109" s="24"/>
      <c r="C109" s="21"/>
      <c r="D109" s="22"/>
      <c r="E109" s="22"/>
      <c r="F109" s="18"/>
    </row>
    <row r="110" spans="1:6" s="16" customFormat="1" ht="12.75" customHeight="1" x14ac:dyDescent="0.2">
      <c r="A110" s="23"/>
      <c r="B110" s="14" t="s">
        <v>22</v>
      </c>
      <c r="C110" s="15">
        <f>SUM(C111:C112)</f>
        <v>0</v>
      </c>
      <c r="D110" s="15">
        <f>SUM(D111:D112)</f>
        <v>16400000</v>
      </c>
      <c r="E110" s="15">
        <f>SUM(E111:E112)</f>
        <v>16400000</v>
      </c>
      <c r="F110" s="15">
        <f t="shared" ref="F110" si="7">SUM(F111:F112)</f>
        <v>0</v>
      </c>
    </row>
    <row r="111" spans="1:6" s="16" customFormat="1" ht="12.75" customHeight="1" x14ac:dyDescent="0.2">
      <c r="A111" s="8">
        <v>1</v>
      </c>
      <c r="B111" s="24" t="s">
        <v>23</v>
      </c>
      <c r="C111" s="19">
        <v>0</v>
      </c>
      <c r="D111" s="22">
        <v>15000000</v>
      </c>
      <c r="E111" s="22">
        <v>15000000</v>
      </c>
      <c r="F111" s="18">
        <f t="shared" ref="F111:F112" si="8">SUM(D111-E111)</f>
        <v>0</v>
      </c>
    </row>
    <row r="112" spans="1:6" s="16" customFormat="1" ht="12.75" customHeight="1" x14ac:dyDescent="0.2">
      <c r="A112" s="8">
        <v>2</v>
      </c>
      <c r="B112" s="24" t="s">
        <v>145</v>
      </c>
      <c r="C112" s="19">
        <v>0</v>
      </c>
      <c r="D112" s="22">
        <v>1400000</v>
      </c>
      <c r="E112" s="22">
        <v>1400000</v>
      </c>
      <c r="F112" s="18">
        <f t="shared" si="8"/>
        <v>0</v>
      </c>
    </row>
    <row r="113" spans="1:6" s="16" customFormat="1" ht="12.75" customHeight="1" x14ac:dyDescent="0.2">
      <c r="A113" s="8"/>
      <c r="B113" s="24"/>
      <c r="C113" s="21"/>
      <c r="D113" s="22"/>
      <c r="E113" s="22"/>
      <c r="F113" s="18"/>
    </row>
    <row r="114" spans="1:6" s="16" customFormat="1" ht="16.5" customHeight="1" x14ac:dyDescent="0.2">
      <c r="A114" s="25" t="s">
        <v>24</v>
      </c>
      <c r="B114" s="26" t="s">
        <v>25</v>
      </c>
      <c r="C114" s="27">
        <f>SUM(C115+C142)</f>
        <v>512987215.85000002</v>
      </c>
      <c r="D114" s="27">
        <f>SUM(D115+D142)</f>
        <v>609600540</v>
      </c>
      <c r="E114" s="27">
        <f t="shared" ref="E114:F114" si="9">SUM(E115+E142)</f>
        <v>624749262.45000005</v>
      </c>
      <c r="F114" s="27">
        <f t="shared" si="9"/>
        <v>497838493.39999998</v>
      </c>
    </row>
    <row r="115" spans="1:6" s="16" customFormat="1" ht="12.75" customHeight="1" x14ac:dyDescent="0.2">
      <c r="A115" s="8"/>
      <c r="B115" s="14" t="s">
        <v>26</v>
      </c>
      <c r="C115" s="28">
        <f>SUM(C116:C140)</f>
        <v>0</v>
      </c>
      <c r="D115" s="28">
        <f t="shared" ref="D115:E115" si="10">SUM(D116:D140)</f>
        <v>92455000</v>
      </c>
      <c r="E115" s="28">
        <f t="shared" si="10"/>
        <v>92455000</v>
      </c>
      <c r="F115" s="28">
        <f>SUM(F116:F141)</f>
        <v>0</v>
      </c>
    </row>
    <row r="116" spans="1:6" s="16" customFormat="1" ht="12.75" customHeight="1" x14ac:dyDescent="0.2">
      <c r="A116" s="8">
        <v>1</v>
      </c>
      <c r="B116" s="9" t="s">
        <v>146</v>
      </c>
      <c r="C116" s="19">
        <v>0</v>
      </c>
      <c r="D116" s="22">
        <v>20000</v>
      </c>
      <c r="E116" s="22">
        <v>20000</v>
      </c>
      <c r="F116" s="22">
        <f>SUM(C116+D116-E116)</f>
        <v>0</v>
      </c>
    </row>
    <row r="117" spans="1:6" s="16" customFormat="1" ht="12.75" customHeight="1" x14ac:dyDescent="0.2">
      <c r="A117" s="8">
        <v>2</v>
      </c>
      <c r="B117" s="9" t="s">
        <v>147</v>
      </c>
      <c r="C117" s="19">
        <v>0</v>
      </c>
      <c r="D117" s="22">
        <v>425000</v>
      </c>
      <c r="E117" s="22">
        <v>425000</v>
      </c>
      <c r="F117" s="22">
        <f t="shared" ref="F117:F141" si="11">SUM(C117+D117-E117)</f>
        <v>0</v>
      </c>
    </row>
    <row r="118" spans="1:6" s="16" customFormat="1" ht="12.75" customHeight="1" x14ac:dyDescent="0.2">
      <c r="A118" s="8">
        <v>3</v>
      </c>
      <c r="B118" s="9" t="s">
        <v>148</v>
      </c>
      <c r="C118" s="19">
        <v>0</v>
      </c>
      <c r="D118" s="22">
        <v>180000</v>
      </c>
      <c r="E118" s="22">
        <v>180000</v>
      </c>
      <c r="F118" s="22">
        <f t="shared" si="11"/>
        <v>0</v>
      </c>
    </row>
    <row r="119" spans="1:6" s="16" customFormat="1" ht="12.75" customHeight="1" x14ac:dyDescent="0.2">
      <c r="A119" s="8">
        <v>4</v>
      </c>
      <c r="B119" s="9" t="s">
        <v>149</v>
      </c>
      <c r="C119" s="19">
        <v>0</v>
      </c>
      <c r="D119" s="22">
        <v>234000</v>
      </c>
      <c r="E119" s="22">
        <v>234000</v>
      </c>
      <c r="F119" s="22">
        <f t="shared" si="11"/>
        <v>0</v>
      </c>
    </row>
    <row r="120" spans="1:6" s="16" customFormat="1" ht="12.75" customHeight="1" x14ac:dyDescent="0.2">
      <c r="A120" s="8">
        <v>5</v>
      </c>
      <c r="B120" s="9" t="s">
        <v>150</v>
      </c>
      <c r="C120" s="19">
        <v>0</v>
      </c>
      <c r="D120" s="22">
        <v>552000</v>
      </c>
      <c r="E120" s="22">
        <v>552000</v>
      </c>
      <c r="F120" s="22">
        <f t="shared" si="11"/>
        <v>0</v>
      </c>
    </row>
    <row r="121" spans="1:6" s="16" customFormat="1" ht="12.75" customHeight="1" x14ac:dyDescent="0.2">
      <c r="A121" s="8">
        <v>6</v>
      </c>
      <c r="B121" s="9" t="s">
        <v>151</v>
      </c>
      <c r="C121" s="19">
        <v>0</v>
      </c>
      <c r="D121" s="22">
        <v>180000</v>
      </c>
      <c r="E121" s="22">
        <v>180000</v>
      </c>
      <c r="F121" s="22">
        <f t="shared" si="11"/>
        <v>0</v>
      </c>
    </row>
    <row r="122" spans="1:6" s="16" customFormat="1" ht="12.75" customHeight="1" x14ac:dyDescent="0.2">
      <c r="A122" s="8">
        <v>7</v>
      </c>
      <c r="B122" s="9" t="s">
        <v>152</v>
      </c>
      <c r="C122" s="19">
        <v>0</v>
      </c>
      <c r="D122" s="22">
        <v>79000</v>
      </c>
      <c r="E122" s="22">
        <v>79000</v>
      </c>
      <c r="F122" s="22">
        <f t="shared" si="11"/>
        <v>0</v>
      </c>
    </row>
    <row r="123" spans="1:6" s="16" customFormat="1" ht="12.75" customHeight="1" x14ac:dyDescent="0.2">
      <c r="A123" s="8">
        <v>8</v>
      </c>
      <c r="B123" s="9" t="s">
        <v>153</v>
      </c>
      <c r="C123" s="19">
        <v>0</v>
      </c>
      <c r="D123" s="22">
        <v>400000</v>
      </c>
      <c r="E123" s="22">
        <v>400000</v>
      </c>
      <c r="F123" s="22">
        <f t="shared" si="11"/>
        <v>0</v>
      </c>
    </row>
    <row r="124" spans="1:6" s="16" customFormat="1" ht="12.75" customHeight="1" x14ac:dyDescent="0.2">
      <c r="A124" s="8">
        <v>9</v>
      </c>
      <c r="B124" s="9" t="s">
        <v>154</v>
      </c>
      <c r="C124" s="19">
        <v>0</v>
      </c>
      <c r="D124" s="22">
        <v>160000</v>
      </c>
      <c r="E124" s="22">
        <v>160000</v>
      </c>
      <c r="F124" s="22">
        <f t="shared" si="11"/>
        <v>0</v>
      </c>
    </row>
    <row r="125" spans="1:6" s="16" customFormat="1" ht="12.75" customHeight="1" x14ac:dyDescent="0.2">
      <c r="A125" s="8">
        <v>10</v>
      </c>
      <c r="B125" s="9" t="s">
        <v>155</v>
      </c>
      <c r="C125" s="19">
        <v>0</v>
      </c>
      <c r="D125" s="22">
        <v>40000</v>
      </c>
      <c r="E125" s="22">
        <v>40000</v>
      </c>
      <c r="F125" s="22">
        <f t="shared" si="11"/>
        <v>0</v>
      </c>
    </row>
    <row r="126" spans="1:6" s="16" customFormat="1" ht="12.75" customHeight="1" x14ac:dyDescent="0.2">
      <c r="A126" s="8">
        <v>11</v>
      </c>
      <c r="B126" s="9" t="s">
        <v>156</v>
      </c>
      <c r="C126" s="19">
        <v>0</v>
      </c>
      <c r="D126" s="22">
        <v>300000</v>
      </c>
      <c r="E126" s="22">
        <v>300000</v>
      </c>
      <c r="F126" s="22">
        <f t="shared" si="11"/>
        <v>0</v>
      </c>
    </row>
    <row r="127" spans="1:6" s="16" customFormat="1" ht="12.75" customHeight="1" x14ac:dyDescent="0.2">
      <c r="A127" s="8">
        <v>12</v>
      </c>
      <c r="B127" s="9" t="s">
        <v>157</v>
      </c>
      <c r="C127" s="19">
        <v>0</v>
      </c>
      <c r="D127" s="22">
        <v>100000</v>
      </c>
      <c r="E127" s="22">
        <v>100000</v>
      </c>
      <c r="F127" s="22">
        <f t="shared" si="11"/>
        <v>0</v>
      </c>
    </row>
    <row r="128" spans="1:6" s="16" customFormat="1" ht="12.75" customHeight="1" x14ac:dyDescent="0.2">
      <c r="A128" s="8">
        <v>13</v>
      </c>
      <c r="B128" s="9" t="s">
        <v>158</v>
      </c>
      <c r="C128" s="19">
        <v>0</v>
      </c>
      <c r="D128" s="22">
        <v>30000</v>
      </c>
      <c r="E128" s="22">
        <v>30000</v>
      </c>
      <c r="F128" s="22">
        <f t="shared" si="11"/>
        <v>0</v>
      </c>
    </row>
    <row r="129" spans="1:10" s="16" customFormat="1" ht="12.75" customHeight="1" x14ac:dyDescent="0.2">
      <c r="A129" s="8">
        <v>14</v>
      </c>
      <c r="B129" s="9" t="s">
        <v>159</v>
      </c>
      <c r="C129" s="19">
        <v>0</v>
      </c>
      <c r="D129" s="22">
        <v>72000</v>
      </c>
      <c r="E129" s="22">
        <v>72000</v>
      </c>
      <c r="F129" s="22">
        <f t="shared" si="11"/>
        <v>0</v>
      </c>
    </row>
    <row r="130" spans="1:10" s="16" customFormat="1" ht="12.75" customHeight="1" x14ac:dyDescent="0.2">
      <c r="A130" s="8">
        <v>15</v>
      </c>
      <c r="B130" s="9" t="s">
        <v>160</v>
      </c>
      <c r="C130" s="19">
        <v>0</v>
      </c>
      <c r="D130" s="22">
        <v>60000</v>
      </c>
      <c r="E130" s="22">
        <v>60000</v>
      </c>
      <c r="F130" s="22">
        <f t="shared" si="11"/>
        <v>0</v>
      </c>
    </row>
    <row r="131" spans="1:10" s="16" customFormat="1" ht="12.75" customHeight="1" x14ac:dyDescent="0.2">
      <c r="A131" s="8">
        <v>16</v>
      </c>
      <c r="B131" s="9" t="s">
        <v>161</v>
      </c>
      <c r="C131" s="19">
        <v>0</v>
      </c>
      <c r="D131" s="22">
        <v>18000</v>
      </c>
      <c r="E131" s="22">
        <v>18000</v>
      </c>
      <c r="F131" s="22">
        <f t="shared" si="11"/>
        <v>0</v>
      </c>
    </row>
    <row r="132" spans="1:10" s="16" customFormat="1" ht="12.75" customHeight="1" x14ac:dyDescent="0.2">
      <c r="A132" s="8">
        <v>17</v>
      </c>
      <c r="B132" s="9" t="s">
        <v>162</v>
      </c>
      <c r="C132" s="19">
        <v>0</v>
      </c>
      <c r="D132" s="22">
        <v>600000</v>
      </c>
      <c r="E132" s="22">
        <v>600000</v>
      </c>
      <c r="F132" s="22">
        <f t="shared" si="11"/>
        <v>0</v>
      </c>
    </row>
    <row r="133" spans="1:10" s="16" customFormat="1" ht="12.75" customHeight="1" x14ac:dyDescent="0.2">
      <c r="A133" s="8">
        <v>18</v>
      </c>
      <c r="B133" s="9" t="s">
        <v>163</v>
      </c>
      <c r="C133" s="19">
        <v>0</v>
      </c>
      <c r="D133" s="22">
        <v>550000</v>
      </c>
      <c r="E133" s="22">
        <v>550000</v>
      </c>
      <c r="F133" s="22">
        <f t="shared" si="11"/>
        <v>0</v>
      </c>
    </row>
    <row r="134" spans="1:10" s="16" customFormat="1" ht="12.75" customHeight="1" x14ac:dyDescent="0.2">
      <c r="A134" s="8">
        <v>19</v>
      </c>
      <c r="B134" s="9" t="s">
        <v>164</v>
      </c>
      <c r="C134" s="19">
        <v>0</v>
      </c>
      <c r="D134" s="22">
        <v>250000</v>
      </c>
      <c r="E134" s="22">
        <v>250000</v>
      </c>
      <c r="F134" s="22">
        <f t="shared" si="11"/>
        <v>0</v>
      </c>
    </row>
    <row r="135" spans="1:10" s="16" customFormat="1" ht="12.75" customHeight="1" x14ac:dyDescent="0.2">
      <c r="A135" s="8">
        <v>20</v>
      </c>
      <c r="B135" s="9" t="s">
        <v>165</v>
      </c>
      <c r="C135" s="19">
        <v>0</v>
      </c>
      <c r="D135" s="22">
        <v>225000</v>
      </c>
      <c r="E135" s="22">
        <v>225000</v>
      </c>
      <c r="F135" s="22">
        <f t="shared" si="11"/>
        <v>0</v>
      </c>
    </row>
    <row r="136" spans="1:10" s="16" customFormat="1" ht="12.75" customHeight="1" x14ac:dyDescent="0.2">
      <c r="A136" s="8">
        <v>21</v>
      </c>
      <c r="B136" s="9" t="s">
        <v>166</v>
      </c>
      <c r="C136" s="19">
        <v>0</v>
      </c>
      <c r="D136" s="22">
        <v>225000</v>
      </c>
      <c r="E136" s="22">
        <v>225000</v>
      </c>
      <c r="F136" s="22">
        <f t="shared" si="11"/>
        <v>0</v>
      </c>
    </row>
    <row r="137" spans="1:10" s="16" customFormat="1" ht="12.75" customHeight="1" x14ac:dyDescent="0.2">
      <c r="A137" s="8">
        <v>22</v>
      </c>
      <c r="B137" s="9" t="s">
        <v>167</v>
      </c>
      <c r="C137" s="19">
        <v>0</v>
      </c>
      <c r="D137" s="22">
        <v>175000</v>
      </c>
      <c r="E137" s="22">
        <v>175000</v>
      </c>
      <c r="F137" s="22">
        <f t="shared" si="11"/>
        <v>0</v>
      </c>
    </row>
    <row r="138" spans="1:10" s="16" customFormat="1" ht="12.75" customHeight="1" x14ac:dyDescent="0.2">
      <c r="A138" s="8">
        <v>23</v>
      </c>
      <c r="B138" s="9" t="s">
        <v>168</v>
      </c>
      <c r="C138" s="19">
        <v>0</v>
      </c>
      <c r="D138" s="22">
        <v>175000</v>
      </c>
      <c r="E138" s="22">
        <v>175000</v>
      </c>
      <c r="F138" s="22">
        <f t="shared" si="11"/>
        <v>0</v>
      </c>
    </row>
    <row r="139" spans="1:10" s="16" customFormat="1" ht="12.75" customHeight="1" x14ac:dyDescent="0.2">
      <c r="A139" s="8">
        <v>24</v>
      </c>
      <c r="B139" s="9" t="s">
        <v>169</v>
      </c>
      <c r="C139" s="19">
        <v>0</v>
      </c>
      <c r="D139" s="22">
        <v>9800000</v>
      </c>
      <c r="E139" s="22">
        <v>9800000</v>
      </c>
      <c r="F139" s="22">
        <f t="shared" si="11"/>
        <v>0</v>
      </c>
    </row>
    <row r="140" spans="1:10" s="16" customFormat="1" ht="12.75" customHeight="1" x14ac:dyDescent="0.2">
      <c r="A140" s="8">
        <v>25</v>
      </c>
      <c r="B140" s="9" t="s">
        <v>170</v>
      </c>
      <c r="C140" s="19">
        <v>0</v>
      </c>
      <c r="D140" s="22">
        <v>77605000</v>
      </c>
      <c r="E140" s="22">
        <v>77605000</v>
      </c>
      <c r="F140" s="22">
        <f t="shared" si="11"/>
        <v>0</v>
      </c>
    </row>
    <row r="141" spans="1:10" s="16" customFormat="1" ht="12.75" customHeight="1" x14ac:dyDescent="0.2">
      <c r="A141" s="8"/>
      <c r="B141" s="9"/>
      <c r="C141" s="19"/>
      <c r="D141" s="22"/>
      <c r="E141" s="22"/>
      <c r="F141" s="22">
        <f t="shared" si="11"/>
        <v>0</v>
      </c>
    </row>
    <row r="142" spans="1:10" s="16" customFormat="1" ht="24.75" customHeight="1" x14ac:dyDescent="0.2">
      <c r="A142" s="8"/>
      <c r="B142" s="35" t="s">
        <v>27</v>
      </c>
      <c r="C142" s="13">
        <f>SUM(C143:C165)</f>
        <v>512987215.85000002</v>
      </c>
      <c r="D142" s="13">
        <f t="shared" ref="D142:F142" si="12">SUM(D143:D165)</f>
        <v>517145540</v>
      </c>
      <c r="E142" s="13">
        <f t="shared" si="12"/>
        <v>532294262.44999999</v>
      </c>
      <c r="F142" s="13">
        <f t="shared" si="12"/>
        <v>497838493.39999998</v>
      </c>
      <c r="H142" s="61"/>
    </row>
    <row r="143" spans="1:10" s="16" customFormat="1" ht="12.75" customHeight="1" x14ac:dyDescent="0.2">
      <c r="A143" s="8">
        <v>1</v>
      </c>
      <c r="B143" s="33" t="s">
        <v>28</v>
      </c>
      <c r="C143" s="30">
        <f>181*12500</f>
        <v>2262500</v>
      </c>
      <c r="D143" s="31">
        <f>450*12500</f>
        <v>5625000</v>
      </c>
      <c r="E143" s="36">
        <f>321*12500</f>
        <v>4012500</v>
      </c>
      <c r="F143" s="32">
        <f>SUM(C143+D143-E143)</f>
        <v>3875000</v>
      </c>
      <c r="H143" s="34"/>
      <c r="I143" s="37"/>
      <c r="J143" s="38"/>
    </row>
    <row r="144" spans="1:10" s="16" customFormat="1" ht="12.75" customHeight="1" x14ac:dyDescent="0.2">
      <c r="A144" s="8">
        <v>2</v>
      </c>
      <c r="B144" s="33" t="s">
        <v>29</v>
      </c>
      <c r="C144" s="30">
        <f>8200*1860</f>
        <v>15252000</v>
      </c>
      <c r="D144" s="31">
        <f>10000*1860</f>
        <v>18600000</v>
      </c>
      <c r="E144" s="36">
        <f>8100*1860</f>
        <v>15066000</v>
      </c>
      <c r="F144" s="32">
        <f t="shared" ref="F144:F165" si="13">SUM(C144+D144-E144)</f>
        <v>18786000</v>
      </c>
      <c r="H144" s="34"/>
      <c r="I144" s="37"/>
      <c r="J144" s="38"/>
    </row>
    <row r="145" spans="1:10" s="16" customFormat="1" ht="12.75" customHeight="1" x14ac:dyDescent="0.2">
      <c r="A145" s="8">
        <v>3</v>
      </c>
      <c r="B145" s="33" t="s">
        <v>30</v>
      </c>
      <c r="C145" s="30">
        <f>225*96000</f>
        <v>21600000</v>
      </c>
      <c r="D145" s="31">
        <f>85*96000</f>
        <v>8160000</v>
      </c>
      <c r="E145" s="36">
        <f>170*96000</f>
        <v>16320000</v>
      </c>
      <c r="F145" s="32">
        <f t="shared" si="13"/>
        <v>13440000</v>
      </c>
      <c r="H145" s="60"/>
      <c r="I145" s="37"/>
      <c r="J145" s="38"/>
    </row>
    <row r="146" spans="1:10" s="16" customFormat="1" ht="12.75" customHeight="1" x14ac:dyDescent="0.2">
      <c r="A146" s="8">
        <v>4</v>
      </c>
      <c r="B146" s="33" t="s">
        <v>31</v>
      </c>
      <c r="C146" s="30">
        <f>23910*6080</f>
        <v>145372800</v>
      </c>
      <c r="D146" s="31">
        <f>38000*6080</f>
        <v>231040000</v>
      </c>
      <c r="E146" s="36">
        <f>36900*6080</f>
        <v>224352000</v>
      </c>
      <c r="F146" s="32">
        <f t="shared" si="13"/>
        <v>152060800</v>
      </c>
      <c r="H146" s="34"/>
      <c r="I146" s="37"/>
      <c r="J146" s="38"/>
    </row>
    <row r="147" spans="1:10" s="16" customFormat="1" ht="12.75" customHeight="1" x14ac:dyDescent="0.2">
      <c r="A147" s="8">
        <v>5</v>
      </c>
      <c r="B147" s="33" t="s">
        <v>32</v>
      </c>
      <c r="C147" s="30">
        <f>1352*175181</f>
        <v>236844712</v>
      </c>
      <c r="D147" s="31">
        <f>1000*175181</f>
        <v>175181000</v>
      </c>
      <c r="E147" s="36">
        <f>992*175181</f>
        <v>173779552</v>
      </c>
      <c r="F147" s="32">
        <f t="shared" si="13"/>
        <v>238246160</v>
      </c>
      <c r="H147" s="34"/>
      <c r="I147" s="37"/>
      <c r="J147" s="38"/>
    </row>
    <row r="148" spans="1:10" s="16" customFormat="1" ht="12.75" customHeight="1" x14ac:dyDescent="0.2">
      <c r="A148" s="8">
        <v>6</v>
      </c>
      <c r="B148" s="33" t="s">
        <v>33</v>
      </c>
      <c r="C148" s="30">
        <f>30430*1210</f>
        <v>36820300</v>
      </c>
      <c r="D148" s="31">
        <f>39000*1210</f>
        <v>47190000</v>
      </c>
      <c r="E148" s="36">
        <f>37892*1210</f>
        <v>45849320</v>
      </c>
      <c r="F148" s="32">
        <f t="shared" si="13"/>
        <v>38160980</v>
      </c>
      <c r="H148" s="34"/>
      <c r="I148" s="37"/>
      <c r="J148" s="38"/>
    </row>
    <row r="149" spans="1:10" s="16" customFormat="1" ht="12.75" customHeight="1" x14ac:dyDescent="0.2">
      <c r="A149" s="8">
        <v>7</v>
      </c>
      <c r="B149" s="33" t="s">
        <v>34</v>
      </c>
      <c r="C149" s="30">
        <f>13*4901</f>
        <v>63713</v>
      </c>
      <c r="D149" s="31">
        <v>0</v>
      </c>
      <c r="E149" s="36">
        <f>13*4901</f>
        <v>63713</v>
      </c>
      <c r="F149" s="32">
        <f t="shared" si="13"/>
        <v>0</v>
      </c>
      <c r="H149" s="34"/>
      <c r="I149" s="37"/>
      <c r="J149" s="38"/>
    </row>
    <row r="150" spans="1:10" s="16" customFormat="1" ht="12.75" customHeight="1" x14ac:dyDescent="0.2">
      <c r="A150" s="8">
        <v>8</v>
      </c>
      <c r="B150" s="33" t="s">
        <v>35</v>
      </c>
      <c r="C150" s="30">
        <f>103*23200</f>
        <v>2389600</v>
      </c>
      <c r="D150" s="31">
        <v>0</v>
      </c>
      <c r="E150" s="36">
        <f>60*23200</f>
        <v>1392000</v>
      </c>
      <c r="F150" s="32">
        <f t="shared" si="13"/>
        <v>997600</v>
      </c>
      <c r="H150" s="34"/>
      <c r="I150" s="37"/>
      <c r="J150" s="38"/>
    </row>
    <row r="151" spans="1:10" s="16" customFormat="1" ht="12.75" customHeight="1" x14ac:dyDescent="0.2">
      <c r="A151" s="8">
        <v>9</v>
      </c>
      <c r="B151" s="33" t="s">
        <v>36</v>
      </c>
      <c r="C151" s="30">
        <f>155*2900</f>
        <v>449500</v>
      </c>
      <c r="D151" s="31">
        <f>100*2900</f>
        <v>290000</v>
      </c>
      <c r="E151" s="36">
        <f>103*2900</f>
        <v>298700</v>
      </c>
      <c r="F151" s="32">
        <f t="shared" si="13"/>
        <v>440800</v>
      </c>
      <c r="H151" s="34"/>
      <c r="I151" s="37"/>
      <c r="J151" s="38"/>
    </row>
    <row r="152" spans="1:10" s="16" customFormat="1" ht="12.75" customHeight="1" x14ac:dyDescent="0.2">
      <c r="A152" s="8">
        <v>10</v>
      </c>
      <c r="B152" s="33" t="s">
        <v>37</v>
      </c>
      <c r="C152" s="30">
        <f>14*21500</f>
        <v>301000</v>
      </c>
      <c r="D152" s="31">
        <v>0</v>
      </c>
      <c r="E152" s="36">
        <f>14*21500</f>
        <v>301000</v>
      </c>
      <c r="F152" s="32">
        <f t="shared" si="13"/>
        <v>0</v>
      </c>
      <c r="H152" s="34"/>
      <c r="I152" s="37"/>
      <c r="J152" s="38"/>
    </row>
    <row r="153" spans="1:10" s="16" customFormat="1" ht="12.75" customHeight="1" x14ac:dyDescent="0.2">
      <c r="A153" s="8">
        <v>11</v>
      </c>
      <c r="B153" s="33" t="s">
        <v>38</v>
      </c>
      <c r="C153" s="30">
        <f>14*18000</f>
        <v>252000</v>
      </c>
      <c r="D153" s="31">
        <v>0</v>
      </c>
      <c r="E153" s="36">
        <f>14*18000</f>
        <v>252000</v>
      </c>
      <c r="F153" s="32">
        <f t="shared" si="13"/>
        <v>0</v>
      </c>
      <c r="H153" s="34"/>
      <c r="I153" s="37"/>
      <c r="J153" s="38"/>
    </row>
    <row r="154" spans="1:10" s="16" customFormat="1" ht="12.75" customHeight="1" x14ac:dyDescent="0.2">
      <c r="A154" s="8">
        <v>12</v>
      </c>
      <c r="B154" s="33" t="s">
        <v>39</v>
      </c>
      <c r="C154" s="30">
        <f>2474*1144</f>
        <v>2830256</v>
      </c>
      <c r="D154" s="31">
        <f>1000*1144</f>
        <v>1144000</v>
      </c>
      <c r="E154" s="36">
        <f>1042*1144</f>
        <v>1192048</v>
      </c>
      <c r="F154" s="32">
        <f t="shared" si="13"/>
        <v>2782208</v>
      </c>
      <c r="H154" s="34"/>
      <c r="I154" s="37"/>
      <c r="J154" s="38"/>
    </row>
    <row r="155" spans="1:10" s="16" customFormat="1" ht="12.75" customHeight="1" x14ac:dyDescent="0.2">
      <c r="A155" s="8">
        <v>13</v>
      </c>
      <c r="B155" s="33" t="s">
        <v>40</v>
      </c>
      <c r="C155" s="30">
        <f>30*4800</f>
        <v>144000</v>
      </c>
      <c r="D155" s="31">
        <v>0</v>
      </c>
      <c r="E155" s="36">
        <f>30*4800</f>
        <v>144000</v>
      </c>
      <c r="F155" s="32">
        <f t="shared" si="13"/>
        <v>0</v>
      </c>
      <c r="H155" s="34"/>
      <c r="I155" s="37"/>
      <c r="J155" s="38"/>
    </row>
    <row r="156" spans="1:10" s="16" customFormat="1" ht="12.75" customHeight="1" x14ac:dyDescent="0.2">
      <c r="A156" s="8">
        <v>14</v>
      </c>
      <c r="B156" s="33" t="s">
        <v>41</v>
      </c>
      <c r="C156" s="30">
        <f>30*4200</f>
        <v>126000</v>
      </c>
      <c r="D156" s="31">
        <v>0</v>
      </c>
      <c r="E156" s="36">
        <f>30*4200</f>
        <v>126000</v>
      </c>
      <c r="F156" s="32">
        <f t="shared" si="13"/>
        <v>0</v>
      </c>
      <c r="H156" s="34"/>
      <c r="I156" s="37"/>
      <c r="J156" s="38"/>
    </row>
    <row r="157" spans="1:10" s="16" customFormat="1" ht="12.75" customHeight="1" x14ac:dyDescent="0.2">
      <c r="A157" s="8">
        <v>15</v>
      </c>
      <c r="B157" s="33" t="s">
        <v>42</v>
      </c>
      <c r="C157" s="30">
        <f>9*199100</f>
        <v>1791900</v>
      </c>
      <c r="D157" s="31">
        <v>0</v>
      </c>
      <c r="E157" s="36">
        <f>9*199100</f>
        <v>1791900</v>
      </c>
      <c r="F157" s="32">
        <f t="shared" si="13"/>
        <v>0</v>
      </c>
      <c r="H157" s="34"/>
      <c r="I157" s="37"/>
      <c r="J157" s="38"/>
    </row>
    <row r="158" spans="1:10" s="16" customFormat="1" ht="12.75" customHeight="1" x14ac:dyDescent="0.2">
      <c r="A158" s="8">
        <v>16</v>
      </c>
      <c r="B158" s="33" t="s">
        <v>43</v>
      </c>
      <c r="C158" s="30">
        <f>1286*4180</f>
        <v>5375480</v>
      </c>
      <c r="D158" s="31">
        <f>1000*4180</f>
        <v>4180000</v>
      </c>
      <c r="E158" s="36">
        <f>1095*4180</f>
        <v>4577100</v>
      </c>
      <c r="F158" s="32">
        <f t="shared" si="13"/>
        <v>4978380</v>
      </c>
      <c r="H158" s="34"/>
      <c r="I158" s="37"/>
      <c r="J158" s="38"/>
    </row>
    <row r="159" spans="1:10" s="16" customFormat="1" ht="12.75" customHeight="1" x14ac:dyDescent="0.2">
      <c r="A159" s="8">
        <v>17</v>
      </c>
      <c r="B159" s="33" t="s">
        <v>44</v>
      </c>
      <c r="C159" s="30">
        <f>1290*4212</f>
        <v>5433480</v>
      </c>
      <c r="D159" s="31">
        <f>1000*4212</f>
        <v>4212000</v>
      </c>
      <c r="E159" s="36">
        <f>992*4212</f>
        <v>4178304</v>
      </c>
      <c r="F159" s="32">
        <f t="shared" si="13"/>
        <v>5467176</v>
      </c>
      <c r="H159" s="34"/>
      <c r="I159" s="37"/>
      <c r="J159" s="38"/>
    </row>
    <row r="160" spans="1:10" s="16" customFormat="1" ht="12.75" customHeight="1" x14ac:dyDescent="0.2">
      <c r="A160" s="8">
        <v>18</v>
      </c>
      <c r="B160" s="33" t="s">
        <v>45</v>
      </c>
      <c r="C160" s="30">
        <f>340*440</f>
        <v>149600</v>
      </c>
      <c r="D160" s="31">
        <f>200*440</f>
        <v>88000</v>
      </c>
      <c r="E160" s="36">
        <f>127*440</f>
        <v>55880</v>
      </c>
      <c r="F160" s="32">
        <f t="shared" si="13"/>
        <v>181720</v>
      </c>
      <c r="H160" s="34"/>
      <c r="I160" s="37"/>
      <c r="J160" s="38"/>
    </row>
    <row r="161" spans="1:10" s="16" customFormat="1" ht="12.75" customHeight="1" x14ac:dyDescent="0.2">
      <c r="A161" s="8">
        <v>19</v>
      </c>
      <c r="B161" s="33" t="s">
        <v>46</v>
      </c>
      <c r="C161" s="30">
        <f>361*26588.85</f>
        <v>9598574.8499999996</v>
      </c>
      <c r="D161" s="31">
        <f>400*26588.85</f>
        <v>10635540</v>
      </c>
      <c r="E161" s="36">
        <f>317*26588.85</f>
        <v>8428665.4499999993</v>
      </c>
      <c r="F161" s="32">
        <f t="shared" si="13"/>
        <v>11805449.400000002</v>
      </c>
      <c r="H161" s="34"/>
      <c r="I161" s="37"/>
      <c r="J161" s="38"/>
    </row>
    <row r="162" spans="1:10" s="16" customFormat="1" ht="12.75" customHeight="1" x14ac:dyDescent="0.2">
      <c r="A162" s="8">
        <v>20</v>
      </c>
      <c r="B162" s="33" t="s">
        <v>47</v>
      </c>
      <c r="C162" s="30">
        <f>1280*1030</f>
        <v>1318400</v>
      </c>
      <c r="D162" s="31">
        <f>1000*1030</f>
        <v>1030000</v>
      </c>
      <c r="E162" s="36">
        <f>852*1030</f>
        <v>877560</v>
      </c>
      <c r="F162" s="32">
        <f t="shared" si="13"/>
        <v>1470840</v>
      </c>
      <c r="H162" s="34"/>
      <c r="I162" s="37"/>
      <c r="J162" s="38"/>
    </row>
    <row r="163" spans="1:10" s="16" customFormat="1" ht="12.75" customHeight="1" x14ac:dyDescent="0.2">
      <c r="A163" s="8">
        <v>21</v>
      </c>
      <c r="B163" s="33" t="s">
        <v>171</v>
      </c>
      <c r="C163" s="30">
        <f>900*27346</f>
        <v>24611400</v>
      </c>
      <c r="D163" s="31">
        <v>0</v>
      </c>
      <c r="E163" s="36">
        <f>900*27346</f>
        <v>24611400</v>
      </c>
      <c r="F163" s="32">
        <f t="shared" si="13"/>
        <v>0</v>
      </c>
      <c r="H163" s="34"/>
      <c r="I163" s="37"/>
      <c r="J163" s="38"/>
    </row>
    <row r="164" spans="1:10" s="16" customFormat="1" ht="12.75" customHeight="1" x14ac:dyDescent="0.2">
      <c r="A164" s="8">
        <v>22</v>
      </c>
      <c r="B164" s="33" t="s">
        <v>172</v>
      </c>
      <c r="C164" s="30">
        <v>0</v>
      </c>
      <c r="D164" s="31">
        <f>1000*8085</f>
        <v>8085000</v>
      </c>
      <c r="E164" s="36">
        <f>572*8085</f>
        <v>4624620</v>
      </c>
      <c r="F164" s="32">
        <f t="shared" si="13"/>
        <v>3460380</v>
      </c>
      <c r="H164" s="34"/>
      <c r="I164" s="37"/>
      <c r="J164" s="38"/>
    </row>
    <row r="165" spans="1:10" s="16" customFormat="1" ht="12.75" customHeight="1" x14ac:dyDescent="0.2">
      <c r="A165" s="8">
        <v>23</v>
      </c>
      <c r="B165" s="33" t="s">
        <v>173</v>
      </c>
      <c r="C165" s="30">
        <v>0</v>
      </c>
      <c r="D165" s="31">
        <f>1*1685000</f>
        <v>1685000</v>
      </c>
      <c r="E165" s="36">
        <v>0</v>
      </c>
      <c r="F165" s="32">
        <f t="shared" si="13"/>
        <v>1685000</v>
      </c>
      <c r="H165" s="34"/>
      <c r="I165" s="37"/>
      <c r="J165" s="38"/>
    </row>
    <row r="166" spans="1:10" s="16" customFormat="1" ht="12.75" customHeight="1" x14ac:dyDescent="0.2">
      <c r="A166" s="39"/>
      <c r="B166" s="40"/>
      <c r="C166" s="41"/>
      <c r="D166" s="42"/>
      <c r="E166" s="43"/>
      <c r="F166" s="44"/>
      <c r="H166" s="34"/>
      <c r="I166" s="37"/>
      <c r="J166" s="38"/>
    </row>
    <row r="167" spans="1:10" s="16" customFormat="1" ht="28.5" customHeight="1" x14ac:dyDescent="0.2">
      <c r="A167" s="25" t="s">
        <v>48</v>
      </c>
      <c r="B167" s="45" t="s">
        <v>49</v>
      </c>
      <c r="C167" s="27">
        <f>SUM(C168:C169)</f>
        <v>0</v>
      </c>
      <c r="D167" s="27">
        <f>SUM(D168:D169)</f>
        <v>62054750</v>
      </c>
      <c r="E167" s="27">
        <f>SUM(E168:E169)</f>
        <v>62054750</v>
      </c>
      <c r="F167" s="27">
        <f>SUM(F168:F169)</f>
        <v>0</v>
      </c>
      <c r="G167" s="38"/>
      <c r="H167" s="34"/>
      <c r="I167" s="37"/>
    </row>
    <row r="168" spans="1:10" s="16" customFormat="1" ht="12.75" customHeight="1" x14ac:dyDescent="0.2">
      <c r="A168" s="8">
        <v>1</v>
      </c>
      <c r="B168" s="24" t="s">
        <v>50</v>
      </c>
      <c r="C168" s="19">
        <v>0</v>
      </c>
      <c r="D168" s="22">
        <v>4062500</v>
      </c>
      <c r="E168" s="22">
        <v>4062500</v>
      </c>
      <c r="F168" s="22">
        <f>SUM(D168-E168)</f>
        <v>0</v>
      </c>
      <c r="G168" s="38"/>
      <c r="H168" s="34"/>
      <c r="I168" s="37"/>
    </row>
    <row r="169" spans="1:10" s="16" customFormat="1" ht="12.75" customHeight="1" x14ac:dyDescent="0.2">
      <c r="A169" s="63">
        <v>2</v>
      </c>
      <c r="B169" s="64" t="s">
        <v>51</v>
      </c>
      <c r="C169" s="65">
        <v>0</v>
      </c>
      <c r="D169" s="66">
        <v>57992250</v>
      </c>
      <c r="E169" s="66">
        <v>57992250</v>
      </c>
      <c r="F169" s="66">
        <f>SUM(D169-E169)</f>
        <v>0</v>
      </c>
      <c r="G169" s="38"/>
      <c r="H169" s="34"/>
      <c r="I169" s="38"/>
    </row>
    <row r="170" spans="1:10" s="16" customFormat="1" ht="12.75" customHeight="1" x14ac:dyDescent="0.2">
      <c r="A170" s="46"/>
      <c r="B170" s="47"/>
      <c r="C170" s="48"/>
      <c r="D170" s="49"/>
      <c r="E170" s="49"/>
      <c r="F170" s="50"/>
      <c r="G170" s="38"/>
      <c r="H170" s="38"/>
      <c r="I170" s="38"/>
    </row>
    <row r="171" spans="1:10" x14ac:dyDescent="0.2">
      <c r="E171" s="67" t="s">
        <v>180</v>
      </c>
    </row>
    <row r="172" spans="1:10" x14ac:dyDescent="0.2">
      <c r="B172" s="51" t="s">
        <v>52</v>
      </c>
      <c r="C172" s="51"/>
      <c r="E172" s="51" t="s">
        <v>53</v>
      </c>
    </row>
    <row r="173" spans="1:10" x14ac:dyDescent="0.2">
      <c r="B173" s="51" t="s">
        <v>54</v>
      </c>
      <c r="C173" s="51"/>
      <c r="E173" s="51" t="s">
        <v>55</v>
      </c>
    </row>
    <row r="174" spans="1:10" x14ac:dyDescent="0.2">
      <c r="B174" s="51" t="s">
        <v>55</v>
      </c>
      <c r="C174" s="51"/>
      <c r="E174" s="52"/>
    </row>
    <row r="175" spans="1:10" x14ac:dyDescent="0.2">
      <c r="B175" s="52"/>
      <c r="C175" s="52"/>
      <c r="E175" s="52"/>
    </row>
    <row r="176" spans="1:10" x14ac:dyDescent="0.2">
      <c r="B176" s="52"/>
      <c r="C176" s="52"/>
      <c r="E176" s="52"/>
    </row>
    <row r="177" spans="2:7" x14ac:dyDescent="0.2">
      <c r="B177" s="53" t="s">
        <v>56</v>
      </c>
      <c r="C177" s="53"/>
      <c r="E177" s="54" t="s">
        <v>57</v>
      </c>
    </row>
    <row r="178" spans="2:7" x14ac:dyDescent="0.2">
      <c r="B178" s="55" t="s">
        <v>58</v>
      </c>
      <c r="C178" s="55"/>
      <c r="E178" s="51" t="s">
        <v>59</v>
      </c>
    </row>
    <row r="179" spans="2:7" x14ac:dyDescent="0.2">
      <c r="C179" s="73" t="s">
        <v>60</v>
      </c>
      <c r="D179" s="73"/>
    </row>
    <row r="180" spans="2:7" x14ac:dyDescent="0.2">
      <c r="C180" s="74" t="s">
        <v>181</v>
      </c>
      <c r="D180" s="73"/>
    </row>
    <row r="181" spans="2:7" x14ac:dyDescent="0.2">
      <c r="C181" s="73" t="s">
        <v>61</v>
      </c>
      <c r="D181" s="73"/>
    </row>
    <row r="184" spans="2:7" ht="15" x14ac:dyDescent="0.25">
      <c r="C184" s="69" t="s">
        <v>182</v>
      </c>
      <c r="D184" s="69"/>
      <c r="E184" s="56"/>
      <c r="F184" s="56"/>
      <c r="G184" s="56"/>
    </row>
    <row r="185" spans="2:7" x14ac:dyDescent="0.2">
      <c r="C185" s="70" t="s">
        <v>183</v>
      </c>
      <c r="D185" s="71"/>
      <c r="E185" s="57"/>
      <c r="F185" s="57"/>
      <c r="G185" s="57"/>
    </row>
  </sheetData>
  <mergeCells count="8">
    <mergeCell ref="C184:D184"/>
    <mergeCell ref="C185:D185"/>
    <mergeCell ref="A1:F1"/>
    <mergeCell ref="A2:F2"/>
    <mergeCell ref="A3:F3"/>
    <mergeCell ref="C179:D179"/>
    <mergeCell ref="C180:D180"/>
    <mergeCell ref="C181:D181"/>
  </mergeCells>
  <pageMargins left="0.98425196850393704" right="0" top="0.74803149606299213" bottom="1.5748031496062993" header="0.31496062992125984" footer="0.31496062992125984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SAMPUL</vt:lpstr>
      <vt:lpstr>REAPITULASI BHP 2019</vt:lpstr>
      <vt:lpstr>'REAPITULASI BHP 2019'!Print_Area</vt:lpstr>
      <vt:lpstr>'REAPITULASI BHP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cp:lastPrinted>2019-11-24T19:41:53Z</cp:lastPrinted>
  <dcterms:created xsi:type="dcterms:W3CDTF">2019-11-16T02:40:05Z</dcterms:created>
  <dcterms:modified xsi:type="dcterms:W3CDTF">2020-02-25T05:34:39Z</dcterms:modified>
</cp:coreProperties>
</file>