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7935" activeTab="0"/>
  </bookViews>
  <sheets>
    <sheet name="RKPD 29 Des" sheetId="1" r:id="rId1"/>
  </sheets>
  <externalReferences>
    <externalReference r:id="rId4"/>
  </externalReferences>
  <definedNames>
    <definedName name="a" localSheetId="0">#REF!</definedName>
    <definedName name="a">#REF!</definedName>
    <definedName name="aa" localSheetId="0">#REF!</definedName>
    <definedName name="aa">#REF!</definedName>
    <definedName name="aaaaa" localSheetId="0">#REF!</definedName>
    <definedName name="aaaaa">#REF!</definedName>
    <definedName name="amir" localSheetId="0">#REF!</definedName>
    <definedName name="amir">#REF!</definedName>
    <definedName name="as" localSheetId="0">#REF!</definedName>
    <definedName name="as">#REF!</definedName>
    <definedName name="B.Aparatur" localSheetId="0">#REF!</definedName>
    <definedName name="B.Aparatur">#REF!</definedName>
    <definedName name="B.Publik" localSheetId="0">#REF!</definedName>
    <definedName name="B.Publik">#REF!</definedName>
    <definedName name="BINTORO" localSheetId="0">#REF!</definedName>
    <definedName name="BINTORO">#REF!</definedName>
    <definedName name="bpbd" localSheetId="0">#REF!</definedName>
    <definedName name="bpbd">#REF!</definedName>
    <definedName name="COBA" localSheetId="0">#REF!</definedName>
    <definedName name="COBA">#REF!</definedName>
    <definedName name="EV" localSheetId="0">#REF!</definedName>
    <definedName name="EV">#REF!</definedName>
    <definedName name="EVALUASI" localSheetId="0">#REF!</definedName>
    <definedName name="EVALUASI">#REF!</definedName>
    <definedName name="EVEE" localSheetId="0">#REF!</definedName>
    <definedName name="EVEE">#REF!</definedName>
    <definedName name="fhdg" localSheetId="0">#REF!</definedName>
    <definedName name="fhdg">#REF!</definedName>
    <definedName name="KLHaja" localSheetId="0">#REF!</definedName>
    <definedName name="KLHaja">#REF!</definedName>
    <definedName name="naning" localSheetId="0">#REF!</definedName>
    <definedName name="naning">#REF!</definedName>
    <definedName name="nnnn" localSheetId="0">#REF!</definedName>
    <definedName name="nnnn">#REF!</definedName>
    <definedName name="nnnnn" localSheetId="0">#REF!</definedName>
    <definedName name="nnnnn">#REF!</definedName>
    <definedName name="P" localSheetId="0">#REF!</definedName>
    <definedName name="P">#REF!</definedName>
    <definedName name="PEMERINTAHAN" localSheetId="0">#REF!</definedName>
    <definedName name="PEMERINTAHAN">#REF!</definedName>
    <definedName name="Pengawas" localSheetId="0">#REF!</definedName>
    <definedName name="Pengawas">#REF!</definedName>
    <definedName name="_xlnm.Print_Area" localSheetId="0">'RKPD 29 Des'!$A$1:$AC$228</definedName>
    <definedName name="RKPD" localSheetId="0">#REF!</definedName>
    <definedName name="RKPD">#REF!</definedName>
    <definedName name="SUMONO" localSheetId="0">#REF!</definedName>
    <definedName name="SUMONO">#REF!</definedName>
  </definedNames>
  <calcPr fullCalcOnLoad="1"/>
</workbook>
</file>

<file path=xl/sharedStrings.xml><?xml version="1.0" encoding="utf-8"?>
<sst xmlns="http://schemas.openxmlformats.org/spreadsheetml/2006/main" count="481" uniqueCount="301">
  <si>
    <t>KABUPATEN DEMAK</t>
  </si>
  <si>
    <t>Sasaran RKPD yang akan dicapai dalam Renja SKPD:</t>
  </si>
  <si>
    <t>…………. (diisi dengan sasaran RKPD yang akan dicapai dalam Renja SKPD sesuai dengan tugas pokok dan fungsi SKPD)</t>
  </si>
  <si>
    <t>No.</t>
  </si>
  <si>
    <t>Sasaran</t>
  </si>
  <si>
    <t>Program/ Kegiatan</t>
  </si>
  <si>
    <t xml:space="preserve">Indikator Kinerja Program (outcome)/ Kegiatan (output)
</t>
  </si>
  <si>
    <t>Satuan</t>
  </si>
  <si>
    <t xml:space="preserve">Target Renstra SKPD pada Tahun .... (Akhir Periode Renstra SKPD) 
</t>
  </si>
  <si>
    <t>Realisasi Kinerja Pada Triwulan</t>
  </si>
  <si>
    <t>Realisasi Capaian Kinerja dan Anggaran Renja SKPD yang Dievaluasi (2016)</t>
  </si>
  <si>
    <t>Tingkat Capaian Kinerja dan Realisasi Anggaran SKPD Tahun 2016 (%)</t>
  </si>
  <si>
    <t>Realisasi Kinerja dan Anggaran Renstra SKPD s/d Tahun 2016 ( Akhir Tahun Pelaksanaan Renja SKPD Tahun 2016)</t>
  </si>
  <si>
    <t>Tingkat Capaian Kinerja dan Realisasi Anggaran Renstra SKPD s/d Tahun 2016 (%)</t>
  </si>
  <si>
    <t>Unit SKPD Penanggung Jawab</t>
  </si>
  <si>
    <t>Keterangan</t>
  </si>
  <si>
    <t>I</t>
  </si>
  <si>
    <t>II</t>
  </si>
  <si>
    <t>III</t>
  </si>
  <si>
    <t>IV</t>
  </si>
  <si>
    <t>4A</t>
  </si>
  <si>
    <t>12 = 8+9+10+11</t>
  </si>
  <si>
    <t>13 = 12/7*100%</t>
  </si>
  <si>
    <t>14 = 6 + 12</t>
  </si>
  <si>
    <t>15 = 14/5*100%</t>
  </si>
  <si>
    <t>K</t>
  </si>
  <si>
    <t>Rp.</t>
  </si>
  <si>
    <t>BELANJA TIDAK LANGSUNG</t>
  </si>
  <si>
    <t>Gaji dan Tunjangan</t>
  </si>
  <si>
    <t>Gaji Pokok PNS/Uang Representasi</t>
  </si>
  <si>
    <t>bulan</t>
  </si>
  <si>
    <t>Tunjangan Keluarga</t>
  </si>
  <si>
    <t>Tunjangan Jabatan</t>
  </si>
  <si>
    <t>Tunjangan Fungsional Umum</t>
  </si>
  <si>
    <t>Tunjangan Beras</t>
  </si>
  <si>
    <t>Tunjangan PPh/Tunjangan Khusus</t>
  </si>
  <si>
    <t>Pembulatan Gaji</t>
  </si>
  <si>
    <t>Iuran Asuransi Kesehatan</t>
  </si>
  <si>
    <t>Jaminan Kecelakaan Kerja</t>
  </si>
  <si>
    <t>Jaminan Kematian</t>
  </si>
  <si>
    <t>Tambahan Penghasilan berdasarkan beban kerja</t>
  </si>
  <si>
    <t>KANTOR LINGKUNGAN HIDUP</t>
  </si>
  <si>
    <t>1.</t>
  </si>
  <si>
    <t>PROGRAM/KEGIATAN DI SEMUA SKPD</t>
  </si>
  <si>
    <t>Program Pelayanan Administrasi Perkantoran</t>
  </si>
  <si>
    <t>Kelancaran Administrasi Perkantoran</t>
  </si>
  <si>
    <t>Penyediaan jasa surat menyurat</t>
  </si>
  <si>
    <t>Surat menyurat 1 Tahun</t>
  </si>
  <si>
    <t>Penyediaan jasa kumunikasi, sumber daya air dan listrik</t>
  </si>
  <si>
    <t>Terbayar langganan Telp, Listrik dan air 1 Tahun</t>
  </si>
  <si>
    <t>Penyediaan jasa administrasi keuangan</t>
  </si>
  <si>
    <t>Insentif tenaga administrasi keuangan 1 Tahun</t>
  </si>
  <si>
    <t>Penyediaan alat tulis kantor</t>
  </si>
  <si>
    <t>Tersedianya ATK 1 Tahun</t>
  </si>
  <si>
    <t>Penyediaan barang cetakan dan pengandaan</t>
  </si>
  <si>
    <t>Tersedianya balngko keperluan kantor 1 Tahun</t>
  </si>
  <si>
    <t>Penyediaan komponen instalasi listrik/ penerangan bangunan kantor</t>
  </si>
  <si>
    <t>Terpenuhinya peralatan listrik 1 paket</t>
  </si>
  <si>
    <t>Penyediaan peralatan dan perlengkapan kantor</t>
  </si>
  <si>
    <t>Tersedianya alat kebersihan dan RT 1 Tahun</t>
  </si>
  <si>
    <t>Penyediaan bahan bacaan dan peraturan perundang - undangan</t>
  </si>
  <si>
    <t>Tersedianya bahan bacaan</t>
  </si>
  <si>
    <t>Penyediaan makanan dan minuman</t>
  </si>
  <si>
    <t>Makan dan minum untuk rapat/ tamu 1 Tahun</t>
  </si>
  <si>
    <t>Rapat - rapat koordinasi dan konsultasi keluar daerah</t>
  </si>
  <si>
    <t>Koordinasi antar instansi 1 Tahun</t>
  </si>
  <si>
    <t>Penyediaan jasa pegawai non PNS</t>
  </si>
  <si>
    <t>Terbayarnya tenaga honorer 1 tahun</t>
  </si>
  <si>
    <t xml:space="preserve">Penyediaan Jasa Administrasi keuangan Pengadaan Barang &amp; Jasa </t>
  </si>
  <si>
    <t>Insentif tenaga administrasi keuangan 1 tahun</t>
  </si>
  <si>
    <t>Program Peningkatan Sarana dan Prasarana Aparatur</t>
  </si>
  <si>
    <t>Kelancaran Pelayanan SKPD</t>
  </si>
  <si>
    <t>Pengadaan perlengkapan bangunan kantor dlm 1 tahun</t>
  </si>
  <si>
    <t>Pengadaan peralatan gedung kantor</t>
  </si>
  <si>
    <t>Pengadaan peralatan gedung kantor dalam 1 tahun</t>
  </si>
  <si>
    <t>Pemeliharaan rutin / berkala gedung kantor</t>
  </si>
  <si>
    <t>Pemeliharaan gedung kantor 1 Tahun</t>
  </si>
  <si>
    <t>Pemeliharaan rutin /berkala kendaraan dinas/ oprasional</t>
  </si>
  <si>
    <t>perawatan kendaraan dinas 1 Tahun</t>
  </si>
  <si>
    <t>Pemeliharaan rutin /berkala peralatan gedung kantor</t>
  </si>
  <si>
    <t>perawatan peralatan kantor 1 Tahun</t>
  </si>
  <si>
    <t>Pemeliharaan rutin/ berkala mebelair</t>
  </si>
  <si>
    <t>perawatan mebelair 1 Tahun</t>
  </si>
  <si>
    <t>Program Peningkatan Kapasitas Sumber Daya Aparatur</t>
  </si>
  <si>
    <t>Peningkatan Sumber Daya Manusia</t>
  </si>
  <si>
    <t>Pendidikan dan Pelatihan Formal</t>
  </si>
  <si>
    <t>Penyusunan Renstra</t>
  </si>
  <si>
    <t>Rata-rata capaian kinerja (%)</t>
  </si>
  <si>
    <t>Predikat Kinerja</t>
  </si>
  <si>
    <t>URUSAN WAJIB</t>
  </si>
  <si>
    <t>2.</t>
  </si>
  <si>
    <t>LINGKUNGAN HIDUP</t>
  </si>
  <si>
    <t>Program Pengembangan Kinerja Pengelolaan Persampahan</t>
  </si>
  <si>
    <t xml:space="preserve">Penyediaan prasarana dan saranan pengelolaan persampahan </t>
  </si>
  <si>
    <t>Tong sampah, komposter dan gerobak sampah</t>
  </si>
  <si>
    <t>jenis</t>
  </si>
  <si>
    <t>Belanja Pegawai</t>
  </si>
  <si>
    <t>bln</t>
  </si>
  <si>
    <t>Belanja barang dan jasa</t>
  </si>
  <si>
    <t>Bangunan Rumah kompos</t>
  </si>
  <si>
    <t>Paket</t>
  </si>
  <si>
    <t>Motor 3R : 2 unit</t>
  </si>
  <si>
    <t>unit</t>
  </si>
  <si>
    <t>Mesin pencacah sampah organik dan pengayak ( 2 Paket)</t>
  </si>
  <si>
    <t>Pengadaan Instalasi listrik dan PDAM</t>
  </si>
  <si>
    <t>Tong sampah organik anorgnik LB3 (set)</t>
  </si>
  <si>
    <t>Bak Sampah permannen (unit)</t>
  </si>
  <si>
    <t>Pengembangan teknologi pengolahan persampahan</t>
  </si>
  <si>
    <t>Pembangunan tempat pengolahan sampah terpadu (unit)</t>
  </si>
  <si>
    <t xml:space="preserve">Mesin pencacah sampah organik </t>
  </si>
  <si>
    <t>Tong sampah</t>
  </si>
  <si>
    <t>Gerobak sampah</t>
  </si>
  <si>
    <t>Bimbingan teknis, pengolahan sampah dan bantuan tempat pengolahan sampah terpadu (unit)</t>
  </si>
  <si>
    <t xml:space="preserve">Motor 3R </t>
  </si>
  <si>
    <t>Bimbingan Teknis Persampahan</t>
  </si>
  <si>
    <t>Jumlah masyarakat yang terlatih (desa)</t>
  </si>
  <si>
    <t>Orang</t>
  </si>
  <si>
    <t>Sosialisasi kebijakan pengelolaan persampahan</t>
  </si>
  <si>
    <t>Peningkatan Peran serta masyarakat dlm pengelolaan Persampahan</t>
  </si>
  <si>
    <t>Peningkatan Peran serta masyarakat dlm pengelolaan Persampahan (org)</t>
  </si>
  <si>
    <t>Lingkungan Bersih dan Sehat (kali)</t>
  </si>
  <si>
    <t>Monitoring, evaluasi dan pelaporan Program Pengembangan Kinerja Pengelolaan Persampahan</t>
  </si>
  <si>
    <t>Berjalannya program kerja</t>
  </si>
  <si>
    <t>Pengadaan sarana dan prasarana pengelolaan persampahan</t>
  </si>
  <si>
    <t xml:space="preserve">Pengendalian pencemaran lingkungan dengan membangun rumah kompos </t>
  </si>
  <si>
    <t>Mesin pencacah sampah organik (tipe kecil)</t>
  </si>
  <si>
    <t>Motor 3 roda</t>
  </si>
  <si>
    <t>Unit</t>
  </si>
  <si>
    <t>Belanja pegawai</t>
  </si>
  <si>
    <t>OK</t>
  </si>
  <si>
    <t>Program Pengendalian Pencemaran dan perusakan LH</t>
  </si>
  <si>
    <t>Koordinasi penilaian Kota Sehat/ Adipura</t>
  </si>
  <si>
    <t>Pengelolaan Adiwiyata (sekolah)</t>
  </si>
  <si>
    <t>Sekolah</t>
  </si>
  <si>
    <t>Pemantauan Kualitas Lingkungan</t>
  </si>
  <si>
    <t>Pemantauan Kualitas Lingkungan (paket)</t>
  </si>
  <si>
    <t>Kalibrasi peralatan laboratorium</t>
  </si>
  <si>
    <t xml:space="preserve">Pengelolaan sarana dan prasarana laboratorium </t>
  </si>
  <si>
    <t xml:space="preserve">Pengadaaan peralatan laboratorium dan bahan kimia </t>
  </si>
  <si>
    <t>Pengelolaan keanekaragaman hayati dan ekosistem</t>
  </si>
  <si>
    <t>Pengawasan  pelaksanaan kebijakan bidang lingkungan hidup</t>
  </si>
  <si>
    <t>Pengawasan lingkungan hidup (jenis usaha)</t>
  </si>
  <si>
    <t>Jenis usaha/ Perusahaan</t>
  </si>
  <si>
    <t>Peningkatan pengelolaan lingkungan pertambagan</t>
  </si>
  <si>
    <t xml:space="preserve">Melaksanakan pemulihan lahan kritis </t>
  </si>
  <si>
    <t>%</t>
  </si>
  <si>
    <t>Peningkatan peringkat Kinerja Perusahaan (proper)</t>
  </si>
  <si>
    <t>Jumlah jenis usaha yang mengikuti Proper  (Proper)</t>
  </si>
  <si>
    <t>Penghargaan</t>
  </si>
  <si>
    <t>Koordinasi pengelolaan Prokasih/ Superkasih</t>
  </si>
  <si>
    <t>Terjaganya kualiats air sungai</t>
  </si>
  <si>
    <t>Pengembangan produksi ramah lingkungan</t>
  </si>
  <si>
    <t>Pengendalian pencemaran dengan memanfaatkan limbah (Pembangunan biogas) (unit)</t>
  </si>
  <si>
    <t>Koordinasi penyusunan AMDAL</t>
  </si>
  <si>
    <t>Evaluasi Penerapan dok.AMDAL, UKL - UPL</t>
  </si>
  <si>
    <t>Keg</t>
  </si>
  <si>
    <t>Peningkatan peran serta masy dlm pengendalian  lingkungan hidup</t>
  </si>
  <si>
    <t>Jumlah masyarakat yang dilatih (org)</t>
  </si>
  <si>
    <t>Monitoring, evaluasi dan pelaporan Program Pengendalian Pencemaran dan Perusakan LH</t>
  </si>
  <si>
    <t xml:space="preserve">Pengelolaan laboratorium ligkungan </t>
  </si>
  <si>
    <t xml:space="preserve">Pengadaaan peralatan laboratorium kimia </t>
  </si>
  <si>
    <t>Program Perlindungan dan Konservasi Sumber Daya Alam (SDA)</t>
  </si>
  <si>
    <t xml:space="preserve">Konservasi Sumber Daya Air dan Pengendalian Kerusakan Sumber - Sumber Air </t>
  </si>
  <si>
    <t>Pembuatan sumur resapan (unit)</t>
  </si>
  <si>
    <t>Pembuatan bangunan penampungan air hujan (PAH)</t>
  </si>
  <si>
    <t>Pantai dan laut lestari</t>
  </si>
  <si>
    <t>Pembuatan bangunan pemecah gelombang (m)</t>
  </si>
  <si>
    <t>meter</t>
  </si>
  <si>
    <t>Pembuatan bangunan  Talud pantai (m)</t>
  </si>
  <si>
    <t>Penghijauan pantai (batang)</t>
  </si>
  <si>
    <t>Ha</t>
  </si>
  <si>
    <t>Sosialisasi penggunaan tanah timbul (Kali)</t>
  </si>
  <si>
    <t>Pembuatan mangrove track</t>
  </si>
  <si>
    <t>Pengadaan perahu pengawas</t>
  </si>
  <si>
    <t>Pengendalian dampak Perubahan iklim</t>
  </si>
  <si>
    <t>penambahan luas tutupan vegetasi dan mengurangi emisi gas rumah kaca (belanja bahan bibit tanaman) (%)</t>
  </si>
  <si>
    <t xml:space="preserve">Peningkatan konservasi daerah tangkapan air dan sumber - sumber air </t>
  </si>
  <si>
    <t>Melindungi daerah sumber bahan baku (produksi tembakau) dari kerusakan lingkungan</t>
  </si>
  <si>
    <t>Pengendalian dan Pengawasan Pemanfaatan SDA</t>
  </si>
  <si>
    <t>Melakukan pengawasan terhadap pengambilan air tanah agar penggunaannya sesuai dengan daya dukung lingkungan</t>
  </si>
  <si>
    <t>Koordinasi Pengelolaan Konservasi SDA</t>
  </si>
  <si>
    <t>Pengusulan calon penerima kalpataru</t>
  </si>
  <si>
    <t>Calon</t>
  </si>
  <si>
    <t>Pembinaan saka kalpataru</t>
  </si>
  <si>
    <t>thn</t>
  </si>
  <si>
    <t>Terlaksananya pelestarian tanaman langka dan perbaikan kualitas lingkungan</t>
  </si>
  <si>
    <t xml:space="preserve">Jenis </t>
  </si>
  <si>
    <t xml:space="preserve">Peningkatan peran serta masyarakat dalam perlindungan dan konservasi SDA </t>
  </si>
  <si>
    <t>Belanja bahan bibit tanaman</t>
  </si>
  <si>
    <t>Km</t>
  </si>
  <si>
    <t>Monitoring, evaluasi dan pelaporan Program Perlindungan dan Konservasi SDA</t>
  </si>
  <si>
    <t>Pengelolaan dan Rehabilitasi Terumbu Karang, Mangrove, Padang Lamun, Eustaria dan Teluk</t>
  </si>
  <si>
    <t>Pembuatan bangunan  Talud pantai (paket)</t>
  </si>
  <si>
    <t>batang'</t>
  </si>
  <si>
    <t>ok</t>
  </si>
  <si>
    <t>Pengelolaan kawasan lindung diluar kawasan hutan</t>
  </si>
  <si>
    <t>Pembuatan sumur resapan dan lubang resapan biopori</t>
  </si>
  <si>
    <t>Pengadaan bibit tanamankonservasi dan tanaman langka</t>
  </si>
  <si>
    <t>bibit tanaman pelindung</t>
  </si>
  <si>
    <t>bibit tanaman turus jalan</t>
  </si>
  <si>
    <t>bibit tanaman langka</t>
  </si>
  <si>
    <t>Program Rehabilitasi dan Pemulihan Cadangan Sumber Daya Alam</t>
  </si>
  <si>
    <t>Perencanaan dan penyusunan program pembangunan pengendalian Sumber Daya Alam dan Lingkungan</t>
  </si>
  <si>
    <t>Penyusunan kajian standar kerusakan lingkungan (paket)</t>
  </si>
  <si>
    <t>paket</t>
  </si>
  <si>
    <t xml:space="preserve">Rehabilitasi Hutan dan Lahan </t>
  </si>
  <si>
    <t xml:space="preserve">Pengendalian kerusakan hutan dan lahan </t>
  </si>
  <si>
    <t xml:space="preserve">Penyusunan data lingkungan </t>
  </si>
  <si>
    <t>Pembuatan sisitem informasi lingkungan</t>
  </si>
  <si>
    <t xml:space="preserve">Belanja pegawai </t>
  </si>
  <si>
    <t>Program Peningkatan Kualitas dan Akses Informasi SDA dan LH</t>
  </si>
  <si>
    <t>Peningkatan edukasi dan komunikasi masyarakat di bidang lingkungan</t>
  </si>
  <si>
    <t>120 orang, 2 Kec, 4 hari</t>
  </si>
  <si>
    <t>orang</t>
  </si>
  <si>
    <t xml:space="preserve">Pengembangan data dan informasi lingkungan </t>
  </si>
  <si>
    <t>Buku laporan periodik sampah sebanyak 1 paket</t>
  </si>
  <si>
    <t>Buku laporan status lingkungan hidup sebanyak 1 paket</t>
  </si>
  <si>
    <t>Tersedianya papan informasi/pengumuman tentang lingkungan hidup</t>
  </si>
  <si>
    <t>Tersedianya buku kajian informasi kualitas air</t>
  </si>
  <si>
    <t>Tersedianya kajian status lingkungan industri tembakau</t>
  </si>
  <si>
    <t>Tersedianya buku identifikasi dampak pencemaran lingkungan 20 Buku</t>
  </si>
  <si>
    <t xml:space="preserve">Penguatan jejaring informasi lingkungan pusat dan daerah </t>
  </si>
  <si>
    <t>Buku laporan program MIH (1 paket)</t>
  </si>
  <si>
    <t>Tersedianya informasi dan database izin gangguan Kab.Demak</t>
  </si>
  <si>
    <t>Buku SMP LH</t>
  </si>
  <si>
    <t xml:space="preserve">Buku laporan keanekaragaman hayati dan ekosistem </t>
  </si>
  <si>
    <t>Buku Laporan Gas Rumah Kaca (GRK)</t>
  </si>
  <si>
    <t xml:space="preserve">Penyusunan data kerusakan ekosistem pantai </t>
  </si>
  <si>
    <t>Monitoring, evaluasi dan pelaporan Program Peningkatan Kualitas dan Akses Informasi SDA dan Lingkungan Hidup</t>
  </si>
  <si>
    <t>Terpenuhinya program kegiatan sesuai dengan rencana dan peraturan yang berlaku</t>
  </si>
  <si>
    <t>Program Peningkatan Pengendalian Polusi</t>
  </si>
  <si>
    <t>Pengujian emisi udara akibat aktivitas industri</t>
  </si>
  <si>
    <t>titik</t>
  </si>
  <si>
    <t>Pengujian emisi udara akibat aktivitas industri (tembakau)</t>
  </si>
  <si>
    <t xml:space="preserve">Pengujian kadar polusi limbah padat dan limbah cair </t>
  </si>
  <si>
    <t xml:space="preserve">Pengujian kadar polusi limbah padat dan limbah cair tembakau </t>
  </si>
  <si>
    <t>Pembinaan industri tembakau yang berwawasan lingkungan</t>
  </si>
  <si>
    <t>Kecamatan</t>
  </si>
  <si>
    <t>Penyuluhan dan pengendalian polusi dan pencemaran</t>
  </si>
  <si>
    <t xml:space="preserve">Sosialisasi hukum lingkungan </t>
  </si>
  <si>
    <t>Pengawasan dan pembinaan retribusi izin gangguan</t>
  </si>
  <si>
    <t xml:space="preserve">Perbaikan lingkungan sekitar industri tembakau </t>
  </si>
  <si>
    <t>Pengujian kualitas lingkungan sekitar industri rokok/ tembakau</t>
  </si>
  <si>
    <t>Penerapan manajemen limbah industri hasil tembakau yang mengacu kepada AMDAL</t>
  </si>
  <si>
    <t>Program pengelolaan ruang terbuka hijau (RTH)</t>
  </si>
  <si>
    <t>Penataan RTH</t>
  </si>
  <si>
    <t xml:space="preserve">Penurunan emisi gas (pembangunan peneduh hijau dan penataan hutan kota) </t>
  </si>
  <si>
    <t>Belanja barang dan jasa`</t>
  </si>
  <si>
    <t>Pembuatan taman hijau (RTH)</t>
  </si>
  <si>
    <t>Pengendalian emisi gas rumah kaca (Pembuatan taman hijau)</t>
  </si>
  <si>
    <t>Pembuatan Taman Hijau Kota</t>
  </si>
  <si>
    <t>JUMLAH ANGGARAN DAN REALISASI DARI SELURUH PROGRAM</t>
  </si>
  <si>
    <t>TOTAL RATA-RATA CAPAIN KINERJA DAN ANGGARAN DARI SELURUH PROGRAM (PROGRAM 1 s.d PROGRAM…….)</t>
  </si>
  <si>
    <t>PREIKAT KINERJA DARI SELURUH PROGRAM (PROGRAM 1 s.d PROGRAM…….)</t>
  </si>
  <si>
    <t>Faktor Pendorong Keberhasilan Kinerja:</t>
  </si>
  <si>
    <t>Faktor Penghambat Pencapain Kinerja:</t>
  </si>
  <si>
    <t>Tindak Lanjut yang Diperlukan dalam Triwulan Berikutnya:</t>
  </si>
  <si>
    <t>Tindak Lanjut yang Diperlukan dalam Renja SKPD Tahun Berikutnya:</t>
  </si>
  <si>
    <t>*)coret yang tidak perlu</t>
  </si>
  <si>
    <t>Dievaluasi</t>
  </si>
  <si>
    <t>………………….,  tanggal ...................</t>
  </si>
  <si>
    <t>(           NAMA          )</t>
  </si>
  <si>
    <t>Pengadaan kendaraan dinas/oprasional</t>
  </si>
  <si>
    <t>Pengadaan kendaraan dinas roda dua</t>
  </si>
  <si>
    <t>Mesin pencacah sampah organik dan belanja bahan perlengkapan kerja</t>
  </si>
  <si>
    <t>Realisasi Capaian Kinerja Renstra SKPD s.d Renja SKPD Tahun Lalu (2016)</t>
  </si>
  <si>
    <t>Target Kinerja dan Anggaran Renja SKPD Tahun Berjalan yang Dievaluasi (2017)</t>
  </si>
  <si>
    <t>Pengadaan Perlengkapan Gedung Kantor</t>
  </si>
  <si>
    <t xml:space="preserve">Peningkatan peranserta masyarakat </t>
  </si>
  <si>
    <t>buku</t>
  </si>
  <si>
    <t>Penyusunan dokumen AMDAL penanganan kerusakan kawasan pantai di Kecamatan Sayung dan Karangtengah</t>
  </si>
  <si>
    <t>Dokumen lingkungan dan izin lingkungan</t>
  </si>
  <si>
    <t xml:space="preserve">Pengadaan bibit tanaman </t>
  </si>
  <si>
    <t>Penyusunan kajian kerusakan tanah untuk biomassa</t>
  </si>
  <si>
    <t>Pencacah sampah mobile   (1 unit)</t>
  </si>
  <si>
    <t xml:space="preserve">Pembangunan TPST </t>
  </si>
  <si>
    <t>Pengadaan alat pemroses sampah</t>
  </si>
  <si>
    <t>Penataan tpa dan pembangunan IPAL Lindi TPA Kalikondang</t>
  </si>
  <si>
    <t>Pembangunan sarana pengolah sampah TPA Kalikondang</t>
  </si>
  <si>
    <t>Pembuatan pagar keliling dan saluran TPA Candisari</t>
  </si>
  <si>
    <t>Penyusunan kebijakan kerjasama pengelolaan persampahan</t>
  </si>
  <si>
    <t>Penyusunan dokumen UKL -UPL TPA Kalikondang dan TPA candisari</t>
  </si>
  <si>
    <t>dok</t>
  </si>
  <si>
    <t>Peningkatan oprasi dan pemeliharaan prasarana dan sarana persampahan</t>
  </si>
  <si>
    <t>Pengelolaan sampah TPA</t>
  </si>
  <si>
    <t>KEPALA DINAS LINGKUNGAN HIDUP</t>
  </si>
  <si>
    <t xml:space="preserve">NIP.  19670821 198607 1 001 </t>
  </si>
  <si>
    <t>KEPALA BAPPEDA DAN LITBANG</t>
  </si>
  <si>
    <t>DINAS LINGKUNGAN HIDUP</t>
  </si>
  <si>
    <t>URAIAN PELAKSANAAN KEGIATAN DAN HASIL KEGIATAN</t>
  </si>
  <si>
    <t>TAHUN ANGGARAN 2017</t>
  </si>
  <si>
    <t>DINAS LINGKUNGAN HIDUP KABUPATEN DEMAK</t>
  </si>
  <si>
    <t>Pemanfaatan gas metan di TPA Kalikondang (Perubahan)</t>
  </si>
  <si>
    <t>Penyusunan studi kelayakan lokasi tempat pemprosesan akhir (TPA) sampah Kab. Demak tahun 2017</t>
  </si>
  <si>
    <t>Konsultan pengawas pembangunan TPST (Desa Jatisono kec. gajah dan desa Sumberejo Kec. Bonang), IPAL Lindi TPA Kalikondang, Pembangunan sarana pengolah sampah TPA Kalikondang dan Pembuatan pagar keliling dan saluran TPA candisari</t>
  </si>
  <si>
    <t>Kajian Lingkungan hidup strategis (KLHS) revisi RTRW</t>
  </si>
  <si>
    <t xml:space="preserve">Penyusunan Dokumen Daya Dukung Daya Tampung lingkungan </t>
  </si>
  <si>
    <t>Sosialisasi</t>
  </si>
  <si>
    <t>kali</t>
  </si>
  <si>
    <t>Demak, 2  Januari  2018</t>
  </si>
  <si>
    <t>Drs. AGUS MUSYAFAK, M.Si</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</si>
</sst>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0_);\(#,##0\);\-"/>
    <numFmt numFmtId="171" formatCode="_(* #,##0_);_(* \(#,##0\);_(* &quot;-&quot;??_);_(@_)"/>
    <numFmt numFmtId="172" formatCode="_(* #,##0.00_);_(* \(#,##0.00\);_(* &quot;-&quot;_);_(@_)"/>
    <numFmt numFmtId="173" formatCode="_(* #,##0.000_);_(* \(#,##0.000\);_(* &quot;-&quot;??_);_(@_)"/>
    <numFmt numFmtId="174" formatCode="_-* #,##0\ _€_-;\-* #,##0\ _€_-;_-* &quot;-&quot;\ _€_-;_-@_-"/>
    <numFmt numFmtId="175" formatCode="&quot;Rp&quot;#,##0"/>
    <numFmt numFmtId="176" formatCode="&quot;Rp&quot;#,##0.000"/>
    <numFmt numFmtId="177" formatCode="_(&quot;Rp&quot;* #,##0.000_);_(&quot;Rp&quot;* \(#,##0.000\);_(&quot;Rp&quot;* &quot;-&quot;_);_(@_)"/>
    <numFmt numFmtId="178" formatCode="_(* #,##0.0_);_(* \(#,##0.0\);_(* &quot;-&quot;??_);_(@_)"/>
    <numFmt numFmtId="179" formatCode="_(* #,##0.000_);_(* \(#,##0.000\);_(* &quot;-&quot;_);_(@_)"/>
    <numFmt numFmtId="180" formatCode="_(* #,##0.000_);_(* \(#,##0.000\);_(* &quot;-&quot;???_);_(@_)"/>
    <numFmt numFmtId="181" formatCode="_(* #,##0.0_);_(* \(#,##0.0\);_(* &quot;-&quot;_);_(@_)"/>
    <numFmt numFmtId="182" formatCode="_(* #,##0.0000_);_(* \(#,##0.0000\);_(* &quot;-&quot;??_);_(@_)"/>
    <numFmt numFmtId="183" formatCode="#,##0.0_);\(#,##0.0\);\-"/>
    <numFmt numFmtId="184" formatCode="#,##0.00_);\(#,##0.00\);\-"/>
    <numFmt numFmtId="185" formatCode="#,##0.000_);\(#,##0.000\);\-"/>
    <numFmt numFmtId="186" formatCode="_(* #,##0.00000_);_(* \(#,##0.00000\);_(* &quot;-&quot;??_);_(@_)"/>
    <numFmt numFmtId="187" formatCode="_(* #,##0.000000_);_(* \(#,##0.000000\);_(* &quot;-&quot;??_);_(@_)"/>
    <numFmt numFmtId="188" formatCode="0.000000"/>
    <numFmt numFmtId="189" formatCode="0.00000"/>
    <numFmt numFmtId="190" formatCode="0.0000"/>
    <numFmt numFmtId="191" formatCode="0.000"/>
    <numFmt numFmtId="192" formatCode="0.0"/>
    <numFmt numFmtId="193" formatCode="_(* #,##0.0000_);_(* \(#,##0.0000\);_(* &quot;-&quot;_);_(@_)"/>
    <numFmt numFmtId="194" formatCode="[$-421]dd\ mmmm\ yyyy"/>
  </numFmts>
  <fonts count="97">
    <font>
      <sz val="11"/>
      <color theme="1"/>
      <name val="Calibri"/>
      <family val="2"/>
    </font>
    <font>
      <sz val="11"/>
      <color indexed="8"/>
      <name val="Calibri"/>
      <family val="2"/>
    </font>
    <font>
      <b/>
      <sz val="10"/>
      <name val="Arial"/>
      <family val="2"/>
    </font>
    <font>
      <b/>
      <sz val="10"/>
      <name val="Arial Narrow"/>
      <family val="2"/>
    </font>
    <font>
      <b/>
      <sz val="9"/>
      <name val="Arial Narrow"/>
      <family val="2"/>
    </font>
    <font>
      <b/>
      <sz val="8"/>
      <name val="Arial Narrow"/>
      <family val="2"/>
    </font>
    <font>
      <sz val="10"/>
      <name val="Arial Narrow"/>
      <family val="2"/>
    </font>
    <font>
      <sz val="9"/>
      <name val="Arial Narrow"/>
      <family val="2"/>
    </font>
    <font>
      <sz val="10"/>
      <color indexed="8"/>
      <name val="Arial"/>
      <family val="2"/>
    </font>
    <font>
      <b/>
      <u val="single"/>
      <sz val="10"/>
      <name val="Arial Narrow"/>
      <family val="2"/>
    </font>
    <font>
      <i/>
      <sz val="10"/>
      <name val="Arial Narrow"/>
      <family val="2"/>
    </font>
    <font>
      <sz val="10"/>
      <name val="Arial"/>
      <family val="2"/>
    </font>
    <font>
      <sz val="8"/>
      <name val="Arial Narrow"/>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9"/>
      <name val="Calibri"/>
      <family val="2"/>
    </font>
    <font>
      <sz val="9"/>
      <color indexed="10"/>
      <name val="Calibri"/>
      <family val="2"/>
    </font>
    <font>
      <sz val="12"/>
      <color indexed="8"/>
      <name val="Calibri"/>
      <family val="2"/>
    </font>
    <font>
      <b/>
      <sz val="8"/>
      <color indexed="8"/>
      <name val="Calibri"/>
      <family val="2"/>
    </font>
    <font>
      <b/>
      <sz val="9"/>
      <color indexed="8"/>
      <name val="Calibri"/>
      <family val="2"/>
    </font>
    <font>
      <b/>
      <sz val="9"/>
      <name val="Calibri"/>
      <family val="2"/>
    </font>
    <font>
      <b/>
      <sz val="8"/>
      <name val="Calibri"/>
      <family val="2"/>
    </font>
    <font>
      <b/>
      <sz val="9"/>
      <color indexed="8"/>
      <name val="Arial Narrow"/>
      <family val="2"/>
    </font>
    <font>
      <sz val="9"/>
      <color indexed="8"/>
      <name val="Arial Narrow"/>
      <family val="2"/>
    </font>
    <font>
      <sz val="10"/>
      <color indexed="8"/>
      <name val="Arial Narrow"/>
      <family val="2"/>
    </font>
    <font>
      <b/>
      <sz val="10"/>
      <color indexed="8"/>
      <name val="Arial Narrow"/>
      <family val="2"/>
    </font>
    <font>
      <sz val="9"/>
      <color indexed="10"/>
      <name val="Arial Narrow"/>
      <family val="2"/>
    </font>
    <font>
      <sz val="8"/>
      <color indexed="8"/>
      <name val="Arial Narrow"/>
      <family val="2"/>
    </font>
    <font>
      <b/>
      <sz val="8"/>
      <color indexed="8"/>
      <name val="Arial Narrow"/>
      <family val="2"/>
    </font>
    <font>
      <i/>
      <sz val="9"/>
      <color indexed="8"/>
      <name val="Calibri"/>
      <family val="2"/>
    </font>
    <font>
      <sz val="9"/>
      <color indexed="9"/>
      <name val="Calibri"/>
      <family val="2"/>
    </font>
    <font>
      <sz val="8"/>
      <color indexed="8"/>
      <name val="Calibri"/>
      <family val="2"/>
    </font>
    <font>
      <sz val="10"/>
      <color indexed="10"/>
      <name val="Arial Narrow"/>
      <family val="2"/>
    </font>
    <font>
      <b/>
      <sz val="12"/>
      <color indexed="8"/>
      <name val="Calibri"/>
      <family val="2"/>
    </font>
    <font>
      <i/>
      <sz val="12"/>
      <color indexed="8"/>
      <name val="Calibri"/>
      <family val="2"/>
    </font>
    <font>
      <sz val="8"/>
      <name val="Calibri"/>
      <family val="2"/>
    </font>
    <font>
      <sz val="16"/>
      <color indexed="8"/>
      <name val="Calibri"/>
      <family val="2"/>
    </font>
    <font>
      <b/>
      <u val="single"/>
      <sz val="16"/>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rgb="FFFF0000"/>
      <name val="Calibri"/>
      <family val="2"/>
    </font>
    <font>
      <sz val="12"/>
      <color theme="1"/>
      <name val="Calibri"/>
      <family val="2"/>
    </font>
    <font>
      <b/>
      <sz val="8"/>
      <color theme="1"/>
      <name val="Calibri"/>
      <family val="2"/>
    </font>
    <font>
      <b/>
      <sz val="9"/>
      <color theme="1"/>
      <name val="Calibri"/>
      <family val="2"/>
    </font>
    <font>
      <b/>
      <sz val="9"/>
      <color theme="1"/>
      <name val="Arial Narrow"/>
      <family val="2"/>
    </font>
    <font>
      <sz val="9"/>
      <color theme="1"/>
      <name val="Arial Narrow"/>
      <family val="2"/>
    </font>
    <font>
      <sz val="10"/>
      <color theme="1"/>
      <name val="Arial Narrow"/>
      <family val="2"/>
    </font>
    <font>
      <b/>
      <sz val="10"/>
      <color theme="1"/>
      <name val="Arial Narrow"/>
      <family val="2"/>
    </font>
    <font>
      <sz val="9"/>
      <color rgb="FFFF0000"/>
      <name val="Arial Narrow"/>
      <family val="2"/>
    </font>
    <font>
      <sz val="8"/>
      <color theme="1"/>
      <name val="Arial Narrow"/>
      <family val="2"/>
    </font>
    <font>
      <b/>
      <sz val="8"/>
      <color theme="1"/>
      <name val="Arial Narrow"/>
      <family val="2"/>
    </font>
    <font>
      <i/>
      <sz val="9"/>
      <color theme="1"/>
      <name val="Calibri"/>
      <family val="2"/>
    </font>
    <font>
      <sz val="9"/>
      <color rgb="FF000000"/>
      <name val="Calibri"/>
      <family val="2"/>
    </font>
    <font>
      <sz val="9"/>
      <color theme="0"/>
      <name val="Calibri"/>
      <family val="2"/>
    </font>
    <font>
      <sz val="8"/>
      <color theme="1"/>
      <name val="Calibri"/>
      <family val="2"/>
    </font>
    <font>
      <sz val="10"/>
      <color rgb="FFFF0000"/>
      <name val="Arial Narrow"/>
      <family val="2"/>
    </font>
    <font>
      <sz val="16"/>
      <color rgb="FF000000"/>
      <name val="Calibri"/>
      <family val="2"/>
    </font>
    <font>
      <sz val="16"/>
      <color theme="1"/>
      <name val="Calibri"/>
      <family val="2"/>
    </font>
    <font>
      <b/>
      <u val="single"/>
      <sz val="16"/>
      <color rgb="FF000000"/>
      <name val="Calibri"/>
      <family val="2"/>
    </font>
    <font>
      <sz val="14"/>
      <color theme="1"/>
      <name val="Calibri"/>
      <family val="2"/>
    </font>
    <font>
      <sz val="14"/>
      <color rgb="FF000000"/>
      <name val="Calibri"/>
      <family val="2"/>
    </font>
    <font>
      <b/>
      <sz val="12"/>
      <color theme="1"/>
      <name val="Calibri"/>
      <family val="2"/>
    </font>
    <font>
      <i/>
      <sz val="12"/>
      <color theme="1"/>
      <name val="Calibri"/>
      <family val="2"/>
    </font>
    <font>
      <b/>
      <sz val="9"/>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right style="thin"/>
      <top/>
      <bottom style="thin"/>
    </border>
    <border>
      <left style="thin"/>
      <right/>
      <top style="thin"/>
      <bottom style="thin"/>
    </border>
    <border>
      <left style="thin"/>
      <right style="thin"/>
      <top style="thin"/>
      <bottom style="thin"/>
    </border>
    <border>
      <left style="thin"/>
      <right style="thin"/>
      <top/>
      <bottom style="thin"/>
    </border>
    <border>
      <left style="thin"/>
      <right style="double"/>
      <top/>
      <bottom style="thin"/>
    </border>
    <border>
      <left style="double"/>
      <right style="thin"/>
      <top/>
      <bottom style="thin"/>
    </border>
    <border>
      <left style="double"/>
      <right style="thin"/>
      <top style="thin"/>
      <bottom style="thin"/>
    </border>
    <border>
      <left style="thin"/>
      <right style="double"/>
      <top style="thin"/>
      <bottom style="thin"/>
    </border>
    <border>
      <left/>
      <right style="thin"/>
      <top style="double"/>
      <bottom style="thin"/>
    </border>
    <border>
      <left/>
      <right style="thin"/>
      <top style="thin"/>
      <bottom style="thin"/>
    </border>
    <border>
      <left style="thin"/>
      <right style="thin"/>
      <top style="thin"/>
      <bottom/>
    </border>
    <border>
      <left style="thin"/>
      <right style="thin"/>
      <top/>
      <bottom/>
    </border>
    <border>
      <left style="thin"/>
      <right style="thin"/>
      <top style="thin"/>
      <bottom style="hair"/>
    </border>
    <border>
      <left style="thin"/>
      <right style="thin"/>
      <top style="hair"/>
      <bottom style="thin"/>
    </border>
    <border>
      <left style="double"/>
      <right/>
      <top style="thin"/>
      <bottom style="thin"/>
    </border>
    <border>
      <left/>
      <right/>
      <top style="thin"/>
      <bottom style="thin"/>
    </border>
    <border>
      <left/>
      <right style="double"/>
      <top style="thin"/>
      <bottom style="thin"/>
    </border>
    <border>
      <left style="double"/>
      <right/>
      <top style="thin"/>
      <bottom style="double"/>
    </border>
    <border>
      <left/>
      <right/>
      <top style="thin"/>
      <bottom style="double"/>
    </border>
    <border>
      <left/>
      <right style="double"/>
      <top style="thin"/>
      <bottom style="double"/>
    </border>
    <border>
      <left/>
      <right/>
      <top style="double"/>
      <bottom/>
    </border>
    <border>
      <left style="double"/>
      <right/>
      <top style="double"/>
      <bottom style="thin"/>
    </border>
    <border>
      <left/>
      <right/>
      <top style="double"/>
      <bottom style="thin"/>
    </border>
    <border>
      <left style="thin"/>
      <right style="thin"/>
      <top/>
      <bottom style="double"/>
    </border>
    <border>
      <left style="thin"/>
      <right style="double"/>
      <top style="thin"/>
      <bottom/>
    </border>
    <border>
      <left style="thin"/>
      <right style="double"/>
      <top/>
      <bottom style="double"/>
    </border>
    <border>
      <left style="double"/>
      <right style="thin"/>
      <top style="thin"/>
      <bottom/>
    </border>
    <border>
      <left style="double"/>
      <right style="thin"/>
      <top/>
      <bottom style="double"/>
    </border>
    <border>
      <left style="thin"/>
      <right style="thin"/>
      <top style="double"/>
      <bottom/>
    </border>
    <border>
      <left style="thin"/>
      <right style="double"/>
      <top style="double"/>
      <bottom/>
    </border>
    <border>
      <left style="thin"/>
      <right style="double"/>
      <top/>
      <bottom/>
    </border>
    <border>
      <left style="thin"/>
      <right/>
      <top style="double"/>
      <bottom/>
    </border>
    <border>
      <left/>
      <right style="thin"/>
      <top style="double"/>
      <bottom/>
    </border>
    <border>
      <left style="thin"/>
      <right/>
      <top/>
      <bottom style="thin"/>
    </border>
    <border>
      <left style="thin"/>
      <right/>
      <top style="double"/>
      <bottom style="thin"/>
    </border>
    <border>
      <left style="double"/>
      <right style="thin"/>
      <top style="double"/>
      <bottom/>
    </border>
  </borders>
  <cellStyleXfs count="3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8" fillId="0" borderId="0" applyFont="0" applyFill="0" applyBorder="0" applyAlignment="0" applyProtection="0"/>
    <xf numFmtId="41" fontId="0"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41" fontId="13" fillId="0" borderId="0" applyFont="0" applyFill="0" applyBorder="0" applyAlignment="0" applyProtection="0"/>
    <xf numFmtId="41" fontId="0" fillId="0" borderId="0" applyFont="0" applyFill="0" applyBorder="0" applyAlignment="0" applyProtection="0"/>
    <xf numFmtId="41" fontId="1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11" fillId="0" borderId="0" applyFont="0" applyFill="0" applyBorder="0" applyAlignment="0" applyProtection="0"/>
    <xf numFmtId="41" fontId="1" fillId="0" borderId="0" applyFont="0" applyFill="0" applyBorder="0" applyAlignment="0" applyProtection="0"/>
    <xf numFmtId="41"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8"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11" fillId="0" borderId="0">
      <alignment/>
      <protection/>
    </xf>
    <xf numFmtId="0" fontId="0" fillId="0" borderId="0">
      <alignment/>
      <protection/>
    </xf>
    <xf numFmtId="0" fontId="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top"/>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84">
    <xf numFmtId="0" fontId="0" fillId="0" borderId="0" xfId="0" applyFont="1" applyAlignment="1">
      <alignment/>
    </xf>
    <xf numFmtId="0" fontId="72" fillId="0" borderId="0" xfId="0" applyFont="1" applyFill="1" applyAlignment="1">
      <alignment/>
    </xf>
    <xf numFmtId="0" fontId="31" fillId="0" borderId="0" xfId="0" applyFont="1" applyFill="1" applyAlignment="1">
      <alignment/>
    </xf>
    <xf numFmtId="0" fontId="73" fillId="0" borderId="0" xfId="0" applyFont="1" applyFill="1" applyAlignment="1">
      <alignment/>
    </xf>
    <xf numFmtId="0" fontId="74" fillId="0" borderId="0" xfId="0" applyFont="1" applyAlignment="1">
      <alignment/>
    </xf>
    <xf numFmtId="0" fontId="74" fillId="0" borderId="0" xfId="0" applyFont="1" applyFill="1" applyAlignment="1">
      <alignment/>
    </xf>
    <xf numFmtId="0" fontId="74" fillId="0" borderId="0" xfId="0" applyFont="1" applyAlignment="1">
      <alignment horizontal="left" vertical="center"/>
    </xf>
    <xf numFmtId="0" fontId="75" fillId="0" borderId="0" xfId="0" applyFont="1" applyFill="1" applyAlignment="1">
      <alignment horizontal="center" vertical="center"/>
    </xf>
    <xf numFmtId="0" fontId="36" fillId="0" borderId="10"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3" xfId="148" applyFont="1" applyFill="1" applyBorder="1" applyAlignment="1">
      <alignment horizontal="center" vertical="center" wrapText="1"/>
      <protection/>
    </xf>
    <xf numFmtId="0" fontId="76" fillId="0" borderId="14" xfId="0" applyFont="1" applyFill="1" applyBorder="1" applyAlignment="1">
      <alignment horizontal="center" vertical="center"/>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76"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8" xfId="148" applyFont="1" applyFill="1" applyBorder="1" applyAlignment="1">
      <alignment horizontal="center" vertical="center" wrapText="1"/>
      <protection/>
    </xf>
    <xf numFmtId="0" fontId="76" fillId="33" borderId="19" xfId="0" applyFont="1" applyFill="1" applyBorder="1" applyAlignment="1">
      <alignment horizontal="center" vertical="center"/>
    </xf>
    <xf numFmtId="0" fontId="3" fillId="33" borderId="16" xfId="0" applyFont="1" applyFill="1" applyBorder="1" applyAlignment="1">
      <alignment vertical="top" wrapText="1"/>
    </xf>
    <xf numFmtId="0" fontId="76" fillId="33" borderId="17" xfId="0" applyFont="1" applyFill="1" applyBorder="1" applyAlignment="1">
      <alignment horizontal="center" vertical="center"/>
    </xf>
    <xf numFmtId="0" fontId="76" fillId="33" borderId="17" xfId="0" applyFont="1" applyFill="1" applyBorder="1" applyAlignment="1">
      <alignment horizontal="center" vertical="top"/>
    </xf>
    <xf numFmtId="170" fontId="37" fillId="33" borderId="17" xfId="0" applyNumberFormat="1" applyFont="1" applyFill="1" applyBorder="1" applyAlignment="1">
      <alignment horizontal="center" vertical="top"/>
    </xf>
    <xf numFmtId="41" fontId="4" fillId="33" borderId="17" xfId="43" applyNumberFormat="1" applyFont="1" applyFill="1" applyBorder="1" applyAlignment="1">
      <alignment horizontal="center" vertical="top"/>
    </xf>
    <xf numFmtId="171" fontId="4" fillId="33" borderId="16" xfId="109" applyNumberFormat="1" applyFont="1" applyFill="1" applyBorder="1" applyAlignment="1">
      <alignment horizontal="right" vertical="top" wrapText="1"/>
    </xf>
    <xf numFmtId="41" fontId="77" fillId="33" borderId="16" xfId="0" applyNumberFormat="1" applyFont="1" applyFill="1" applyBorder="1" applyAlignment="1">
      <alignment vertical="top"/>
    </xf>
    <xf numFmtId="172" fontId="77" fillId="33" borderId="16" xfId="0" applyNumberFormat="1" applyFont="1" applyFill="1" applyBorder="1" applyAlignment="1">
      <alignment vertical="top"/>
    </xf>
    <xf numFmtId="171" fontId="77" fillId="33" borderId="16" xfId="0" applyNumberFormat="1" applyFont="1" applyFill="1" applyBorder="1" applyAlignment="1">
      <alignment vertical="top"/>
    </xf>
    <xf numFmtId="172" fontId="77" fillId="33" borderId="16" xfId="43" applyNumberFormat="1" applyFont="1" applyFill="1" applyBorder="1" applyAlignment="1">
      <alignment vertical="top"/>
    </xf>
    <xf numFmtId="0" fontId="0" fillId="33" borderId="0" xfId="0" applyFill="1" applyAlignment="1">
      <alignment/>
    </xf>
    <xf numFmtId="0" fontId="76" fillId="0" borderId="20" xfId="0" applyFont="1" applyFill="1" applyBorder="1" applyAlignment="1">
      <alignment horizontal="center" vertical="center"/>
    </xf>
    <xf numFmtId="0" fontId="6" fillId="0" borderId="16" xfId="0" applyFont="1" applyFill="1" applyBorder="1" applyAlignment="1">
      <alignment vertical="top" wrapText="1"/>
    </xf>
    <xf numFmtId="0" fontId="7" fillId="34" borderId="16" xfId="176" applyFont="1" applyFill="1" applyBorder="1" applyAlignment="1">
      <alignment vertical="top" wrapText="1"/>
      <protection/>
    </xf>
    <xf numFmtId="0" fontId="78" fillId="0" borderId="16" xfId="0" applyFont="1" applyFill="1" applyBorder="1" applyAlignment="1">
      <alignment horizontal="center" vertical="top"/>
    </xf>
    <xf numFmtId="170" fontId="7" fillId="0" borderId="16" xfId="0" applyNumberFormat="1" applyFont="1" applyFill="1" applyBorder="1" applyAlignment="1">
      <alignment horizontal="right" vertical="top" wrapText="1"/>
    </xf>
    <xf numFmtId="41" fontId="78" fillId="0" borderId="16" xfId="43" applyFont="1" applyFill="1" applyBorder="1" applyAlignment="1">
      <alignment horizontal="center" vertical="top"/>
    </xf>
    <xf numFmtId="0" fontId="7" fillId="0" borderId="16" xfId="0" applyFont="1" applyFill="1" applyBorder="1" applyAlignment="1">
      <alignment horizontal="center" vertical="top"/>
    </xf>
    <xf numFmtId="41" fontId="7" fillId="0" borderId="16" xfId="43" applyFont="1" applyFill="1" applyBorder="1" applyAlignment="1">
      <alignment horizontal="center" vertical="top"/>
    </xf>
    <xf numFmtId="171" fontId="4" fillId="0" borderId="16" xfId="109" applyNumberFormat="1" applyFont="1" applyFill="1" applyBorder="1" applyAlignment="1">
      <alignment horizontal="right" vertical="top" wrapText="1"/>
    </xf>
    <xf numFmtId="41" fontId="77" fillId="0" borderId="16" xfId="0" applyNumberFormat="1" applyFont="1" applyBorder="1" applyAlignment="1">
      <alignment vertical="top"/>
    </xf>
    <xf numFmtId="172" fontId="77" fillId="0" borderId="16" xfId="0" applyNumberFormat="1" applyFont="1" applyBorder="1" applyAlignment="1">
      <alignment vertical="top"/>
    </xf>
    <xf numFmtId="171" fontId="77" fillId="0" borderId="16" xfId="0" applyNumberFormat="1" applyFont="1" applyBorder="1" applyAlignment="1">
      <alignment vertical="top"/>
    </xf>
    <xf numFmtId="172" fontId="77" fillId="0" borderId="16" xfId="43" applyNumberFormat="1" applyFont="1" applyBorder="1" applyAlignment="1">
      <alignment vertical="top"/>
    </xf>
    <xf numFmtId="0" fontId="36" fillId="0" borderId="21" xfId="148" applyFont="1" applyFill="1" applyBorder="1" applyAlignment="1">
      <alignment horizontal="center" vertical="center" wrapText="1"/>
      <protection/>
    </xf>
    <xf numFmtId="170" fontId="7" fillId="0" borderId="16" xfId="70" applyNumberFormat="1" applyFont="1" applyFill="1" applyBorder="1" applyAlignment="1">
      <alignment vertical="top"/>
    </xf>
    <xf numFmtId="0" fontId="78" fillId="0" borderId="11" xfId="0" applyFont="1" applyBorder="1" applyAlignment="1">
      <alignment/>
    </xf>
    <xf numFmtId="0" fontId="78" fillId="0" borderId="22" xfId="0" applyFont="1" applyBorder="1" applyAlignment="1">
      <alignment/>
    </xf>
    <xf numFmtId="0" fontId="79" fillId="0" borderId="12" xfId="0" applyFont="1" applyBorder="1" applyAlignment="1">
      <alignment/>
    </xf>
    <xf numFmtId="0" fontId="78" fillId="0" borderId="12" xfId="0" applyFont="1" applyBorder="1" applyAlignment="1">
      <alignment/>
    </xf>
    <xf numFmtId="0" fontId="7" fillId="0" borderId="12" xfId="0" applyFont="1" applyFill="1" applyBorder="1" applyAlignment="1">
      <alignment/>
    </xf>
    <xf numFmtId="0" fontId="78" fillId="0" borderId="12" xfId="0" applyFont="1" applyFill="1" applyBorder="1" applyAlignment="1">
      <alignment/>
    </xf>
    <xf numFmtId="0" fontId="78" fillId="0" borderId="13" xfId="0" applyFont="1" applyBorder="1" applyAlignment="1">
      <alignment/>
    </xf>
    <xf numFmtId="0" fontId="79" fillId="0" borderId="0" xfId="0" applyFont="1" applyAlignment="1">
      <alignment/>
    </xf>
    <xf numFmtId="0" fontId="78" fillId="33" borderId="20" xfId="0" applyFont="1" applyFill="1" applyBorder="1" applyAlignment="1">
      <alignment/>
    </xf>
    <xf numFmtId="0" fontId="78" fillId="33" borderId="23" xfId="0" applyFont="1" applyFill="1" applyBorder="1" applyAlignment="1">
      <alignment/>
    </xf>
    <xf numFmtId="49" fontId="4" fillId="33" borderId="16" xfId="226" applyNumberFormat="1" applyFont="1" applyFill="1" applyBorder="1" applyAlignment="1">
      <alignment horizontal="left" vertical="top" wrapText="1"/>
      <protection/>
    </xf>
    <xf numFmtId="49" fontId="6" fillId="33" borderId="16" xfId="226" applyNumberFormat="1" applyFont="1" applyFill="1" applyBorder="1" applyAlignment="1">
      <alignment horizontal="left" vertical="top" wrapText="1"/>
      <protection/>
    </xf>
    <xf numFmtId="41" fontId="4" fillId="33" borderId="16" xfId="43" applyFont="1" applyFill="1" applyBorder="1" applyAlignment="1">
      <alignment horizontal="left" vertical="top" wrapText="1"/>
    </xf>
    <xf numFmtId="0" fontId="79" fillId="33" borderId="0" xfId="0" applyFont="1" applyFill="1" applyAlignment="1">
      <alignment/>
    </xf>
    <xf numFmtId="0" fontId="78" fillId="0" borderId="20" xfId="0" applyFont="1" applyBorder="1" applyAlignment="1">
      <alignment vertical="top"/>
    </xf>
    <xf numFmtId="0" fontId="78" fillId="0" borderId="23" xfId="0" applyFont="1" applyBorder="1" applyAlignment="1">
      <alignment vertical="top"/>
    </xf>
    <xf numFmtId="49" fontId="4" fillId="35" borderId="16" xfId="153" applyNumberFormat="1" applyFont="1" applyFill="1" applyBorder="1" applyAlignment="1">
      <alignment horizontal="left" vertical="top" wrapText="1"/>
      <protection/>
    </xf>
    <xf numFmtId="49" fontId="3" fillId="35" borderId="16" xfId="153" applyNumberFormat="1" applyFont="1" applyFill="1" applyBorder="1" applyAlignment="1">
      <alignment horizontal="left" vertical="top" wrapText="1"/>
      <protection/>
    </xf>
    <xf numFmtId="171" fontId="4" fillId="35" borderId="16" xfId="109" applyNumberFormat="1" applyFont="1" applyFill="1" applyBorder="1" applyAlignment="1">
      <alignment horizontal="right" vertical="top" wrapText="1"/>
    </xf>
    <xf numFmtId="171" fontId="77" fillId="35" borderId="16" xfId="109" applyNumberFormat="1" applyFont="1" applyFill="1" applyBorder="1" applyAlignment="1">
      <alignment horizontal="right" vertical="top" wrapText="1"/>
    </xf>
    <xf numFmtId="41" fontId="77" fillId="35" borderId="16" xfId="0" applyNumberFormat="1" applyFont="1" applyFill="1" applyBorder="1" applyAlignment="1">
      <alignment vertical="top"/>
    </xf>
    <xf numFmtId="172" fontId="77" fillId="35" borderId="16" xfId="0" applyNumberFormat="1" applyFont="1" applyFill="1" applyBorder="1" applyAlignment="1">
      <alignment vertical="top"/>
    </xf>
    <xf numFmtId="171" fontId="77" fillId="35" borderId="16" xfId="0" applyNumberFormat="1" applyFont="1" applyFill="1" applyBorder="1" applyAlignment="1">
      <alignment vertical="top"/>
    </xf>
    <xf numFmtId="172" fontId="77" fillId="35" borderId="16" xfId="43" applyNumberFormat="1" applyFont="1" applyFill="1" applyBorder="1" applyAlignment="1">
      <alignment vertical="top"/>
    </xf>
    <xf numFmtId="0" fontId="78" fillId="0" borderId="21" xfId="0" applyFont="1" applyBorder="1" applyAlignment="1">
      <alignment/>
    </xf>
    <xf numFmtId="0" fontId="80" fillId="0" borderId="20" xfId="0" applyFont="1" applyFill="1" applyBorder="1" applyAlignment="1">
      <alignment vertical="top"/>
    </xf>
    <xf numFmtId="49" fontId="3" fillId="0" borderId="16" xfId="226" applyNumberFormat="1" applyFont="1" applyFill="1" applyBorder="1" applyAlignment="1">
      <alignment horizontal="left" vertical="top" wrapText="1"/>
      <protection/>
    </xf>
    <xf numFmtId="171" fontId="3" fillId="0" borderId="16" xfId="109" applyNumberFormat="1" applyFont="1" applyFill="1" applyBorder="1" applyAlignment="1">
      <alignment horizontal="right" vertical="top"/>
    </xf>
    <xf numFmtId="171" fontId="3" fillId="0" borderId="16" xfId="109" applyNumberFormat="1" applyFont="1" applyFill="1" applyBorder="1" applyAlignment="1">
      <alignment horizontal="right" vertical="top" wrapText="1"/>
    </xf>
    <xf numFmtId="41" fontId="80" fillId="0" borderId="16" xfId="0" applyNumberFormat="1" applyFont="1" applyFill="1" applyBorder="1" applyAlignment="1">
      <alignment vertical="top"/>
    </xf>
    <xf numFmtId="172" fontId="80" fillId="0" borderId="16" xfId="0" applyNumberFormat="1" applyFont="1" applyFill="1" applyBorder="1" applyAlignment="1">
      <alignment vertical="top"/>
    </xf>
    <xf numFmtId="171" fontId="80" fillId="0" borderId="16" xfId="0" applyNumberFormat="1" applyFont="1" applyFill="1" applyBorder="1" applyAlignment="1">
      <alignment vertical="top"/>
    </xf>
    <xf numFmtId="172" fontId="80" fillId="0" borderId="16" xfId="43" applyNumberFormat="1" applyFont="1" applyFill="1" applyBorder="1" applyAlignment="1">
      <alignment vertical="top"/>
    </xf>
    <xf numFmtId="0" fontId="80" fillId="0" borderId="21" xfId="0" applyFont="1" applyFill="1" applyBorder="1" applyAlignment="1">
      <alignment/>
    </xf>
    <xf numFmtId="0" fontId="80" fillId="0" borderId="0" xfId="0" applyFont="1" applyFill="1" applyAlignment="1">
      <alignment/>
    </xf>
    <xf numFmtId="49" fontId="6" fillId="34" borderId="16" xfId="226" applyNumberFormat="1" applyFont="1" applyFill="1" applyBorder="1" applyAlignment="1">
      <alignment horizontal="left" vertical="top" wrapText="1"/>
      <protection/>
    </xf>
    <xf numFmtId="41" fontId="7" fillId="0" borderId="16" xfId="43" applyFont="1" applyFill="1" applyBorder="1" applyAlignment="1">
      <alignment vertical="top"/>
    </xf>
    <xf numFmtId="0" fontId="78" fillId="0" borderId="16" xfId="0" applyFont="1" applyBorder="1" applyAlignment="1">
      <alignment vertical="top"/>
    </xf>
    <xf numFmtId="0" fontId="78" fillId="0" borderId="16" xfId="0" applyFont="1" applyFill="1" applyBorder="1" applyAlignment="1">
      <alignment vertical="top"/>
    </xf>
    <xf numFmtId="41" fontId="78" fillId="0" borderId="16" xfId="43" applyFont="1" applyFill="1" applyBorder="1" applyAlignment="1">
      <alignment vertical="top"/>
    </xf>
    <xf numFmtId="0" fontId="7" fillId="0" borderId="16" xfId="0" applyFont="1" applyFill="1" applyBorder="1" applyAlignment="1">
      <alignment vertical="top"/>
    </xf>
    <xf numFmtId="0" fontId="78" fillId="0" borderId="21" xfId="0" applyFont="1" applyBorder="1" applyAlignment="1">
      <alignment vertical="top"/>
    </xf>
    <xf numFmtId="0" fontId="79" fillId="0" borderId="0" xfId="0" applyFont="1" applyAlignment="1">
      <alignment vertical="top"/>
    </xf>
    <xf numFmtId="0" fontId="7" fillId="34" borderId="16" xfId="176" applyFont="1" applyFill="1" applyBorder="1" applyAlignment="1">
      <alignment vertical="top"/>
      <protection/>
    </xf>
    <xf numFmtId="41" fontId="7" fillId="0" borderId="16" xfId="43" applyFont="1" applyBorder="1" applyAlignment="1">
      <alignment vertical="top"/>
    </xf>
    <xf numFmtId="41" fontId="7" fillId="0" borderId="16" xfId="43" applyNumberFormat="1" applyFont="1" applyFill="1" applyBorder="1" applyAlignment="1">
      <alignment vertical="top"/>
    </xf>
    <xf numFmtId="41" fontId="78" fillId="0" borderId="16" xfId="43" applyNumberFormat="1" applyFont="1" applyFill="1" applyBorder="1" applyAlignment="1">
      <alignment vertical="top"/>
    </xf>
    <xf numFmtId="171" fontId="7" fillId="0" borderId="16" xfId="42" applyNumberFormat="1" applyFont="1" applyBorder="1" applyAlignment="1">
      <alignment vertical="top"/>
    </xf>
    <xf numFmtId="171" fontId="78" fillId="0" borderId="16" xfId="42" applyNumberFormat="1" applyFont="1" applyBorder="1" applyAlignment="1">
      <alignment vertical="top"/>
    </xf>
    <xf numFmtId="171" fontId="78" fillId="0" borderId="16" xfId="42" applyNumberFormat="1" applyFont="1" applyFill="1" applyBorder="1" applyAlignment="1">
      <alignment vertical="top"/>
    </xf>
    <xf numFmtId="0" fontId="78" fillId="0" borderId="20" xfId="0" applyFont="1" applyBorder="1" applyAlignment="1">
      <alignment/>
    </xf>
    <xf numFmtId="0" fontId="78" fillId="0" borderId="23" xfId="0" applyFont="1" applyBorder="1" applyAlignment="1">
      <alignment/>
    </xf>
    <xf numFmtId="0" fontId="79" fillId="0" borderId="16" xfId="0" applyFont="1" applyBorder="1" applyAlignment="1">
      <alignment/>
    </xf>
    <xf numFmtId="0" fontId="78" fillId="0" borderId="16" xfId="0" applyFont="1" applyBorder="1" applyAlignment="1">
      <alignment/>
    </xf>
    <xf numFmtId="0" fontId="81" fillId="0" borderId="16" xfId="0" applyFont="1" applyFill="1" applyBorder="1" applyAlignment="1">
      <alignment/>
    </xf>
    <xf numFmtId="0" fontId="78" fillId="0" borderId="16" xfId="0" applyFont="1" applyFill="1" applyBorder="1" applyAlignment="1">
      <alignment/>
    </xf>
    <xf numFmtId="0" fontId="7" fillId="0" borderId="16" xfId="0" applyFont="1" applyFill="1" applyBorder="1" applyAlignment="1">
      <alignment/>
    </xf>
    <xf numFmtId="171" fontId="7" fillId="0" borderId="16" xfId="0" applyNumberFormat="1" applyFont="1" applyFill="1" applyBorder="1" applyAlignment="1">
      <alignment/>
    </xf>
    <xf numFmtId="0" fontId="78" fillId="0" borderId="20" xfId="0" applyFont="1" applyFill="1" applyBorder="1" applyAlignment="1">
      <alignment/>
    </xf>
    <xf numFmtId="0" fontId="78" fillId="0" borderId="23" xfId="0" applyFont="1" applyFill="1" applyBorder="1" applyAlignment="1">
      <alignment/>
    </xf>
    <xf numFmtId="171" fontId="4" fillId="0" borderId="16" xfId="109" applyNumberFormat="1" applyFont="1" applyFill="1" applyBorder="1" applyAlignment="1">
      <alignment horizontal="right" vertical="top"/>
    </xf>
    <xf numFmtId="172" fontId="77" fillId="0" borderId="16" xfId="0" applyNumberFormat="1" applyFont="1" applyFill="1" applyBorder="1" applyAlignment="1">
      <alignment vertical="top"/>
    </xf>
    <xf numFmtId="171" fontId="77" fillId="0" borderId="16" xfId="0" applyNumberFormat="1" applyFont="1" applyFill="1" applyBorder="1" applyAlignment="1">
      <alignment vertical="top"/>
    </xf>
    <xf numFmtId="172" fontId="77" fillId="0" borderId="16" xfId="43" applyNumberFormat="1" applyFont="1" applyFill="1" applyBorder="1" applyAlignment="1">
      <alignment vertical="top"/>
    </xf>
    <xf numFmtId="0" fontId="78" fillId="0" borderId="21" xfId="0" applyFont="1" applyFill="1" applyBorder="1" applyAlignment="1">
      <alignment/>
    </xf>
    <xf numFmtId="0" fontId="79" fillId="0" borderId="0" xfId="0" applyFont="1" applyFill="1" applyAlignment="1">
      <alignment/>
    </xf>
    <xf numFmtId="171" fontId="4" fillId="34" borderId="16" xfId="109" applyNumberFormat="1" applyFont="1" applyFill="1" applyBorder="1" applyAlignment="1">
      <alignment horizontal="right" vertical="top" wrapText="1"/>
    </xf>
    <xf numFmtId="41" fontId="7" fillId="0" borderId="16" xfId="0" applyNumberFormat="1" applyFont="1" applyFill="1" applyBorder="1" applyAlignment="1">
      <alignment vertical="top"/>
    </xf>
    <xf numFmtId="49" fontId="3" fillId="34" borderId="16" xfId="226" applyNumberFormat="1" applyFont="1" applyFill="1" applyBorder="1" applyAlignment="1">
      <alignment horizontal="left" vertical="top" wrapText="1"/>
      <protection/>
    </xf>
    <xf numFmtId="41" fontId="78" fillId="0" borderId="16" xfId="43" applyFont="1" applyBorder="1" applyAlignment="1">
      <alignment vertical="top"/>
    </xf>
    <xf numFmtId="0" fontId="79" fillId="0" borderId="16" xfId="0" applyFont="1" applyBorder="1" applyAlignment="1">
      <alignment wrapText="1"/>
    </xf>
    <xf numFmtId="171" fontId="7" fillId="0" borderId="16" xfId="42" applyNumberFormat="1" applyFont="1" applyFill="1" applyBorder="1" applyAlignment="1">
      <alignment vertical="top"/>
    </xf>
    <xf numFmtId="0" fontId="78" fillId="36" borderId="16" xfId="0" applyFont="1" applyFill="1" applyBorder="1" applyAlignment="1">
      <alignment/>
    </xf>
    <xf numFmtId="0" fontId="78" fillId="36" borderId="21" xfId="0" applyFont="1" applyFill="1" applyBorder="1" applyAlignment="1">
      <alignment/>
    </xf>
    <xf numFmtId="0" fontId="78" fillId="35" borderId="20" xfId="0" applyFont="1" applyFill="1" applyBorder="1" applyAlignment="1">
      <alignment/>
    </xf>
    <xf numFmtId="0" fontId="78" fillId="35" borderId="23" xfId="0" applyFont="1" applyFill="1" applyBorder="1" applyAlignment="1">
      <alignment/>
    </xf>
    <xf numFmtId="41" fontId="77" fillId="35" borderId="16" xfId="43" applyNumberFormat="1" applyFont="1" applyFill="1" applyBorder="1" applyAlignment="1">
      <alignment/>
    </xf>
    <xf numFmtId="41" fontId="4" fillId="35" borderId="16" xfId="43" applyNumberFormat="1" applyFont="1" applyFill="1" applyBorder="1" applyAlignment="1">
      <alignment/>
    </xf>
    <xf numFmtId="0" fontId="79" fillId="35" borderId="0" xfId="0" applyFont="1" applyFill="1" applyAlignment="1">
      <alignment/>
    </xf>
    <xf numFmtId="0" fontId="78" fillId="33" borderId="20" xfId="0" applyFont="1" applyFill="1" applyBorder="1" applyAlignment="1">
      <alignment vertical="top"/>
    </xf>
    <xf numFmtId="0" fontId="78" fillId="33" borderId="23" xfId="0" applyFont="1" applyFill="1" applyBorder="1" applyAlignment="1">
      <alignment vertical="top"/>
    </xf>
    <xf numFmtId="49" fontId="3" fillId="33" borderId="16" xfId="226" applyNumberFormat="1" applyFont="1" applyFill="1" applyBorder="1" applyAlignment="1">
      <alignment horizontal="left" vertical="top"/>
      <protection/>
    </xf>
    <xf numFmtId="41" fontId="4" fillId="33" borderId="16" xfId="0" applyNumberFormat="1" applyFont="1" applyFill="1" applyBorder="1" applyAlignment="1">
      <alignment vertical="top"/>
    </xf>
    <xf numFmtId="49" fontId="9" fillId="0" borderId="16" xfId="226" applyNumberFormat="1" applyFont="1" applyFill="1" applyBorder="1" applyAlignment="1">
      <alignment horizontal="left" vertical="top" wrapText="1"/>
      <protection/>
    </xf>
    <xf numFmtId="49" fontId="7" fillId="34" borderId="16" xfId="87" applyNumberFormat="1" applyFont="1" applyFill="1" applyBorder="1" applyAlignment="1">
      <alignment horizontal="left" vertical="top"/>
    </xf>
    <xf numFmtId="41" fontId="7" fillId="34" borderId="16" xfId="44" applyFont="1" applyFill="1" applyBorder="1" applyAlignment="1">
      <alignment horizontal="left" vertical="top"/>
    </xf>
    <xf numFmtId="175" fontId="6" fillId="34" borderId="16" xfId="226" applyNumberFormat="1" applyFont="1" applyFill="1" applyBorder="1" applyAlignment="1">
      <alignment horizontal="left" vertical="top" wrapText="1"/>
      <protection/>
    </xf>
    <xf numFmtId="168" fontId="6" fillId="34" borderId="16" xfId="226" applyNumberFormat="1" applyFont="1" applyFill="1" applyBorder="1" applyAlignment="1">
      <alignment horizontal="left" vertical="top" wrapText="1"/>
      <protection/>
    </xf>
    <xf numFmtId="49" fontId="6" fillId="0" borderId="16" xfId="226" applyNumberFormat="1" applyFont="1" applyFill="1" applyBorder="1" applyAlignment="1">
      <alignment horizontal="left" vertical="top" wrapText="1"/>
      <protection/>
    </xf>
    <xf numFmtId="171" fontId="7" fillId="0" borderId="16" xfId="109" applyNumberFormat="1" applyFont="1" applyFill="1" applyBorder="1" applyAlignment="1">
      <alignment horizontal="right" vertical="top" wrapText="1"/>
    </xf>
    <xf numFmtId="41" fontId="7" fillId="0" borderId="16" xfId="44" applyFont="1" applyFill="1" applyBorder="1" applyAlignment="1">
      <alignment horizontal="left" vertical="top"/>
    </xf>
    <xf numFmtId="0" fontId="79" fillId="0" borderId="16" xfId="0" applyFont="1" applyBorder="1" applyAlignment="1">
      <alignment vertical="top"/>
    </xf>
    <xf numFmtId="41" fontId="78" fillId="0" borderId="16" xfId="43" applyFont="1" applyBorder="1" applyAlignment="1">
      <alignment horizontal="center" vertical="top"/>
    </xf>
    <xf numFmtId="41" fontId="78" fillId="0" borderId="16" xfId="0" applyNumberFormat="1" applyFont="1" applyFill="1" applyBorder="1" applyAlignment="1">
      <alignment vertical="top"/>
    </xf>
    <xf numFmtId="41" fontId="7" fillId="34" borderId="16" xfId="44" applyFont="1" applyFill="1" applyBorder="1" applyAlignment="1">
      <alignment horizontal="left" vertical="top" wrapText="1"/>
    </xf>
    <xf numFmtId="168" fontId="6" fillId="0" borderId="16" xfId="44" applyNumberFormat="1" applyFont="1" applyFill="1" applyBorder="1" applyAlignment="1">
      <alignment horizontal="left" vertical="top" wrapText="1"/>
    </xf>
    <xf numFmtId="49" fontId="7" fillId="0" borderId="16" xfId="87" applyNumberFormat="1" applyFont="1" applyFill="1" applyBorder="1" applyAlignment="1">
      <alignment horizontal="left" vertical="top"/>
    </xf>
    <xf numFmtId="41" fontId="81" fillId="0" borderId="16" xfId="43" applyFont="1" applyFill="1" applyBorder="1" applyAlignment="1">
      <alignment vertical="top"/>
    </xf>
    <xf numFmtId="41" fontId="7" fillId="0" borderId="16" xfId="43" applyFont="1" applyBorder="1" applyAlignment="1">
      <alignment horizontal="center" vertical="top"/>
    </xf>
    <xf numFmtId="175" fontId="10" fillId="34" borderId="16" xfId="226" applyNumberFormat="1" applyFont="1" applyFill="1" applyBorder="1" applyAlignment="1">
      <alignment horizontal="left" vertical="top" wrapText="1"/>
      <protection/>
    </xf>
    <xf numFmtId="41" fontId="78" fillId="0" borderId="16" xfId="43" applyFont="1" applyBorder="1" applyAlignment="1">
      <alignment/>
    </xf>
    <xf numFmtId="41" fontId="78" fillId="0" borderId="16" xfId="43" applyFont="1" applyBorder="1" applyAlignment="1">
      <alignment horizontal="center"/>
    </xf>
    <xf numFmtId="41" fontId="81" fillId="0" borderId="16" xfId="0" applyNumberFormat="1" applyFont="1" applyFill="1" applyBorder="1" applyAlignment="1">
      <alignment/>
    </xf>
    <xf numFmtId="171" fontId="5" fillId="0" borderId="16" xfId="109" applyNumberFormat="1" applyFont="1" applyFill="1" applyBorder="1" applyAlignment="1">
      <alignment horizontal="right" vertical="top" wrapText="1"/>
    </xf>
    <xf numFmtId="172" fontId="7" fillId="0" borderId="16" xfId="43" applyNumberFormat="1" applyFont="1" applyFill="1" applyBorder="1" applyAlignment="1">
      <alignment vertical="top"/>
    </xf>
    <xf numFmtId="41" fontId="7" fillId="34" borderId="16" xfId="44" applyFont="1" applyFill="1" applyBorder="1" applyAlignment="1">
      <alignment horizontal="center" vertical="top"/>
    </xf>
    <xf numFmtId="171" fontId="3" fillId="34" borderId="16" xfId="176" applyNumberFormat="1" applyFont="1" applyFill="1" applyBorder="1" applyAlignment="1">
      <alignment vertical="top" wrapText="1"/>
      <protection/>
    </xf>
    <xf numFmtId="0" fontId="6" fillId="34" borderId="16" xfId="176" applyFont="1" applyFill="1" applyBorder="1" applyAlignment="1">
      <alignment vertical="top" wrapText="1"/>
      <protection/>
    </xf>
    <xf numFmtId="0" fontId="4" fillId="34" borderId="16" xfId="44" applyNumberFormat="1" applyFont="1" applyFill="1" applyBorder="1" applyAlignment="1">
      <alignment horizontal="left" vertical="top" wrapText="1"/>
    </xf>
    <xf numFmtId="0" fontId="7" fillId="34" borderId="16" xfId="44" applyNumberFormat="1" applyFont="1" applyFill="1" applyBorder="1" applyAlignment="1">
      <alignment horizontal="left" vertical="top" wrapText="1"/>
    </xf>
    <xf numFmtId="41" fontId="78" fillId="0" borderId="24" xfId="43" applyFont="1" applyFill="1" applyBorder="1" applyAlignment="1">
      <alignment vertical="top"/>
    </xf>
    <xf numFmtId="41" fontId="7" fillId="0" borderId="25" xfId="83" applyNumberFormat="1" applyFont="1" applyFill="1" applyBorder="1" applyAlignment="1">
      <alignment vertical="top"/>
    </xf>
    <xf numFmtId="41" fontId="7" fillId="34" borderId="16" xfId="44" applyFont="1" applyFill="1" applyBorder="1" applyAlignment="1">
      <alignment horizontal="center" vertical="top" wrapText="1"/>
    </xf>
    <xf numFmtId="0" fontId="77" fillId="0" borderId="16" xfId="0" applyNumberFormat="1" applyFont="1" applyBorder="1" applyAlignment="1">
      <alignment vertical="top"/>
    </xf>
    <xf numFmtId="41" fontId="7" fillId="34" borderId="16" xfId="43" applyFont="1" applyFill="1" applyBorder="1" applyAlignment="1">
      <alignment horizontal="left" vertical="top"/>
    </xf>
    <xf numFmtId="41" fontId="7" fillId="34" borderId="16" xfId="43" applyFont="1" applyFill="1" applyBorder="1" applyAlignment="1" quotePrefix="1">
      <alignment horizontal="left" vertical="top"/>
    </xf>
    <xf numFmtId="0" fontId="79" fillId="0" borderId="16" xfId="0" applyFont="1" applyFill="1" applyBorder="1" applyAlignment="1">
      <alignment vertical="top" wrapText="1"/>
    </xf>
    <xf numFmtId="41" fontId="4" fillId="34" borderId="16" xfId="43" applyFont="1" applyFill="1" applyBorder="1" applyAlignment="1">
      <alignment horizontal="right" vertical="top" wrapText="1"/>
    </xf>
    <xf numFmtId="49" fontId="10" fillId="34" borderId="16" xfId="226" applyNumberFormat="1" applyFont="1" applyFill="1" applyBorder="1" applyAlignment="1" quotePrefix="1">
      <alignment horizontal="left" vertical="top" wrapText="1"/>
      <protection/>
    </xf>
    <xf numFmtId="49" fontId="10" fillId="0" borderId="16" xfId="226" applyNumberFormat="1" applyFont="1" applyFill="1" applyBorder="1" applyAlignment="1" quotePrefix="1">
      <alignment horizontal="left" vertical="top" wrapText="1"/>
      <protection/>
    </xf>
    <xf numFmtId="49" fontId="6" fillId="0" borderId="24" xfId="226" applyNumberFormat="1" applyFont="1" applyFill="1" applyBorder="1" applyAlignment="1">
      <alignment horizontal="left" vertical="top" wrapText="1"/>
      <protection/>
    </xf>
    <xf numFmtId="41" fontId="7" fillId="0" borderId="16" xfId="44" applyFont="1" applyFill="1" applyBorder="1" applyAlignment="1">
      <alignment horizontal="center" vertical="top" wrapText="1"/>
    </xf>
    <xf numFmtId="41" fontId="77" fillId="0" borderId="16" xfId="0" applyNumberFormat="1" applyFont="1" applyFill="1" applyBorder="1" applyAlignment="1">
      <alignment vertical="top"/>
    </xf>
    <xf numFmtId="171" fontId="6" fillId="34" borderId="16" xfId="226" applyNumberFormat="1" applyFont="1" applyFill="1" applyBorder="1" applyAlignment="1">
      <alignment horizontal="left" vertical="top" wrapText="1"/>
      <protection/>
    </xf>
    <xf numFmtId="178" fontId="7" fillId="0" borderId="16" xfId="42" applyNumberFormat="1" applyFont="1" applyFill="1" applyBorder="1" applyAlignment="1">
      <alignment/>
    </xf>
    <xf numFmtId="41" fontId="78" fillId="0" borderId="16" xfId="43" applyFont="1" applyFill="1" applyBorder="1" applyAlignment="1">
      <alignment/>
    </xf>
    <xf numFmtId="41" fontId="7" fillId="0" borderId="16" xfId="43" applyFont="1" applyBorder="1" applyAlignment="1">
      <alignment vertical="top" wrapText="1"/>
    </xf>
    <xf numFmtId="0" fontId="79" fillId="0" borderId="16" xfId="0" applyFont="1" applyBorder="1" applyAlignment="1">
      <alignment vertical="top" wrapText="1"/>
    </xf>
    <xf numFmtId="0" fontId="77" fillId="0" borderId="16" xfId="0" applyNumberFormat="1" applyFont="1" applyFill="1" applyBorder="1" applyAlignment="1">
      <alignment vertical="top"/>
    </xf>
    <xf numFmtId="176" fontId="10" fillId="34" borderId="16" xfId="226" applyNumberFormat="1" applyFont="1" applyFill="1" applyBorder="1" applyAlignment="1">
      <alignment horizontal="left" vertical="top" wrapText="1"/>
      <protection/>
    </xf>
    <xf numFmtId="41" fontId="4" fillId="0" borderId="16" xfId="44" applyFont="1" applyFill="1" applyBorder="1" applyAlignment="1">
      <alignment vertical="top"/>
    </xf>
    <xf numFmtId="0" fontId="6" fillId="34" borderId="16" xfId="226" applyFont="1" applyFill="1" applyBorder="1" applyAlignment="1">
      <alignment vertical="top" wrapText="1"/>
      <protection/>
    </xf>
    <xf numFmtId="0" fontId="12" fillId="34" borderId="16" xfId="176" applyFont="1" applyFill="1" applyBorder="1" applyAlignment="1">
      <alignment horizontal="left" vertical="top" wrapText="1"/>
      <protection/>
    </xf>
    <xf numFmtId="173" fontId="6" fillId="34" borderId="16" xfId="176" applyNumberFormat="1" applyFont="1" applyFill="1" applyBorder="1" applyAlignment="1">
      <alignment vertical="top" wrapText="1"/>
      <protection/>
    </xf>
    <xf numFmtId="0" fontId="82" fillId="0" borderId="20" xfId="0" applyFont="1" applyBorder="1" applyAlignment="1">
      <alignment/>
    </xf>
    <xf numFmtId="0" fontId="82" fillId="0" borderId="23" xfId="0" applyFont="1" applyBorder="1" applyAlignment="1">
      <alignment/>
    </xf>
    <xf numFmtId="173" fontId="12" fillId="34" borderId="16" xfId="176" applyNumberFormat="1" applyFont="1" applyFill="1" applyBorder="1" applyAlignment="1">
      <alignment vertical="top" wrapText="1"/>
      <protection/>
    </xf>
    <xf numFmtId="41" fontId="12" fillId="34" borderId="16" xfId="44" applyFont="1" applyFill="1" applyBorder="1" applyAlignment="1">
      <alignment horizontal="left" vertical="top" wrapText="1"/>
    </xf>
    <xf numFmtId="41" fontId="12" fillId="0" borderId="16" xfId="43" applyFont="1" applyFill="1" applyBorder="1" applyAlignment="1">
      <alignment vertical="top"/>
    </xf>
    <xf numFmtId="41" fontId="82" fillId="0" borderId="16" xfId="43" applyFont="1" applyBorder="1" applyAlignment="1">
      <alignment vertical="top"/>
    </xf>
    <xf numFmtId="41" fontId="82" fillId="0" borderId="16" xfId="43" applyFont="1" applyFill="1" applyBorder="1" applyAlignment="1">
      <alignment vertical="top"/>
    </xf>
    <xf numFmtId="0" fontId="12" fillId="0" borderId="16" xfId="0" applyFont="1" applyFill="1" applyBorder="1" applyAlignment="1">
      <alignment vertical="top"/>
    </xf>
    <xf numFmtId="0" fontId="82" fillId="0" borderId="16" xfId="0" applyFont="1" applyBorder="1" applyAlignment="1">
      <alignment/>
    </xf>
    <xf numFmtId="171" fontId="5" fillId="34" borderId="16" xfId="109" applyNumberFormat="1" applyFont="1" applyFill="1" applyBorder="1" applyAlignment="1">
      <alignment horizontal="right" vertical="top" wrapText="1"/>
    </xf>
    <xf numFmtId="171" fontId="83" fillId="0" borderId="16" xfId="0" applyNumberFormat="1" applyFont="1" applyBorder="1" applyAlignment="1">
      <alignment vertical="top"/>
    </xf>
    <xf numFmtId="172" fontId="83" fillId="0" borderId="16" xfId="43" applyNumberFormat="1" applyFont="1" applyBorder="1" applyAlignment="1">
      <alignment vertical="top"/>
    </xf>
    <xf numFmtId="0" fontId="82" fillId="0" borderId="21" xfId="0" applyFont="1" applyBorder="1" applyAlignment="1">
      <alignment/>
    </xf>
    <xf numFmtId="0" fontId="82" fillId="0" borderId="0" xfId="0" applyFont="1" applyAlignment="1">
      <alignment/>
    </xf>
    <xf numFmtId="41" fontId="77" fillId="0" borderId="16" xfId="0" applyNumberFormat="1" applyFont="1" applyFill="1" applyBorder="1" applyAlignment="1">
      <alignment vertical="top" wrapText="1"/>
    </xf>
    <xf numFmtId="172" fontId="77" fillId="0" borderId="16" xfId="0" applyNumberFormat="1" applyFont="1" applyBorder="1" applyAlignment="1">
      <alignment vertical="top" wrapText="1"/>
    </xf>
    <xf numFmtId="171" fontId="77" fillId="0" borderId="16" xfId="0" applyNumberFormat="1" applyFont="1" applyBorder="1" applyAlignment="1">
      <alignment vertical="top" wrapText="1"/>
    </xf>
    <xf numFmtId="172" fontId="77" fillId="0" borderId="16" xfId="43" applyNumberFormat="1" applyFont="1" applyBorder="1" applyAlignment="1">
      <alignment vertical="top" wrapText="1"/>
    </xf>
    <xf numFmtId="0" fontId="77" fillId="0" borderId="16" xfId="0" applyFont="1" applyBorder="1" applyAlignment="1">
      <alignment vertical="top" wrapText="1"/>
    </xf>
    <xf numFmtId="0" fontId="77" fillId="0" borderId="21" xfId="0" applyFont="1" applyBorder="1" applyAlignment="1">
      <alignment vertical="top" wrapText="1"/>
    </xf>
    <xf numFmtId="0" fontId="80" fillId="0" borderId="0" xfId="0" applyFont="1" applyAlignment="1">
      <alignment vertical="top" wrapText="1"/>
    </xf>
    <xf numFmtId="0" fontId="81" fillId="0" borderId="12" xfId="0" applyFont="1" applyFill="1" applyBorder="1" applyAlignment="1">
      <alignment/>
    </xf>
    <xf numFmtId="0" fontId="78" fillId="0" borderId="12" xfId="0" applyFont="1" applyFill="1" applyBorder="1" applyAlignment="1">
      <alignment/>
    </xf>
    <xf numFmtId="0" fontId="7" fillId="0" borderId="12" xfId="0" applyFont="1" applyFill="1" applyBorder="1" applyAlignment="1">
      <alignment/>
    </xf>
    <xf numFmtId="0" fontId="84" fillId="0" borderId="0" xfId="0" applyFont="1" applyFill="1" applyAlignment="1">
      <alignment/>
    </xf>
    <xf numFmtId="0" fontId="31" fillId="0" borderId="0" xfId="0" applyFont="1" applyFill="1" applyAlignment="1">
      <alignment/>
    </xf>
    <xf numFmtId="0" fontId="72" fillId="0" borderId="0" xfId="0" applyFont="1" applyFill="1" applyAlignment="1">
      <alignment/>
    </xf>
    <xf numFmtId="0" fontId="73" fillId="0" borderId="0" xfId="0" applyFont="1" applyFill="1" applyAlignment="1">
      <alignment/>
    </xf>
    <xf numFmtId="0" fontId="72" fillId="0" borderId="0" xfId="0" applyFont="1" applyAlignment="1">
      <alignment/>
    </xf>
    <xf numFmtId="0" fontId="85" fillId="0" borderId="0" xfId="0" applyFont="1" applyFill="1" applyAlignment="1">
      <alignment horizontal="center" vertical="center"/>
    </xf>
    <xf numFmtId="0" fontId="31" fillId="0" borderId="0" xfId="0" applyFont="1" applyFill="1" applyAlignment="1">
      <alignment horizontal="center" vertical="center"/>
    </xf>
    <xf numFmtId="179" fontId="86" fillId="0" borderId="0" xfId="43" applyNumberFormat="1" applyFont="1" applyFill="1" applyAlignment="1">
      <alignment vertical="center"/>
    </xf>
    <xf numFmtId="171" fontId="72" fillId="0" borderId="0" xfId="0" applyNumberFormat="1" applyFont="1" applyFill="1" applyAlignment="1">
      <alignment horizontal="center" vertical="center"/>
    </xf>
    <xf numFmtId="0" fontId="72" fillId="0" borderId="0" xfId="0" applyFont="1" applyAlignment="1">
      <alignment/>
    </xf>
    <xf numFmtId="0" fontId="72" fillId="35" borderId="0" xfId="0" applyFont="1" applyFill="1" applyAlignment="1">
      <alignment/>
    </xf>
    <xf numFmtId="0" fontId="72" fillId="35" borderId="0" xfId="0" applyFont="1" applyFill="1" applyAlignment="1">
      <alignment/>
    </xf>
    <xf numFmtId="41" fontId="4" fillId="0" borderId="16" xfId="43" applyFont="1" applyFill="1" applyBorder="1" applyAlignment="1">
      <alignment vertical="top"/>
    </xf>
    <xf numFmtId="171" fontId="7" fillId="0" borderId="16" xfId="109" applyNumberFormat="1" applyFont="1" applyFill="1" applyBorder="1" applyAlignment="1">
      <alignment horizontal="right" vertical="top"/>
    </xf>
    <xf numFmtId="171" fontId="7" fillId="34" borderId="16" xfId="109" applyNumberFormat="1" applyFont="1" applyFill="1" applyBorder="1" applyAlignment="1">
      <alignment horizontal="right" vertical="top" wrapText="1"/>
    </xf>
    <xf numFmtId="172" fontId="78" fillId="0" borderId="16" xfId="0" applyNumberFormat="1" applyFont="1" applyBorder="1" applyAlignment="1">
      <alignment vertical="top"/>
    </xf>
    <xf numFmtId="171" fontId="78" fillId="0" borderId="16" xfId="0" applyNumberFormat="1" applyFont="1" applyBorder="1" applyAlignment="1">
      <alignment vertical="top"/>
    </xf>
    <xf numFmtId="172" fontId="78" fillId="0" borderId="16" xfId="43" applyNumberFormat="1" applyFont="1" applyBorder="1" applyAlignment="1">
      <alignment vertical="top"/>
    </xf>
    <xf numFmtId="41" fontId="78" fillId="0" borderId="16" xfId="0" applyNumberFormat="1" applyFont="1" applyBorder="1" applyAlignment="1">
      <alignment vertical="top"/>
    </xf>
    <xf numFmtId="171" fontId="78" fillId="0" borderId="16" xfId="109" applyNumberFormat="1" applyFont="1" applyFill="1" applyBorder="1" applyAlignment="1">
      <alignment horizontal="right" vertical="top"/>
    </xf>
    <xf numFmtId="171" fontId="79" fillId="0" borderId="0" xfId="0" applyNumberFormat="1" applyFont="1" applyAlignment="1">
      <alignment vertical="top"/>
    </xf>
    <xf numFmtId="41" fontId="79" fillId="0" borderId="0" xfId="0" applyNumberFormat="1" applyFont="1" applyAlignment="1">
      <alignment/>
    </xf>
    <xf numFmtId="171" fontId="79" fillId="0" borderId="0" xfId="0" applyNumberFormat="1" applyFont="1" applyAlignment="1">
      <alignment/>
    </xf>
    <xf numFmtId="173" fontId="79" fillId="0" borderId="0" xfId="0" applyNumberFormat="1" applyFont="1" applyAlignment="1">
      <alignment/>
    </xf>
    <xf numFmtId="179" fontId="79" fillId="0" borderId="0" xfId="0" applyNumberFormat="1" applyFont="1" applyFill="1" applyAlignment="1">
      <alignment/>
    </xf>
    <xf numFmtId="41" fontId="79" fillId="0" borderId="0" xfId="43" applyFont="1" applyAlignment="1">
      <alignment/>
    </xf>
    <xf numFmtId="41" fontId="7" fillId="0" borderId="16" xfId="44" applyFont="1" applyFill="1" applyBorder="1" applyAlignment="1">
      <alignment horizontal="center" vertical="top"/>
    </xf>
    <xf numFmtId="0" fontId="4" fillId="0" borderId="16" xfId="0" applyNumberFormat="1" applyFont="1" applyFill="1" applyBorder="1" applyAlignment="1">
      <alignment vertical="top"/>
    </xf>
    <xf numFmtId="172" fontId="4" fillId="0" borderId="16" xfId="0" applyNumberFormat="1" applyFont="1" applyFill="1" applyBorder="1" applyAlignment="1">
      <alignment vertical="top"/>
    </xf>
    <xf numFmtId="171" fontId="4" fillId="0" borderId="16" xfId="0" applyNumberFormat="1" applyFont="1" applyFill="1" applyBorder="1" applyAlignment="1">
      <alignment vertical="top"/>
    </xf>
    <xf numFmtId="172" fontId="4" fillId="0" borderId="16" xfId="43" applyNumberFormat="1" applyFont="1" applyFill="1" applyBorder="1" applyAlignment="1">
      <alignment vertical="top"/>
    </xf>
    <xf numFmtId="0" fontId="7" fillId="0" borderId="21" xfId="0" applyFont="1" applyFill="1" applyBorder="1" applyAlignment="1">
      <alignment vertical="top"/>
    </xf>
    <xf numFmtId="179" fontId="79" fillId="0" borderId="0" xfId="0" applyNumberFormat="1" applyFont="1" applyAlignment="1">
      <alignment vertical="top"/>
    </xf>
    <xf numFmtId="41" fontId="4" fillId="0" borderId="16" xfId="43" applyFont="1" applyBorder="1" applyAlignment="1">
      <alignment vertical="top"/>
    </xf>
    <xf numFmtId="171" fontId="77" fillId="0" borderId="16" xfId="109" applyNumberFormat="1" applyFont="1" applyFill="1" applyBorder="1" applyAlignment="1">
      <alignment horizontal="right" vertical="top" wrapText="1"/>
    </xf>
    <xf numFmtId="41" fontId="77" fillId="0" borderId="16" xfId="43" applyFont="1" applyBorder="1" applyAlignment="1">
      <alignment vertical="top"/>
    </xf>
    <xf numFmtId="41" fontId="77" fillId="0" borderId="16" xfId="43" applyFont="1" applyFill="1" applyBorder="1" applyAlignment="1">
      <alignment vertical="top"/>
    </xf>
    <xf numFmtId="171" fontId="79" fillId="0" borderId="0" xfId="0" applyNumberFormat="1" applyFont="1" applyFill="1" applyAlignment="1">
      <alignment/>
    </xf>
    <xf numFmtId="41" fontId="78" fillId="0" borderId="16" xfId="43" applyFont="1" applyFill="1" applyBorder="1" applyAlignment="1">
      <alignment vertical="top" wrapText="1"/>
    </xf>
    <xf numFmtId="171" fontId="78" fillId="0" borderId="16" xfId="0" applyNumberFormat="1" applyFont="1" applyFill="1" applyBorder="1" applyAlignment="1">
      <alignment/>
    </xf>
    <xf numFmtId="172" fontId="79" fillId="0" borderId="0" xfId="0" applyNumberFormat="1" applyFont="1" applyAlignment="1">
      <alignment/>
    </xf>
    <xf numFmtId="179" fontId="79" fillId="0" borderId="0" xfId="0" applyNumberFormat="1" applyFont="1" applyAlignment="1">
      <alignment/>
    </xf>
    <xf numFmtId="41" fontId="77" fillId="0" borderId="16" xfId="44" applyFont="1" applyFill="1" applyBorder="1" applyAlignment="1">
      <alignment vertical="top"/>
    </xf>
    <xf numFmtId="49" fontId="12" fillId="0" borderId="16" xfId="226" applyNumberFormat="1" applyFont="1" applyFill="1" applyBorder="1" applyAlignment="1">
      <alignment horizontal="left" vertical="top" wrapText="1"/>
      <protection/>
    </xf>
    <xf numFmtId="41" fontId="7" fillId="0" borderId="16" xfId="44" applyFont="1" applyFill="1" applyBorder="1" applyAlignment="1">
      <alignment horizontal="left" vertical="top" wrapText="1"/>
    </xf>
    <xf numFmtId="41" fontId="4" fillId="0" borderId="16" xfId="43" applyFont="1" applyFill="1" applyBorder="1" applyAlignment="1">
      <alignment horizontal="right" vertical="top" wrapText="1"/>
    </xf>
    <xf numFmtId="0" fontId="82" fillId="0" borderId="16" xfId="0" applyFont="1" applyFill="1" applyBorder="1" applyAlignment="1">
      <alignment/>
    </xf>
    <xf numFmtId="173" fontId="82" fillId="0" borderId="0" xfId="0" applyNumberFormat="1" applyFont="1" applyAlignment="1">
      <alignment/>
    </xf>
    <xf numFmtId="17" fontId="72" fillId="0" borderId="0" xfId="0" applyNumberFormat="1" applyFont="1" applyFill="1" applyAlignment="1">
      <alignment/>
    </xf>
    <xf numFmtId="179" fontId="86" fillId="0" borderId="0" xfId="43" applyNumberFormat="1" applyFont="1" applyFill="1" applyAlignment="1">
      <alignment/>
    </xf>
    <xf numFmtId="17" fontId="72" fillId="0" borderId="0" xfId="43" applyNumberFormat="1" applyFont="1" applyFill="1" applyAlignment="1">
      <alignment/>
    </xf>
    <xf numFmtId="180" fontId="86" fillId="0" borderId="0" xfId="0" applyNumberFormat="1" applyFont="1" applyFill="1" applyAlignment="1">
      <alignment/>
    </xf>
    <xf numFmtId="179" fontId="87" fillId="0" borderId="0" xfId="0" applyNumberFormat="1" applyFont="1" applyFill="1" applyAlignment="1">
      <alignment/>
    </xf>
    <xf numFmtId="179" fontId="72" fillId="0" borderId="0" xfId="43" applyNumberFormat="1" applyFont="1" applyFill="1" applyAlignment="1">
      <alignment horizontal="center" vertical="center"/>
    </xf>
    <xf numFmtId="49" fontId="7" fillId="0" borderId="16" xfId="226" applyNumberFormat="1" applyFont="1" applyFill="1" applyBorder="1" applyAlignment="1">
      <alignment horizontal="left" vertical="top" wrapText="1"/>
      <protection/>
    </xf>
    <xf numFmtId="41" fontId="7" fillId="0" borderId="16" xfId="43" applyFont="1" applyFill="1" applyBorder="1" applyAlignment="1">
      <alignment horizontal="left" vertical="top"/>
    </xf>
    <xf numFmtId="0" fontId="77" fillId="0" borderId="20" xfId="0" applyFont="1" applyFill="1" applyBorder="1" applyAlignment="1">
      <alignment vertical="top" wrapText="1"/>
    </xf>
    <xf numFmtId="0" fontId="80" fillId="0" borderId="16" xfId="0" applyFont="1" applyFill="1" applyBorder="1" applyAlignment="1">
      <alignment vertical="top" wrapText="1"/>
    </xf>
    <xf numFmtId="41" fontId="6" fillId="34" borderId="16" xfId="226" applyNumberFormat="1" applyFont="1" applyFill="1" applyBorder="1" applyAlignment="1">
      <alignment horizontal="left" vertical="top" wrapText="1"/>
      <protection/>
    </xf>
    <xf numFmtId="0" fontId="77" fillId="0" borderId="16" xfId="0" applyFont="1" applyFill="1" applyBorder="1" applyAlignment="1">
      <alignment horizontal="center" vertical="top"/>
    </xf>
    <xf numFmtId="41" fontId="77" fillId="0" borderId="16" xfId="43" applyFont="1" applyFill="1" applyBorder="1" applyAlignment="1">
      <alignment horizontal="center" vertical="top"/>
    </xf>
    <xf numFmtId="41" fontId="77" fillId="33" borderId="16" xfId="43" applyFont="1" applyFill="1" applyBorder="1" applyAlignment="1">
      <alignment horizontal="left" vertical="top" wrapText="1"/>
    </xf>
    <xf numFmtId="171" fontId="80" fillId="0" borderId="16" xfId="109" applyNumberFormat="1" applyFont="1" applyFill="1" applyBorder="1" applyAlignment="1">
      <alignment horizontal="right" vertical="top"/>
    </xf>
    <xf numFmtId="173" fontId="79" fillId="0" borderId="0" xfId="0" applyNumberFormat="1" applyFont="1" applyAlignment="1">
      <alignment vertical="top"/>
    </xf>
    <xf numFmtId="0" fontId="78" fillId="0" borderId="20" xfId="0" applyFont="1" applyFill="1" applyBorder="1" applyAlignment="1">
      <alignment vertical="top"/>
    </xf>
    <xf numFmtId="0" fontId="78" fillId="0" borderId="23" xfId="0" applyFont="1" applyFill="1" applyBorder="1" applyAlignment="1">
      <alignment vertical="top"/>
    </xf>
    <xf numFmtId="0" fontId="7" fillId="0" borderId="16" xfId="176" applyFont="1" applyFill="1" applyBorder="1" applyAlignment="1">
      <alignment vertical="top"/>
      <protection/>
    </xf>
    <xf numFmtId="0" fontId="78" fillId="0" borderId="21" xfId="0" applyFont="1" applyFill="1" applyBorder="1" applyAlignment="1">
      <alignment vertical="top"/>
    </xf>
    <xf numFmtId="0" fontId="79" fillId="0" borderId="0" xfId="0" applyFont="1" applyFill="1" applyAlignment="1">
      <alignment vertical="top"/>
    </xf>
    <xf numFmtId="168" fontId="6" fillId="34" borderId="16" xfId="44" applyNumberFormat="1" applyFont="1" applyFill="1" applyBorder="1" applyAlignment="1">
      <alignment horizontal="left" vertical="top" wrapText="1"/>
    </xf>
    <xf numFmtId="176" fontId="6" fillId="34" borderId="16" xfId="226" applyNumberFormat="1" applyFont="1" applyFill="1" applyBorder="1" applyAlignment="1">
      <alignment horizontal="left" vertical="top" wrapText="1"/>
      <protection/>
    </xf>
    <xf numFmtId="49" fontId="12" fillId="34" borderId="16" xfId="226" applyNumberFormat="1" applyFont="1" applyFill="1" applyBorder="1" applyAlignment="1">
      <alignment horizontal="left" vertical="top" wrapText="1"/>
      <protection/>
    </xf>
    <xf numFmtId="171" fontId="31" fillId="0" borderId="0" xfId="0" applyNumberFormat="1" applyFont="1" applyFill="1" applyAlignment="1">
      <alignment/>
    </xf>
    <xf numFmtId="171" fontId="36" fillId="0" borderId="10" xfId="0" applyNumberFormat="1" applyFont="1" applyFill="1" applyBorder="1" applyAlignment="1">
      <alignment horizontal="center" vertical="center"/>
    </xf>
    <xf numFmtId="171" fontId="36" fillId="0" borderId="12" xfId="0" applyNumberFormat="1" applyFont="1" applyFill="1" applyBorder="1" applyAlignment="1">
      <alignment horizontal="center" vertical="center"/>
    </xf>
    <xf numFmtId="171" fontId="36" fillId="0" borderId="17" xfId="0" applyNumberFormat="1" applyFont="1" applyFill="1" applyBorder="1" applyAlignment="1">
      <alignment horizontal="center" vertical="center"/>
    </xf>
    <xf numFmtId="171" fontId="7" fillId="0" borderId="12" xfId="0" applyNumberFormat="1" applyFont="1" applyFill="1" applyBorder="1" applyAlignment="1">
      <alignment/>
    </xf>
    <xf numFmtId="171" fontId="31" fillId="0" borderId="0" xfId="0" applyNumberFormat="1" applyFont="1" applyFill="1" applyAlignment="1">
      <alignment horizontal="center" vertical="center"/>
    </xf>
    <xf numFmtId="171" fontId="31" fillId="0" borderId="0" xfId="0" applyNumberFormat="1" applyFont="1" applyFill="1" applyAlignment="1">
      <alignment/>
    </xf>
    <xf numFmtId="171" fontId="36" fillId="0" borderId="0" xfId="43" applyNumberFormat="1" applyFont="1" applyFill="1" applyAlignment="1">
      <alignment/>
    </xf>
    <xf numFmtId="171" fontId="7" fillId="0" borderId="12" xfId="0" applyNumberFormat="1" applyFont="1" applyFill="1" applyBorder="1" applyAlignment="1">
      <alignment/>
    </xf>
    <xf numFmtId="171" fontId="4" fillId="0" borderId="16" xfId="43" applyNumberFormat="1" applyFont="1" applyFill="1" applyBorder="1" applyAlignment="1">
      <alignment horizontal="right" vertical="top" wrapText="1"/>
    </xf>
    <xf numFmtId="0" fontId="72" fillId="37" borderId="0" xfId="0" applyFont="1" applyFill="1" applyAlignment="1">
      <alignment/>
    </xf>
    <xf numFmtId="0" fontId="72" fillId="37" borderId="0" xfId="0" applyFont="1" applyFill="1" applyAlignment="1">
      <alignment/>
    </xf>
    <xf numFmtId="41" fontId="72" fillId="37" borderId="0" xfId="43" applyFont="1" applyFill="1" applyAlignment="1">
      <alignment/>
    </xf>
    <xf numFmtId="179" fontId="72" fillId="37" borderId="0" xfId="43" applyNumberFormat="1" applyFont="1" applyFill="1" applyAlignment="1">
      <alignment/>
    </xf>
    <xf numFmtId="0" fontId="31" fillId="37" borderId="0" xfId="0" applyFont="1" applyFill="1" applyAlignment="1">
      <alignment/>
    </xf>
    <xf numFmtId="0" fontId="31" fillId="37" borderId="0" xfId="0" applyFont="1" applyFill="1" applyAlignment="1">
      <alignment/>
    </xf>
    <xf numFmtId="41" fontId="72" fillId="0" borderId="0" xfId="43" applyFont="1" applyFill="1" applyAlignment="1">
      <alignment horizontal="center"/>
    </xf>
    <xf numFmtId="0" fontId="72" fillId="0" borderId="0" xfId="0" applyFont="1" applyFill="1" applyAlignment="1">
      <alignment horizontal="center"/>
    </xf>
    <xf numFmtId="41" fontId="72" fillId="0" borderId="0" xfId="43" applyNumberFormat="1" applyFont="1" applyFill="1" applyAlignment="1">
      <alignment horizontal="center"/>
    </xf>
    <xf numFmtId="41" fontId="78" fillId="0" borderId="16" xfId="43" applyNumberFormat="1" applyFont="1" applyFill="1" applyBorder="1" applyAlignment="1">
      <alignment horizontal="center" vertical="top"/>
    </xf>
    <xf numFmtId="41" fontId="7" fillId="0" borderId="16" xfId="83" applyNumberFormat="1" applyFont="1" applyFill="1" applyBorder="1" applyAlignment="1">
      <alignment vertical="top"/>
    </xf>
    <xf numFmtId="41" fontId="7" fillId="0" borderId="26" xfId="83" applyNumberFormat="1" applyFont="1" applyFill="1" applyBorder="1" applyAlignment="1">
      <alignment vertical="top"/>
    </xf>
    <xf numFmtId="41" fontId="7" fillId="0" borderId="27" xfId="83" applyNumberFormat="1" applyFont="1" applyFill="1" applyBorder="1" applyAlignment="1">
      <alignment vertical="top"/>
    </xf>
    <xf numFmtId="170" fontId="36" fillId="33" borderId="17" xfId="0" applyNumberFormat="1" applyFont="1" applyFill="1" applyBorder="1" applyAlignment="1">
      <alignment horizontal="center" vertical="top"/>
    </xf>
    <xf numFmtId="171" fontId="5" fillId="35" borderId="16" xfId="109" applyNumberFormat="1" applyFont="1" applyFill="1" applyBorder="1" applyAlignment="1">
      <alignment horizontal="right" vertical="top" wrapText="1"/>
    </xf>
    <xf numFmtId="0" fontId="72" fillId="33" borderId="0" xfId="0" applyFont="1" applyFill="1" applyAlignment="1">
      <alignment/>
    </xf>
    <xf numFmtId="0" fontId="72" fillId="33" borderId="0" xfId="0" applyFont="1" applyFill="1" applyAlignment="1">
      <alignment/>
    </xf>
    <xf numFmtId="41" fontId="72" fillId="33" borderId="0" xfId="43" applyFont="1" applyFill="1" applyAlignment="1">
      <alignment/>
    </xf>
    <xf numFmtId="41" fontId="72" fillId="33" borderId="0" xfId="43" applyNumberFormat="1" applyFont="1" applyFill="1" applyAlignment="1">
      <alignment/>
    </xf>
    <xf numFmtId="171" fontId="7" fillId="0" borderId="16" xfId="83" applyNumberFormat="1" applyFont="1" applyFill="1" applyBorder="1" applyAlignment="1">
      <alignment vertical="top"/>
    </xf>
    <xf numFmtId="171" fontId="7" fillId="0" borderId="16" xfId="43" applyNumberFormat="1" applyFont="1" applyFill="1" applyBorder="1" applyAlignment="1">
      <alignment vertical="top"/>
    </xf>
    <xf numFmtId="171" fontId="78" fillId="0" borderId="16" xfId="0" applyNumberFormat="1" applyFont="1" applyFill="1" applyBorder="1" applyAlignment="1">
      <alignment vertical="top"/>
    </xf>
    <xf numFmtId="171" fontId="78" fillId="0" borderId="16" xfId="43" applyNumberFormat="1" applyFont="1" applyFill="1" applyBorder="1" applyAlignment="1">
      <alignment vertical="top"/>
    </xf>
    <xf numFmtId="41" fontId="7" fillId="0" borderId="16" xfId="43" applyFont="1" applyFill="1" applyBorder="1" applyAlignment="1">
      <alignment/>
    </xf>
    <xf numFmtId="41" fontId="7" fillId="0" borderId="16" xfId="44" applyFont="1" applyFill="1" applyBorder="1" applyAlignment="1">
      <alignment vertical="top"/>
    </xf>
    <xf numFmtId="174" fontId="7" fillId="0" borderId="16" xfId="176" applyNumberFormat="1" applyFont="1" applyFill="1" applyBorder="1" applyAlignment="1">
      <alignment horizontal="center" vertical="top"/>
      <protection/>
    </xf>
    <xf numFmtId="174" fontId="7" fillId="0" borderId="16" xfId="44" applyNumberFormat="1" applyFont="1" applyFill="1" applyBorder="1" applyAlignment="1">
      <alignment horizontal="center" vertical="top"/>
    </xf>
    <xf numFmtId="41" fontId="7" fillId="0" borderId="16" xfId="44" applyFont="1" applyFill="1" applyBorder="1" applyAlignment="1" quotePrefix="1">
      <alignment horizontal="left" vertical="top"/>
    </xf>
    <xf numFmtId="41" fontId="4" fillId="0" borderId="16" xfId="44" applyFont="1" applyFill="1" applyBorder="1" applyAlignment="1">
      <alignment horizontal="left" vertical="top"/>
    </xf>
    <xf numFmtId="41" fontId="7" fillId="0" borderId="16" xfId="43" applyFont="1" applyFill="1" applyBorder="1" applyAlignment="1" quotePrefix="1">
      <alignment horizontal="left" vertical="top"/>
    </xf>
    <xf numFmtId="3" fontId="7" fillId="0" borderId="16" xfId="176" applyNumberFormat="1" applyFont="1" applyFill="1" applyBorder="1" applyAlignment="1">
      <alignment vertical="top" wrapText="1"/>
      <protection/>
    </xf>
    <xf numFmtId="171" fontId="7" fillId="0" borderId="16" xfId="87" applyNumberFormat="1" applyFont="1" applyFill="1" applyBorder="1" applyAlignment="1">
      <alignment vertical="top"/>
    </xf>
    <xf numFmtId="171" fontId="7" fillId="0" borderId="16" xfId="87" applyNumberFormat="1" applyFont="1" applyFill="1" applyBorder="1" applyAlignment="1">
      <alignment horizontal="center" vertical="top" wrapText="1"/>
    </xf>
    <xf numFmtId="41" fontId="12" fillId="0" borderId="16" xfId="44" applyFont="1" applyFill="1" applyBorder="1" applyAlignment="1">
      <alignment horizontal="left" vertical="top"/>
    </xf>
    <xf numFmtId="170" fontId="4" fillId="0" borderId="16" xfId="0" applyNumberFormat="1" applyFont="1" applyFill="1" applyBorder="1" applyAlignment="1">
      <alignment horizontal="right" vertical="top" wrapText="1"/>
    </xf>
    <xf numFmtId="170" fontId="37" fillId="33" borderId="17" xfId="0" applyNumberFormat="1" applyFont="1" applyFill="1" applyBorder="1" applyAlignment="1">
      <alignment horizontal="right" vertical="top"/>
    </xf>
    <xf numFmtId="41" fontId="5" fillId="35" borderId="16" xfId="43" applyNumberFormat="1" applyFont="1" applyFill="1" applyBorder="1" applyAlignment="1">
      <alignment/>
    </xf>
    <xf numFmtId="41" fontId="5" fillId="33" borderId="16" xfId="0" applyNumberFormat="1" applyFont="1" applyFill="1" applyBorder="1" applyAlignment="1">
      <alignment vertical="top"/>
    </xf>
    <xf numFmtId="172" fontId="77" fillId="0" borderId="16" xfId="0" applyNumberFormat="1" applyFont="1" applyFill="1" applyBorder="1" applyAlignment="1">
      <alignment vertical="top" wrapText="1"/>
    </xf>
    <xf numFmtId="0" fontId="7" fillId="0" borderId="16" xfId="176" applyFont="1" applyFill="1" applyBorder="1" applyAlignment="1">
      <alignment vertical="top" wrapText="1"/>
      <protection/>
    </xf>
    <xf numFmtId="0" fontId="78" fillId="35" borderId="20" xfId="0" applyFont="1" applyFill="1" applyBorder="1" applyAlignment="1">
      <alignment vertical="top"/>
    </xf>
    <xf numFmtId="0" fontId="78" fillId="35" borderId="23" xfId="0" applyFont="1" applyFill="1" applyBorder="1" applyAlignment="1">
      <alignment vertical="top"/>
    </xf>
    <xf numFmtId="171" fontId="31" fillId="0" borderId="0" xfId="43" applyNumberFormat="1" applyFont="1" applyFill="1" applyAlignment="1">
      <alignment vertical="center"/>
    </xf>
    <xf numFmtId="0" fontId="36" fillId="0" borderId="16" xfId="0" applyFont="1" applyFill="1" applyBorder="1" applyAlignment="1">
      <alignment horizontal="center" vertical="center"/>
    </xf>
    <xf numFmtId="0" fontId="76" fillId="0" borderId="23"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22" xfId="0" applyFont="1" applyFill="1" applyBorder="1" applyAlignment="1">
      <alignment horizontal="center" vertical="center"/>
    </xf>
    <xf numFmtId="0" fontId="76" fillId="0" borderId="19" xfId="0" applyFont="1" applyFill="1" applyBorder="1" applyAlignment="1">
      <alignment horizontal="center" vertical="center"/>
    </xf>
    <xf numFmtId="41" fontId="72" fillId="0" borderId="0" xfId="0" applyNumberFormat="1" applyFont="1" applyFill="1" applyAlignment="1">
      <alignment horizontal="center" vertical="center"/>
    </xf>
    <xf numFmtId="0" fontId="72" fillId="0" borderId="0" xfId="0" applyFont="1" applyFill="1" applyAlignment="1">
      <alignment horizontal="center" vertical="center"/>
    </xf>
    <xf numFmtId="41" fontId="31" fillId="0" borderId="0" xfId="43" applyFont="1" applyFill="1" applyAlignment="1">
      <alignment horizontal="center"/>
    </xf>
    <xf numFmtId="41" fontId="72" fillId="0" borderId="0" xfId="0" applyNumberFormat="1" applyFont="1" applyFill="1" applyAlignment="1">
      <alignment horizontal="center"/>
    </xf>
    <xf numFmtId="0" fontId="72" fillId="0" borderId="0" xfId="0" applyFont="1" applyFill="1" applyAlignment="1">
      <alignment horizontal="center"/>
    </xf>
    <xf numFmtId="41" fontId="72" fillId="0" borderId="0" xfId="0" applyNumberFormat="1" applyFont="1" applyFill="1" applyAlignment="1">
      <alignment horizontal="center" vertical="center"/>
    </xf>
    <xf numFmtId="0" fontId="72" fillId="0" borderId="0" xfId="0" applyFont="1" applyFill="1" applyAlignment="1">
      <alignment horizontal="center" vertical="center"/>
    </xf>
    <xf numFmtId="0" fontId="73" fillId="35" borderId="0" xfId="0" applyFont="1" applyFill="1" applyAlignment="1">
      <alignment/>
    </xf>
    <xf numFmtId="0" fontId="73" fillId="35" borderId="0" xfId="0" applyFont="1" applyFill="1" applyAlignment="1">
      <alignment/>
    </xf>
    <xf numFmtId="41" fontId="36" fillId="35" borderId="0" xfId="43" applyFont="1" applyFill="1" applyAlignment="1">
      <alignment/>
    </xf>
    <xf numFmtId="41" fontId="7" fillId="0" borderId="16" xfId="43" applyFont="1" applyFill="1" applyBorder="1" applyAlignment="1">
      <alignment horizontal="right" vertical="top" wrapText="1"/>
    </xf>
    <xf numFmtId="0" fontId="31" fillId="33" borderId="0" xfId="0" applyFont="1" applyFill="1" applyAlignment="1">
      <alignment/>
    </xf>
    <xf numFmtId="0" fontId="31" fillId="33" borderId="0" xfId="0" applyFont="1" applyFill="1" applyAlignment="1">
      <alignment/>
    </xf>
    <xf numFmtId="41" fontId="31" fillId="33" borderId="0" xfId="43" applyFont="1" applyFill="1" applyAlignment="1">
      <alignment/>
    </xf>
    <xf numFmtId="173" fontId="4" fillId="0" borderId="16" xfId="109" applyNumberFormat="1" applyFont="1" applyFill="1" applyBorder="1" applyAlignment="1">
      <alignment horizontal="right" vertical="top" wrapText="1"/>
    </xf>
    <xf numFmtId="171" fontId="78" fillId="0" borderId="23" xfId="0" applyNumberFormat="1" applyFont="1" applyBorder="1" applyAlignment="1">
      <alignment/>
    </xf>
    <xf numFmtId="173" fontId="7" fillId="0" borderId="16" xfId="43" applyNumberFormat="1" applyFont="1" applyFill="1" applyBorder="1" applyAlignment="1">
      <alignment vertical="top"/>
    </xf>
    <xf numFmtId="41" fontId="78" fillId="0" borderId="23" xfId="43" applyFont="1" applyBorder="1" applyAlignment="1">
      <alignment/>
    </xf>
    <xf numFmtId="180" fontId="78" fillId="0" borderId="23" xfId="0" applyNumberFormat="1" applyFont="1" applyBorder="1" applyAlignment="1">
      <alignment/>
    </xf>
    <xf numFmtId="179" fontId="77" fillId="0" borderId="16" xfId="0" applyNumberFormat="1" applyFont="1" applyFill="1" applyBorder="1" applyAlignment="1">
      <alignment vertical="top" wrapText="1"/>
    </xf>
    <xf numFmtId="179" fontId="72" fillId="0" borderId="0" xfId="0" applyNumberFormat="1" applyFont="1" applyFill="1" applyAlignment="1">
      <alignment/>
    </xf>
    <xf numFmtId="179" fontId="72" fillId="0" borderId="0" xfId="43" applyNumberFormat="1" applyFont="1" applyFill="1" applyAlignment="1">
      <alignment horizontal="center" vertical="center"/>
    </xf>
    <xf numFmtId="179" fontId="75" fillId="33" borderId="14" xfId="0" applyNumberFormat="1" applyFont="1" applyFill="1" applyBorder="1" applyAlignment="1">
      <alignment horizontal="center" vertical="center"/>
    </xf>
    <xf numFmtId="179" fontId="75" fillId="0" borderId="14" xfId="0" applyNumberFormat="1" applyFont="1" applyFill="1" applyBorder="1" applyAlignment="1">
      <alignment horizontal="center" vertical="center"/>
    </xf>
    <xf numFmtId="171" fontId="78" fillId="0" borderId="23" xfId="0" applyNumberFormat="1" applyFont="1" applyFill="1" applyBorder="1" applyAlignment="1">
      <alignment/>
    </xf>
    <xf numFmtId="41" fontId="78" fillId="0" borderId="23" xfId="43" applyFont="1" applyBorder="1" applyAlignment="1">
      <alignment vertical="top"/>
    </xf>
    <xf numFmtId="179" fontId="78" fillId="0" borderId="23" xfId="43" applyNumberFormat="1" applyFont="1" applyFill="1" applyBorder="1" applyAlignment="1">
      <alignment/>
    </xf>
    <xf numFmtId="179" fontId="78" fillId="0" borderId="23" xfId="0" applyNumberFormat="1" applyFont="1" applyBorder="1" applyAlignment="1">
      <alignment/>
    </xf>
    <xf numFmtId="41" fontId="83" fillId="0" borderId="16" xfId="43" applyFont="1" applyBorder="1" applyAlignment="1">
      <alignment vertical="top"/>
    </xf>
    <xf numFmtId="180" fontId="76" fillId="0" borderId="23" xfId="0" applyNumberFormat="1" applyFont="1" applyFill="1" applyBorder="1" applyAlignment="1">
      <alignment horizontal="center" vertical="center"/>
    </xf>
    <xf numFmtId="172" fontId="78" fillId="0" borderId="16" xfId="43" applyNumberFormat="1" applyFont="1" applyFill="1" applyBorder="1" applyAlignment="1">
      <alignment horizontal="center" vertical="top"/>
    </xf>
    <xf numFmtId="172" fontId="7" fillId="0" borderId="16" xfId="43" applyNumberFormat="1" applyFont="1" applyFill="1" applyBorder="1" applyAlignment="1">
      <alignment horizontal="center" vertical="top"/>
    </xf>
    <xf numFmtId="172" fontId="77" fillId="0" borderId="16" xfId="43" applyNumberFormat="1" applyFont="1" applyFill="1" applyBorder="1" applyAlignment="1">
      <alignment horizontal="center" vertical="top"/>
    </xf>
    <xf numFmtId="180" fontId="78" fillId="0" borderId="23" xfId="0" applyNumberFormat="1" applyFont="1" applyBorder="1" applyAlignment="1">
      <alignment vertical="top"/>
    </xf>
    <xf numFmtId="41" fontId="78" fillId="0" borderId="23" xfId="43" applyFont="1" applyFill="1" applyBorder="1" applyAlignment="1">
      <alignment vertical="top"/>
    </xf>
    <xf numFmtId="180" fontId="78" fillId="0" borderId="23" xfId="0" applyNumberFormat="1" applyFont="1" applyFill="1" applyBorder="1" applyAlignment="1">
      <alignment vertical="top"/>
    </xf>
    <xf numFmtId="41" fontId="78" fillId="0" borderId="23" xfId="0" applyNumberFormat="1" applyFont="1" applyFill="1" applyBorder="1" applyAlignment="1">
      <alignment vertical="top"/>
    </xf>
    <xf numFmtId="41" fontId="6" fillId="34" borderId="16" xfId="43" applyFont="1" applyFill="1" applyBorder="1" applyAlignment="1">
      <alignment horizontal="left" vertical="top" wrapText="1"/>
    </xf>
    <xf numFmtId="173" fontId="82" fillId="0" borderId="23" xfId="0" applyNumberFormat="1" applyFont="1" applyFill="1" applyBorder="1" applyAlignment="1">
      <alignment wrapText="1"/>
    </xf>
    <xf numFmtId="180" fontId="78" fillId="0" borderId="23" xfId="0" applyNumberFormat="1" applyFont="1" applyFill="1" applyBorder="1" applyAlignment="1">
      <alignment/>
    </xf>
    <xf numFmtId="173" fontId="78" fillId="0" borderId="23" xfId="0" applyNumberFormat="1" applyFont="1" applyFill="1" applyBorder="1" applyAlignment="1">
      <alignment vertical="top"/>
    </xf>
    <xf numFmtId="179" fontId="7" fillId="0" borderId="16" xfId="43" applyNumberFormat="1" applyFont="1" applyFill="1" applyBorder="1" applyAlignment="1">
      <alignment vertical="top"/>
    </xf>
    <xf numFmtId="171" fontId="10" fillId="34" borderId="16" xfId="226" applyNumberFormat="1" applyFont="1" applyFill="1" applyBorder="1" applyAlignment="1">
      <alignment horizontal="left" vertical="top" wrapText="1"/>
      <protection/>
    </xf>
    <xf numFmtId="173" fontId="78" fillId="0" borderId="23" xfId="0" applyNumberFormat="1" applyFont="1" applyBorder="1" applyAlignment="1">
      <alignment/>
    </xf>
    <xf numFmtId="41" fontId="78" fillId="0" borderId="23" xfId="0" applyNumberFormat="1" applyFont="1" applyBorder="1" applyAlignment="1">
      <alignment/>
    </xf>
    <xf numFmtId="171" fontId="88" fillId="0" borderId="16" xfId="176" applyNumberFormat="1" applyFont="1" applyFill="1" applyBorder="1" applyAlignment="1">
      <alignment vertical="top" wrapText="1"/>
      <protection/>
    </xf>
    <xf numFmtId="171" fontId="6" fillId="34" borderId="16" xfId="176" applyNumberFormat="1" applyFont="1" applyFill="1" applyBorder="1" applyAlignment="1">
      <alignment vertical="top" wrapText="1"/>
      <protection/>
    </xf>
    <xf numFmtId="41" fontId="4" fillId="0" borderId="16" xfId="0" applyNumberFormat="1" applyFont="1" applyFill="1" applyBorder="1" applyAlignment="1">
      <alignment vertical="top" wrapText="1"/>
    </xf>
    <xf numFmtId="0" fontId="89" fillId="0" borderId="0" xfId="0" applyFont="1" applyFill="1" applyAlignment="1">
      <alignment horizontal="center" vertical="center"/>
    </xf>
    <xf numFmtId="0" fontId="90" fillId="0" borderId="0" xfId="0" applyFont="1" applyFill="1" applyAlignment="1">
      <alignment/>
    </xf>
    <xf numFmtId="0" fontId="91" fillId="0" borderId="0" xfId="0" applyFont="1" applyFill="1" applyAlignment="1">
      <alignment horizontal="center" vertical="center"/>
    </xf>
    <xf numFmtId="0" fontId="90" fillId="0" borderId="0" xfId="0" applyFont="1" applyFill="1" applyAlignment="1">
      <alignment horizontal="center" vertical="center"/>
    </xf>
    <xf numFmtId="0" fontId="92" fillId="0" borderId="0" xfId="0" applyFont="1" applyFill="1" applyAlignment="1">
      <alignment/>
    </xf>
    <xf numFmtId="0" fontId="93" fillId="0" borderId="0" xfId="0" applyFont="1" applyFill="1" applyAlignment="1">
      <alignment horizontal="center" vertical="center"/>
    </xf>
    <xf numFmtId="0" fontId="92" fillId="0" borderId="0" xfId="0" applyFont="1" applyFill="1" applyAlignment="1">
      <alignment horizontal="center" vertical="center"/>
    </xf>
    <xf numFmtId="41" fontId="72" fillId="0" borderId="0" xfId="43" applyFont="1" applyFill="1" applyAlignment="1">
      <alignment/>
    </xf>
    <xf numFmtId="0" fontId="93" fillId="0" borderId="0" xfId="0" applyFont="1" applyFill="1" applyAlignment="1">
      <alignment horizontal="center" vertical="center"/>
    </xf>
    <xf numFmtId="41" fontId="72" fillId="35" borderId="0" xfId="0" applyNumberFormat="1" applyFont="1" applyFill="1" applyAlignment="1">
      <alignment horizontal="center"/>
    </xf>
    <xf numFmtId="41" fontId="31" fillId="0" borderId="0" xfId="43" applyFont="1" applyFill="1" applyAlignment="1">
      <alignment horizontal="center"/>
    </xf>
    <xf numFmtId="41" fontId="72" fillId="0" borderId="0" xfId="0" applyNumberFormat="1" applyFont="1" applyFill="1" applyAlignment="1">
      <alignment horizontal="center"/>
    </xf>
    <xf numFmtId="0" fontId="72" fillId="0" borderId="0" xfId="0" applyFont="1" applyFill="1" applyAlignment="1">
      <alignment horizontal="center"/>
    </xf>
    <xf numFmtId="41" fontId="72" fillId="0" borderId="0" xfId="43" applyFont="1" applyFill="1" applyAlignment="1">
      <alignment horizontal="center"/>
    </xf>
    <xf numFmtId="41" fontId="72" fillId="0" borderId="0" xfId="0" applyNumberFormat="1" applyFont="1" applyFill="1" applyAlignment="1">
      <alignment horizontal="center" vertical="center"/>
    </xf>
    <xf numFmtId="0" fontId="72" fillId="0" borderId="0" xfId="0" applyFont="1" applyFill="1" applyAlignment="1">
      <alignment horizontal="center" vertical="center"/>
    </xf>
    <xf numFmtId="41" fontId="51" fillId="0" borderId="0" xfId="0" applyNumberFormat="1" applyFont="1" applyFill="1" applyAlignment="1">
      <alignment horizontal="center"/>
    </xf>
    <xf numFmtId="179" fontId="86" fillId="0" borderId="0" xfId="0" applyNumberFormat="1" applyFont="1" applyFill="1" applyAlignment="1">
      <alignment horizontal="center"/>
    </xf>
    <xf numFmtId="0" fontId="79" fillId="0" borderId="28" xfId="0" applyFont="1" applyFill="1" applyBorder="1" applyAlignment="1">
      <alignment horizontal="left" vertical="center"/>
    </xf>
    <xf numFmtId="0" fontId="79" fillId="0" borderId="29" xfId="0" applyFont="1" applyFill="1" applyBorder="1" applyAlignment="1">
      <alignment horizontal="left" vertical="center"/>
    </xf>
    <xf numFmtId="0" fontId="79" fillId="0" borderId="30" xfId="0" applyFont="1" applyFill="1" applyBorder="1" applyAlignment="1">
      <alignment horizontal="left" vertical="center"/>
    </xf>
    <xf numFmtId="0" fontId="79" fillId="0" borderId="31" xfId="0" applyFont="1" applyFill="1" applyBorder="1" applyAlignment="1">
      <alignment horizontal="left" vertical="center"/>
    </xf>
    <xf numFmtId="0" fontId="0" fillId="0" borderId="32" xfId="0" applyFill="1" applyBorder="1" applyAlignment="1">
      <alignment/>
    </xf>
    <xf numFmtId="0" fontId="0" fillId="0" borderId="33" xfId="0" applyFill="1" applyBorder="1" applyAlignment="1">
      <alignment/>
    </xf>
    <xf numFmtId="185" fontId="31" fillId="0" borderId="34" xfId="0" applyNumberFormat="1" applyFont="1" applyFill="1" applyBorder="1" applyAlignment="1">
      <alignment horizontal="center"/>
    </xf>
    <xf numFmtId="179" fontId="72" fillId="0" borderId="34" xfId="43" applyNumberFormat="1" applyFont="1" applyFill="1" applyBorder="1" applyAlignment="1">
      <alignment horizontal="center"/>
    </xf>
    <xf numFmtId="179" fontId="31" fillId="0" borderId="34" xfId="43" applyNumberFormat="1" applyFont="1" applyFill="1" applyBorder="1" applyAlignment="1">
      <alignment horizontal="center"/>
    </xf>
    <xf numFmtId="179" fontId="86" fillId="0" borderId="34" xfId="0" applyNumberFormat="1" applyFont="1" applyFill="1" applyBorder="1" applyAlignment="1">
      <alignment horizontal="center"/>
    </xf>
    <xf numFmtId="0" fontId="86" fillId="0" borderId="34" xfId="0" applyFont="1" applyFill="1" applyBorder="1" applyAlignment="1">
      <alignment horizontal="center"/>
    </xf>
    <xf numFmtId="0" fontId="79" fillId="0" borderId="28" xfId="0" applyFont="1" applyFill="1" applyBorder="1" applyAlignment="1">
      <alignment horizontal="right" vertical="center"/>
    </xf>
    <xf numFmtId="0" fontId="79" fillId="0" borderId="29" xfId="0" applyFont="1" applyFill="1" applyBorder="1" applyAlignment="1">
      <alignment horizontal="right" vertical="center"/>
    </xf>
    <xf numFmtId="0" fontId="79" fillId="0" borderId="23" xfId="0" applyFont="1" applyFill="1" applyBorder="1" applyAlignment="1">
      <alignment horizontal="right" vertical="center"/>
    </xf>
    <xf numFmtId="0" fontId="79" fillId="0" borderId="35" xfId="0" applyFont="1" applyFill="1" applyBorder="1" applyAlignment="1">
      <alignment horizontal="right" vertical="center"/>
    </xf>
    <xf numFmtId="0" fontId="79" fillId="0" borderId="36" xfId="0" applyFont="1" applyFill="1" applyBorder="1" applyAlignment="1">
      <alignment horizontal="right" vertical="center"/>
    </xf>
    <xf numFmtId="0" fontId="79" fillId="0" borderId="22" xfId="0" applyFont="1" applyFill="1" applyBorder="1" applyAlignment="1">
      <alignment horizontal="right" vertical="center"/>
    </xf>
    <xf numFmtId="0" fontId="78" fillId="0" borderId="12" xfId="0" applyFont="1" applyFill="1" applyBorder="1" applyAlignment="1">
      <alignment horizontal="center"/>
    </xf>
    <xf numFmtId="0" fontId="78" fillId="0" borderId="13" xfId="0" applyFont="1" applyFill="1" applyBorder="1" applyAlignment="1">
      <alignment horizontal="center"/>
    </xf>
    <xf numFmtId="0" fontId="79" fillId="0" borderId="28" xfId="0" applyFont="1" applyFill="1" applyBorder="1" applyAlignment="1">
      <alignment horizontal="center"/>
    </xf>
    <xf numFmtId="0" fontId="79" fillId="0" borderId="29" xfId="0" applyFont="1" applyFill="1" applyBorder="1" applyAlignment="1">
      <alignment horizontal="center"/>
    </xf>
    <xf numFmtId="0" fontId="79" fillId="0" borderId="30" xfId="0" applyFont="1" applyFill="1" applyBorder="1" applyAlignment="1">
      <alignment horizontal="center"/>
    </xf>
    <xf numFmtId="0" fontId="79" fillId="0" borderId="28" xfId="0" applyFont="1" applyFill="1" applyBorder="1" applyAlignment="1">
      <alignment horizontal="right"/>
    </xf>
    <xf numFmtId="0" fontId="79" fillId="0" borderId="29" xfId="0" applyFont="1" applyFill="1" applyBorder="1" applyAlignment="1">
      <alignment horizontal="right"/>
    </xf>
    <xf numFmtId="0" fontId="79" fillId="0" borderId="23" xfId="0" applyFont="1" applyFill="1" applyBorder="1" applyAlignment="1">
      <alignment horizontal="right"/>
    </xf>
    <xf numFmtId="49" fontId="6" fillId="34" borderId="24" xfId="226" applyNumberFormat="1" applyFont="1" applyFill="1" applyBorder="1" applyAlignment="1">
      <alignment horizontal="left" vertical="top" wrapText="1"/>
      <protection/>
    </xf>
    <xf numFmtId="49" fontId="6" fillId="34" borderId="17" xfId="226" applyNumberFormat="1" applyFont="1" applyFill="1" applyBorder="1" applyAlignment="1">
      <alignment horizontal="left" vertical="top" wrapText="1"/>
      <protection/>
    </xf>
    <xf numFmtId="49" fontId="6" fillId="34" borderId="25" xfId="226" applyNumberFormat="1" applyFont="1" applyFill="1" applyBorder="1" applyAlignment="1">
      <alignment horizontal="left" vertical="top" wrapText="1"/>
      <protection/>
    </xf>
    <xf numFmtId="49" fontId="6" fillId="34" borderId="24" xfId="226" applyNumberFormat="1" applyFont="1" applyFill="1" applyBorder="1" applyAlignment="1" quotePrefix="1">
      <alignment horizontal="left" vertical="top" wrapText="1"/>
      <protection/>
    </xf>
    <xf numFmtId="49" fontId="6" fillId="34" borderId="17" xfId="226" applyNumberFormat="1" applyFont="1" applyFill="1" applyBorder="1" applyAlignment="1" quotePrefix="1">
      <alignment horizontal="left" vertical="top" wrapText="1"/>
      <protection/>
    </xf>
    <xf numFmtId="49" fontId="6" fillId="0" borderId="24" xfId="226" applyNumberFormat="1" applyFont="1" applyFill="1" applyBorder="1" applyAlignment="1">
      <alignment horizontal="left" vertical="top" wrapText="1"/>
      <protection/>
    </xf>
    <xf numFmtId="49" fontId="6" fillId="0" borderId="17" xfId="226" applyNumberFormat="1" applyFont="1" applyFill="1" applyBorder="1" applyAlignment="1">
      <alignment horizontal="left" vertical="top" wrapText="1"/>
      <protection/>
    </xf>
    <xf numFmtId="0" fontId="79" fillId="0" borderId="24" xfId="0" applyFont="1" applyBorder="1" applyAlignment="1">
      <alignment horizontal="left" vertical="top" wrapText="1"/>
    </xf>
    <xf numFmtId="0" fontId="79" fillId="0" borderId="25" xfId="0" applyFont="1" applyBorder="1" applyAlignment="1">
      <alignment horizontal="left" vertical="top" wrapText="1"/>
    </xf>
    <xf numFmtId="0" fontId="79" fillId="0" borderId="17" xfId="0" applyFont="1" applyBorder="1" applyAlignment="1">
      <alignment horizontal="left" vertical="top" wrapText="1"/>
    </xf>
    <xf numFmtId="0" fontId="78" fillId="0" borderId="24" xfId="0" applyFont="1" applyBorder="1" applyAlignment="1">
      <alignment horizontal="left" vertical="top" textRotation="90"/>
    </xf>
    <xf numFmtId="0" fontId="78" fillId="0" borderId="25" xfId="0" applyFont="1" applyBorder="1" applyAlignment="1">
      <alignment horizontal="left" vertical="top" textRotation="90"/>
    </xf>
    <xf numFmtId="0" fontId="78" fillId="0" borderId="17" xfId="0" applyFont="1" applyBorder="1" applyAlignment="1">
      <alignment horizontal="left" vertical="top" textRotation="90"/>
    </xf>
    <xf numFmtId="0" fontId="79" fillId="0" borderId="28" xfId="0" applyFont="1" applyBorder="1" applyAlignment="1">
      <alignment horizontal="right" vertical="center"/>
    </xf>
    <xf numFmtId="0" fontId="79" fillId="0" borderId="29" xfId="0" applyFont="1" applyBorder="1" applyAlignment="1">
      <alignment horizontal="right" vertical="center"/>
    </xf>
    <xf numFmtId="0" fontId="79" fillId="0" borderId="23" xfId="0" applyFont="1" applyBorder="1" applyAlignment="1">
      <alignment horizontal="right" vertical="center"/>
    </xf>
    <xf numFmtId="0" fontId="79" fillId="0" borderId="28" xfId="0" applyFont="1" applyBorder="1" applyAlignment="1">
      <alignment horizontal="center"/>
    </xf>
    <xf numFmtId="0" fontId="79" fillId="0" borderId="29" xfId="0" applyFont="1" applyBorder="1" applyAlignment="1">
      <alignment horizontal="center"/>
    </xf>
    <xf numFmtId="0" fontId="79" fillId="0" borderId="30" xfId="0" applyFont="1" applyBorder="1" applyAlignment="1">
      <alignment horizontal="center"/>
    </xf>
    <xf numFmtId="0" fontId="36" fillId="0" borderId="16" xfId="0" applyFont="1" applyFill="1" applyBorder="1" applyAlignment="1">
      <alignment horizontal="center" vertical="center"/>
    </xf>
    <xf numFmtId="0" fontId="36" fillId="0" borderId="16" xfId="0" applyFont="1" applyFill="1" applyBorder="1" applyAlignment="1" quotePrefix="1">
      <alignment horizontal="center" vertical="center"/>
    </xf>
    <xf numFmtId="0" fontId="36" fillId="0" borderId="24"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148" applyFont="1" applyFill="1" applyBorder="1" applyAlignment="1">
      <alignment horizontal="center" vertical="center" wrapText="1"/>
      <protection/>
    </xf>
    <xf numFmtId="0" fontId="36" fillId="0" borderId="39" xfId="148" applyFont="1" applyFill="1" applyBorder="1" applyAlignment="1">
      <alignment horizontal="center" vertical="center" wrapText="1"/>
      <protection/>
    </xf>
    <xf numFmtId="0" fontId="76" fillId="0" borderId="15" xfId="0" applyFont="1" applyFill="1" applyBorder="1" applyAlignment="1">
      <alignment horizontal="center" vertical="center"/>
    </xf>
    <xf numFmtId="0" fontId="76" fillId="0" borderId="23"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23" xfId="0" applyFont="1" applyFill="1" applyBorder="1" applyAlignment="1">
      <alignment horizontal="center" vertical="center"/>
    </xf>
    <xf numFmtId="0" fontId="76" fillId="0" borderId="40" xfId="0" applyFont="1" applyFill="1" applyBorder="1" applyAlignment="1">
      <alignment horizontal="center" vertical="center"/>
    </xf>
    <xf numFmtId="0" fontId="76" fillId="0" borderId="41"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10" xfId="0"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43" xfId="143" applyFont="1" applyFill="1" applyBorder="1" applyAlignment="1">
      <alignment horizontal="center" vertical="center" textRotation="90" wrapText="1"/>
      <protection/>
    </xf>
    <xf numFmtId="0" fontId="36" fillId="0" borderId="44" xfId="143" applyFont="1" applyFill="1" applyBorder="1" applyAlignment="1">
      <alignment horizontal="center" vertical="center" textRotation="90" wrapText="1"/>
      <protection/>
    </xf>
    <xf numFmtId="0" fontId="76" fillId="0" borderId="45" xfId="0" applyFont="1" applyFill="1" applyBorder="1" applyAlignment="1">
      <alignment horizontal="center" wrapText="1"/>
    </xf>
    <xf numFmtId="0" fontId="76" fillId="0" borderId="46" xfId="0" applyFont="1" applyFill="1" applyBorder="1" applyAlignment="1">
      <alignment horizontal="center" wrapText="1"/>
    </xf>
    <xf numFmtId="0" fontId="76" fillId="0" borderId="47" xfId="0" applyFont="1" applyFill="1" applyBorder="1" applyAlignment="1">
      <alignment horizontal="center" wrapText="1"/>
    </xf>
    <xf numFmtId="0" fontId="76" fillId="0" borderId="14" xfId="0" applyFont="1" applyFill="1" applyBorder="1" applyAlignment="1">
      <alignment horizontal="center" wrapText="1"/>
    </xf>
    <xf numFmtId="0" fontId="76" fillId="0" borderId="48"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48" xfId="0" applyFont="1" applyFill="1" applyBorder="1" applyAlignment="1">
      <alignment horizontal="center" vertical="center"/>
    </xf>
    <xf numFmtId="0" fontId="76" fillId="0" borderId="36" xfId="0" applyFont="1" applyFill="1" applyBorder="1" applyAlignment="1">
      <alignment horizontal="center" vertical="center"/>
    </xf>
    <xf numFmtId="0" fontId="76" fillId="0" borderId="22" xfId="0" applyFont="1" applyFill="1" applyBorder="1" applyAlignment="1">
      <alignment horizontal="center" vertical="center"/>
    </xf>
    <xf numFmtId="0" fontId="94" fillId="0" borderId="0" xfId="0" applyFont="1" applyFill="1" applyAlignment="1">
      <alignment horizontal="center"/>
    </xf>
    <xf numFmtId="0" fontId="74" fillId="0" borderId="0" xfId="0" applyFont="1" applyFill="1" applyAlignment="1">
      <alignment horizontal="left" vertical="center"/>
    </xf>
    <xf numFmtId="0" fontId="95" fillId="0" borderId="0" xfId="0" applyFont="1" applyFill="1" applyAlignment="1">
      <alignment horizontal="left" vertical="center"/>
    </xf>
    <xf numFmtId="0" fontId="76" fillId="0" borderId="49" xfId="0" applyFont="1" applyFill="1" applyBorder="1" applyAlignment="1">
      <alignment horizontal="center" vertical="center"/>
    </xf>
    <xf numFmtId="0" fontId="76" fillId="0" borderId="19" xfId="0" applyFont="1" applyFill="1" applyBorder="1" applyAlignment="1">
      <alignment horizontal="center" vertical="center"/>
    </xf>
    <xf numFmtId="0" fontId="96" fillId="0" borderId="12" xfId="0" applyFont="1" applyFill="1" applyBorder="1" applyAlignment="1">
      <alignment horizontal="center" vertical="center" wrapText="1"/>
    </xf>
    <xf numFmtId="0" fontId="96" fillId="0" borderId="16" xfId="0" applyFont="1" applyFill="1" applyBorder="1" applyAlignment="1">
      <alignment horizontal="center" vertical="center" wrapText="1"/>
    </xf>
    <xf numFmtId="0" fontId="76" fillId="0" borderId="12" xfId="0" applyFont="1" applyFill="1" applyBorder="1" applyAlignment="1">
      <alignment horizontal="center" vertical="center" wrapText="1"/>
    </xf>
  </cellXfs>
  <cellStyles count="3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10" xfId="44"/>
    <cellStyle name="Comma [0] 10 2" xfId="45"/>
    <cellStyle name="Comma [0] 11" xfId="46"/>
    <cellStyle name="Comma [0] 12" xfId="47"/>
    <cellStyle name="Comma [0] 12 2" xfId="48"/>
    <cellStyle name="Comma [0] 13" xfId="49"/>
    <cellStyle name="Comma [0] 14" xfId="50"/>
    <cellStyle name="Comma [0] 15" xfId="51"/>
    <cellStyle name="Comma [0] 17" xfId="52"/>
    <cellStyle name="Comma [0] 2" xfId="53"/>
    <cellStyle name="Comma [0] 2 2" xfId="54"/>
    <cellStyle name="Comma [0] 2 2 2" xfId="55"/>
    <cellStyle name="Comma [0] 2 2 3" xfId="56"/>
    <cellStyle name="Comma [0] 2 3" xfId="57"/>
    <cellStyle name="Comma [0] 2 3 2" xfId="58"/>
    <cellStyle name="Comma [0] 2 4" xfId="59"/>
    <cellStyle name="Comma [0] 2 5" xfId="60"/>
    <cellStyle name="Comma [0] 3" xfId="61"/>
    <cellStyle name="Comma [0] 3 2" xfId="62"/>
    <cellStyle name="Comma [0] 3 3" xfId="63"/>
    <cellStyle name="Comma [0] 3 3 2" xfId="64"/>
    <cellStyle name="Comma [0] 3 3 3" xfId="65"/>
    <cellStyle name="Comma [0] 3 4" xfId="66"/>
    <cellStyle name="Comma [0] 3 4 2" xfId="67"/>
    <cellStyle name="Comma [0] 4" xfId="68"/>
    <cellStyle name="Comma [0] 4 2" xfId="69"/>
    <cellStyle name="Comma [0] 4 3" xfId="70"/>
    <cellStyle name="Comma [0] 5" xfId="71"/>
    <cellStyle name="Comma [0] 5 2" xfId="72"/>
    <cellStyle name="Comma [0] 6" xfId="73"/>
    <cellStyle name="Comma [0] 6 2" xfId="74"/>
    <cellStyle name="Comma [0] 6 2 2" xfId="75"/>
    <cellStyle name="Comma [0] 6 3" xfId="76"/>
    <cellStyle name="Comma [0] 6 4" xfId="77"/>
    <cellStyle name="Comma [0] 6 5" xfId="78"/>
    <cellStyle name="Comma [0] 7" xfId="79"/>
    <cellStyle name="Comma [0] 7 2" xfId="80"/>
    <cellStyle name="Comma [0] 8" xfId="81"/>
    <cellStyle name="Comma [0] 9" xfId="82"/>
    <cellStyle name="Comma 10" xfId="83"/>
    <cellStyle name="Comma 11" xfId="84"/>
    <cellStyle name="Comma 11 2" xfId="85"/>
    <cellStyle name="Comma 12" xfId="86"/>
    <cellStyle name="Comma 2" xfId="87"/>
    <cellStyle name="Comma 2 2" xfId="88"/>
    <cellStyle name="Comma 2 2 2" xfId="89"/>
    <cellStyle name="Comma 2 2 2 2" xfId="90"/>
    <cellStyle name="Comma 2 2 3" xfId="91"/>
    <cellStyle name="Comma 2 2 4" xfId="92"/>
    <cellStyle name="Comma 2 3" xfId="93"/>
    <cellStyle name="Comma 2 3 2" xfId="94"/>
    <cellStyle name="Comma 2 3 2 2" xfId="95"/>
    <cellStyle name="Comma 2 3 2 2 2" xfId="96"/>
    <cellStyle name="Comma 2 3 3" xfId="97"/>
    <cellStyle name="Comma 2 4" xfId="98"/>
    <cellStyle name="Comma 2 5" xfId="99"/>
    <cellStyle name="Comma 3" xfId="100"/>
    <cellStyle name="Comma 3 2" xfId="101"/>
    <cellStyle name="Comma 4" xfId="102"/>
    <cellStyle name="Comma 4 2" xfId="103"/>
    <cellStyle name="Comma 5" xfId="104"/>
    <cellStyle name="Comma 5 2" xfId="105"/>
    <cellStyle name="Comma 5 2 2" xfId="106"/>
    <cellStyle name="Comma 5 3" xfId="107"/>
    <cellStyle name="Comma 6" xfId="108"/>
    <cellStyle name="Comma 6 2" xfId="109"/>
    <cellStyle name="Comma 6 3" xfId="110"/>
    <cellStyle name="Comma 7" xfId="111"/>
    <cellStyle name="Comma 8" xfId="112"/>
    <cellStyle name="Comma 9" xfId="113"/>
    <cellStyle name="Currency" xfId="114"/>
    <cellStyle name="Currency [0]" xfId="115"/>
    <cellStyle name="Currency [0] 2" xfId="116"/>
    <cellStyle name="Currency [0] 2 2" xfId="117"/>
    <cellStyle name="Currency [0] 2 2 2" xfId="118"/>
    <cellStyle name="Currency [0] 2 3" xfId="119"/>
    <cellStyle name="Currency [0] 2 3 2" xfId="120"/>
    <cellStyle name="Currency [0] 3" xfId="121"/>
    <cellStyle name="Currency [0] 4" xfId="122"/>
    <cellStyle name="Explanatory Text" xfId="123"/>
    <cellStyle name="Good" xfId="124"/>
    <cellStyle name="Heading 1" xfId="125"/>
    <cellStyle name="Heading 2" xfId="126"/>
    <cellStyle name="Heading 3" xfId="127"/>
    <cellStyle name="Heading 4" xfId="128"/>
    <cellStyle name="Input" xfId="129"/>
    <cellStyle name="Linked Cell" xfId="130"/>
    <cellStyle name="Neutral" xfId="131"/>
    <cellStyle name="Normal 10" xfId="132"/>
    <cellStyle name="Normal 10 2" xfId="133"/>
    <cellStyle name="Normal 11" xfId="134"/>
    <cellStyle name="Normal 11 2" xfId="135"/>
    <cellStyle name="Normal 11 2 2" xfId="136"/>
    <cellStyle name="Normal 11 2 2 2" xfId="137"/>
    <cellStyle name="Normal 11 2 2 2 2" xfId="138"/>
    <cellStyle name="Normal 11 2 2 2 2 2" xfId="139"/>
    <cellStyle name="Normal 11 2 2 2 2 2 2" xfId="140"/>
    <cellStyle name="Normal 11 2 2 2 2 2 2 2" xfId="141"/>
    <cellStyle name="Normal 11 2 2 2 2 2 2 3" xfId="142"/>
    <cellStyle name="Normal 11 2 2 2 2 2 2 5 2" xfId="143"/>
    <cellStyle name="Normal 11 2 2 2 2 2 3" xfId="144"/>
    <cellStyle name="Normal 11 2 2 2 2 2 4" xfId="145"/>
    <cellStyle name="Normal 11 2 2 2 2 2 5" xfId="146"/>
    <cellStyle name="Normal 11 2 2 2 2 2 6" xfId="147"/>
    <cellStyle name="Normal 11 2 2 2 2 2 6 6 2" xfId="148"/>
    <cellStyle name="Normal 11 2 2 2 2 2 7" xfId="149"/>
    <cellStyle name="Normal 11 2 2 2 2 2 8" xfId="150"/>
    <cellStyle name="Normal 11 2 2 2 2 2 9" xfId="151"/>
    <cellStyle name="Normal 11 2 2 3" xfId="152"/>
    <cellStyle name="Normal 11 2 2 4" xfId="153"/>
    <cellStyle name="Normal 11 2 2 4 2" xfId="154"/>
    <cellStyle name="Normal 11 2 2 4 3" xfId="155"/>
    <cellStyle name="Normal 11 2 2 4 3 2" xfId="156"/>
    <cellStyle name="Normal 11 2 2 4 4" xfId="157"/>
    <cellStyle name="Normal 11 2 2 4 5" xfId="158"/>
    <cellStyle name="Normal 11 2 2 4 6" xfId="159"/>
    <cellStyle name="Normal 11 2 2 5" xfId="160"/>
    <cellStyle name="Normal 11 2 2 5 2" xfId="161"/>
    <cellStyle name="Normal 11 2 3" xfId="162"/>
    <cellStyle name="Normal 11 2 4" xfId="163"/>
    <cellStyle name="Normal 11 3" xfId="164"/>
    <cellStyle name="Normal 11 3 2" xfId="165"/>
    <cellStyle name="Normal 11 4" xfId="166"/>
    <cellStyle name="Normal 11 4 2" xfId="167"/>
    <cellStyle name="Normal 11 5" xfId="168"/>
    <cellStyle name="Normal 11 6" xfId="169"/>
    <cellStyle name="Normal 11 6 2" xfId="170"/>
    <cellStyle name="Normal 11 7" xfId="171"/>
    <cellStyle name="Normal 11_ikk amir" xfId="172"/>
    <cellStyle name="Normal 12" xfId="173"/>
    <cellStyle name="Normal 13" xfId="174"/>
    <cellStyle name="Normal 13 2" xfId="175"/>
    <cellStyle name="Normal 14" xfId="176"/>
    <cellStyle name="Normal 14 2" xfId="177"/>
    <cellStyle name="Normal 15" xfId="178"/>
    <cellStyle name="Normal 16" xfId="179"/>
    <cellStyle name="Normal 17" xfId="180"/>
    <cellStyle name="Normal 17 2" xfId="181"/>
    <cellStyle name="Normal 17 3" xfId="182"/>
    <cellStyle name="Normal 17 3 2" xfId="183"/>
    <cellStyle name="Normal 17 4" xfId="184"/>
    <cellStyle name="Normal 18" xfId="185"/>
    <cellStyle name="Normal 18 2" xfId="186"/>
    <cellStyle name="Normal 19" xfId="187"/>
    <cellStyle name="Normal 19 2" xfId="188"/>
    <cellStyle name="Normal 2" xfId="189"/>
    <cellStyle name="Normal 2 2" xfId="190"/>
    <cellStyle name="Normal 2 2 2" xfId="191"/>
    <cellStyle name="Normal 2 2 2 2" xfId="192"/>
    <cellStyle name="Normal 2 2 2 3" xfId="193"/>
    <cellStyle name="Normal 2 2 2 3 2" xfId="194"/>
    <cellStyle name="Normal 2 2 2 4" xfId="195"/>
    <cellStyle name="Normal 2 2 2 5" xfId="196"/>
    <cellStyle name="Normal 2 2 2 6" xfId="197"/>
    <cellStyle name="Normal 2 2 2 7" xfId="198"/>
    <cellStyle name="Normal 2 3" xfId="199"/>
    <cellStyle name="Normal 2 3 2" xfId="200"/>
    <cellStyle name="Normal 2 3_ikk amir" xfId="201"/>
    <cellStyle name="Normal 2 4" xfId="202"/>
    <cellStyle name="Normal 2 4 2" xfId="203"/>
    <cellStyle name="Normal 2 4 2 2" xfId="204"/>
    <cellStyle name="Normal 2 4 2 2 2" xfId="205"/>
    <cellStyle name="Normal 2 4 3" xfId="206"/>
    <cellStyle name="Normal 2 4 4" xfId="207"/>
    <cellStyle name="Normal 2 5" xfId="208"/>
    <cellStyle name="Normal 2 6" xfId="209"/>
    <cellStyle name="Normal 2_LAMPIRAN SK 2010" xfId="210"/>
    <cellStyle name="Normal 20" xfId="211"/>
    <cellStyle name="Normal 20 2" xfId="212"/>
    <cellStyle name="Normal 20 3" xfId="213"/>
    <cellStyle name="Normal 21" xfId="214"/>
    <cellStyle name="Normal 22" xfId="215"/>
    <cellStyle name="Normal 23" xfId="216"/>
    <cellStyle name="Normal 24" xfId="217"/>
    <cellStyle name="Normal 25" xfId="218"/>
    <cellStyle name="Normal 26" xfId="219"/>
    <cellStyle name="Normal 27" xfId="220"/>
    <cellStyle name="Normal 28" xfId="221"/>
    <cellStyle name="Normal 29" xfId="222"/>
    <cellStyle name="Normal 3" xfId="223"/>
    <cellStyle name="Normal 3 2" xfId="224"/>
    <cellStyle name="Normal 3 3" xfId="225"/>
    <cellStyle name="Normal 3 3 2" xfId="226"/>
    <cellStyle name="Normal 3 3 2 2" xfId="227"/>
    <cellStyle name="Normal 3 3 2 2 2" xfId="228"/>
    <cellStyle name="Normal 3 3 2 2 3" xfId="229"/>
    <cellStyle name="Normal 3 3 2 3" xfId="230"/>
    <cellStyle name="Normal 3 3 2 3 2" xfId="231"/>
    <cellStyle name="Normal 3 3 2 3 2 2" xfId="232"/>
    <cellStyle name="Normal 3 3 2 4" xfId="233"/>
    <cellStyle name="Normal 3 3 2 5" xfId="234"/>
    <cellStyle name="Normal 3 3 3" xfId="235"/>
    <cellStyle name="Normal 3 3 3 2" xfId="236"/>
    <cellStyle name="Normal 3 3 3 3" xfId="237"/>
    <cellStyle name="Normal 3 3 3 4" xfId="238"/>
    <cellStyle name="Normal 3 3 4" xfId="239"/>
    <cellStyle name="Normal 3 3 4 2" xfId="240"/>
    <cellStyle name="Normal 3 3 4 3" xfId="241"/>
    <cellStyle name="Normal 3 3 5" xfId="242"/>
    <cellStyle name="Normal 3 3 6" xfId="243"/>
    <cellStyle name="Normal 3 3 6 2" xfId="244"/>
    <cellStyle name="Normal 3 3 6 3" xfId="245"/>
    <cellStyle name="Normal 3 3 6 4" xfId="246"/>
    <cellStyle name="Normal 3 3 7" xfId="247"/>
    <cellStyle name="Normal 3 4" xfId="248"/>
    <cellStyle name="Normal 3 4 2" xfId="249"/>
    <cellStyle name="Normal 3 5" xfId="250"/>
    <cellStyle name="Normal 3 5 2" xfId="251"/>
    <cellStyle name="Normal 3 5 3" xfId="252"/>
    <cellStyle name="Normal 31" xfId="253"/>
    <cellStyle name="Normal 32" xfId="254"/>
    <cellStyle name="Normal 36" xfId="255"/>
    <cellStyle name="Normal 37" xfId="256"/>
    <cellStyle name="Normal 38" xfId="257"/>
    <cellStyle name="Normal 39" xfId="258"/>
    <cellStyle name="Normal 4" xfId="259"/>
    <cellStyle name="Normal 4 2" xfId="260"/>
    <cellStyle name="Normal 4 2 2" xfId="261"/>
    <cellStyle name="Normal 4 2 2 2" xfId="262"/>
    <cellStyle name="Normal 4 2 3" xfId="263"/>
    <cellStyle name="Normal 4 2 3 2" xfId="264"/>
    <cellStyle name="Normal 4 3" xfId="265"/>
    <cellStyle name="Normal 4 3 2" xfId="266"/>
    <cellStyle name="Normal 4 3 2 2" xfId="267"/>
    <cellStyle name="Normal 4 3 3" xfId="268"/>
    <cellStyle name="Normal 4 4" xfId="269"/>
    <cellStyle name="Normal 4 5" xfId="270"/>
    <cellStyle name="Normal 40" xfId="271"/>
    <cellStyle name="Normal 41" xfId="272"/>
    <cellStyle name="Normal 42" xfId="273"/>
    <cellStyle name="Normal 43" xfId="274"/>
    <cellStyle name="Normal 44" xfId="275"/>
    <cellStyle name="Normal 45" xfId="276"/>
    <cellStyle name="Normal 46" xfId="277"/>
    <cellStyle name="Normal 47" xfId="278"/>
    <cellStyle name="Normal 48" xfId="279"/>
    <cellStyle name="Normal 49" xfId="280"/>
    <cellStyle name="Normal 5" xfId="281"/>
    <cellStyle name="Normal 50" xfId="282"/>
    <cellStyle name="Normal 51" xfId="283"/>
    <cellStyle name="Normal 52" xfId="284"/>
    <cellStyle name="Normal 53" xfId="285"/>
    <cellStyle name="Normal 6" xfId="286"/>
    <cellStyle name="Normal 6 2" xfId="287"/>
    <cellStyle name="Normal 7" xfId="288"/>
    <cellStyle name="Normal 7 2" xfId="289"/>
    <cellStyle name="Normal 7 3" xfId="290"/>
    <cellStyle name="Normal 8" xfId="291"/>
    <cellStyle name="Normal 9" xfId="292"/>
    <cellStyle name="Note" xfId="293"/>
    <cellStyle name="Output" xfId="294"/>
    <cellStyle name="Percent" xfId="295"/>
    <cellStyle name="Percent 10" xfId="296"/>
    <cellStyle name="Percent 11" xfId="297"/>
    <cellStyle name="Percent 2" xfId="298"/>
    <cellStyle name="Percent 2 2" xfId="299"/>
    <cellStyle name="Percent 2 2 2" xfId="300"/>
    <cellStyle name="Percent 2 3" xfId="301"/>
    <cellStyle name="Percent 2 4" xfId="302"/>
    <cellStyle name="Percent 2 5" xfId="303"/>
    <cellStyle name="Percent 2 5 2" xfId="304"/>
    <cellStyle name="Percent 3" xfId="305"/>
    <cellStyle name="Percent 3 2" xfId="306"/>
    <cellStyle name="Percent 4" xfId="307"/>
    <cellStyle name="Percent 4 2" xfId="308"/>
    <cellStyle name="Percent 4 2 2" xfId="309"/>
    <cellStyle name="Percent 4 3" xfId="310"/>
    <cellStyle name="Percent 5" xfId="311"/>
    <cellStyle name="Percent 6" xfId="312"/>
    <cellStyle name="Percent 7" xfId="313"/>
    <cellStyle name="Percent 8" xfId="314"/>
    <cellStyle name="Percent 9" xfId="315"/>
    <cellStyle name="Title" xfId="316"/>
    <cellStyle name="Total" xfId="317"/>
    <cellStyle name="Warning Text" xfId="3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RKPD%20KLH%20Maret%20,%20Juni%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KPD KLHnew sep"/>
      <sheetName val="RKPD KLH sep"/>
      <sheetName val="RKPD KLH Juni 2016"/>
      <sheetName val="RKPD KLH Maret 2016 (1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E232"/>
  <sheetViews>
    <sheetView tabSelected="1" view="pageBreakPreview" zoomScale="90" zoomScaleNormal="90" zoomScaleSheetLayoutView="90" zoomScalePageLayoutView="0" workbookViewId="0" topLeftCell="A208">
      <selection activeCell="K224" sqref="K224"/>
    </sheetView>
  </sheetViews>
  <sheetFormatPr defaultColWidth="3.28125" defaultRowHeight="15"/>
  <cols>
    <col min="1" max="1" width="3.28125" style="208" customWidth="1"/>
    <col min="2" max="2" width="13.421875" style="208" bestFit="1" customWidth="1"/>
    <col min="3" max="3" width="13.7109375" style="208" customWidth="1"/>
    <col min="4" max="4" width="10.28125" style="208" customWidth="1"/>
    <col min="5" max="5" width="6.28125" style="208" customWidth="1"/>
    <col min="6" max="6" width="6.421875" style="286" customWidth="1"/>
    <col min="7" max="7" width="10.421875" style="286" customWidth="1"/>
    <col min="8" max="8" width="7.421875" style="290" customWidth="1"/>
    <col min="9" max="9" width="9.00390625" style="290" customWidth="1"/>
    <col min="10" max="10" width="6.57421875" style="208" customWidth="1"/>
    <col min="11" max="11" width="11.140625" style="342" customWidth="1"/>
    <col min="12" max="12" width="6.28125" style="286" customWidth="1"/>
    <col min="13" max="13" width="13.00390625" style="286" customWidth="1"/>
    <col min="14" max="14" width="6.421875" style="301" customWidth="1"/>
    <col min="15" max="15" width="11.7109375" style="301" customWidth="1"/>
    <col min="16" max="16" width="6.421875" style="346" customWidth="1"/>
    <col min="17" max="17" width="9.28125" style="346" customWidth="1"/>
    <col min="18" max="18" width="6.28125" style="214" customWidth="1"/>
    <col min="19" max="19" width="9.421875" style="214" customWidth="1"/>
    <col min="20" max="20" width="6.57421875" style="208" customWidth="1"/>
    <col min="21" max="21" width="8.8515625" style="276" customWidth="1"/>
    <col min="22" max="22" width="5.8515625" style="208" customWidth="1"/>
    <col min="23" max="23" width="7.00390625" style="208" customWidth="1"/>
    <col min="24" max="24" width="7.140625" style="208" customWidth="1"/>
    <col min="25" max="25" width="10.00390625" style="208" customWidth="1"/>
    <col min="26" max="26" width="8.28125" style="208" customWidth="1"/>
    <col min="27" max="27" width="8.421875" style="208" customWidth="1"/>
    <col min="28" max="28" width="6.8515625" style="208" customWidth="1"/>
    <col min="29" max="29" width="3.28125" style="208" customWidth="1"/>
    <col min="30" max="30" width="12.57421875" style="0" customWidth="1"/>
    <col min="31" max="254" width="9.140625" style="0" customWidth="1"/>
  </cols>
  <sheetData>
    <row r="1" spans="1:29" ht="15">
      <c r="A1" s="1"/>
      <c r="B1" s="1"/>
      <c r="C1" s="1"/>
      <c r="D1" s="1"/>
      <c r="E1" s="1"/>
      <c r="F1" s="1"/>
      <c r="G1" s="1"/>
      <c r="H1" s="2"/>
      <c r="I1" s="2"/>
      <c r="J1" s="1"/>
      <c r="K1" s="3"/>
      <c r="L1" s="1"/>
      <c r="M1" s="1"/>
      <c r="N1" s="1"/>
      <c r="O1" s="1"/>
      <c r="P1" s="2"/>
      <c r="Q1" s="2"/>
      <c r="R1" s="1"/>
      <c r="S1" s="1"/>
      <c r="T1" s="1"/>
      <c r="V1" s="1"/>
      <c r="W1" s="1"/>
      <c r="X1" s="1"/>
      <c r="Y1" s="1"/>
      <c r="Z1" s="1"/>
      <c r="AA1" s="1"/>
      <c r="AB1" s="1"/>
      <c r="AC1" s="1"/>
    </row>
    <row r="2" spans="1:29" s="4" customFormat="1" ht="15.75">
      <c r="A2" s="476" t="s">
        <v>289</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row>
    <row r="3" spans="1:29" s="4" customFormat="1" ht="15.75">
      <c r="A3" s="476" t="s">
        <v>290</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row>
    <row r="4" spans="1:29" s="4" customFormat="1" ht="15.75">
      <c r="A4" s="476" t="s">
        <v>291</v>
      </c>
      <c r="B4" s="476"/>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row>
    <row r="5" spans="1:29" s="4" customFormat="1" ht="15.75">
      <c r="A5" s="1"/>
      <c r="B5" s="1"/>
      <c r="C5" s="5"/>
      <c r="D5" s="5"/>
      <c r="E5" s="1"/>
      <c r="F5" s="1"/>
      <c r="G5" s="1"/>
      <c r="H5" s="2"/>
      <c r="I5" s="2"/>
      <c r="J5" s="1"/>
      <c r="K5" s="3"/>
      <c r="L5" s="1"/>
      <c r="M5" s="1"/>
      <c r="N5" s="1"/>
      <c r="O5" s="1"/>
      <c r="P5" s="2"/>
      <c r="Q5" s="2"/>
      <c r="R5" s="1"/>
      <c r="S5" s="1"/>
      <c r="T5" s="1"/>
      <c r="U5" s="276"/>
      <c r="V5" s="1"/>
      <c r="W5" s="1"/>
      <c r="X5" s="1"/>
      <c r="Y5" s="1"/>
      <c r="Z5" s="1"/>
      <c r="AA5" s="1"/>
      <c r="AB5" s="1"/>
      <c r="AC5" s="1"/>
    </row>
    <row r="6" spans="1:29" s="6" customFormat="1" ht="15.75">
      <c r="A6" s="477" t="s">
        <v>1</v>
      </c>
      <c r="B6" s="477"/>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row>
    <row r="7" spans="1:29" s="6" customFormat="1" ht="15.75">
      <c r="A7" s="478" t="s">
        <v>2</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row>
    <row r="8" spans="1:29" s="7" customFormat="1" ht="12.75" thickBot="1">
      <c r="A8" s="1"/>
      <c r="B8" s="1"/>
      <c r="C8" s="1"/>
      <c r="D8" s="1"/>
      <c r="E8" s="1"/>
      <c r="F8" s="1"/>
      <c r="G8" s="1"/>
      <c r="H8" s="2"/>
      <c r="I8" s="2"/>
      <c r="J8" s="1"/>
      <c r="K8" s="3"/>
      <c r="L8" s="1"/>
      <c r="M8" s="1"/>
      <c r="N8" s="1"/>
      <c r="O8" s="1"/>
      <c r="P8" s="2"/>
      <c r="Q8" s="2"/>
      <c r="R8" s="1"/>
      <c r="S8" s="1"/>
      <c r="T8" s="1"/>
      <c r="U8" s="276"/>
      <c r="V8" s="1"/>
      <c r="W8" s="1"/>
      <c r="X8" s="1"/>
      <c r="Y8" s="1"/>
      <c r="Z8" s="1"/>
      <c r="AA8" s="1"/>
      <c r="AB8" s="1"/>
      <c r="AC8" s="1"/>
    </row>
    <row r="9" spans="1:29" s="7" customFormat="1" ht="36.75" customHeight="1" thickTop="1">
      <c r="A9" s="479" t="s">
        <v>3</v>
      </c>
      <c r="B9" s="479" t="s">
        <v>4</v>
      </c>
      <c r="C9" s="481" t="s">
        <v>5</v>
      </c>
      <c r="D9" s="483" t="s">
        <v>6</v>
      </c>
      <c r="E9" s="483" t="s">
        <v>7</v>
      </c>
      <c r="F9" s="465" t="s">
        <v>8</v>
      </c>
      <c r="G9" s="466"/>
      <c r="H9" s="469" t="s">
        <v>265</v>
      </c>
      <c r="I9" s="470"/>
      <c r="J9" s="469" t="s">
        <v>266</v>
      </c>
      <c r="K9" s="470"/>
      <c r="L9" s="473" t="s">
        <v>9</v>
      </c>
      <c r="M9" s="474"/>
      <c r="N9" s="474"/>
      <c r="O9" s="474"/>
      <c r="P9" s="474"/>
      <c r="Q9" s="474"/>
      <c r="R9" s="474"/>
      <c r="S9" s="475"/>
      <c r="T9" s="459" t="s">
        <v>10</v>
      </c>
      <c r="U9" s="459"/>
      <c r="V9" s="459" t="s">
        <v>11</v>
      </c>
      <c r="W9" s="459"/>
      <c r="X9" s="459" t="s">
        <v>12</v>
      </c>
      <c r="Y9" s="459"/>
      <c r="Z9" s="459" t="s">
        <v>13</v>
      </c>
      <c r="AA9" s="459"/>
      <c r="AB9" s="461" t="s">
        <v>14</v>
      </c>
      <c r="AC9" s="463" t="s">
        <v>15</v>
      </c>
    </row>
    <row r="10" spans="1:29" s="7" customFormat="1" ht="66" customHeight="1">
      <c r="A10" s="480"/>
      <c r="B10" s="480"/>
      <c r="C10" s="482"/>
      <c r="D10" s="457"/>
      <c r="E10" s="457"/>
      <c r="F10" s="467"/>
      <c r="G10" s="468"/>
      <c r="H10" s="471"/>
      <c r="I10" s="472"/>
      <c r="J10" s="471"/>
      <c r="K10" s="472"/>
      <c r="L10" s="451" t="s">
        <v>16</v>
      </c>
      <c r="M10" s="452"/>
      <c r="N10" s="451" t="s">
        <v>17</v>
      </c>
      <c r="O10" s="452"/>
      <c r="P10" s="453" t="s">
        <v>18</v>
      </c>
      <c r="Q10" s="454"/>
      <c r="R10" s="451" t="s">
        <v>19</v>
      </c>
      <c r="S10" s="452"/>
      <c r="T10" s="460"/>
      <c r="U10" s="460"/>
      <c r="V10" s="460"/>
      <c r="W10" s="460"/>
      <c r="X10" s="460"/>
      <c r="Y10" s="460"/>
      <c r="Z10" s="460"/>
      <c r="AA10" s="460"/>
      <c r="AB10" s="462"/>
      <c r="AC10" s="464"/>
    </row>
    <row r="11" spans="1:29" s="7" customFormat="1" ht="12">
      <c r="A11" s="455">
        <v>1</v>
      </c>
      <c r="B11" s="455">
        <v>2</v>
      </c>
      <c r="C11" s="457">
        <v>3</v>
      </c>
      <c r="D11" s="457">
        <v>4</v>
      </c>
      <c r="E11" s="457" t="s">
        <v>20</v>
      </c>
      <c r="F11" s="451">
        <v>5</v>
      </c>
      <c r="G11" s="452"/>
      <c r="H11" s="451">
        <v>6</v>
      </c>
      <c r="I11" s="452"/>
      <c r="J11" s="451">
        <v>7</v>
      </c>
      <c r="K11" s="452"/>
      <c r="L11" s="451">
        <v>8</v>
      </c>
      <c r="M11" s="452"/>
      <c r="N11" s="451">
        <v>9</v>
      </c>
      <c r="O11" s="452"/>
      <c r="P11" s="453">
        <v>10</v>
      </c>
      <c r="Q11" s="454"/>
      <c r="R11" s="451">
        <v>11</v>
      </c>
      <c r="S11" s="452"/>
      <c r="T11" s="445" t="s">
        <v>21</v>
      </c>
      <c r="U11" s="445"/>
      <c r="V11" s="446" t="s">
        <v>22</v>
      </c>
      <c r="W11" s="445"/>
      <c r="X11" s="446" t="s">
        <v>23</v>
      </c>
      <c r="Y11" s="445"/>
      <c r="Z11" s="446" t="s">
        <v>24</v>
      </c>
      <c r="AA11" s="445"/>
      <c r="AB11" s="447">
        <v>16</v>
      </c>
      <c r="AC11" s="449">
        <v>17</v>
      </c>
    </row>
    <row r="12" spans="1:29" ht="15.75" thickBot="1">
      <c r="A12" s="456"/>
      <c r="B12" s="456"/>
      <c r="C12" s="458"/>
      <c r="D12" s="458"/>
      <c r="E12" s="458"/>
      <c r="F12" s="332" t="s">
        <v>25</v>
      </c>
      <c r="G12" s="332" t="s">
        <v>26</v>
      </c>
      <c r="H12" s="8" t="s">
        <v>25</v>
      </c>
      <c r="I12" s="8" t="s">
        <v>26</v>
      </c>
      <c r="J12" s="332" t="s">
        <v>25</v>
      </c>
      <c r="K12" s="8" t="s">
        <v>26</v>
      </c>
      <c r="L12" s="332" t="s">
        <v>25</v>
      </c>
      <c r="M12" s="332" t="s">
        <v>26</v>
      </c>
      <c r="N12" s="332" t="s">
        <v>25</v>
      </c>
      <c r="O12" s="332" t="s">
        <v>26</v>
      </c>
      <c r="P12" s="8" t="s">
        <v>25</v>
      </c>
      <c r="Q12" s="8" t="s">
        <v>26</v>
      </c>
      <c r="R12" s="332" t="s">
        <v>25</v>
      </c>
      <c r="S12" s="332" t="s">
        <v>26</v>
      </c>
      <c r="T12" s="332" t="s">
        <v>25</v>
      </c>
      <c r="U12" s="277" t="s">
        <v>26</v>
      </c>
      <c r="V12" s="332" t="s">
        <v>25</v>
      </c>
      <c r="W12" s="332" t="s">
        <v>26</v>
      </c>
      <c r="X12" s="332" t="s">
        <v>25</v>
      </c>
      <c r="Y12" s="332" t="s">
        <v>26</v>
      </c>
      <c r="Z12" s="332" t="s">
        <v>25</v>
      </c>
      <c r="AA12" s="332" t="s">
        <v>26</v>
      </c>
      <c r="AB12" s="448"/>
      <c r="AC12" s="450"/>
    </row>
    <row r="13" spans="1:29" ht="15.75" thickTop="1">
      <c r="A13" s="9"/>
      <c r="B13" s="333"/>
      <c r="C13" s="10"/>
      <c r="D13" s="10"/>
      <c r="E13" s="10"/>
      <c r="F13" s="10"/>
      <c r="G13" s="10"/>
      <c r="H13" s="11"/>
      <c r="I13" s="11"/>
      <c r="J13" s="10"/>
      <c r="K13" s="11"/>
      <c r="L13" s="10"/>
      <c r="M13" s="10"/>
      <c r="N13" s="10"/>
      <c r="O13" s="10"/>
      <c r="P13" s="11"/>
      <c r="Q13" s="11"/>
      <c r="R13" s="10"/>
      <c r="S13" s="10"/>
      <c r="T13" s="10"/>
      <c r="U13" s="278"/>
      <c r="V13" s="10"/>
      <c r="W13" s="10"/>
      <c r="X13" s="10"/>
      <c r="Y13" s="10"/>
      <c r="Z13" s="10"/>
      <c r="AA13" s="10"/>
      <c r="AB13" s="11"/>
      <c r="AC13" s="12"/>
    </row>
    <row r="14" spans="1:29" ht="38.25">
      <c r="A14" s="334"/>
      <c r="B14" s="13"/>
      <c r="C14" s="14" t="s">
        <v>27</v>
      </c>
      <c r="D14" s="15"/>
      <c r="E14" s="16"/>
      <c r="F14" s="15"/>
      <c r="G14" s="16"/>
      <c r="H14" s="17"/>
      <c r="I14" s="17"/>
      <c r="J14" s="16"/>
      <c r="K14" s="17"/>
      <c r="L14" s="16"/>
      <c r="M14" s="16"/>
      <c r="N14" s="16"/>
      <c r="O14" s="16"/>
      <c r="P14" s="17"/>
      <c r="Q14" s="17"/>
      <c r="R14" s="16"/>
      <c r="S14" s="16"/>
      <c r="T14" s="16"/>
      <c r="U14" s="279"/>
      <c r="V14" s="16"/>
      <c r="W14" s="16"/>
      <c r="X14" s="16"/>
      <c r="Y14" s="16"/>
      <c r="Z14" s="16"/>
      <c r="AA14" s="16"/>
      <c r="AB14" s="17"/>
      <c r="AC14" s="18"/>
    </row>
    <row r="15" spans="1:29" s="30" customFormat="1" ht="25.5">
      <c r="A15" s="19"/>
      <c r="B15" s="357"/>
      <c r="C15" s="20" t="s">
        <v>28</v>
      </c>
      <c r="D15" s="20"/>
      <c r="E15" s="21"/>
      <c r="F15" s="20"/>
      <c r="G15" s="21"/>
      <c r="H15" s="22">
        <v>12</v>
      </c>
      <c r="I15" s="321">
        <f>SUM(I16:I26)</f>
        <v>914582</v>
      </c>
      <c r="J15" s="22">
        <v>12</v>
      </c>
      <c r="K15" s="299">
        <f>SUM(K16:K26)</f>
        <v>2045909</v>
      </c>
      <c r="L15" s="23">
        <v>3</v>
      </c>
      <c r="M15" s="24">
        <f>SUM(M16:M26)</f>
        <v>274831.0520000001</v>
      </c>
      <c r="N15" s="299">
        <v>3</v>
      </c>
      <c r="O15" s="24">
        <f>SUM(O16:O26)</f>
        <v>543266.219</v>
      </c>
      <c r="P15" s="299">
        <v>3</v>
      </c>
      <c r="Q15" s="24">
        <f>SUM(Q16:Q26)</f>
        <v>565680.065</v>
      </c>
      <c r="R15" s="299">
        <v>3</v>
      </c>
      <c r="S15" s="24">
        <f>SUM(S16:S26)</f>
        <v>575096.427</v>
      </c>
      <c r="T15" s="25">
        <f>SUM(L15+N15+P15+R15)</f>
        <v>12</v>
      </c>
      <c r="U15" s="25">
        <f>SUM(M15+O15+Q15+S15)</f>
        <v>1958873.7630000003</v>
      </c>
      <c r="V15" s="26">
        <f>+T15/J15*100</f>
        <v>100</v>
      </c>
      <c r="W15" s="27">
        <f aca="true" t="shared" si="0" ref="W15:W26">+U15/K15*100</f>
        <v>95.74588913778669</v>
      </c>
      <c r="X15" s="28">
        <f aca="true" t="shared" si="1" ref="X15:Y26">+H15+T15</f>
        <v>24</v>
      </c>
      <c r="Y15" s="28">
        <f>+I15+U15</f>
        <v>2873455.7630000003</v>
      </c>
      <c r="Z15" s="29" t="e">
        <f aca="true" t="shared" si="2" ref="Z15:AA26">+X15/F15*100</f>
        <v>#DIV/0!</v>
      </c>
      <c r="AA15" s="29" t="e">
        <f t="shared" si="2"/>
        <v>#DIV/0!</v>
      </c>
      <c r="AB15" s="17"/>
      <c r="AC15" s="18"/>
    </row>
    <row r="16" spans="1:29" ht="38.25">
      <c r="A16" s="31"/>
      <c r="B16" s="358"/>
      <c r="C16" s="32" t="s">
        <v>29</v>
      </c>
      <c r="D16" s="32"/>
      <c r="E16" s="325" t="s">
        <v>30</v>
      </c>
      <c r="F16" s="310"/>
      <c r="G16" s="331"/>
      <c r="H16" s="34">
        <v>12</v>
      </c>
      <c r="I16" s="320">
        <f>634394.67-21932.47</f>
        <v>612462.2000000001</v>
      </c>
      <c r="J16" s="34">
        <v>12</v>
      </c>
      <c r="K16" s="35">
        <v>1102768.148</v>
      </c>
      <c r="L16" s="34">
        <v>3</v>
      </c>
      <c r="M16" s="295">
        <v>204052.9</v>
      </c>
      <c r="N16" s="34">
        <v>3</v>
      </c>
      <c r="O16" s="36">
        <f>526408-M16</f>
        <v>322355.1</v>
      </c>
      <c r="P16" s="37">
        <v>3</v>
      </c>
      <c r="Q16" s="38">
        <v>319763.69999999995</v>
      </c>
      <c r="R16" s="263">
        <v>3</v>
      </c>
      <c r="S16" s="264">
        <f>1080962.7-Q16-O16-M16</f>
        <v>234791.00000000003</v>
      </c>
      <c r="T16" s="39">
        <f>SUM(L16+N16+P16+R16)</f>
        <v>12</v>
      </c>
      <c r="U16" s="39">
        <f>SUM(M16+O16+Q16+S16)</f>
        <v>1080962.7</v>
      </c>
      <c r="V16" s="40">
        <f aca="true" t="shared" si="3" ref="V16:V26">+T16/J16*100</f>
        <v>100</v>
      </c>
      <c r="W16" s="41">
        <f t="shared" si="0"/>
        <v>98.02266251164882</v>
      </c>
      <c r="X16" s="42">
        <f t="shared" si="1"/>
        <v>24</v>
      </c>
      <c r="Y16" s="42">
        <f>+I16+U16</f>
        <v>1693424.9</v>
      </c>
      <c r="Z16" s="43" t="e">
        <f t="shared" si="2"/>
        <v>#DIV/0!</v>
      </c>
      <c r="AA16" s="43" t="e">
        <f t="shared" si="2"/>
        <v>#DIV/0!</v>
      </c>
      <c r="AB16" s="329"/>
      <c r="AC16" s="44"/>
    </row>
    <row r="17" spans="1:29" ht="25.5">
      <c r="A17" s="31"/>
      <c r="B17" s="364"/>
      <c r="C17" s="32" t="s">
        <v>31</v>
      </c>
      <c r="D17" s="32"/>
      <c r="E17" s="325" t="s">
        <v>30</v>
      </c>
      <c r="F17" s="310"/>
      <c r="G17" s="331"/>
      <c r="H17" s="34">
        <v>12</v>
      </c>
      <c r="I17" s="320">
        <f>78527.008-8689.38</f>
        <v>69837.628</v>
      </c>
      <c r="J17" s="34">
        <v>12</v>
      </c>
      <c r="K17" s="35">
        <v>122199</v>
      </c>
      <c r="L17" s="34">
        <v>3</v>
      </c>
      <c r="M17" s="295">
        <v>22955.904</v>
      </c>
      <c r="N17" s="34">
        <v>3</v>
      </c>
      <c r="O17" s="36">
        <f>49532.24-M17</f>
        <v>26576.336</v>
      </c>
      <c r="P17" s="37">
        <v>3</v>
      </c>
      <c r="Q17" s="38">
        <f>84668.324-M17-O17</f>
        <v>35136.084</v>
      </c>
      <c r="R17" s="263">
        <v>3</v>
      </c>
      <c r="S17" s="264">
        <f>110286.774-M17-O17-Q17</f>
        <v>25618.45000000001</v>
      </c>
      <c r="T17" s="39">
        <f aca="true" t="shared" si="4" ref="T17:U26">SUM(L17+N17+P17+R17)</f>
        <v>12</v>
      </c>
      <c r="U17" s="39">
        <f>SUM(M17+O17+Q17+S17)</f>
        <v>110286.774</v>
      </c>
      <c r="V17" s="40">
        <f t="shared" si="3"/>
        <v>100</v>
      </c>
      <c r="W17" s="239">
        <f t="shared" si="0"/>
        <v>90.2517811111384</v>
      </c>
      <c r="X17" s="42">
        <f t="shared" si="1"/>
        <v>24</v>
      </c>
      <c r="Y17" s="42">
        <f t="shared" si="1"/>
        <v>180124.402</v>
      </c>
      <c r="Z17" s="43" t="e">
        <f t="shared" si="2"/>
        <v>#DIV/0!</v>
      </c>
      <c r="AA17" s="43" t="e">
        <f t="shared" si="2"/>
        <v>#DIV/0!</v>
      </c>
      <c r="AB17" s="329"/>
      <c r="AC17" s="44"/>
    </row>
    <row r="18" spans="1:29" ht="27.75" customHeight="1">
      <c r="A18" s="31"/>
      <c r="B18" s="330"/>
      <c r="C18" s="32" t="s">
        <v>32</v>
      </c>
      <c r="D18" s="32"/>
      <c r="E18" s="325" t="s">
        <v>30</v>
      </c>
      <c r="F18" s="310"/>
      <c r="G18" s="331"/>
      <c r="H18" s="34">
        <v>12</v>
      </c>
      <c r="I18" s="320">
        <f>50274-5814</f>
        <v>44460</v>
      </c>
      <c r="J18" s="34">
        <v>12</v>
      </c>
      <c r="K18" s="35">
        <v>130815</v>
      </c>
      <c r="L18" s="34">
        <v>3</v>
      </c>
      <c r="M18" s="295">
        <v>21540</v>
      </c>
      <c r="N18" s="34">
        <v>3</v>
      </c>
      <c r="O18" s="36">
        <f>50250-M18</f>
        <v>28710</v>
      </c>
      <c r="P18" s="37">
        <v>3</v>
      </c>
      <c r="Q18" s="38">
        <v>37275</v>
      </c>
      <c r="R18" s="263">
        <v>3</v>
      </c>
      <c r="S18" s="264">
        <f>117000-Q18-O18-M18</f>
        <v>29475</v>
      </c>
      <c r="T18" s="39">
        <f t="shared" si="4"/>
        <v>12</v>
      </c>
      <c r="U18" s="39">
        <f t="shared" si="4"/>
        <v>117000</v>
      </c>
      <c r="V18" s="40">
        <f t="shared" si="3"/>
        <v>100</v>
      </c>
      <c r="W18" s="41">
        <f t="shared" si="0"/>
        <v>89.43928448572412</v>
      </c>
      <c r="X18" s="42">
        <f t="shared" si="1"/>
        <v>24</v>
      </c>
      <c r="Y18" s="42">
        <f t="shared" si="1"/>
        <v>161460</v>
      </c>
      <c r="Z18" s="43" t="e">
        <f t="shared" si="2"/>
        <v>#DIV/0!</v>
      </c>
      <c r="AA18" s="43" t="e">
        <f t="shared" si="2"/>
        <v>#DIV/0!</v>
      </c>
      <c r="AB18" s="329"/>
      <c r="AC18" s="44"/>
    </row>
    <row r="19" spans="1:29" ht="43.5" customHeight="1">
      <c r="A19" s="31"/>
      <c r="B19" s="330"/>
      <c r="C19" s="32" t="s">
        <v>33</v>
      </c>
      <c r="D19" s="32"/>
      <c r="E19" s="325" t="s">
        <v>30</v>
      </c>
      <c r="F19" s="310"/>
      <c r="G19" s="331"/>
      <c r="H19" s="34">
        <v>12</v>
      </c>
      <c r="I19" s="35">
        <f>19036.5-2201.5</f>
        <v>16835</v>
      </c>
      <c r="J19" s="34">
        <v>12</v>
      </c>
      <c r="K19" s="35">
        <v>25385</v>
      </c>
      <c r="L19" s="34">
        <v>3</v>
      </c>
      <c r="M19" s="295">
        <v>4945</v>
      </c>
      <c r="N19" s="34">
        <v>3</v>
      </c>
      <c r="O19" s="36">
        <f>10420-M19</f>
        <v>5475</v>
      </c>
      <c r="P19" s="37">
        <v>3</v>
      </c>
      <c r="Q19" s="38">
        <v>7115</v>
      </c>
      <c r="R19" s="263">
        <v>3</v>
      </c>
      <c r="S19" s="264">
        <f>22455-Q19-O19-M19</f>
        <v>4920</v>
      </c>
      <c r="T19" s="39">
        <f t="shared" si="4"/>
        <v>12</v>
      </c>
      <c r="U19" s="39">
        <f t="shared" si="4"/>
        <v>22455</v>
      </c>
      <c r="V19" s="40">
        <f t="shared" si="3"/>
        <v>100</v>
      </c>
      <c r="W19" s="41">
        <f t="shared" si="0"/>
        <v>88.45775064014182</v>
      </c>
      <c r="X19" s="42">
        <f t="shared" si="1"/>
        <v>24</v>
      </c>
      <c r="Y19" s="42">
        <f t="shared" si="1"/>
        <v>39290</v>
      </c>
      <c r="Z19" s="43" t="e">
        <f t="shared" si="2"/>
        <v>#DIV/0!</v>
      </c>
      <c r="AA19" s="43" t="e">
        <f t="shared" si="2"/>
        <v>#DIV/0!</v>
      </c>
      <c r="AB19" s="329"/>
      <c r="AC19" s="44"/>
    </row>
    <row r="20" spans="1:29" ht="15">
      <c r="A20" s="31"/>
      <c r="B20" s="330"/>
      <c r="C20" s="32" t="s">
        <v>34</v>
      </c>
      <c r="D20" s="32"/>
      <c r="E20" s="325" t="s">
        <v>30</v>
      </c>
      <c r="F20" s="310"/>
      <c r="G20" s="331"/>
      <c r="H20" s="34">
        <v>12</v>
      </c>
      <c r="I20" s="35">
        <f>52164.126-17250.926</f>
        <v>34913.2</v>
      </c>
      <c r="J20" s="34">
        <v>12</v>
      </c>
      <c r="K20" s="35">
        <v>71724</v>
      </c>
      <c r="L20" s="34">
        <v>3</v>
      </c>
      <c r="M20" s="295">
        <v>13325.28</v>
      </c>
      <c r="N20" s="34">
        <v>3</v>
      </c>
      <c r="O20" s="36">
        <f>28968-M20</f>
        <v>15642.72</v>
      </c>
      <c r="P20" s="37">
        <v>3</v>
      </c>
      <c r="Q20" s="38">
        <v>15425.460000000001</v>
      </c>
      <c r="R20" s="263">
        <v>3</v>
      </c>
      <c r="S20" s="264">
        <f>59239.56-Q20-O20-M20</f>
        <v>14846.099999999997</v>
      </c>
      <c r="T20" s="39">
        <f t="shared" si="4"/>
        <v>12</v>
      </c>
      <c r="U20" s="39">
        <f t="shared" si="4"/>
        <v>59239.56</v>
      </c>
      <c r="V20" s="40">
        <f t="shared" si="3"/>
        <v>100</v>
      </c>
      <c r="W20" s="41">
        <f t="shared" si="0"/>
        <v>82.5937761418772</v>
      </c>
      <c r="X20" s="42">
        <f t="shared" si="1"/>
        <v>24</v>
      </c>
      <c r="Y20" s="42">
        <f t="shared" si="1"/>
        <v>94152.76</v>
      </c>
      <c r="Z20" s="43" t="e">
        <f t="shared" si="2"/>
        <v>#DIV/0!</v>
      </c>
      <c r="AA20" s="43" t="e">
        <f t="shared" si="2"/>
        <v>#DIV/0!</v>
      </c>
      <c r="AB20" s="329"/>
      <c r="AC20" s="44"/>
    </row>
    <row r="21" spans="1:29" ht="38.25">
      <c r="A21" s="31"/>
      <c r="B21" s="330"/>
      <c r="C21" s="32" t="s">
        <v>35</v>
      </c>
      <c r="D21" s="32"/>
      <c r="E21" s="325" t="s">
        <v>30</v>
      </c>
      <c r="F21" s="310"/>
      <c r="G21" s="331"/>
      <c r="H21" s="34">
        <v>12</v>
      </c>
      <c r="I21" s="35">
        <f>8458.492-651.36</f>
        <v>7807.1320000000005</v>
      </c>
      <c r="J21" s="34">
        <v>12</v>
      </c>
      <c r="K21" s="35">
        <v>5108</v>
      </c>
      <c r="L21" s="34">
        <v>3</v>
      </c>
      <c r="M21" s="295">
        <v>97.014</v>
      </c>
      <c r="N21" s="34">
        <v>3</v>
      </c>
      <c r="O21" s="36">
        <f>1643.686-M21</f>
        <v>1546.672</v>
      </c>
      <c r="P21" s="37">
        <v>3</v>
      </c>
      <c r="Q21" s="38">
        <v>2055.877</v>
      </c>
      <c r="R21" s="263">
        <v>3</v>
      </c>
      <c r="S21" s="264">
        <f>4011.185-Q21-O21-M21</f>
        <v>311.62199999999996</v>
      </c>
      <c r="T21" s="39">
        <f t="shared" si="4"/>
        <v>12</v>
      </c>
      <c r="U21" s="39">
        <f t="shared" si="4"/>
        <v>4011.185</v>
      </c>
      <c r="V21" s="40">
        <f t="shared" si="3"/>
        <v>100</v>
      </c>
      <c r="W21" s="41">
        <f t="shared" si="0"/>
        <v>78.52750587314017</v>
      </c>
      <c r="X21" s="42">
        <f t="shared" si="1"/>
        <v>24</v>
      </c>
      <c r="Y21" s="42">
        <f t="shared" si="1"/>
        <v>11818.317000000001</v>
      </c>
      <c r="Z21" s="43" t="e">
        <f t="shared" si="2"/>
        <v>#DIV/0!</v>
      </c>
      <c r="AA21" s="43" t="e">
        <f t="shared" si="2"/>
        <v>#DIV/0!</v>
      </c>
      <c r="AB21" s="329"/>
      <c r="AC21" s="44"/>
    </row>
    <row r="22" spans="1:29" ht="15">
      <c r="A22" s="31"/>
      <c r="B22" s="330"/>
      <c r="C22" s="32" t="s">
        <v>36</v>
      </c>
      <c r="D22" s="32"/>
      <c r="E22" s="325" t="s">
        <v>30</v>
      </c>
      <c r="F22" s="310"/>
      <c r="G22" s="331"/>
      <c r="H22" s="34">
        <v>12</v>
      </c>
      <c r="I22" s="35">
        <f>11.11-3.59</f>
        <v>7.52</v>
      </c>
      <c r="J22" s="34">
        <v>12</v>
      </c>
      <c r="K22" s="35">
        <v>12.852</v>
      </c>
      <c r="L22" s="34">
        <v>3</v>
      </c>
      <c r="M22" s="365">
        <v>2.794</v>
      </c>
      <c r="N22" s="34">
        <v>3</v>
      </c>
      <c r="O22" s="365">
        <f>5.944-M22</f>
        <v>3.15</v>
      </c>
      <c r="P22" s="37">
        <v>3</v>
      </c>
      <c r="Q22" s="366">
        <v>4.508999999999999</v>
      </c>
      <c r="R22" s="263">
        <v>3</v>
      </c>
      <c r="S22" s="367">
        <f>14.553-Q22-O22-M22</f>
        <v>4.100000000000001</v>
      </c>
      <c r="T22" s="39">
        <f t="shared" si="4"/>
        <v>12</v>
      </c>
      <c r="U22" s="39">
        <f>SUM(M22+O22+Q22+S22)</f>
        <v>14.553</v>
      </c>
      <c r="V22" s="40">
        <f t="shared" si="3"/>
        <v>100</v>
      </c>
      <c r="W22" s="41">
        <f t="shared" si="0"/>
        <v>113.23529411764706</v>
      </c>
      <c r="X22" s="42">
        <f t="shared" si="1"/>
        <v>24</v>
      </c>
      <c r="Y22" s="42">
        <f t="shared" si="1"/>
        <v>22.073</v>
      </c>
      <c r="Z22" s="43" t="e">
        <f t="shared" si="2"/>
        <v>#DIV/0!</v>
      </c>
      <c r="AA22" s="43" t="e">
        <f t="shared" si="2"/>
        <v>#DIV/0!</v>
      </c>
      <c r="AB22" s="329"/>
      <c r="AC22" s="44"/>
    </row>
    <row r="23" spans="1:29" ht="25.5">
      <c r="A23" s="31"/>
      <c r="B23" s="330"/>
      <c r="C23" s="32" t="s">
        <v>37</v>
      </c>
      <c r="D23" s="32"/>
      <c r="E23" s="325" t="s">
        <v>30</v>
      </c>
      <c r="F23" s="310"/>
      <c r="G23" s="331"/>
      <c r="H23" s="34">
        <v>12</v>
      </c>
      <c r="I23" s="35">
        <f>25588.094-7927.094</f>
        <v>17661</v>
      </c>
      <c r="J23" s="34">
        <v>12</v>
      </c>
      <c r="K23" s="35">
        <v>36869</v>
      </c>
      <c r="L23" s="34">
        <v>3</v>
      </c>
      <c r="M23" s="295">
        <v>6810.264</v>
      </c>
      <c r="N23" s="34">
        <v>3</v>
      </c>
      <c r="O23" s="36">
        <f>14860.045-M23</f>
        <v>8049.781</v>
      </c>
      <c r="P23" s="37">
        <v>3</v>
      </c>
      <c r="Q23" s="38">
        <v>7962.974000000001</v>
      </c>
      <c r="R23" s="263">
        <v>3</v>
      </c>
      <c r="S23" s="264">
        <f>30635.305-Q23-O23-M23</f>
        <v>7812.285999999999</v>
      </c>
      <c r="T23" s="39">
        <f t="shared" si="4"/>
        <v>12</v>
      </c>
      <c r="U23" s="39">
        <f t="shared" si="4"/>
        <v>30635.305</v>
      </c>
      <c r="V23" s="40">
        <f t="shared" si="3"/>
        <v>100</v>
      </c>
      <c r="W23" s="41">
        <f t="shared" si="0"/>
        <v>83.09231332555805</v>
      </c>
      <c r="X23" s="42">
        <f t="shared" si="1"/>
        <v>24</v>
      </c>
      <c r="Y23" s="42">
        <f t="shared" si="1"/>
        <v>48296.305</v>
      </c>
      <c r="Z23" s="43" t="e">
        <f t="shared" si="2"/>
        <v>#DIV/0!</v>
      </c>
      <c r="AA23" s="43" t="e">
        <f t="shared" si="2"/>
        <v>#DIV/0!</v>
      </c>
      <c r="AB23" s="329"/>
      <c r="AC23" s="44"/>
    </row>
    <row r="24" spans="1:29" ht="25.5">
      <c r="A24" s="31"/>
      <c r="B24" s="330"/>
      <c r="C24" s="32" t="s">
        <v>38</v>
      </c>
      <c r="D24" s="32"/>
      <c r="E24" s="325" t="s">
        <v>30</v>
      </c>
      <c r="F24" s="310"/>
      <c r="G24" s="331"/>
      <c r="H24" s="34">
        <v>12</v>
      </c>
      <c r="I24" s="35">
        <f>1920-231.856</f>
        <v>1688.144</v>
      </c>
      <c r="J24" s="34">
        <v>12</v>
      </c>
      <c r="K24" s="35">
        <v>2656</v>
      </c>
      <c r="L24" s="34">
        <v>3</v>
      </c>
      <c r="M24" s="295">
        <v>489.731</v>
      </c>
      <c r="N24" s="34">
        <v>3</v>
      </c>
      <c r="O24" s="36">
        <f>1069.935-M24</f>
        <v>580.204</v>
      </c>
      <c r="P24" s="37">
        <v>3</v>
      </c>
      <c r="Q24" s="38">
        <v>573.983</v>
      </c>
      <c r="R24" s="263">
        <v>3</v>
      </c>
      <c r="S24" s="264">
        <f>2207.417-Q24-O24-M24</f>
        <v>563.499</v>
      </c>
      <c r="T24" s="39">
        <f t="shared" si="4"/>
        <v>12</v>
      </c>
      <c r="U24" s="39">
        <f t="shared" si="4"/>
        <v>2207.417</v>
      </c>
      <c r="V24" s="40">
        <f t="shared" si="3"/>
        <v>100</v>
      </c>
      <c r="W24" s="41">
        <f t="shared" si="0"/>
        <v>83.1105798192771</v>
      </c>
      <c r="X24" s="42">
        <f t="shared" si="1"/>
        <v>24</v>
      </c>
      <c r="Y24" s="42">
        <f t="shared" si="1"/>
        <v>3895.5609999999997</v>
      </c>
      <c r="Z24" s="43" t="e">
        <f t="shared" si="2"/>
        <v>#DIV/0!</v>
      </c>
      <c r="AA24" s="43" t="e">
        <f t="shared" si="2"/>
        <v>#DIV/0!</v>
      </c>
      <c r="AB24" s="329"/>
      <c r="AC24" s="44"/>
    </row>
    <row r="25" spans="1:29" ht="15">
      <c r="A25" s="31"/>
      <c r="B25" s="330"/>
      <c r="C25" s="32" t="s">
        <v>39</v>
      </c>
      <c r="D25" s="32"/>
      <c r="E25" s="325" t="s">
        <v>30</v>
      </c>
      <c r="F25" s="310"/>
      <c r="G25" s="331"/>
      <c r="H25" s="34">
        <v>12</v>
      </c>
      <c r="I25" s="45">
        <f>2400-289.824</f>
        <v>2110.176</v>
      </c>
      <c r="J25" s="34">
        <v>12</v>
      </c>
      <c r="K25" s="45">
        <v>3320</v>
      </c>
      <c r="L25" s="34">
        <v>3</v>
      </c>
      <c r="M25" s="295">
        <v>612.165</v>
      </c>
      <c r="N25" s="34">
        <v>3</v>
      </c>
      <c r="O25" s="36">
        <f>1337.421-M25</f>
        <v>725.2560000000001</v>
      </c>
      <c r="P25" s="37">
        <v>3</v>
      </c>
      <c r="Q25" s="38">
        <v>717.4779999999998</v>
      </c>
      <c r="R25" s="263">
        <v>3</v>
      </c>
      <c r="S25" s="264">
        <f>2759.269-Q25-O25-M25</f>
        <v>704.3699999999999</v>
      </c>
      <c r="T25" s="39">
        <f t="shared" si="4"/>
        <v>12</v>
      </c>
      <c r="U25" s="39">
        <f t="shared" si="4"/>
        <v>2759.269</v>
      </c>
      <c r="V25" s="40">
        <f t="shared" si="3"/>
        <v>100</v>
      </c>
      <c r="W25" s="41">
        <f t="shared" si="0"/>
        <v>83.11051204819276</v>
      </c>
      <c r="X25" s="42">
        <f t="shared" si="1"/>
        <v>24</v>
      </c>
      <c r="Y25" s="42">
        <f t="shared" si="1"/>
        <v>4869.445</v>
      </c>
      <c r="Z25" s="43" t="e">
        <f t="shared" si="2"/>
        <v>#DIV/0!</v>
      </c>
      <c r="AA25" s="43" t="e">
        <f t="shared" si="2"/>
        <v>#DIV/0!</v>
      </c>
      <c r="AB25" s="329"/>
      <c r="AC25" s="44"/>
    </row>
    <row r="26" spans="1:29" ht="51.75" customHeight="1" thickBot="1">
      <c r="A26" s="31"/>
      <c r="B26" s="330"/>
      <c r="C26" s="32" t="s">
        <v>40</v>
      </c>
      <c r="D26" s="32"/>
      <c r="E26" s="325" t="s">
        <v>30</v>
      </c>
      <c r="F26" s="310"/>
      <c r="G26" s="331"/>
      <c r="H26" s="34">
        <v>12</v>
      </c>
      <c r="I26" s="38">
        <f>137808-31008</f>
        <v>106800</v>
      </c>
      <c r="J26" s="34">
        <v>12</v>
      </c>
      <c r="K26" s="38">
        <v>545052</v>
      </c>
      <c r="L26" s="34">
        <v>3</v>
      </c>
      <c r="M26" s="295">
        <v>0</v>
      </c>
      <c r="N26" s="34">
        <v>3</v>
      </c>
      <c r="O26" s="36">
        <f>133602-M26</f>
        <v>133602</v>
      </c>
      <c r="P26" s="37">
        <v>3</v>
      </c>
      <c r="Q26" s="38">
        <v>139650</v>
      </c>
      <c r="R26" s="263">
        <v>3</v>
      </c>
      <c r="S26" s="264">
        <f>529302-Q26-O26-M26</f>
        <v>256050</v>
      </c>
      <c r="T26" s="39">
        <f t="shared" si="4"/>
        <v>12</v>
      </c>
      <c r="U26" s="39">
        <f t="shared" si="4"/>
        <v>529302</v>
      </c>
      <c r="V26" s="40">
        <f t="shared" si="3"/>
        <v>100</v>
      </c>
      <c r="W26" s="41">
        <f t="shared" si="0"/>
        <v>97.11036745117897</v>
      </c>
      <c r="X26" s="42">
        <f t="shared" si="1"/>
        <v>24</v>
      </c>
      <c r="Y26" s="42">
        <f t="shared" si="1"/>
        <v>636102</v>
      </c>
      <c r="Z26" s="43" t="e">
        <f t="shared" si="2"/>
        <v>#DIV/0!</v>
      </c>
      <c r="AA26" s="43" t="e">
        <f t="shared" si="2"/>
        <v>#DIV/0!</v>
      </c>
      <c r="AB26" s="329"/>
      <c r="AC26" s="44"/>
    </row>
    <row r="27" spans="1:29" s="53" customFormat="1" ht="14.25" thickTop="1">
      <c r="A27" s="46"/>
      <c r="B27" s="47"/>
      <c r="C27" s="48"/>
      <c r="D27" s="48"/>
      <c r="E27" s="49"/>
      <c r="F27" s="51"/>
      <c r="G27" s="51"/>
      <c r="H27" s="50"/>
      <c r="I27" s="50"/>
      <c r="J27" s="51"/>
      <c r="K27" s="50"/>
      <c r="L27" s="51"/>
      <c r="M27" s="51"/>
      <c r="N27" s="51"/>
      <c r="O27" s="51"/>
      <c r="P27" s="50"/>
      <c r="Q27" s="50"/>
      <c r="R27" s="51"/>
      <c r="S27" s="51"/>
      <c r="T27" s="49"/>
      <c r="U27" s="284"/>
      <c r="V27" s="49"/>
      <c r="W27" s="49"/>
      <c r="X27" s="49"/>
      <c r="Y27" s="49"/>
      <c r="Z27" s="49"/>
      <c r="AA27" s="49"/>
      <c r="AB27" s="49"/>
      <c r="AC27" s="52"/>
    </row>
    <row r="28" spans="1:29" s="59" customFormat="1" ht="40.5" customHeight="1">
      <c r="A28" s="54"/>
      <c r="B28" s="55"/>
      <c r="C28" s="56" t="s">
        <v>41</v>
      </c>
      <c r="D28" s="57"/>
      <c r="E28" s="58"/>
      <c r="F28" s="58">
        <f>+F29</f>
        <v>1140</v>
      </c>
      <c r="G28" s="58">
        <f>+G29</f>
        <v>1662236</v>
      </c>
      <c r="H28" s="58">
        <f aca="true" t="shared" si="5" ref="H28:S28">+H29</f>
        <v>217</v>
      </c>
      <c r="I28" s="58">
        <f>+I29</f>
        <v>871956.2</v>
      </c>
      <c r="J28" s="58">
        <f t="shared" si="5"/>
        <v>205</v>
      </c>
      <c r="K28" s="58">
        <f>+K29</f>
        <v>1024464</v>
      </c>
      <c r="L28" s="58">
        <f>+L29</f>
        <v>51</v>
      </c>
      <c r="M28" s="58">
        <f>+M29</f>
        <v>182093.40899999999</v>
      </c>
      <c r="N28" s="58">
        <f t="shared" si="5"/>
        <v>48</v>
      </c>
      <c r="O28" s="58">
        <f>+O29</f>
        <v>147200.74599999998</v>
      </c>
      <c r="P28" s="58">
        <f t="shared" si="5"/>
        <v>43</v>
      </c>
      <c r="Q28" s="58">
        <f>+Q29</f>
        <v>267316.597</v>
      </c>
      <c r="R28" s="58">
        <f t="shared" si="5"/>
        <v>51</v>
      </c>
      <c r="S28" s="265">
        <f t="shared" si="5"/>
        <v>478882.664</v>
      </c>
      <c r="T28" s="25">
        <f>SUM(L28+N28+P28+R28)</f>
        <v>193</v>
      </c>
      <c r="U28" s="25">
        <f>SUM(M28+O28+Q28+S28)</f>
        <v>1075493.416</v>
      </c>
      <c r="V28" s="26">
        <f>+T28/J28*100</f>
        <v>94.14634146341463</v>
      </c>
      <c r="W28" s="27">
        <f>+U28/K28*100</f>
        <v>104.9810843524028</v>
      </c>
      <c r="X28" s="28">
        <f>+H28+T28</f>
        <v>410</v>
      </c>
      <c r="Y28" s="28">
        <f>+I28+U28</f>
        <v>1947449.616</v>
      </c>
      <c r="Z28" s="29">
        <f>+X28/F28*100</f>
        <v>35.96491228070175</v>
      </c>
      <c r="AA28" s="29">
        <f>+Y28/G28*100</f>
        <v>117.15843093279173</v>
      </c>
      <c r="AB28" s="101"/>
      <c r="AC28" s="110"/>
    </row>
    <row r="29" spans="1:29" s="53" customFormat="1" ht="40.5" customHeight="1">
      <c r="A29" s="326" t="s">
        <v>42</v>
      </c>
      <c r="B29" s="327"/>
      <c r="C29" s="62" t="s">
        <v>43</v>
      </c>
      <c r="D29" s="63"/>
      <c r="E29" s="64"/>
      <c r="F29" s="64">
        <f aca="true" t="shared" si="6" ref="F29:S29">F30+F44+F52</f>
        <v>1140</v>
      </c>
      <c r="G29" s="64">
        <f t="shared" si="6"/>
        <v>1662236</v>
      </c>
      <c r="H29" s="64">
        <f t="shared" si="6"/>
        <v>217</v>
      </c>
      <c r="I29" s="64">
        <f t="shared" si="6"/>
        <v>871956.2</v>
      </c>
      <c r="J29" s="64">
        <f t="shared" si="6"/>
        <v>205</v>
      </c>
      <c r="K29" s="64">
        <f t="shared" si="6"/>
        <v>1024464</v>
      </c>
      <c r="L29" s="64">
        <f t="shared" si="6"/>
        <v>51</v>
      </c>
      <c r="M29" s="64">
        <f t="shared" si="6"/>
        <v>182093.40899999999</v>
      </c>
      <c r="N29" s="64">
        <f t="shared" si="6"/>
        <v>48</v>
      </c>
      <c r="O29" s="64">
        <f t="shared" si="6"/>
        <v>147200.74599999998</v>
      </c>
      <c r="P29" s="64">
        <f t="shared" si="6"/>
        <v>43</v>
      </c>
      <c r="Q29" s="64">
        <f t="shared" si="6"/>
        <v>267316.597</v>
      </c>
      <c r="R29" s="64">
        <f t="shared" si="6"/>
        <v>51</v>
      </c>
      <c r="S29" s="65">
        <f t="shared" si="6"/>
        <v>478882.664</v>
      </c>
      <c r="T29" s="64">
        <f>SUM(L29+N29+P29+R29)</f>
        <v>193</v>
      </c>
      <c r="U29" s="64">
        <f>SUM(M29+O29+Q29+S29)</f>
        <v>1075493.416</v>
      </c>
      <c r="V29" s="66">
        <f aca="true" t="shared" si="7" ref="V29:W42">+T29/J29*100</f>
        <v>94.14634146341463</v>
      </c>
      <c r="W29" s="67">
        <f t="shared" si="7"/>
        <v>104.9810843524028</v>
      </c>
      <c r="X29" s="68">
        <f>+H29+T29</f>
        <v>410</v>
      </c>
      <c r="Y29" s="68">
        <f>+I29+U29</f>
        <v>1947449.616</v>
      </c>
      <c r="Z29" s="69">
        <f>+X29/F29*100</f>
        <v>35.96491228070175</v>
      </c>
      <c r="AA29" s="69">
        <f>+Y29/G29*100</f>
        <v>117.15843093279173</v>
      </c>
      <c r="AB29" s="436" t="s">
        <v>288</v>
      </c>
      <c r="AC29" s="70"/>
    </row>
    <row r="30" spans="1:29" s="80" customFormat="1" ht="55.5" customHeight="1">
      <c r="A30" s="71"/>
      <c r="B30" s="358"/>
      <c r="C30" s="72" t="s">
        <v>44</v>
      </c>
      <c r="D30" s="72" t="s">
        <v>45</v>
      </c>
      <c r="E30" s="73"/>
      <c r="F30" s="73">
        <f aca="true" t="shared" si="8" ref="F30:R30">SUM(F31:F42)</f>
        <v>720</v>
      </c>
      <c r="G30" s="73">
        <f t="shared" si="8"/>
        <v>1080936</v>
      </c>
      <c r="H30" s="73">
        <f t="shared" si="8"/>
        <v>132</v>
      </c>
      <c r="I30" s="73">
        <f>SUM(I31:I42)</f>
        <v>269656.2</v>
      </c>
      <c r="J30" s="73">
        <f t="shared" si="8"/>
        <v>132</v>
      </c>
      <c r="K30" s="73">
        <f t="shared" si="8"/>
        <v>457964</v>
      </c>
      <c r="L30" s="73">
        <f t="shared" si="8"/>
        <v>33</v>
      </c>
      <c r="M30" s="73">
        <f t="shared" si="8"/>
        <v>86515.254</v>
      </c>
      <c r="N30" s="73">
        <f t="shared" si="8"/>
        <v>33</v>
      </c>
      <c r="O30" s="73">
        <f>SUM(O31:O42)</f>
        <v>105677.45999999999</v>
      </c>
      <c r="P30" s="73">
        <f t="shared" si="8"/>
        <v>33</v>
      </c>
      <c r="Q30" s="73">
        <f>SUM(Q31:Q42)</f>
        <v>113749.397</v>
      </c>
      <c r="R30" s="73">
        <f t="shared" si="8"/>
        <v>33</v>
      </c>
      <c r="S30" s="266">
        <f>SUM(S31:S42)</f>
        <v>211387.039</v>
      </c>
      <c r="T30" s="74">
        <f aca="true" t="shared" si="9" ref="T30:U42">SUM(L30+N30+P30+R30)</f>
        <v>132</v>
      </c>
      <c r="U30" s="73">
        <f>SUM(U31:U42)</f>
        <v>517329.15</v>
      </c>
      <c r="V30" s="75">
        <f t="shared" si="7"/>
        <v>100</v>
      </c>
      <c r="W30" s="76">
        <f t="shared" si="7"/>
        <v>112.96284205745431</v>
      </c>
      <c r="X30" s="77">
        <f aca="true" t="shared" si="10" ref="X30:Y42">+H30+T30</f>
        <v>264</v>
      </c>
      <c r="Y30" s="77">
        <f t="shared" si="10"/>
        <v>786985.3500000001</v>
      </c>
      <c r="Z30" s="78">
        <f aca="true" t="shared" si="11" ref="Z30:AA42">+X30/F30*100</f>
        <v>36.666666666666664</v>
      </c>
      <c r="AA30" s="78">
        <f t="shared" si="11"/>
        <v>72.80591542885057</v>
      </c>
      <c r="AB30" s="437"/>
      <c r="AC30" s="79"/>
    </row>
    <row r="31" spans="1:29" s="88" customFormat="1" ht="45.75" customHeight="1">
      <c r="A31" s="60"/>
      <c r="B31" s="269"/>
      <c r="C31" s="81" t="s">
        <v>46</v>
      </c>
      <c r="D31" s="81" t="s">
        <v>47</v>
      </c>
      <c r="E31" s="33" t="s">
        <v>30</v>
      </c>
      <c r="F31" s="310">
        <v>60</v>
      </c>
      <c r="G31" s="311">
        <v>41500</v>
      </c>
      <c r="H31" s="84">
        <v>12</v>
      </c>
      <c r="I31" s="82">
        <v>6130</v>
      </c>
      <c r="J31" s="83">
        <v>12</v>
      </c>
      <c r="K31" s="82">
        <v>6310</v>
      </c>
      <c r="L31" s="84">
        <v>3</v>
      </c>
      <c r="M31" s="85">
        <v>1575</v>
      </c>
      <c r="N31" s="84">
        <v>3</v>
      </c>
      <c r="O31" s="82">
        <f>3153-M31</f>
        <v>1578</v>
      </c>
      <c r="P31" s="86">
        <v>3</v>
      </c>
      <c r="Q31" s="82">
        <f>4729-M31-O31</f>
        <v>1576</v>
      </c>
      <c r="R31" s="84">
        <v>3</v>
      </c>
      <c r="S31" s="85">
        <f>6310-Q31-O31-M31</f>
        <v>1581</v>
      </c>
      <c r="T31" s="39">
        <f>SUM(L31+N31+P31+R31)</f>
        <v>12</v>
      </c>
      <c r="U31" s="39">
        <f>SUM(M31+O31+Q31+S31)</f>
        <v>6310</v>
      </c>
      <c r="V31" s="40">
        <f t="shared" si="7"/>
        <v>100</v>
      </c>
      <c r="W31" s="41">
        <f t="shared" si="7"/>
        <v>100</v>
      </c>
      <c r="X31" s="42">
        <f t="shared" si="10"/>
        <v>24</v>
      </c>
      <c r="Y31" s="42">
        <f>+I31+U31</f>
        <v>12440</v>
      </c>
      <c r="Z31" s="43">
        <f t="shared" si="11"/>
        <v>40</v>
      </c>
      <c r="AA31" s="43">
        <f t="shared" si="11"/>
        <v>29.975903614457835</v>
      </c>
      <c r="AB31" s="437"/>
      <c r="AC31" s="87"/>
    </row>
    <row r="32" spans="1:29" s="88" customFormat="1" ht="69" customHeight="1">
      <c r="A32" s="60"/>
      <c r="B32" s="368">
        <f>+B31-B30</f>
        <v>0</v>
      </c>
      <c r="C32" s="81" t="s">
        <v>48</v>
      </c>
      <c r="D32" s="81" t="s">
        <v>49</v>
      </c>
      <c r="E32" s="33" t="s">
        <v>30</v>
      </c>
      <c r="F32" s="310">
        <v>60</v>
      </c>
      <c r="G32" s="312">
        <v>115000</v>
      </c>
      <c r="H32" s="84">
        <v>12</v>
      </c>
      <c r="I32" s="216">
        <f>25000+23000</f>
        <v>48000</v>
      </c>
      <c r="J32" s="83">
        <v>12</v>
      </c>
      <c r="K32" s="82">
        <v>29126</v>
      </c>
      <c r="L32" s="84">
        <v>3</v>
      </c>
      <c r="M32" s="85">
        <v>7618.686</v>
      </c>
      <c r="N32" s="84">
        <v>3</v>
      </c>
      <c r="O32" s="82">
        <f>14745.646-M32</f>
        <v>7126.960000000001</v>
      </c>
      <c r="P32" s="86">
        <v>3</v>
      </c>
      <c r="Q32" s="82">
        <f>23196.043-M32-O32</f>
        <v>8450.397</v>
      </c>
      <c r="R32" s="84">
        <v>3</v>
      </c>
      <c r="S32" s="82">
        <f>43800.342-Q32-O32-M32</f>
        <v>20604.29899999999</v>
      </c>
      <c r="T32" s="39">
        <f t="shared" si="9"/>
        <v>12</v>
      </c>
      <c r="U32" s="39">
        <f>SUM(M32+O32+Q32+S32)</f>
        <v>43800.34199999999</v>
      </c>
      <c r="V32" s="40">
        <f t="shared" si="7"/>
        <v>100</v>
      </c>
      <c r="W32" s="41">
        <f t="shared" si="7"/>
        <v>150.38227700336466</v>
      </c>
      <c r="X32" s="42">
        <f t="shared" si="10"/>
        <v>24</v>
      </c>
      <c r="Y32" s="42">
        <f t="shared" si="10"/>
        <v>91800.34199999999</v>
      </c>
      <c r="Z32" s="43">
        <f t="shared" si="11"/>
        <v>40</v>
      </c>
      <c r="AA32" s="43">
        <f t="shared" si="11"/>
        <v>79.82638434782608</v>
      </c>
      <c r="AB32" s="437"/>
      <c r="AC32" s="87"/>
    </row>
    <row r="33" spans="1:29" s="88" customFormat="1" ht="70.5" customHeight="1">
      <c r="A33" s="60"/>
      <c r="B33" s="61"/>
      <c r="C33" s="81" t="s">
        <v>50</v>
      </c>
      <c r="D33" s="81" t="s">
        <v>51</v>
      </c>
      <c r="E33" s="89" t="s">
        <v>30</v>
      </c>
      <c r="F33" s="310">
        <v>60</v>
      </c>
      <c r="G33" s="311">
        <v>36000</v>
      </c>
      <c r="H33" s="84">
        <v>12</v>
      </c>
      <c r="I33" s="216">
        <f>11700-1500+10500</f>
        <v>20700</v>
      </c>
      <c r="J33" s="83">
        <v>12</v>
      </c>
      <c r="K33" s="82">
        <v>21535</v>
      </c>
      <c r="L33" s="95">
        <v>3</v>
      </c>
      <c r="M33" s="85">
        <v>3860</v>
      </c>
      <c r="N33" s="84">
        <v>3</v>
      </c>
      <c r="O33" s="82">
        <v>0</v>
      </c>
      <c r="P33" s="86">
        <v>3</v>
      </c>
      <c r="Q33" s="82">
        <f>11810-M33-O33</f>
        <v>7950</v>
      </c>
      <c r="R33" s="85">
        <v>3</v>
      </c>
      <c r="S33" s="85">
        <f>17535-Q33-O33-M33</f>
        <v>5725</v>
      </c>
      <c r="T33" s="39">
        <f t="shared" si="9"/>
        <v>12</v>
      </c>
      <c r="U33" s="39">
        <f>SUM(M33+O33+Q33+S33)</f>
        <v>17535</v>
      </c>
      <c r="V33" s="40">
        <f t="shared" si="7"/>
        <v>100</v>
      </c>
      <c r="W33" s="41">
        <f t="shared" si="7"/>
        <v>81.42558625493382</v>
      </c>
      <c r="X33" s="42">
        <f t="shared" si="10"/>
        <v>24</v>
      </c>
      <c r="Y33" s="42">
        <f t="shared" si="10"/>
        <v>38235</v>
      </c>
      <c r="Z33" s="43">
        <f t="shared" si="11"/>
        <v>40</v>
      </c>
      <c r="AA33" s="43">
        <f t="shared" si="11"/>
        <v>106.20833333333333</v>
      </c>
      <c r="AB33" s="437"/>
      <c r="AC33" s="87"/>
    </row>
    <row r="34" spans="1:29" s="88" customFormat="1" ht="30" customHeight="1">
      <c r="A34" s="60"/>
      <c r="B34" s="61"/>
      <c r="C34" s="81" t="s">
        <v>52</v>
      </c>
      <c r="D34" s="81" t="s">
        <v>53</v>
      </c>
      <c r="E34" s="89" t="s">
        <v>30</v>
      </c>
      <c r="F34" s="310">
        <v>60</v>
      </c>
      <c r="G34" s="312">
        <v>94000</v>
      </c>
      <c r="H34" s="84">
        <v>12</v>
      </c>
      <c r="I34" s="216">
        <f>22310+3495</f>
        <v>25805</v>
      </c>
      <c r="J34" s="83">
        <v>12</v>
      </c>
      <c r="K34" s="82">
        <v>45125</v>
      </c>
      <c r="L34" s="84">
        <v>3</v>
      </c>
      <c r="M34" s="85">
        <v>15242.5</v>
      </c>
      <c r="N34" s="84">
        <v>3</v>
      </c>
      <c r="O34" s="82">
        <f>26676-M34</f>
        <v>11433.5</v>
      </c>
      <c r="P34" s="86">
        <v>3</v>
      </c>
      <c r="Q34" s="82">
        <f>38016-M34-O34</f>
        <v>11340</v>
      </c>
      <c r="R34" s="84">
        <v>3</v>
      </c>
      <c r="S34" s="85">
        <f>55125-Q34-O34-M34</f>
        <v>17109</v>
      </c>
      <c r="T34" s="39">
        <f t="shared" si="9"/>
        <v>12</v>
      </c>
      <c r="U34" s="39">
        <f>SUM(M34+O34+Q34+S34)</f>
        <v>55125</v>
      </c>
      <c r="V34" s="40">
        <f>+T34/J34*100</f>
        <v>100</v>
      </c>
      <c r="W34" s="41">
        <f t="shared" si="7"/>
        <v>122.16066481994461</v>
      </c>
      <c r="X34" s="42">
        <f t="shared" si="10"/>
        <v>24</v>
      </c>
      <c r="Y34" s="42">
        <f t="shared" si="10"/>
        <v>80930</v>
      </c>
      <c r="Z34" s="43">
        <f t="shared" si="11"/>
        <v>40</v>
      </c>
      <c r="AA34" s="43">
        <f t="shared" si="11"/>
        <v>86.09574468085106</v>
      </c>
      <c r="AB34" s="437"/>
      <c r="AC34" s="87"/>
    </row>
    <row r="35" spans="1:29" s="88" customFormat="1" ht="71.25" customHeight="1">
      <c r="A35" s="60"/>
      <c r="B35" s="61"/>
      <c r="C35" s="81" t="s">
        <v>54</v>
      </c>
      <c r="D35" s="81" t="s">
        <v>55</v>
      </c>
      <c r="E35" s="89" t="s">
        <v>30</v>
      </c>
      <c r="F35" s="310">
        <v>60</v>
      </c>
      <c r="G35" s="312">
        <v>65000</v>
      </c>
      <c r="H35" s="86">
        <v>12</v>
      </c>
      <c r="I35" s="91">
        <v>18000</v>
      </c>
      <c r="J35" s="86">
        <v>12</v>
      </c>
      <c r="K35" s="91">
        <v>18100</v>
      </c>
      <c r="L35" s="86">
        <v>3</v>
      </c>
      <c r="M35" s="82">
        <v>5989.8</v>
      </c>
      <c r="N35" s="86">
        <v>3</v>
      </c>
      <c r="O35" s="82">
        <f>11039.8-M35</f>
        <v>5049.999999999999</v>
      </c>
      <c r="P35" s="86">
        <v>3</v>
      </c>
      <c r="Q35" s="82">
        <f>+14989.8-M35-O35</f>
        <v>3950.000000000001</v>
      </c>
      <c r="R35" s="86">
        <v>3</v>
      </c>
      <c r="S35" s="92">
        <f>18099-Q35-O35-M35</f>
        <v>3109.2</v>
      </c>
      <c r="T35" s="39">
        <f t="shared" si="9"/>
        <v>12</v>
      </c>
      <c r="U35" s="39">
        <f>SUM(M35+O35+Q35+S35)</f>
        <v>18099</v>
      </c>
      <c r="V35" s="40">
        <f t="shared" si="7"/>
        <v>100</v>
      </c>
      <c r="W35" s="41">
        <f>+U35/K35*100</f>
        <v>99.99447513812156</v>
      </c>
      <c r="X35" s="42">
        <f t="shared" si="10"/>
        <v>24</v>
      </c>
      <c r="Y35" s="42">
        <f t="shared" si="10"/>
        <v>36099</v>
      </c>
      <c r="Z35" s="43">
        <f t="shared" si="11"/>
        <v>40</v>
      </c>
      <c r="AA35" s="43">
        <f t="shared" si="11"/>
        <v>55.536923076923074</v>
      </c>
      <c r="AB35" s="437"/>
      <c r="AC35" s="87"/>
    </row>
    <row r="36" spans="1:29" s="88" customFormat="1" ht="72.75" customHeight="1">
      <c r="A36" s="60"/>
      <c r="B36" s="61"/>
      <c r="C36" s="81" t="s">
        <v>56</v>
      </c>
      <c r="D36" s="81" t="s">
        <v>57</v>
      </c>
      <c r="E36" s="89" t="s">
        <v>30</v>
      </c>
      <c r="F36" s="310">
        <v>60</v>
      </c>
      <c r="G36" s="312">
        <v>20400</v>
      </c>
      <c r="H36" s="84">
        <v>12</v>
      </c>
      <c r="I36" s="82">
        <v>5000</v>
      </c>
      <c r="J36" s="83">
        <v>12</v>
      </c>
      <c r="K36" s="82">
        <v>5000</v>
      </c>
      <c r="L36" s="84">
        <v>3</v>
      </c>
      <c r="M36" s="85">
        <v>1233</v>
      </c>
      <c r="N36" s="84">
        <v>3</v>
      </c>
      <c r="O36" s="82">
        <f>2223-M36</f>
        <v>990</v>
      </c>
      <c r="P36" s="82">
        <v>3</v>
      </c>
      <c r="Q36" s="82">
        <f>3753-M36-O36</f>
        <v>1530</v>
      </c>
      <c r="R36" s="84">
        <v>3</v>
      </c>
      <c r="S36" s="85">
        <f>11700-Q36-O36-M36</f>
        <v>7947</v>
      </c>
      <c r="T36" s="39">
        <f t="shared" si="9"/>
        <v>12</v>
      </c>
      <c r="U36" s="39">
        <f t="shared" si="9"/>
        <v>11700</v>
      </c>
      <c r="V36" s="40">
        <f t="shared" si="7"/>
        <v>100</v>
      </c>
      <c r="W36" s="40">
        <f t="shared" si="7"/>
        <v>234</v>
      </c>
      <c r="X36" s="42">
        <f t="shared" si="10"/>
        <v>24</v>
      </c>
      <c r="Y36" s="42">
        <f t="shared" si="10"/>
        <v>16700</v>
      </c>
      <c r="Z36" s="43">
        <f t="shared" si="11"/>
        <v>40</v>
      </c>
      <c r="AA36" s="43">
        <f t="shared" si="11"/>
        <v>81.86274509803921</v>
      </c>
      <c r="AB36" s="438"/>
      <c r="AC36" s="87"/>
    </row>
    <row r="37" spans="1:29" s="88" customFormat="1" ht="72" customHeight="1">
      <c r="A37" s="60"/>
      <c r="B37" s="61"/>
      <c r="C37" s="81" t="s">
        <v>58</v>
      </c>
      <c r="D37" s="81" t="s">
        <v>59</v>
      </c>
      <c r="E37" s="89" t="s">
        <v>30</v>
      </c>
      <c r="F37" s="310">
        <v>60</v>
      </c>
      <c r="G37" s="312">
        <v>17936</v>
      </c>
      <c r="H37" s="84">
        <v>12</v>
      </c>
      <c r="I37" s="82">
        <v>4000</v>
      </c>
      <c r="J37" s="83">
        <v>12</v>
      </c>
      <c r="K37" s="82">
        <v>4000</v>
      </c>
      <c r="L37" s="84">
        <v>3</v>
      </c>
      <c r="M37" s="85">
        <v>999</v>
      </c>
      <c r="N37" s="84">
        <v>3</v>
      </c>
      <c r="O37" s="82">
        <f>1994-M37</f>
        <v>995</v>
      </c>
      <c r="P37" s="86">
        <v>3</v>
      </c>
      <c r="Q37" s="82">
        <f>2993-M37-O37</f>
        <v>999</v>
      </c>
      <c r="R37" s="84">
        <v>3</v>
      </c>
      <c r="S37" s="85">
        <f>9000-Q37-O37-M37</f>
        <v>6007</v>
      </c>
      <c r="T37" s="39">
        <f t="shared" si="9"/>
        <v>12</v>
      </c>
      <c r="U37" s="39">
        <f t="shared" si="9"/>
        <v>9000</v>
      </c>
      <c r="V37" s="40">
        <f t="shared" si="7"/>
        <v>100</v>
      </c>
      <c r="W37" s="40">
        <f t="shared" si="7"/>
        <v>225</v>
      </c>
      <c r="X37" s="42">
        <f t="shared" si="10"/>
        <v>24</v>
      </c>
      <c r="Y37" s="42">
        <f t="shared" si="10"/>
        <v>13000</v>
      </c>
      <c r="Z37" s="43">
        <f t="shared" si="11"/>
        <v>40</v>
      </c>
      <c r="AA37" s="43">
        <f t="shared" si="11"/>
        <v>72.47992863514719</v>
      </c>
      <c r="AB37" s="83"/>
      <c r="AC37" s="87"/>
    </row>
    <row r="38" spans="1:29" s="88" customFormat="1" ht="68.25" customHeight="1">
      <c r="A38" s="60"/>
      <c r="B38" s="61"/>
      <c r="C38" s="81" t="s">
        <v>60</v>
      </c>
      <c r="D38" s="81" t="s">
        <v>61</v>
      </c>
      <c r="E38" s="89" t="s">
        <v>30</v>
      </c>
      <c r="F38" s="310">
        <v>60</v>
      </c>
      <c r="G38" s="311">
        <v>31700</v>
      </c>
      <c r="H38" s="84">
        <v>12</v>
      </c>
      <c r="I38" s="82">
        <v>4860</v>
      </c>
      <c r="J38" s="83">
        <v>12</v>
      </c>
      <c r="K38" s="82">
        <v>4860</v>
      </c>
      <c r="L38" s="84">
        <v>3</v>
      </c>
      <c r="M38" s="85">
        <v>1215</v>
      </c>
      <c r="N38" s="84">
        <v>3</v>
      </c>
      <c r="O38" s="82">
        <f>2430-M38</f>
        <v>1215</v>
      </c>
      <c r="P38" s="86">
        <v>3</v>
      </c>
      <c r="Q38" s="82">
        <f>3645-M38-O38</f>
        <v>1215</v>
      </c>
      <c r="R38" s="84">
        <v>3</v>
      </c>
      <c r="S38" s="85">
        <f>4860-Q38-O38-M38</f>
        <v>1215</v>
      </c>
      <c r="T38" s="39">
        <f t="shared" si="9"/>
        <v>12</v>
      </c>
      <c r="U38" s="39">
        <f t="shared" si="9"/>
        <v>4860</v>
      </c>
      <c r="V38" s="40">
        <f t="shared" si="7"/>
        <v>100</v>
      </c>
      <c r="W38" s="40">
        <f t="shared" si="7"/>
        <v>100</v>
      </c>
      <c r="X38" s="42">
        <f t="shared" si="10"/>
        <v>24</v>
      </c>
      <c r="Y38" s="42">
        <f t="shared" si="10"/>
        <v>9720</v>
      </c>
      <c r="Z38" s="43">
        <f t="shared" si="11"/>
        <v>40</v>
      </c>
      <c r="AA38" s="43">
        <f t="shared" si="11"/>
        <v>30.662460567823345</v>
      </c>
      <c r="AB38" s="83"/>
      <c r="AC38" s="87"/>
    </row>
    <row r="39" spans="1:29" s="88" customFormat="1" ht="54.75" customHeight="1">
      <c r="A39" s="60"/>
      <c r="B39" s="61"/>
      <c r="C39" s="81" t="s">
        <v>62</v>
      </c>
      <c r="D39" s="81" t="s">
        <v>63</v>
      </c>
      <c r="E39" s="89" t="s">
        <v>30</v>
      </c>
      <c r="F39" s="310">
        <v>60</v>
      </c>
      <c r="G39" s="312">
        <v>40800</v>
      </c>
      <c r="H39" s="84">
        <v>12</v>
      </c>
      <c r="I39" s="216">
        <f>10670+2505</f>
        <v>13175</v>
      </c>
      <c r="J39" s="83">
        <v>12</v>
      </c>
      <c r="K39" s="82">
        <v>10700</v>
      </c>
      <c r="L39" s="85">
        <v>3</v>
      </c>
      <c r="M39" s="85">
        <v>2470</v>
      </c>
      <c r="N39" s="84">
        <v>3</v>
      </c>
      <c r="O39" s="82">
        <f>4397-M39</f>
        <v>1927</v>
      </c>
      <c r="P39" s="86">
        <v>3</v>
      </c>
      <c r="Q39" s="82">
        <f>7889-M39-O39</f>
        <v>3492</v>
      </c>
      <c r="R39" s="84">
        <v>3</v>
      </c>
      <c r="S39" s="85">
        <f>20700-Q39-O39-M39</f>
        <v>12811</v>
      </c>
      <c r="T39" s="39">
        <f t="shared" si="9"/>
        <v>12</v>
      </c>
      <c r="U39" s="39">
        <f t="shared" si="9"/>
        <v>20700</v>
      </c>
      <c r="V39" s="40">
        <f t="shared" si="7"/>
        <v>100</v>
      </c>
      <c r="W39" s="40">
        <f t="shared" si="7"/>
        <v>193.45794392523365</v>
      </c>
      <c r="X39" s="42">
        <f t="shared" si="10"/>
        <v>24</v>
      </c>
      <c r="Y39" s="42">
        <f t="shared" si="10"/>
        <v>33875</v>
      </c>
      <c r="Z39" s="43">
        <f t="shared" si="11"/>
        <v>40</v>
      </c>
      <c r="AA39" s="43">
        <f t="shared" si="11"/>
        <v>83.02696078431373</v>
      </c>
      <c r="AB39" s="83"/>
      <c r="AC39" s="87"/>
    </row>
    <row r="40" spans="1:29" s="88" customFormat="1" ht="54" customHeight="1">
      <c r="A40" s="60"/>
      <c r="B40" s="61"/>
      <c r="C40" s="81" t="s">
        <v>64</v>
      </c>
      <c r="D40" s="81" t="s">
        <v>65</v>
      </c>
      <c r="E40" s="89" t="s">
        <v>30</v>
      </c>
      <c r="F40" s="310">
        <v>60</v>
      </c>
      <c r="G40" s="312">
        <v>425000</v>
      </c>
      <c r="H40" s="84">
        <v>12</v>
      </c>
      <c r="I40" s="216">
        <f>63000+5386.2</f>
        <v>68386.2</v>
      </c>
      <c r="J40" s="83">
        <v>12</v>
      </c>
      <c r="K40" s="82">
        <v>50000</v>
      </c>
      <c r="L40" s="84">
        <v>3</v>
      </c>
      <c r="M40" s="85">
        <v>11617.268</v>
      </c>
      <c r="N40" s="84">
        <v>3</v>
      </c>
      <c r="O40" s="82">
        <f>29396.268-M40</f>
        <v>17779</v>
      </c>
      <c r="P40" s="86">
        <v>3</v>
      </c>
      <c r="Q40" s="82">
        <f>42231.268-M40-O40</f>
        <v>12834.999999999996</v>
      </c>
      <c r="R40" s="84">
        <v>3</v>
      </c>
      <c r="S40" s="85">
        <f>92393.568-Q40-O40-M40</f>
        <v>50162.3</v>
      </c>
      <c r="T40" s="39">
        <f t="shared" si="9"/>
        <v>12</v>
      </c>
      <c r="U40" s="39">
        <f t="shared" si="9"/>
        <v>92393.568</v>
      </c>
      <c r="V40" s="40">
        <f t="shared" si="7"/>
        <v>100</v>
      </c>
      <c r="W40" s="41">
        <f t="shared" si="7"/>
        <v>184.787136</v>
      </c>
      <c r="X40" s="42">
        <f t="shared" si="10"/>
        <v>24</v>
      </c>
      <c r="Y40" s="42">
        <f t="shared" si="10"/>
        <v>160779.76799999998</v>
      </c>
      <c r="Z40" s="43">
        <f t="shared" si="11"/>
        <v>40</v>
      </c>
      <c r="AA40" s="43">
        <f t="shared" si="11"/>
        <v>37.830533647058814</v>
      </c>
      <c r="AB40" s="83"/>
      <c r="AC40" s="87"/>
    </row>
    <row r="41" spans="1:29" s="272" customFormat="1" ht="55.5" customHeight="1">
      <c r="A41" s="268"/>
      <c r="B41" s="269"/>
      <c r="C41" s="134" t="s">
        <v>66</v>
      </c>
      <c r="D41" s="134" t="s">
        <v>67</v>
      </c>
      <c r="E41" s="270" t="s">
        <v>30</v>
      </c>
      <c r="F41" s="310">
        <v>60</v>
      </c>
      <c r="G41" s="311">
        <v>144000</v>
      </c>
      <c r="H41" s="84">
        <v>12</v>
      </c>
      <c r="I41" s="216">
        <f>59800-4200</f>
        <v>55600</v>
      </c>
      <c r="J41" s="84">
        <v>12</v>
      </c>
      <c r="K41" s="82">
        <v>263208</v>
      </c>
      <c r="L41" s="84">
        <v>3</v>
      </c>
      <c r="M41" s="85">
        <v>34695</v>
      </c>
      <c r="N41" s="84">
        <v>3</v>
      </c>
      <c r="O41" s="82">
        <f>92278-M41</f>
        <v>57583</v>
      </c>
      <c r="P41" s="86">
        <v>3</v>
      </c>
      <c r="Q41" s="82">
        <f>152690-M41-O41</f>
        <v>60412</v>
      </c>
      <c r="R41" s="84">
        <v>3</v>
      </c>
      <c r="S41" s="85">
        <f>237806.24-Q41-O41-M41</f>
        <v>85116.23999999999</v>
      </c>
      <c r="T41" s="39">
        <f t="shared" si="9"/>
        <v>12</v>
      </c>
      <c r="U41" s="39">
        <f t="shared" si="9"/>
        <v>237806.24</v>
      </c>
      <c r="V41" s="168">
        <f t="shared" si="7"/>
        <v>100</v>
      </c>
      <c r="W41" s="107">
        <f t="shared" si="7"/>
        <v>90.34916871827605</v>
      </c>
      <c r="X41" s="108">
        <f>+H41+T41</f>
        <v>24</v>
      </c>
      <c r="Y41" s="108">
        <f t="shared" si="10"/>
        <v>293406.24</v>
      </c>
      <c r="Z41" s="109">
        <f t="shared" si="11"/>
        <v>40</v>
      </c>
      <c r="AA41" s="109">
        <f t="shared" si="11"/>
        <v>203.75433333333334</v>
      </c>
      <c r="AB41" s="84"/>
      <c r="AC41" s="271"/>
    </row>
    <row r="42" spans="1:29" s="88" customFormat="1" ht="66" customHeight="1">
      <c r="A42" s="60"/>
      <c r="B42" s="61"/>
      <c r="C42" s="81" t="s">
        <v>68</v>
      </c>
      <c r="D42" s="81" t="s">
        <v>69</v>
      </c>
      <c r="E42" s="89" t="s">
        <v>30</v>
      </c>
      <c r="F42" s="310">
        <v>60</v>
      </c>
      <c r="G42" s="311">
        <v>49600</v>
      </c>
      <c r="H42" s="95">
        <v>0</v>
      </c>
      <c r="I42" s="95">
        <v>0</v>
      </c>
      <c r="J42" s="94">
        <v>0</v>
      </c>
      <c r="K42" s="95">
        <v>0</v>
      </c>
      <c r="L42" s="95">
        <v>0</v>
      </c>
      <c r="M42" s="85">
        <v>0</v>
      </c>
      <c r="N42" s="85">
        <v>0</v>
      </c>
      <c r="O42" s="82">
        <v>0</v>
      </c>
      <c r="P42" s="82">
        <v>0</v>
      </c>
      <c r="Q42" s="82">
        <v>0</v>
      </c>
      <c r="R42" s="84"/>
      <c r="S42" s="85"/>
      <c r="T42" s="39">
        <f t="shared" si="9"/>
        <v>0</v>
      </c>
      <c r="U42" s="39">
        <f t="shared" si="9"/>
        <v>0</v>
      </c>
      <c r="V42" s="41" t="e">
        <f t="shared" si="7"/>
        <v>#DIV/0!</v>
      </c>
      <c r="W42" s="41" t="e">
        <f t="shared" si="7"/>
        <v>#DIV/0!</v>
      </c>
      <c r="X42" s="42">
        <f t="shared" si="10"/>
        <v>0</v>
      </c>
      <c r="Y42" s="42">
        <f t="shared" si="10"/>
        <v>0</v>
      </c>
      <c r="Z42" s="43">
        <f t="shared" si="11"/>
        <v>0</v>
      </c>
      <c r="AA42" s="43">
        <f t="shared" si="11"/>
        <v>0</v>
      </c>
      <c r="AB42" s="83"/>
      <c r="AC42" s="87"/>
    </row>
    <row r="43" spans="1:29" s="53" customFormat="1" ht="13.5" customHeight="1">
      <c r="A43" s="96"/>
      <c r="B43" s="97"/>
      <c r="C43" s="98"/>
      <c r="D43" s="98"/>
      <c r="E43" s="99"/>
      <c r="F43" s="101"/>
      <c r="G43" s="101"/>
      <c r="H43" s="102"/>
      <c r="I43" s="102"/>
      <c r="J43" s="101"/>
      <c r="K43" s="100"/>
      <c r="L43" s="101"/>
      <c r="M43" s="101"/>
      <c r="N43" s="101"/>
      <c r="O43" s="100"/>
      <c r="P43" s="102"/>
      <c r="Q43" s="102"/>
      <c r="R43" s="101"/>
      <c r="S43" s="101"/>
      <c r="T43" s="101"/>
      <c r="U43" s="103"/>
      <c r="V43" s="99"/>
      <c r="W43" s="99"/>
      <c r="X43" s="99"/>
      <c r="Y43" s="99"/>
      <c r="Z43" s="99"/>
      <c r="AA43" s="99"/>
      <c r="AB43" s="99"/>
      <c r="AC43" s="70"/>
    </row>
    <row r="44" spans="1:29" s="111" customFormat="1" ht="72.75" customHeight="1">
      <c r="A44" s="104"/>
      <c r="B44" s="358"/>
      <c r="C44" s="72" t="s">
        <v>70</v>
      </c>
      <c r="D44" s="72" t="s">
        <v>71</v>
      </c>
      <c r="E44" s="106"/>
      <c r="F44" s="106">
        <f>SUM(F46:F51)</f>
        <v>360</v>
      </c>
      <c r="G44" s="106">
        <f>SUM(G46:G51)</f>
        <v>438500</v>
      </c>
      <c r="H44" s="106">
        <f>SUM(H46:H51)</f>
        <v>72</v>
      </c>
      <c r="I44" s="106">
        <f>SUM(I45:I51)</f>
        <v>563100</v>
      </c>
      <c r="J44" s="106">
        <f>SUM(J46:J51)</f>
        <v>72</v>
      </c>
      <c r="K44" s="106">
        <f>SUM(K45:K51)</f>
        <v>536500</v>
      </c>
      <c r="L44" s="106">
        <f>SUM(L46:L51)</f>
        <v>18</v>
      </c>
      <c r="M44" s="106">
        <f>SUM(M45:M51)</f>
        <v>95578.155</v>
      </c>
      <c r="N44" s="106">
        <f>SUM(N46:N51)</f>
        <v>15</v>
      </c>
      <c r="O44" s="106">
        <f>SUM(O45:O51)</f>
        <v>41523.286</v>
      </c>
      <c r="P44" s="106">
        <f>SUM(P46:P51)</f>
        <v>9</v>
      </c>
      <c r="Q44" s="106">
        <f>SUM(Q45:Q51)</f>
        <v>123567.20000000001</v>
      </c>
      <c r="R44" s="106">
        <f>SUM(R46:R51)</f>
        <v>18</v>
      </c>
      <c r="S44" s="106">
        <f>SUM(S45:S51)</f>
        <v>267495.625</v>
      </c>
      <c r="T44" s="39">
        <f aca="true" t="shared" si="12" ref="T44:U46">SUM(L44+N44+P44+R44)</f>
        <v>60</v>
      </c>
      <c r="U44" s="39">
        <f t="shared" si="12"/>
        <v>528164.2660000001</v>
      </c>
      <c r="V44" s="168">
        <f aca="true" t="shared" si="13" ref="V44:W54">+T44/J44*100</f>
        <v>83.33333333333334</v>
      </c>
      <c r="W44" s="107">
        <f t="shared" si="13"/>
        <v>98.44627511649581</v>
      </c>
      <c r="X44" s="108">
        <f aca="true" t="shared" si="14" ref="X44:Y54">+H44+T44</f>
        <v>132</v>
      </c>
      <c r="Y44" s="108">
        <f t="shared" si="14"/>
        <v>1091264.266</v>
      </c>
      <c r="Z44" s="109">
        <f>+X44/F44*100</f>
        <v>36.666666666666664</v>
      </c>
      <c r="AA44" s="109">
        <f>+Y44/G44*100</f>
        <v>248.86300250855192</v>
      </c>
      <c r="AB44" s="101"/>
      <c r="AC44" s="110"/>
    </row>
    <row r="45" spans="1:29" s="111" customFormat="1" ht="72.75" customHeight="1">
      <c r="A45" s="104"/>
      <c r="B45" s="105"/>
      <c r="C45" s="134" t="s">
        <v>262</v>
      </c>
      <c r="D45" s="134" t="s">
        <v>263</v>
      </c>
      <c r="E45" s="217" t="s">
        <v>102</v>
      </c>
      <c r="F45" s="217">
        <v>0</v>
      </c>
      <c r="G45" s="217">
        <v>0</v>
      </c>
      <c r="H45" s="217">
        <v>2</v>
      </c>
      <c r="I45" s="217">
        <f>2*16000</f>
        <v>32000</v>
      </c>
      <c r="J45" s="217">
        <v>0</v>
      </c>
      <c r="K45" s="217">
        <v>0</v>
      </c>
      <c r="L45" s="217">
        <v>0</v>
      </c>
      <c r="M45" s="217">
        <v>0</v>
      </c>
      <c r="N45" s="217">
        <v>0</v>
      </c>
      <c r="O45" s="217">
        <v>0</v>
      </c>
      <c r="P45" s="217">
        <v>0</v>
      </c>
      <c r="Q45" s="217">
        <v>0</v>
      </c>
      <c r="R45" s="217">
        <v>0</v>
      </c>
      <c r="S45" s="223">
        <v>0</v>
      </c>
      <c r="T45" s="218">
        <f t="shared" si="12"/>
        <v>0</v>
      </c>
      <c r="U45" s="135">
        <f t="shared" si="12"/>
        <v>0</v>
      </c>
      <c r="V45" s="222" t="e">
        <f>+T45/J45*100</f>
        <v>#DIV/0!</v>
      </c>
      <c r="W45" s="219" t="e">
        <f>+U45/K45*100</f>
        <v>#DIV/0!</v>
      </c>
      <c r="X45" s="220">
        <f>+H45+T45</f>
        <v>2</v>
      </c>
      <c r="Y45" s="220">
        <f>+I45+U45</f>
        <v>32000</v>
      </c>
      <c r="Z45" s="221" t="e">
        <f>+X45/F45*100</f>
        <v>#DIV/0!</v>
      </c>
      <c r="AA45" s="221" t="e">
        <f>+Y45/G45*100</f>
        <v>#DIV/0!</v>
      </c>
      <c r="AB45" s="101"/>
      <c r="AC45" s="110"/>
    </row>
    <row r="46" spans="1:29" s="53" customFormat="1" ht="72.75" customHeight="1">
      <c r="A46" s="96"/>
      <c r="B46" s="353"/>
      <c r="C46" s="81" t="s">
        <v>267</v>
      </c>
      <c r="D46" s="81" t="s">
        <v>72</v>
      </c>
      <c r="E46" s="89" t="s">
        <v>30</v>
      </c>
      <c r="F46" s="310">
        <v>60</v>
      </c>
      <c r="G46" s="310">
        <v>70000</v>
      </c>
      <c r="H46" s="84">
        <v>12</v>
      </c>
      <c r="I46" s="82">
        <v>74800</v>
      </c>
      <c r="J46" s="83">
        <v>12</v>
      </c>
      <c r="K46" s="82">
        <v>35000</v>
      </c>
      <c r="L46" s="84">
        <v>3</v>
      </c>
      <c r="M46" s="85">
        <v>18400</v>
      </c>
      <c r="N46" s="84">
        <v>3</v>
      </c>
      <c r="O46" s="82">
        <f>19300-M46</f>
        <v>900</v>
      </c>
      <c r="P46" s="82">
        <v>3</v>
      </c>
      <c r="Q46" s="82">
        <v>300</v>
      </c>
      <c r="R46" s="84"/>
      <c r="S46" s="85">
        <f>73837.5-Q46-O46-M46</f>
        <v>54237.5</v>
      </c>
      <c r="T46" s="112">
        <f t="shared" si="12"/>
        <v>9</v>
      </c>
      <c r="U46" s="349">
        <f t="shared" si="12"/>
        <v>73837.5</v>
      </c>
      <c r="V46" s="40">
        <f t="shared" si="13"/>
        <v>75</v>
      </c>
      <c r="W46" s="40">
        <f t="shared" si="13"/>
        <v>210.96428571428572</v>
      </c>
      <c r="X46" s="42">
        <f t="shared" si="14"/>
        <v>21</v>
      </c>
      <c r="Y46" s="42">
        <f t="shared" si="14"/>
        <v>148637.5</v>
      </c>
      <c r="Z46" s="43">
        <f aca="true" t="shared" si="15" ref="Z46:AA54">+X46/F46*100</f>
        <v>35</v>
      </c>
      <c r="AA46" s="43">
        <f t="shared" si="15"/>
        <v>212.33928571428572</v>
      </c>
      <c r="AB46" s="99"/>
      <c r="AC46" s="70"/>
    </row>
    <row r="47" spans="1:29" s="53" customFormat="1" ht="70.5" customHeight="1">
      <c r="A47" s="96"/>
      <c r="B47" s="97"/>
      <c r="C47" s="81" t="s">
        <v>73</v>
      </c>
      <c r="D47" s="81" t="s">
        <v>74</v>
      </c>
      <c r="E47" s="89" t="s">
        <v>30</v>
      </c>
      <c r="F47" s="310">
        <v>60</v>
      </c>
      <c r="G47" s="310">
        <v>106700</v>
      </c>
      <c r="H47" s="84">
        <v>12</v>
      </c>
      <c r="I47" s="82">
        <v>113000</v>
      </c>
      <c r="J47" s="83">
        <v>12</v>
      </c>
      <c r="K47" s="82">
        <v>115000</v>
      </c>
      <c r="L47" s="84">
        <v>6</v>
      </c>
      <c r="M47" s="85">
        <v>43000</v>
      </c>
      <c r="N47" s="84">
        <v>0</v>
      </c>
      <c r="O47" s="82">
        <f>43000-M47</f>
        <v>0</v>
      </c>
      <c r="P47" s="82">
        <v>0</v>
      </c>
      <c r="Q47" s="82">
        <v>0</v>
      </c>
      <c r="R47" s="84">
        <v>6</v>
      </c>
      <c r="S47" s="85">
        <f>112900-Q47-O47-M47</f>
        <v>69900</v>
      </c>
      <c r="T47" s="112">
        <f aca="true" t="shared" si="16" ref="T47:U54">SUM(L47+N47+P47+R47)</f>
        <v>12</v>
      </c>
      <c r="U47" s="349">
        <f t="shared" si="16"/>
        <v>112900</v>
      </c>
      <c r="V47" s="40">
        <f t="shared" si="13"/>
        <v>100</v>
      </c>
      <c r="W47" s="40">
        <f t="shared" si="13"/>
        <v>98.17391304347825</v>
      </c>
      <c r="X47" s="42">
        <f t="shared" si="14"/>
        <v>24</v>
      </c>
      <c r="Y47" s="42">
        <f t="shared" si="14"/>
        <v>225900</v>
      </c>
      <c r="Z47" s="43">
        <f t="shared" si="15"/>
        <v>40</v>
      </c>
      <c r="AA47" s="43">
        <f t="shared" si="15"/>
        <v>211.71508903467665</v>
      </c>
      <c r="AB47" s="99"/>
      <c r="AC47" s="70"/>
    </row>
    <row r="48" spans="1:29" s="88" customFormat="1" ht="63" customHeight="1">
      <c r="A48" s="60"/>
      <c r="B48" s="61"/>
      <c r="C48" s="81" t="s">
        <v>75</v>
      </c>
      <c r="D48" s="81" t="s">
        <v>76</v>
      </c>
      <c r="E48" s="89" t="s">
        <v>30</v>
      </c>
      <c r="F48" s="310">
        <v>60</v>
      </c>
      <c r="G48" s="310">
        <v>25000</v>
      </c>
      <c r="H48" s="84">
        <v>12</v>
      </c>
      <c r="I48" s="82">
        <v>140000</v>
      </c>
      <c r="J48" s="83">
        <v>12</v>
      </c>
      <c r="K48" s="82">
        <v>140000</v>
      </c>
      <c r="L48" s="84">
        <v>3</v>
      </c>
      <c r="M48" s="85">
        <v>12236</v>
      </c>
      <c r="N48" s="84">
        <v>3</v>
      </c>
      <c r="O48" s="82">
        <f>25000-M48</f>
        <v>12764</v>
      </c>
      <c r="P48" s="82">
        <v>0</v>
      </c>
      <c r="Q48" s="82">
        <v>0</v>
      </c>
      <c r="R48" s="84">
        <v>6</v>
      </c>
      <c r="S48" s="85">
        <f>139634-Q48-O48-M48</f>
        <v>114634</v>
      </c>
      <c r="T48" s="112">
        <f t="shared" si="16"/>
        <v>12</v>
      </c>
      <c r="U48" s="349">
        <f t="shared" si="16"/>
        <v>139634</v>
      </c>
      <c r="V48" s="40">
        <f t="shared" si="13"/>
        <v>100</v>
      </c>
      <c r="W48" s="40">
        <f t="shared" si="13"/>
        <v>99.73857142857143</v>
      </c>
      <c r="X48" s="42">
        <f t="shared" si="14"/>
        <v>24</v>
      </c>
      <c r="Y48" s="42">
        <f t="shared" si="14"/>
        <v>279634</v>
      </c>
      <c r="Z48" s="43">
        <f t="shared" si="15"/>
        <v>40</v>
      </c>
      <c r="AA48" s="43">
        <f t="shared" si="15"/>
        <v>1118.5359999999998</v>
      </c>
      <c r="AB48" s="83"/>
      <c r="AC48" s="87"/>
    </row>
    <row r="49" spans="1:29" s="88" customFormat="1" ht="60" customHeight="1">
      <c r="A49" s="60"/>
      <c r="B49" s="61"/>
      <c r="C49" s="81" t="s">
        <v>77</v>
      </c>
      <c r="D49" s="81" t="s">
        <v>78</v>
      </c>
      <c r="E49" s="89" t="s">
        <v>30</v>
      </c>
      <c r="F49" s="310">
        <v>60</v>
      </c>
      <c r="G49" s="310">
        <v>158000</v>
      </c>
      <c r="H49" s="84">
        <v>12</v>
      </c>
      <c r="I49" s="91">
        <v>190800</v>
      </c>
      <c r="J49" s="83">
        <v>12</v>
      </c>
      <c r="K49" s="91">
        <v>236000</v>
      </c>
      <c r="L49" s="84">
        <v>3</v>
      </c>
      <c r="M49" s="85">
        <v>20762.155</v>
      </c>
      <c r="N49" s="84">
        <v>3</v>
      </c>
      <c r="O49" s="82">
        <f>43061.441-M49</f>
        <v>22299.286</v>
      </c>
      <c r="P49" s="86">
        <v>3</v>
      </c>
      <c r="Q49" s="82">
        <f>164528.641-M49-O49</f>
        <v>121467.20000000001</v>
      </c>
      <c r="R49" s="84">
        <v>3</v>
      </c>
      <c r="S49" s="85">
        <f>189292.766-Q49-O49-M49</f>
        <v>24764.124999999993</v>
      </c>
      <c r="T49" s="112">
        <f t="shared" si="16"/>
        <v>12</v>
      </c>
      <c r="U49" s="349">
        <f t="shared" si="16"/>
        <v>189292.766</v>
      </c>
      <c r="V49" s="40">
        <f t="shared" si="13"/>
        <v>100</v>
      </c>
      <c r="W49" s="41">
        <f t="shared" si="13"/>
        <v>80.20879915254238</v>
      </c>
      <c r="X49" s="42">
        <f t="shared" si="14"/>
        <v>24</v>
      </c>
      <c r="Y49" s="42">
        <f t="shared" si="14"/>
        <v>380092.766</v>
      </c>
      <c r="Z49" s="43">
        <f t="shared" si="15"/>
        <v>40</v>
      </c>
      <c r="AA49" s="43">
        <f t="shared" si="15"/>
        <v>240.56504177215191</v>
      </c>
      <c r="AB49" s="83"/>
      <c r="AC49" s="87"/>
    </row>
    <row r="50" spans="1:29" s="88" customFormat="1" ht="54" customHeight="1">
      <c r="A50" s="60"/>
      <c r="B50" s="61"/>
      <c r="C50" s="81" t="s">
        <v>79</v>
      </c>
      <c r="D50" s="81" t="s">
        <v>80</v>
      </c>
      <c r="E50" s="89" t="s">
        <v>30</v>
      </c>
      <c r="F50" s="310">
        <v>60</v>
      </c>
      <c r="G50" s="310">
        <v>53800</v>
      </c>
      <c r="H50" s="84">
        <v>12</v>
      </c>
      <c r="I50" s="82">
        <v>9500</v>
      </c>
      <c r="J50" s="83">
        <v>12</v>
      </c>
      <c r="K50" s="82">
        <v>7500</v>
      </c>
      <c r="L50" s="84">
        <v>3</v>
      </c>
      <c r="M50" s="85">
        <v>1180</v>
      </c>
      <c r="N50" s="84">
        <v>3</v>
      </c>
      <c r="O50" s="82">
        <f>3740-M50</f>
        <v>2560</v>
      </c>
      <c r="P50" s="86">
        <v>3</v>
      </c>
      <c r="Q50" s="82">
        <f>5540-M50-O50</f>
        <v>1800</v>
      </c>
      <c r="R50" s="84">
        <v>3</v>
      </c>
      <c r="S50" s="85">
        <f>9500-Q50-O50-M50</f>
        <v>3960</v>
      </c>
      <c r="T50" s="112">
        <f t="shared" si="16"/>
        <v>12</v>
      </c>
      <c r="U50" s="349">
        <f t="shared" si="16"/>
        <v>9500</v>
      </c>
      <c r="V50" s="40">
        <f t="shared" si="13"/>
        <v>100</v>
      </c>
      <c r="W50" s="40">
        <f t="shared" si="13"/>
        <v>126.66666666666666</v>
      </c>
      <c r="X50" s="42">
        <f t="shared" si="14"/>
        <v>24</v>
      </c>
      <c r="Y50" s="42">
        <f t="shared" si="14"/>
        <v>19000</v>
      </c>
      <c r="Z50" s="43">
        <f t="shared" si="15"/>
        <v>40</v>
      </c>
      <c r="AA50" s="43">
        <f t="shared" si="15"/>
        <v>35.31598513011153</v>
      </c>
      <c r="AB50" s="83"/>
      <c r="AC50" s="87"/>
    </row>
    <row r="51" spans="1:29" s="53" customFormat="1" ht="41.25" customHeight="1">
      <c r="A51" s="96"/>
      <c r="B51" s="97"/>
      <c r="C51" s="81" t="s">
        <v>81</v>
      </c>
      <c r="D51" s="81" t="s">
        <v>82</v>
      </c>
      <c r="E51" s="89" t="s">
        <v>30</v>
      </c>
      <c r="F51" s="310">
        <v>60</v>
      </c>
      <c r="G51" s="310">
        <v>25000</v>
      </c>
      <c r="H51" s="84">
        <v>12</v>
      </c>
      <c r="I51" s="82">
        <v>3000</v>
      </c>
      <c r="J51" s="83">
        <v>12</v>
      </c>
      <c r="K51" s="82">
        <v>3000</v>
      </c>
      <c r="L51" s="84">
        <v>0</v>
      </c>
      <c r="M51" s="85">
        <v>0</v>
      </c>
      <c r="N51" s="84">
        <v>3</v>
      </c>
      <c r="O51" s="82">
        <f>3000-M51</f>
        <v>3000</v>
      </c>
      <c r="P51" s="82">
        <v>0</v>
      </c>
      <c r="Q51" s="82">
        <v>0</v>
      </c>
      <c r="R51" s="84">
        <v>0</v>
      </c>
      <c r="S51" s="85">
        <v>0</v>
      </c>
      <c r="T51" s="112">
        <f t="shared" si="16"/>
        <v>3</v>
      </c>
      <c r="U51" s="349">
        <f t="shared" si="16"/>
        <v>3000</v>
      </c>
      <c r="V51" s="40">
        <f t="shared" si="13"/>
        <v>25</v>
      </c>
      <c r="W51" s="40">
        <f t="shared" si="13"/>
        <v>100</v>
      </c>
      <c r="X51" s="42">
        <f t="shared" si="14"/>
        <v>15</v>
      </c>
      <c r="Y51" s="42">
        <f t="shared" si="14"/>
        <v>6000</v>
      </c>
      <c r="Z51" s="43">
        <f t="shared" si="15"/>
        <v>25</v>
      </c>
      <c r="AA51" s="43">
        <f t="shared" si="15"/>
        <v>24</v>
      </c>
      <c r="AB51" s="99"/>
      <c r="AC51" s="70"/>
    </row>
    <row r="52" spans="1:29" s="53" customFormat="1" ht="67.5" customHeight="1">
      <c r="A52" s="96"/>
      <c r="B52" s="358"/>
      <c r="C52" s="114" t="s">
        <v>83</v>
      </c>
      <c r="D52" s="114" t="s">
        <v>84</v>
      </c>
      <c r="E52" s="83"/>
      <c r="F52" s="84">
        <f>+F53</f>
        <v>60</v>
      </c>
      <c r="G52" s="106">
        <f>SUM(G53:G54)</f>
        <v>142800</v>
      </c>
      <c r="H52" s="86">
        <v>13</v>
      </c>
      <c r="I52" s="106">
        <f>SUM(I53:I54)</f>
        <v>39200</v>
      </c>
      <c r="J52" s="83">
        <v>1</v>
      </c>
      <c r="K52" s="106">
        <f>SUM(K53:K54)</f>
        <v>30000</v>
      </c>
      <c r="L52" s="106">
        <f aca="true" t="shared" si="17" ref="L52:S52">SUM(L53:L54)</f>
        <v>0</v>
      </c>
      <c r="M52" s="106">
        <f t="shared" si="17"/>
        <v>0</v>
      </c>
      <c r="N52" s="106">
        <f t="shared" si="17"/>
        <v>0</v>
      </c>
      <c r="O52" s="106">
        <f t="shared" si="17"/>
        <v>0</v>
      </c>
      <c r="P52" s="106">
        <f t="shared" si="17"/>
        <v>1</v>
      </c>
      <c r="Q52" s="106">
        <f t="shared" si="17"/>
        <v>30000</v>
      </c>
      <c r="R52" s="106">
        <f t="shared" si="17"/>
        <v>0</v>
      </c>
      <c r="S52" s="106">
        <f t="shared" si="17"/>
        <v>0</v>
      </c>
      <c r="T52" s="39">
        <f t="shared" si="16"/>
        <v>1</v>
      </c>
      <c r="U52" s="39">
        <f t="shared" si="16"/>
        <v>30000</v>
      </c>
      <c r="V52" s="40">
        <f>+T52/J52*100</f>
        <v>100</v>
      </c>
      <c r="W52" s="41">
        <f t="shared" si="13"/>
        <v>100</v>
      </c>
      <c r="X52" s="42">
        <f t="shared" si="14"/>
        <v>14</v>
      </c>
      <c r="Y52" s="42">
        <f t="shared" si="14"/>
        <v>69200</v>
      </c>
      <c r="Z52" s="43">
        <f t="shared" si="15"/>
        <v>23.333333333333332</v>
      </c>
      <c r="AA52" s="43">
        <f t="shared" si="15"/>
        <v>48.4593837535014</v>
      </c>
      <c r="AB52" s="99"/>
      <c r="AC52" s="70"/>
    </row>
    <row r="53" spans="1:29" s="53" customFormat="1" ht="42.75" customHeight="1">
      <c r="A53" s="96"/>
      <c r="B53" s="97"/>
      <c r="C53" s="81" t="s">
        <v>85</v>
      </c>
      <c r="D53" s="81" t="s">
        <v>84</v>
      </c>
      <c r="E53" s="83" t="s">
        <v>30</v>
      </c>
      <c r="F53" s="84">
        <v>60</v>
      </c>
      <c r="G53" s="310">
        <v>142800</v>
      </c>
      <c r="H53" s="86">
        <v>12</v>
      </c>
      <c r="I53" s="82">
        <v>29200</v>
      </c>
      <c r="J53" s="83">
        <v>1</v>
      </c>
      <c r="K53" s="82">
        <v>30000</v>
      </c>
      <c r="L53" s="85">
        <v>0</v>
      </c>
      <c r="M53" s="85">
        <v>0</v>
      </c>
      <c r="N53" s="85">
        <v>0</v>
      </c>
      <c r="O53" s="82">
        <v>0</v>
      </c>
      <c r="P53" s="82">
        <v>1</v>
      </c>
      <c r="Q53" s="82">
        <v>30000</v>
      </c>
      <c r="R53" s="85">
        <v>0</v>
      </c>
      <c r="S53" s="85">
        <v>0</v>
      </c>
      <c r="T53" s="112">
        <f t="shared" si="16"/>
        <v>1</v>
      </c>
      <c r="U53" s="39">
        <f t="shared" si="16"/>
        <v>30000</v>
      </c>
      <c r="V53" s="40">
        <f t="shared" si="13"/>
        <v>100</v>
      </c>
      <c r="W53" s="40">
        <f t="shared" si="13"/>
        <v>100</v>
      </c>
      <c r="X53" s="42">
        <f t="shared" si="14"/>
        <v>13</v>
      </c>
      <c r="Y53" s="42">
        <f t="shared" si="14"/>
        <v>59200</v>
      </c>
      <c r="Z53" s="43">
        <f t="shared" si="15"/>
        <v>21.666666666666668</v>
      </c>
      <c r="AA53" s="43">
        <f t="shared" si="15"/>
        <v>41.45658263305322</v>
      </c>
      <c r="AB53" s="99"/>
      <c r="AC53" s="70"/>
    </row>
    <row r="54" spans="1:29" s="53" customFormat="1" ht="26.25">
      <c r="A54" s="96"/>
      <c r="B54" s="97"/>
      <c r="C54" s="98"/>
      <c r="D54" s="116" t="s">
        <v>86</v>
      </c>
      <c r="E54" s="99"/>
      <c r="F54" s="101"/>
      <c r="G54" s="101"/>
      <c r="H54" s="86">
        <v>1</v>
      </c>
      <c r="I54" s="82">
        <v>10000</v>
      </c>
      <c r="J54" s="94">
        <v>0</v>
      </c>
      <c r="K54" s="117">
        <v>0</v>
      </c>
      <c r="L54" s="95">
        <v>0</v>
      </c>
      <c r="M54" s="95">
        <v>0</v>
      </c>
      <c r="N54" s="84"/>
      <c r="O54" s="82"/>
      <c r="P54" s="86"/>
      <c r="Q54" s="86"/>
      <c r="R54" s="84"/>
      <c r="S54" s="84"/>
      <c r="T54" s="112">
        <f t="shared" si="16"/>
        <v>0</v>
      </c>
      <c r="U54" s="39">
        <f t="shared" si="16"/>
        <v>0</v>
      </c>
      <c r="V54" s="40" t="e">
        <f t="shared" si="13"/>
        <v>#DIV/0!</v>
      </c>
      <c r="W54" s="40" t="e">
        <f t="shared" si="13"/>
        <v>#DIV/0!</v>
      </c>
      <c r="X54" s="42">
        <f t="shared" si="14"/>
        <v>1</v>
      </c>
      <c r="Y54" s="42">
        <f t="shared" si="14"/>
        <v>10000</v>
      </c>
      <c r="Z54" s="43" t="e">
        <f t="shared" si="15"/>
        <v>#DIV/0!</v>
      </c>
      <c r="AA54" s="43" t="e">
        <f t="shared" si="15"/>
        <v>#DIV/0!</v>
      </c>
      <c r="AB54" s="99"/>
      <c r="AC54" s="70"/>
    </row>
    <row r="55" spans="1:29" s="53" customFormat="1" ht="13.5">
      <c r="A55" s="439" t="s">
        <v>87</v>
      </c>
      <c r="B55" s="440"/>
      <c r="C55" s="440"/>
      <c r="D55" s="440"/>
      <c r="E55" s="440"/>
      <c r="F55" s="440"/>
      <c r="G55" s="440"/>
      <c r="H55" s="440"/>
      <c r="I55" s="440"/>
      <c r="J55" s="440"/>
      <c r="K55" s="440"/>
      <c r="L55" s="440"/>
      <c r="M55" s="440"/>
      <c r="N55" s="440"/>
      <c r="O55" s="440"/>
      <c r="P55" s="440"/>
      <c r="Q55" s="440"/>
      <c r="R55" s="440"/>
      <c r="S55" s="440"/>
      <c r="T55" s="440"/>
      <c r="U55" s="441"/>
      <c r="V55" s="99"/>
      <c r="W55" s="99"/>
      <c r="X55" s="118"/>
      <c r="Y55" s="118"/>
      <c r="Z55" s="99"/>
      <c r="AA55" s="99"/>
      <c r="AB55" s="118"/>
      <c r="AC55" s="119"/>
    </row>
    <row r="56" spans="1:29" s="53" customFormat="1" ht="13.5">
      <c r="A56" s="439" t="s">
        <v>88</v>
      </c>
      <c r="B56" s="440"/>
      <c r="C56" s="440"/>
      <c r="D56" s="440"/>
      <c r="E56" s="440"/>
      <c r="F56" s="440"/>
      <c r="G56" s="440"/>
      <c r="H56" s="440"/>
      <c r="I56" s="440"/>
      <c r="J56" s="440"/>
      <c r="K56" s="440"/>
      <c r="L56" s="440"/>
      <c r="M56" s="440"/>
      <c r="N56" s="440"/>
      <c r="O56" s="440"/>
      <c r="P56" s="440"/>
      <c r="Q56" s="440"/>
      <c r="R56" s="440"/>
      <c r="S56" s="440"/>
      <c r="T56" s="440"/>
      <c r="U56" s="441"/>
      <c r="V56" s="99"/>
      <c r="W56" s="99"/>
      <c r="X56" s="118"/>
      <c r="Y56" s="118"/>
      <c r="Z56" s="99"/>
      <c r="AA56" s="99"/>
      <c r="AB56" s="118"/>
      <c r="AC56" s="119"/>
    </row>
    <row r="57" spans="1:29" s="53" customFormat="1" ht="12.75">
      <c r="A57" s="442"/>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4"/>
    </row>
    <row r="58" spans="1:29" s="124" customFormat="1" ht="13.5">
      <c r="A58" s="120"/>
      <c r="B58" s="121"/>
      <c r="C58" s="63" t="s">
        <v>89</v>
      </c>
      <c r="D58" s="63"/>
      <c r="E58" s="122"/>
      <c r="F58" s="122">
        <f>+F59</f>
        <v>4609</v>
      </c>
      <c r="G58" s="122">
        <f aca="true" t="shared" si="18" ref="G58:S58">+G59</f>
        <v>23478998</v>
      </c>
      <c r="H58" s="322">
        <f t="shared" si="18"/>
        <v>977</v>
      </c>
      <c r="I58" s="322">
        <f t="shared" si="18"/>
        <v>4991211.3</v>
      </c>
      <c r="J58" s="122">
        <f t="shared" si="18"/>
        <v>2419</v>
      </c>
      <c r="K58" s="123">
        <f t="shared" si="18"/>
        <v>7056892</v>
      </c>
      <c r="L58" s="122">
        <f t="shared" si="18"/>
        <v>1599</v>
      </c>
      <c r="M58" s="122">
        <f>+M59</f>
        <v>168679.3</v>
      </c>
      <c r="N58" s="122">
        <f t="shared" si="18"/>
        <v>210</v>
      </c>
      <c r="O58" s="123">
        <f t="shared" si="18"/>
        <v>951412</v>
      </c>
      <c r="P58" s="123">
        <f t="shared" si="18"/>
        <v>236</v>
      </c>
      <c r="Q58" s="123">
        <f t="shared" si="18"/>
        <v>912591.639</v>
      </c>
      <c r="R58" s="122">
        <f t="shared" si="18"/>
        <v>35</v>
      </c>
      <c r="S58" s="122">
        <f t="shared" si="18"/>
        <v>4745996.159</v>
      </c>
      <c r="T58" s="64">
        <f aca="true" t="shared" si="19" ref="T58:U83">SUM(L58+N58+P58+R58)</f>
        <v>2080</v>
      </c>
      <c r="U58" s="300">
        <f t="shared" si="19"/>
        <v>6778679.098</v>
      </c>
      <c r="V58" s="67">
        <f aca="true" t="shared" si="20" ref="V58:W83">+T58/J58*100</f>
        <v>85.98594460520876</v>
      </c>
      <c r="W58" s="67">
        <f t="shared" si="20"/>
        <v>96.05757177522342</v>
      </c>
      <c r="X58" s="68">
        <f aca="true" t="shared" si="21" ref="X58:Y83">+H58+T58</f>
        <v>3057</v>
      </c>
      <c r="Y58" s="68">
        <f t="shared" si="21"/>
        <v>11769890.398</v>
      </c>
      <c r="Z58" s="69">
        <f aca="true" t="shared" si="22" ref="Z58:AA103">+X58/F58*100</f>
        <v>66.32675200694294</v>
      </c>
      <c r="AA58" s="69">
        <f t="shared" si="22"/>
        <v>50.12944077937227</v>
      </c>
      <c r="AB58" s="101"/>
      <c r="AC58" s="110"/>
    </row>
    <row r="59" spans="1:29" s="59" customFormat="1" ht="13.5">
      <c r="A59" s="125" t="s">
        <v>90</v>
      </c>
      <c r="B59" s="126"/>
      <c r="C59" s="127" t="s">
        <v>91</v>
      </c>
      <c r="D59" s="127"/>
      <c r="E59" s="26"/>
      <c r="F59" s="26">
        <f aca="true" t="shared" si="23" ref="F59:S59">+F60+F105+F125+F156+F164+F184+F197</f>
        <v>4609</v>
      </c>
      <c r="G59" s="26">
        <f t="shared" si="23"/>
        <v>23478998</v>
      </c>
      <c r="H59" s="323">
        <f t="shared" si="23"/>
        <v>977</v>
      </c>
      <c r="I59" s="323">
        <f t="shared" si="23"/>
        <v>4991211.3</v>
      </c>
      <c r="J59" s="26">
        <f t="shared" si="23"/>
        <v>2419</v>
      </c>
      <c r="K59" s="128">
        <f t="shared" si="23"/>
        <v>7056892</v>
      </c>
      <c r="L59" s="26">
        <f t="shared" si="23"/>
        <v>1599</v>
      </c>
      <c r="M59" s="26">
        <f t="shared" si="23"/>
        <v>168679.3</v>
      </c>
      <c r="N59" s="26">
        <f t="shared" si="23"/>
        <v>210</v>
      </c>
      <c r="O59" s="128">
        <f t="shared" si="23"/>
        <v>951412</v>
      </c>
      <c r="P59" s="128">
        <f t="shared" si="23"/>
        <v>236</v>
      </c>
      <c r="Q59" s="128">
        <f t="shared" si="23"/>
        <v>912591.639</v>
      </c>
      <c r="R59" s="26">
        <f t="shared" si="23"/>
        <v>35</v>
      </c>
      <c r="S59" s="26">
        <f t="shared" si="23"/>
        <v>4745996.159</v>
      </c>
      <c r="T59" s="25">
        <f t="shared" si="19"/>
        <v>2080</v>
      </c>
      <c r="U59" s="25">
        <f t="shared" si="19"/>
        <v>6778679.098</v>
      </c>
      <c r="V59" s="27">
        <f t="shared" si="20"/>
        <v>85.98594460520876</v>
      </c>
      <c r="W59" s="27">
        <f t="shared" si="20"/>
        <v>96.05757177522342</v>
      </c>
      <c r="X59" s="28">
        <f t="shared" si="21"/>
        <v>3057</v>
      </c>
      <c r="Y59" s="28">
        <f t="shared" si="21"/>
        <v>11769890.398</v>
      </c>
      <c r="Z59" s="29">
        <f t="shared" si="22"/>
        <v>66.32675200694294</v>
      </c>
      <c r="AA59" s="29">
        <f t="shared" si="22"/>
        <v>50.12944077937227</v>
      </c>
      <c r="AB59" s="101"/>
      <c r="AC59" s="110"/>
    </row>
    <row r="60" spans="1:29" s="111" customFormat="1" ht="66" customHeight="1">
      <c r="A60" s="104"/>
      <c r="B60" s="358"/>
      <c r="C60" s="72" t="s">
        <v>92</v>
      </c>
      <c r="D60" s="129"/>
      <c r="E60" s="39"/>
      <c r="F60" s="39">
        <f aca="true" t="shared" si="24" ref="F60:R60">SUM(F61:F103)</f>
        <v>1174</v>
      </c>
      <c r="G60" s="39">
        <f>SUM(G61:G103)</f>
        <v>5237500</v>
      </c>
      <c r="H60" s="39">
        <f t="shared" si="24"/>
        <v>154</v>
      </c>
      <c r="I60" s="39">
        <f>SUM(I61:I103)</f>
        <v>1267536</v>
      </c>
      <c r="J60" s="39">
        <f t="shared" si="24"/>
        <v>261</v>
      </c>
      <c r="K60" s="39">
        <f>SUM(K61:K103)</f>
        <v>4316100</v>
      </c>
      <c r="L60" s="39">
        <f t="shared" si="24"/>
        <v>48</v>
      </c>
      <c r="M60" s="39">
        <f>SUM(M61:M103)</f>
        <v>79210.5</v>
      </c>
      <c r="N60" s="39">
        <f t="shared" si="24"/>
        <v>52</v>
      </c>
      <c r="O60" s="39">
        <f>SUM(O61:O103)</f>
        <v>178105</v>
      </c>
      <c r="P60" s="39">
        <f t="shared" si="24"/>
        <v>56</v>
      </c>
      <c r="Q60" s="39">
        <f>SUM(Q61:Q103)</f>
        <v>432833</v>
      </c>
      <c r="R60" s="39">
        <f t="shared" si="24"/>
        <v>15</v>
      </c>
      <c r="S60" s="238">
        <f>SUM(S61:S103)</f>
        <v>3482703.5</v>
      </c>
      <c r="T60" s="39">
        <f t="shared" si="19"/>
        <v>171</v>
      </c>
      <c r="U60" s="39">
        <f>SUM(M60+O60+Q60+S60)</f>
        <v>4172852</v>
      </c>
      <c r="V60" s="107">
        <f t="shared" si="20"/>
        <v>65.51724137931035</v>
      </c>
      <c r="W60" s="107">
        <f t="shared" si="20"/>
        <v>96.6810778248882</v>
      </c>
      <c r="X60" s="108">
        <f t="shared" si="21"/>
        <v>325</v>
      </c>
      <c r="Y60" s="108">
        <f t="shared" si="21"/>
        <v>5440388</v>
      </c>
      <c r="Z60" s="109">
        <f t="shared" si="22"/>
        <v>27.68313458262351</v>
      </c>
      <c r="AA60" s="109">
        <f t="shared" si="22"/>
        <v>103.87375656324582</v>
      </c>
      <c r="AB60" s="101"/>
      <c r="AC60" s="110"/>
    </row>
    <row r="61" spans="1:30" s="88" customFormat="1" ht="55.5" customHeight="1">
      <c r="A61" s="60"/>
      <c r="B61" s="369"/>
      <c r="C61" s="426" t="s">
        <v>93</v>
      </c>
      <c r="D61" s="81" t="s">
        <v>94</v>
      </c>
      <c r="E61" s="130" t="s">
        <v>95</v>
      </c>
      <c r="F61" s="136">
        <v>20</v>
      </c>
      <c r="G61" s="136">
        <v>316800</v>
      </c>
      <c r="H61" s="84">
        <v>3</v>
      </c>
      <c r="I61" s="82">
        <v>73750</v>
      </c>
      <c r="J61" s="83"/>
      <c r="K61" s="82"/>
      <c r="L61" s="85">
        <v>0</v>
      </c>
      <c r="M61" s="85">
        <v>0</v>
      </c>
      <c r="N61" s="85">
        <v>0</v>
      </c>
      <c r="O61" s="82">
        <v>0</v>
      </c>
      <c r="P61" s="82">
        <v>0</v>
      </c>
      <c r="Q61" s="82">
        <v>0</v>
      </c>
      <c r="R61" s="85">
        <v>0</v>
      </c>
      <c r="S61" s="85">
        <v>0</v>
      </c>
      <c r="T61" s="39">
        <f t="shared" si="19"/>
        <v>0</v>
      </c>
      <c r="U61" s="39">
        <f>SUM(M61+O61+Q61+S61)</f>
        <v>0</v>
      </c>
      <c r="V61" s="40" t="e">
        <f>+T61/J61*100</f>
        <v>#DIV/0!</v>
      </c>
      <c r="W61" s="41" t="e">
        <f t="shared" si="20"/>
        <v>#DIV/0!</v>
      </c>
      <c r="X61" s="42">
        <f t="shared" si="21"/>
        <v>3</v>
      </c>
      <c r="Y61" s="42">
        <f t="shared" si="21"/>
        <v>73750</v>
      </c>
      <c r="Z61" s="43">
        <f t="shared" si="22"/>
        <v>15</v>
      </c>
      <c r="AA61" s="43">
        <f t="shared" si="22"/>
        <v>23.27967171717172</v>
      </c>
      <c r="AB61" s="83"/>
      <c r="AC61" s="87"/>
      <c r="AD61" s="267">
        <f>+U61+U62+U63</f>
        <v>0</v>
      </c>
    </row>
    <row r="62" spans="1:29" s="88" customFormat="1" ht="30" customHeight="1">
      <c r="A62" s="60"/>
      <c r="B62" s="370"/>
      <c r="C62" s="428"/>
      <c r="D62" s="81" t="s">
        <v>96</v>
      </c>
      <c r="E62" s="130" t="s">
        <v>97</v>
      </c>
      <c r="F62" s="136">
        <v>0</v>
      </c>
      <c r="G62" s="136">
        <v>0</v>
      </c>
      <c r="H62" s="85">
        <v>1</v>
      </c>
      <c r="I62" s="216">
        <f>500+750</f>
        <v>1250</v>
      </c>
      <c r="J62" s="115"/>
      <c r="K62" s="216"/>
      <c r="L62" s="85">
        <v>0</v>
      </c>
      <c r="M62" s="85">
        <v>0</v>
      </c>
      <c r="N62" s="85">
        <v>0</v>
      </c>
      <c r="O62" s="82">
        <v>0</v>
      </c>
      <c r="P62" s="85">
        <v>0</v>
      </c>
      <c r="Q62" s="82">
        <v>0</v>
      </c>
      <c r="R62" s="115">
        <v>0</v>
      </c>
      <c r="S62" s="82">
        <v>0</v>
      </c>
      <c r="T62" s="39">
        <f t="shared" si="19"/>
        <v>0</v>
      </c>
      <c r="U62" s="39">
        <f t="shared" si="19"/>
        <v>0</v>
      </c>
      <c r="V62" s="40" t="e">
        <f t="shared" si="20"/>
        <v>#DIV/0!</v>
      </c>
      <c r="W62" s="41" t="e">
        <f t="shared" si="20"/>
        <v>#DIV/0!</v>
      </c>
      <c r="X62" s="42">
        <f t="shared" si="21"/>
        <v>1</v>
      </c>
      <c r="Y62" s="42">
        <f t="shared" si="21"/>
        <v>1250</v>
      </c>
      <c r="Z62" s="43" t="e">
        <f t="shared" si="22"/>
        <v>#DIV/0!</v>
      </c>
      <c r="AA62" s="43" t="e">
        <f t="shared" si="22"/>
        <v>#DIV/0!</v>
      </c>
      <c r="AB62" s="83"/>
      <c r="AC62" s="87"/>
    </row>
    <row r="63" spans="1:29" s="88" customFormat="1" ht="39" customHeight="1">
      <c r="A63" s="60"/>
      <c r="B63" s="371"/>
      <c r="C63" s="427"/>
      <c r="D63" s="81" t="s">
        <v>98</v>
      </c>
      <c r="E63" s="130" t="s">
        <v>97</v>
      </c>
      <c r="F63" s="136">
        <v>0</v>
      </c>
      <c r="G63" s="136">
        <v>0</v>
      </c>
      <c r="H63" s="85">
        <v>1</v>
      </c>
      <c r="I63" s="86">
        <f>750</f>
        <v>750</v>
      </c>
      <c r="J63" s="115"/>
      <c r="K63" s="86"/>
      <c r="L63" s="85">
        <v>0</v>
      </c>
      <c r="M63" s="85">
        <v>0</v>
      </c>
      <c r="N63" s="85">
        <v>0</v>
      </c>
      <c r="O63" s="82">
        <v>0</v>
      </c>
      <c r="P63" s="82">
        <v>0</v>
      </c>
      <c r="Q63" s="82">
        <v>0</v>
      </c>
      <c r="R63" s="85">
        <v>0</v>
      </c>
      <c r="S63" s="85">
        <v>0</v>
      </c>
      <c r="T63" s="39">
        <f t="shared" si="19"/>
        <v>0</v>
      </c>
      <c r="U63" s="39">
        <f t="shared" si="19"/>
        <v>0</v>
      </c>
      <c r="V63" s="40" t="e">
        <f t="shared" si="20"/>
        <v>#DIV/0!</v>
      </c>
      <c r="W63" s="41" t="e">
        <f t="shared" si="20"/>
        <v>#DIV/0!</v>
      </c>
      <c r="X63" s="42">
        <f t="shared" si="21"/>
        <v>1</v>
      </c>
      <c r="Y63" s="42">
        <f t="shared" si="21"/>
        <v>750</v>
      </c>
      <c r="Z63" s="43" t="e">
        <f t="shared" si="22"/>
        <v>#DIV/0!</v>
      </c>
      <c r="AA63" s="43" t="e">
        <f t="shared" si="22"/>
        <v>#DIV/0!</v>
      </c>
      <c r="AB63" s="83"/>
      <c r="AC63" s="87"/>
    </row>
    <row r="64" spans="1:29" s="53" customFormat="1" ht="50.25" customHeight="1">
      <c r="A64" s="96"/>
      <c r="B64" s="359"/>
      <c r="C64" s="81"/>
      <c r="D64" s="81" t="s">
        <v>99</v>
      </c>
      <c r="E64" s="130" t="s">
        <v>100</v>
      </c>
      <c r="F64" s="136">
        <v>0</v>
      </c>
      <c r="G64" s="136">
        <v>0</v>
      </c>
      <c r="H64" s="85">
        <v>0</v>
      </c>
      <c r="I64" s="82">
        <v>0</v>
      </c>
      <c r="J64" s="115">
        <v>0</v>
      </c>
      <c r="K64" s="82">
        <v>0</v>
      </c>
      <c r="L64" s="85">
        <v>0</v>
      </c>
      <c r="M64" s="85">
        <v>0</v>
      </c>
      <c r="N64" s="85">
        <v>0</v>
      </c>
      <c r="O64" s="82">
        <v>0</v>
      </c>
      <c r="P64" s="82">
        <v>0</v>
      </c>
      <c r="Q64" s="82">
        <v>0</v>
      </c>
      <c r="R64" s="85">
        <v>0</v>
      </c>
      <c r="S64" s="85">
        <v>0</v>
      </c>
      <c r="T64" s="39">
        <f t="shared" si="19"/>
        <v>0</v>
      </c>
      <c r="U64" s="39">
        <f t="shared" si="19"/>
        <v>0</v>
      </c>
      <c r="V64" s="41" t="e">
        <f t="shared" si="20"/>
        <v>#DIV/0!</v>
      </c>
      <c r="W64" s="41" t="e">
        <f t="shared" si="20"/>
        <v>#DIV/0!</v>
      </c>
      <c r="X64" s="42">
        <f t="shared" si="21"/>
        <v>0</v>
      </c>
      <c r="Y64" s="42">
        <f t="shared" si="21"/>
        <v>0</v>
      </c>
      <c r="Z64" s="43" t="e">
        <f t="shared" si="22"/>
        <v>#DIV/0!</v>
      </c>
      <c r="AA64" s="43" t="e">
        <f t="shared" si="22"/>
        <v>#DIV/0!</v>
      </c>
      <c r="AB64" s="99"/>
      <c r="AC64" s="70"/>
    </row>
    <row r="65" spans="1:29" s="53" customFormat="1" ht="29.25" customHeight="1">
      <c r="A65" s="96"/>
      <c r="B65" s="105"/>
      <c r="C65" s="132"/>
      <c r="D65" s="81" t="s">
        <v>101</v>
      </c>
      <c r="E65" s="130"/>
      <c r="F65" s="136">
        <v>0</v>
      </c>
      <c r="G65" s="136">
        <v>0</v>
      </c>
      <c r="H65" s="85">
        <v>0</v>
      </c>
      <c r="I65" s="82">
        <v>0</v>
      </c>
      <c r="J65" s="115">
        <v>0</v>
      </c>
      <c r="K65" s="82">
        <v>0</v>
      </c>
      <c r="L65" s="85">
        <v>0</v>
      </c>
      <c r="M65" s="85">
        <v>0</v>
      </c>
      <c r="N65" s="85">
        <v>0</v>
      </c>
      <c r="O65" s="82">
        <v>0</v>
      </c>
      <c r="P65" s="82">
        <v>0</v>
      </c>
      <c r="Q65" s="82">
        <v>0</v>
      </c>
      <c r="R65" s="85">
        <v>0</v>
      </c>
      <c r="S65" s="85">
        <v>0</v>
      </c>
      <c r="T65" s="39">
        <f t="shared" si="19"/>
        <v>0</v>
      </c>
      <c r="U65" s="39">
        <f t="shared" si="19"/>
        <v>0</v>
      </c>
      <c r="V65" s="41" t="e">
        <f t="shared" si="20"/>
        <v>#DIV/0!</v>
      </c>
      <c r="W65" s="41" t="e">
        <f t="shared" si="20"/>
        <v>#DIV/0!</v>
      </c>
      <c r="X65" s="42">
        <f t="shared" si="21"/>
        <v>0</v>
      </c>
      <c r="Y65" s="42">
        <f t="shared" si="21"/>
        <v>0</v>
      </c>
      <c r="Z65" s="43" t="e">
        <f t="shared" si="22"/>
        <v>#DIV/0!</v>
      </c>
      <c r="AA65" s="43" t="e">
        <f t="shared" si="22"/>
        <v>#DIV/0!</v>
      </c>
      <c r="AB65" s="99"/>
      <c r="AC65" s="70"/>
    </row>
    <row r="66" spans="1:29" s="53" customFormat="1" ht="57" customHeight="1">
      <c r="A66" s="96"/>
      <c r="B66" s="97"/>
      <c r="C66" s="133"/>
      <c r="D66" s="81" t="s">
        <v>274</v>
      </c>
      <c r="E66" s="130" t="s">
        <v>102</v>
      </c>
      <c r="F66" s="136">
        <v>0</v>
      </c>
      <c r="G66" s="136">
        <v>0</v>
      </c>
      <c r="H66" s="85">
        <v>0</v>
      </c>
      <c r="I66" s="82">
        <v>0</v>
      </c>
      <c r="J66" s="115">
        <v>0</v>
      </c>
      <c r="K66" s="82">
        <v>0</v>
      </c>
      <c r="L66" s="85">
        <v>0</v>
      </c>
      <c r="M66" s="85">
        <v>0</v>
      </c>
      <c r="N66" s="85">
        <v>0</v>
      </c>
      <c r="O66" s="82">
        <v>0</v>
      </c>
      <c r="P66" s="82">
        <v>0</v>
      </c>
      <c r="Q66" s="82">
        <v>0</v>
      </c>
      <c r="R66" s="85">
        <v>0</v>
      </c>
      <c r="S66" s="85">
        <v>0</v>
      </c>
      <c r="T66" s="39">
        <f t="shared" si="19"/>
        <v>0</v>
      </c>
      <c r="U66" s="39">
        <f t="shared" si="19"/>
        <v>0</v>
      </c>
      <c r="V66" s="41" t="e">
        <f t="shared" si="20"/>
        <v>#DIV/0!</v>
      </c>
      <c r="W66" s="41" t="e">
        <f t="shared" si="20"/>
        <v>#DIV/0!</v>
      </c>
      <c r="X66" s="42">
        <f t="shared" si="21"/>
        <v>0</v>
      </c>
      <c r="Y66" s="42">
        <f t="shared" si="21"/>
        <v>0</v>
      </c>
      <c r="Z66" s="43" t="e">
        <f t="shared" si="22"/>
        <v>#DIV/0!</v>
      </c>
      <c r="AA66" s="43" t="e">
        <f t="shared" si="22"/>
        <v>#DIV/0!</v>
      </c>
      <c r="AB66" s="99"/>
      <c r="AC66" s="70"/>
    </row>
    <row r="67" spans="1:29" s="53" customFormat="1" ht="84.75" customHeight="1">
      <c r="A67" s="96"/>
      <c r="B67" s="97"/>
      <c r="C67" s="132"/>
      <c r="D67" s="81" t="s">
        <v>103</v>
      </c>
      <c r="E67" s="130" t="s">
        <v>102</v>
      </c>
      <c r="F67" s="136">
        <v>0</v>
      </c>
      <c r="G67" s="136">
        <v>0</v>
      </c>
      <c r="H67" s="85">
        <v>0</v>
      </c>
      <c r="I67" s="82">
        <v>0</v>
      </c>
      <c r="J67" s="115">
        <v>0</v>
      </c>
      <c r="K67" s="82">
        <v>0</v>
      </c>
      <c r="L67" s="85">
        <v>0</v>
      </c>
      <c r="M67" s="85">
        <v>0</v>
      </c>
      <c r="N67" s="85">
        <v>0</v>
      </c>
      <c r="O67" s="82">
        <v>0</v>
      </c>
      <c r="P67" s="82">
        <v>0</v>
      </c>
      <c r="Q67" s="82">
        <v>0</v>
      </c>
      <c r="R67" s="85">
        <v>0</v>
      </c>
      <c r="S67" s="85">
        <v>0</v>
      </c>
      <c r="T67" s="39">
        <f t="shared" si="19"/>
        <v>0</v>
      </c>
      <c r="U67" s="39">
        <f t="shared" si="19"/>
        <v>0</v>
      </c>
      <c r="V67" s="41" t="e">
        <f t="shared" si="20"/>
        <v>#DIV/0!</v>
      </c>
      <c r="W67" s="41" t="e">
        <f t="shared" si="20"/>
        <v>#DIV/0!</v>
      </c>
      <c r="X67" s="42">
        <f t="shared" si="21"/>
        <v>0</v>
      </c>
      <c r="Y67" s="42">
        <f t="shared" si="21"/>
        <v>0</v>
      </c>
      <c r="Z67" s="43" t="e">
        <f t="shared" si="22"/>
        <v>#DIV/0!</v>
      </c>
      <c r="AA67" s="43" t="e">
        <f t="shared" si="22"/>
        <v>#DIV/0!</v>
      </c>
      <c r="AB67" s="99"/>
      <c r="AC67" s="70"/>
    </row>
    <row r="68" spans="1:29" s="53" customFormat="1" ht="54" customHeight="1">
      <c r="A68" s="96"/>
      <c r="B68" s="97"/>
      <c r="C68" s="132"/>
      <c r="D68" s="81" t="s">
        <v>104</v>
      </c>
      <c r="E68" s="131"/>
      <c r="F68" s="136"/>
      <c r="G68" s="136"/>
      <c r="H68" s="85">
        <v>0</v>
      </c>
      <c r="I68" s="82">
        <v>0</v>
      </c>
      <c r="J68" s="115">
        <v>0</v>
      </c>
      <c r="K68" s="82">
        <v>0</v>
      </c>
      <c r="L68" s="85">
        <v>0</v>
      </c>
      <c r="M68" s="85">
        <v>0</v>
      </c>
      <c r="N68" s="85">
        <v>0</v>
      </c>
      <c r="O68" s="82">
        <v>0</v>
      </c>
      <c r="P68" s="82">
        <v>0</v>
      </c>
      <c r="Q68" s="82">
        <v>0</v>
      </c>
      <c r="R68" s="85">
        <v>0</v>
      </c>
      <c r="S68" s="85">
        <v>0</v>
      </c>
      <c r="T68" s="39">
        <f t="shared" si="19"/>
        <v>0</v>
      </c>
      <c r="U68" s="39">
        <f t="shared" si="19"/>
        <v>0</v>
      </c>
      <c r="V68" s="41" t="e">
        <f t="shared" si="20"/>
        <v>#DIV/0!</v>
      </c>
      <c r="W68" s="41" t="e">
        <f t="shared" si="20"/>
        <v>#DIV/0!</v>
      </c>
      <c r="X68" s="42">
        <f t="shared" si="21"/>
        <v>0</v>
      </c>
      <c r="Y68" s="42">
        <f t="shared" si="21"/>
        <v>0</v>
      </c>
      <c r="Z68" s="43" t="e">
        <f t="shared" si="22"/>
        <v>#DIV/0!</v>
      </c>
      <c r="AA68" s="43" t="e">
        <f t="shared" si="22"/>
        <v>#DIV/0!</v>
      </c>
      <c r="AB68" s="99"/>
      <c r="AC68" s="70"/>
    </row>
    <row r="69" spans="1:29" s="53" customFormat="1" ht="54.75" customHeight="1">
      <c r="A69" s="96"/>
      <c r="B69" s="97"/>
      <c r="C69" s="132"/>
      <c r="D69" s="134" t="s">
        <v>105</v>
      </c>
      <c r="E69" s="131"/>
      <c r="F69" s="136"/>
      <c r="G69" s="136"/>
      <c r="H69" s="85">
        <v>0</v>
      </c>
      <c r="I69" s="82">
        <v>0</v>
      </c>
      <c r="J69" s="115">
        <v>0</v>
      </c>
      <c r="K69" s="82">
        <v>0</v>
      </c>
      <c r="L69" s="85">
        <v>0</v>
      </c>
      <c r="M69" s="85">
        <v>0</v>
      </c>
      <c r="N69" s="85">
        <v>0</v>
      </c>
      <c r="O69" s="82">
        <v>0</v>
      </c>
      <c r="P69" s="82">
        <v>0</v>
      </c>
      <c r="Q69" s="82">
        <v>0</v>
      </c>
      <c r="R69" s="85">
        <v>0</v>
      </c>
      <c r="S69" s="85">
        <v>0</v>
      </c>
      <c r="T69" s="39">
        <f t="shared" si="19"/>
        <v>0</v>
      </c>
      <c r="U69" s="39">
        <f aca="true" t="shared" si="25" ref="U69:U74">SUM(M69+O69+Q69+S69)</f>
        <v>0</v>
      </c>
      <c r="V69" s="41" t="e">
        <f t="shared" si="20"/>
        <v>#DIV/0!</v>
      </c>
      <c r="W69" s="41" t="e">
        <f t="shared" si="20"/>
        <v>#DIV/0!</v>
      </c>
      <c r="X69" s="42">
        <f t="shared" si="21"/>
        <v>0</v>
      </c>
      <c r="Y69" s="42">
        <f t="shared" si="21"/>
        <v>0</v>
      </c>
      <c r="Z69" s="43" t="e">
        <f t="shared" si="22"/>
        <v>#DIV/0!</v>
      </c>
      <c r="AA69" s="43" t="e">
        <f t="shared" si="22"/>
        <v>#DIV/0!</v>
      </c>
      <c r="AB69" s="99"/>
      <c r="AC69" s="70"/>
    </row>
    <row r="70" spans="1:29" s="53" customFormat="1" ht="43.5" customHeight="1">
      <c r="A70" s="96"/>
      <c r="B70" s="97"/>
      <c r="C70" s="132"/>
      <c r="D70" s="134" t="s">
        <v>106</v>
      </c>
      <c r="E70" s="131"/>
      <c r="F70" s="136"/>
      <c r="G70" s="136"/>
      <c r="H70" s="85">
        <v>0</v>
      </c>
      <c r="I70" s="82">
        <v>0</v>
      </c>
      <c r="J70" s="115">
        <v>0</v>
      </c>
      <c r="K70" s="82">
        <v>0</v>
      </c>
      <c r="L70" s="85">
        <v>0</v>
      </c>
      <c r="M70" s="85">
        <v>0</v>
      </c>
      <c r="N70" s="85">
        <v>0</v>
      </c>
      <c r="O70" s="82">
        <v>0</v>
      </c>
      <c r="P70" s="82">
        <v>0</v>
      </c>
      <c r="Q70" s="82">
        <v>0</v>
      </c>
      <c r="R70" s="85">
        <v>0</v>
      </c>
      <c r="S70" s="85">
        <v>0</v>
      </c>
      <c r="T70" s="39">
        <f aca="true" t="shared" si="26" ref="T70:T77">SUM(L70+N70+P70+R70)</f>
        <v>0</v>
      </c>
      <c r="U70" s="39">
        <f t="shared" si="25"/>
        <v>0</v>
      </c>
      <c r="V70" s="41" t="e">
        <f t="shared" si="20"/>
        <v>#DIV/0!</v>
      </c>
      <c r="W70" s="41" t="e">
        <f t="shared" si="20"/>
        <v>#DIV/0!</v>
      </c>
      <c r="X70" s="42">
        <f t="shared" si="21"/>
        <v>0</v>
      </c>
      <c r="Y70" s="42">
        <f t="shared" si="21"/>
        <v>0</v>
      </c>
      <c r="Z70" s="43" t="e">
        <f t="shared" si="22"/>
        <v>#DIV/0!</v>
      </c>
      <c r="AA70" s="43" t="e">
        <f t="shared" si="22"/>
        <v>#DIV/0!</v>
      </c>
      <c r="AB70" s="99"/>
      <c r="AC70" s="70"/>
    </row>
    <row r="71" spans="1:29" s="53" customFormat="1" ht="29.25" customHeight="1">
      <c r="A71" s="96"/>
      <c r="B71" s="97"/>
      <c r="C71" s="132"/>
      <c r="D71" s="134" t="s">
        <v>275</v>
      </c>
      <c r="E71" s="136" t="s">
        <v>100</v>
      </c>
      <c r="F71" s="136"/>
      <c r="G71" s="136"/>
      <c r="H71" s="82">
        <v>0</v>
      </c>
      <c r="I71" s="117">
        <v>0</v>
      </c>
      <c r="J71" s="85">
        <v>1</v>
      </c>
      <c r="K71" s="82">
        <v>307000</v>
      </c>
      <c r="L71" s="85">
        <v>0</v>
      </c>
      <c r="M71" s="85">
        <v>0</v>
      </c>
      <c r="N71" s="84">
        <v>1</v>
      </c>
      <c r="O71" s="85">
        <v>6000</v>
      </c>
      <c r="P71" s="82">
        <v>0</v>
      </c>
      <c r="Q71" s="82">
        <v>0</v>
      </c>
      <c r="R71" s="135">
        <v>0</v>
      </c>
      <c r="S71" s="135">
        <f>305330-O71</f>
        <v>299330</v>
      </c>
      <c r="T71" s="39">
        <f t="shared" si="26"/>
        <v>1</v>
      </c>
      <c r="U71" s="39">
        <f t="shared" si="25"/>
        <v>305330</v>
      </c>
      <c r="V71" s="239">
        <f t="shared" si="20"/>
        <v>100</v>
      </c>
      <c r="W71" s="41">
        <f t="shared" si="20"/>
        <v>99.45602605863192</v>
      </c>
      <c r="X71" s="42">
        <f t="shared" si="21"/>
        <v>1</v>
      </c>
      <c r="Y71" s="42">
        <f t="shared" si="21"/>
        <v>305330</v>
      </c>
      <c r="Z71" s="43" t="e">
        <f t="shared" si="22"/>
        <v>#DIV/0!</v>
      </c>
      <c r="AA71" s="43" t="e">
        <f t="shared" si="22"/>
        <v>#DIV/0!</v>
      </c>
      <c r="AB71" s="99"/>
      <c r="AC71" s="70"/>
    </row>
    <row r="72" spans="1:29" s="53" customFormat="1" ht="43.5" customHeight="1">
      <c r="A72" s="96"/>
      <c r="B72" s="97"/>
      <c r="C72" s="132"/>
      <c r="D72" s="134" t="s">
        <v>276</v>
      </c>
      <c r="E72" s="136" t="s">
        <v>100</v>
      </c>
      <c r="F72" s="136"/>
      <c r="G72" s="136"/>
      <c r="H72" s="82">
        <v>0</v>
      </c>
      <c r="I72" s="117">
        <v>0</v>
      </c>
      <c r="J72" s="85">
        <v>3</v>
      </c>
      <c r="K72" s="82">
        <v>676100</v>
      </c>
      <c r="L72" s="85">
        <v>0</v>
      </c>
      <c r="M72" s="85">
        <v>0</v>
      </c>
      <c r="N72" s="101"/>
      <c r="O72" s="85">
        <v>0</v>
      </c>
      <c r="P72" s="82">
        <v>1</v>
      </c>
      <c r="Q72" s="82">
        <v>82170</v>
      </c>
      <c r="R72" s="345">
        <v>2</v>
      </c>
      <c r="S72" s="345">
        <f>628100-Q72</f>
        <v>545930</v>
      </c>
      <c r="T72" s="39">
        <f t="shared" si="26"/>
        <v>3</v>
      </c>
      <c r="U72" s="39">
        <f>SUM(M72+O72+Q72+S72)</f>
        <v>628100</v>
      </c>
      <c r="V72" s="239">
        <f t="shared" si="20"/>
        <v>100</v>
      </c>
      <c r="W72" s="41">
        <f t="shared" si="20"/>
        <v>92.90045851205443</v>
      </c>
      <c r="X72" s="42">
        <f t="shared" si="21"/>
        <v>3</v>
      </c>
      <c r="Y72" s="42">
        <f t="shared" si="21"/>
        <v>628100</v>
      </c>
      <c r="Z72" s="43" t="e">
        <f t="shared" si="22"/>
        <v>#DIV/0!</v>
      </c>
      <c r="AA72" s="43" t="e">
        <f t="shared" si="22"/>
        <v>#DIV/0!</v>
      </c>
      <c r="AB72" s="99"/>
      <c r="AC72" s="70"/>
    </row>
    <row r="73" spans="1:29" s="53" customFormat="1" ht="81" customHeight="1">
      <c r="A73" s="96"/>
      <c r="B73" s="97"/>
      <c r="C73" s="132"/>
      <c r="D73" s="134" t="s">
        <v>277</v>
      </c>
      <c r="E73" s="136" t="s">
        <v>100</v>
      </c>
      <c r="F73" s="136"/>
      <c r="G73" s="136"/>
      <c r="H73" s="82">
        <v>0</v>
      </c>
      <c r="I73" s="117">
        <v>0</v>
      </c>
      <c r="J73" s="85">
        <v>1</v>
      </c>
      <c r="K73" s="82">
        <v>1178650</v>
      </c>
      <c r="L73" s="85">
        <v>0</v>
      </c>
      <c r="M73" s="85">
        <v>0</v>
      </c>
      <c r="N73" s="101"/>
      <c r="O73" s="85">
        <v>0</v>
      </c>
      <c r="P73" s="82">
        <v>1</v>
      </c>
      <c r="Q73" s="82">
        <v>44740</v>
      </c>
      <c r="R73" s="135"/>
      <c r="S73" s="135">
        <f>1170090-Q73</f>
        <v>1125350</v>
      </c>
      <c r="T73" s="39">
        <f t="shared" si="26"/>
        <v>1</v>
      </c>
      <c r="U73" s="39">
        <f t="shared" si="25"/>
        <v>1170090</v>
      </c>
      <c r="V73" s="239">
        <f t="shared" si="20"/>
        <v>100</v>
      </c>
      <c r="W73" s="41">
        <f t="shared" si="20"/>
        <v>99.27374538667118</v>
      </c>
      <c r="X73" s="42">
        <f t="shared" si="21"/>
        <v>1</v>
      </c>
      <c r="Y73" s="42">
        <f t="shared" si="21"/>
        <v>1170090</v>
      </c>
      <c r="Z73" s="43" t="e">
        <f t="shared" si="22"/>
        <v>#DIV/0!</v>
      </c>
      <c r="AA73" s="43" t="e">
        <f t="shared" si="22"/>
        <v>#DIV/0!</v>
      </c>
      <c r="AB73" s="99"/>
      <c r="AC73" s="70"/>
    </row>
    <row r="74" spans="1:29" s="53" customFormat="1" ht="65.25" customHeight="1">
      <c r="A74" s="96"/>
      <c r="B74" s="97"/>
      <c r="C74" s="132"/>
      <c r="D74" s="247" t="s">
        <v>278</v>
      </c>
      <c r="E74" s="131" t="s">
        <v>100</v>
      </c>
      <c r="F74" s="136"/>
      <c r="G74" s="136"/>
      <c r="H74" s="82">
        <v>0</v>
      </c>
      <c r="I74" s="117">
        <v>0</v>
      </c>
      <c r="J74" s="115">
        <v>1</v>
      </c>
      <c r="K74" s="82">
        <v>250000</v>
      </c>
      <c r="L74" s="85">
        <v>0</v>
      </c>
      <c r="M74" s="85">
        <v>0</v>
      </c>
      <c r="N74" s="85">
        <v>0</v>
      </c>
      <c r="O74" s="85">
        <v>5000</v>
      </c>
      <c r="P74" s="82">
        <v>0</v>
      </c>
      <c r="Q74" s="82">
        <v>0</v>
      </c>
      <c r="R74" s="135">
        <v>1</v>
      </c>
      <c r="S74" s="135">
        <v>243660</v>
      </c>
      <c r="T74" s="39">
        <f t="shared" si="26"/>
        <v>1</v>
      </c>
      <c r="U74" s="39">
        <f t="shared" si="25"/>
        <v>248660</v>
      </c>
      <c r="V74" s="239">
        <f t="shared" si="20"/>
        <v>100</v>
      </c>
      <c r="W74" s="41">
        <f t="shared" si="20"/>
        <v>99.464</v>
      </c>
      <c r="X74" s="42">
        <f t="shared" si="21"/>
        <v>1</v>
      </c>
      <c r="Y74" s="42">
        <f t="shared" si="21"/>
        <v>248660</v>
      </c>
      <c r="Z74" s="43" t="e">
        <f t="shared" si="22"/>
        <v>#DIV/0!</v>
      </c>
      <c r="AA74" s="43" t="e">
        <f t="shared" si="22"/>
        <v>#DIV/0!</v>
      </c>
      <c r="AB74" s="99"/>
      <c r="AC74" s="70"/>
    </row>
    <row r="75" spans="1:29" s="53" customFormat="1" ht="50.25" customHeight="1">
      <c r="A75" s="96"/>
      <c r="B75" s="97"/>
      <c r="C75" s="132"/>
      <c r="D75" s="247" t="s">
        <v>279</v>
      </c>
      <c r="E75" s="131" t="s">
        <v>100</v>
      </c>
      <c r="F75" s="136"/>
      <c r="G75" s="136"/>
      <c r="H75" s="82">
        <v>0</v>
      </c>
      <c r="I75" s="117">
        <v>0</v>
      </c>
      <c r="J75" s="115">
        <v>1</v>
      </c>
      <c r="K75" s="82">
        <v>801450</v>
      </c>
      <c r="L75" s="85">
        <v>0</v>
      </c>
      <c r="M75" s="85">
        <v>0</v>
      </c>
      <c r="N75" s="82">
        <v>0</v>
      </c>
      <c r="O75" s="82">
        <v>0</v>
      </c>
      <c r="P75" s="82">
        <v>1</v>
      </c>
      <c r="Q75" s="82">
        <v>7800</v>
      </c>
      <c r="R75" s="135">
        <v>0</v>
      </c>
      <c r="S75" s="135">
        <v>790410</v>
      </c>
      <c r="T75" s="39">
        <f t="shared" si="26"/>
        <v>1</v>
      </c>
      <c r="U75" s="39">
        <f>SUM(M75+O75+Q75+S75)</f>
        <v>798210</v>
      </c>
      <c r="V75" s="239">
        <f aca="true" t="shared" si="27" ref="V75:W77">+T75/J75*100</f>
        <v>100</v>
      </c>
      <c r="W75" s="41">
        <f t="shared" si="27"/>
        <v>99.59573273441886</v>
      </c>
      <c r="X75" s="42">
        <f aca="true" t="shared" si="28" ref="X75:Y77">+H75+T75</f>
        <v>1</v>
      </c>
      <c r="Y75" s="42">
        <f t="shared" si="28"/>
        <v>798210</v>
      </c>
      <c r="Z75" s="43" t="e">
        <f aca="true" t="shared" si="29" ref="Z75:AA77">+X75/F75*100</f>
        <v>#DIV/0!</v>
      </c>
      <c r="AA75" s="43" t="e">
        <f t="shared" si="29"/>
        <v>#DIV/0!</v>
      </c>
      <c r="AB75" s="99"/>
      <c r="AC75" s="70"/>
    </row>
    <row r="76" spans="1:29" s="53" customFormat="1" ht="65.25" customHeight="1">
      <c r="A76" s="96"/>
      <c r="B76" s="97"/>
      <c r="C76" s="132"/>
      <c r="D76" s="247" t="s">
        <v>292</v>
      </c>
      <c r="E76" s="131" t="s">
        <v>100</v>
      </c>
      <c r="F76" s="136"/>
      <c r="G76" s="136"/>
      <c r="H76" s="82">
        <v>0</v>
      </c>
      <c r="I76" s="117">
        <v>0</v>
      </c>
      <c r="J76" s="115">
        <v>1</v>
      </c>
      <c r="K76" s="82">
        <v>98300</v>
      </c>
      <c r="L76" s="85">
        <v>0</v>
      </c>
      <c r="M76" s="85">
        <v>0</v>
      </c>
      <c r="N76" s="82">
        <v>0</v>
      </c>
      <c r="O76" s="82">
        <v>0</v>
      </c>
      <c r="P76" s="82">
        <v>0</v>
      </c>
      <c r="Q76" s="82">
        <v>0</v>
      </c>
      <c r="R76" s="135">
        <v>1</v>
      </c>
      <c r="S76" s="135">
        <v>97895</v>
      </c>
      <c r="T76" s="39">
        <f t="shared" si="26"/>
        <v>1</v>
      </c>
      <c r="U76" s="39">
        <f>SUM(M76+O76+Q76+S76)</f>
        <v>97895</v>
      </c>
      <c r="V76" s="239">
        <f t="shared" si="27"/>
        <v>100</v>
      </c>
      <c r="W76" s="41">
        <f t="shared" si="27"/>
        <v>99.58799593082401</v>
      </c>
      <c r="X76" s="42">
        <f t="shared" si="28"/>
        <v>1</v>
      </c>
      <c r="Y76" s="42">
        <f t="shared" si="28"/>
        <v>97895</v>
      </c>
      <c r="Z76" s="43" t="e">
        <f t="shared" si="29"/>
        <v>#DIV/0!</v>
      </c>
      <c r="AA76" s="43" t="e">
        <f t="shared" si="29"/>
        <v>#DIV/0!</v>
      </c>
      <c r="AB76" s="99"/>
      <c r="AC76" s="70"/>
    </row>
    <row r="77" spans="1:29" s="53" customFormat="1" ht="102" customHeight="1">
      <c r="A77" s="96"/>
      <c r="B77" s="97"/>
      <c r="C77" s="132"/>
      <c r="D77" s="247" t="s">
        <v>293</v>
      </c>
      <c r="E77" s="131"/>
      <c r="F77" s="136"/>
      <c r="G77" s="136"/>
      <c r="H77" s="82">
        <v>0</v>
      </c>
      <c r="I77" s="117">
        <v>0</v>
      </c>
      <c r="J77" s="115">
        <v>1</v>
      </c>
      <c r="K77" s="82">
        <v>50000</v>
      </c>
      <c r="L77" s="85">
        <v>0</v>
      </c>
      <c r="M77" s="85">
        <v>0</v>
      </c>
      <c r="N77" s="82">
        <v>0</v>
      </c>
      <c r="O77" s="82">
        <v>0</v>
      </c>
      <c r="P77" s="82">
        <v>0</v>
      </c>
      <c r="Q77" s="82">
        <v>0</v>
      </c>
      <c r="R77" s="135">
        <v>1</v>
      </c>
      <c r="S77" s="135">
        <v>49190</v>
      </c>
      <c r="T77" s="39">
        <f t="shared" si="26"/>
        <v>1</v>
      </c>
      <c r="U77" s="39">
        <f>SUM(M77+O77+Q77+S77)</f>
        <v>49190</v>
      </c>
      <c r="V77" s="239">
        <f t="shared" si="27"/>
        <v>100</v>
      </c>
      <c r="W77" s="41">
        <f t="shared" si="27"/>
        <v>98.38</v>
      </c>
      <c r="X77" s="42">
        <f t="shared" si="28"/>
        <v>1</v>
      </c>
      <c r="Y77" s="42">
        <f t="shared" si="28"/>
        <v>49190</v>
      </c>
      <c r="Z77" s="43" t="e">
        <f t="shared" si="29"/>
        <v>#DIV/0!</v>
      </c>
      <c r="AA77" s="43" t="e">
        <f t="shared" si="29"/>
        <v>#DIV/0!</v>
      </c>
      <c r="AB77" s="99"/>
      <c r="AC77" s="70"/>
    </row>
    <row r="78" spans="1:29" s="53" customFormat="1" ht="242.25" customHeight="1">
      <c r="A78" s="96"/>
      <c r="B78" s="97"/>
      <c r="C78" s="132"/>
      <c r="D78" s="247" t="s">
        <v>294</v>
      </c>
      <c r="E78" s="131"/>
      <c r="F78" s="136"/>
      <c r="G78" s="136"/>
      <c r="H78" s="82">
        <v>0</v>
      </c>
      <c r="I78" s="117">
        <v>0</v>
      </c>
      <c r="J78" s="115">
        <v>1</v>
      </c>
      <c r="K78" s="82">
        <v>50000</v>
      </c>
      <c r="L78" s="85">
        <v>0</v>
      </c>
      <c r="M78" s="85">
        <v>0</v>
      </c>
      <c r="N78" s="82">
        <v>0</v>
      </c>
      <c r="O78" s="82">
        <v>0</v>
      </c>
      <c r="P78" s="82">
        <v>0</v>
      </c>
      <c r="Q78" s="82">
        <v>0</v>
      </c>
      <c r="R78" s="135">
        <v>1</v>
      </c>
      <c r="S78" s="135">
        <v>48760</v>
      </c>
      <c r="T78" s="39">
        <f t="shared" si="19"/>
        <v>1</v>
      </c>
      <c r="U78" s="39">
        <f t="shared" si="19"/>
        <v>48760</v>
      </c>
      <c r="V78" s="239">
        <f t="shared" si="20"/>
        <v>100</v>
      </c>
      <c r="W78" s="41">
        <f t="shared" si="20"/>
        <v>97.52</v>
      </c>
      <c r="X78" s="42">
        <f t="shared" si="21"/>
        <v>1</v>
      </c>
      <c r="Y78" s="42">
        <f t="shared" si="21"/>
        <v>48760</v>
      </c>
      <c r="Z78" s="43" t="e">
        <f t="shared" si="22"/>
        <v>#DIV/0!</v>
      </c>
      <c r="AA78" s="43" t="e">
        <f t="shared" si="22"/>
        <v>#DIV/0!</v>
      </c>
      <c r="AB78" s="99"/>
      <c r="AC78" s="70"/>
    </row>
    <row r="79" spans="1:30" s="53" customFormat="1" ht="67.5" customHeight="1">
      <c r="A79" s="96"/>
      <c r="B79" s="97"/>
      <c r="C79" s="81" t="s">
        <v>107</v>
      </c>
      <c r="D79" s="81" t="s">
        <v>108</v>
      </c>
      <c r="E79" s="130" t="s">
        <v>100</v>
      </c>
      <c r="F79" s="136">
        <v>9</v>
      </c>
      <c r="G79" s="136">
        <f>2902000</f>
        <v>2902000</v>
      </c>
      <c r="H79" s="82">
        <v>4</v>
      </c>
      <c r="I79" s="82">
        <v>519200</v>
      </c>
      <c r="J79" s="90">
        <v>0</v>
      </c>
      <c r="K79" s="82">
        <v>0</v>
      </c>
      <c r="L79" s="82">
        <v>0</v>
      </c>
      <c r="M79" s="82">
        <v>0</v>
      </c>
      <c r="N79" s="82">
        <v>0</v>
      </c>
      <c r="O79" s="82">
        <v>0</v>
      </c>
      <c r="P79" s="82">
        <v>0</v>
      </c>
      <c r="Q79" s="82">
        <v>0</v>
      </c>
      <c r="R79" s="82">
        <v>0</v>
      </c>
      <c r="S79" s="82">
        <v>0</v>
      </c>
      <c r="T79" s="39">
        <f t="shared" si="19"/>
        <v>0</v>
      </c>
      <c r="U79" s="39">
        <f t="shared" si="19"/>
        <v>0</v>
      </c>
      <c r="V79" s="40" t="e">
        <f t="shared" si="20"/>
        <v>#DIV/0!</v>
      </c>
      <c r="W79" s="41" t="e">
        <f t="shared" si="20"/>
        <v>#DIV/0!</v>
      </c>
      <c r="X79" s="42">
        <f t="shared" si="21"/>
        <v>4</v>
      </c>
      <c r="Y79" s="42">
        <f t="shared" si="21"/>
        <v>519200</v>
      </c>
      <c r="Z79" s="43">
        <f t="shared" si="22"/>
        <v>44.44444444444444</v>
      </c>
      <c r="AA79" s="43">
        <f t="shared" si="22"/>
        <v>17.891109579600275</v>
      </c>
      <c r="AB79" s="99"/>
      <c r="AC79" s="70"/>
      <c r="AD79" s="245">
        <f>+U79+U80+U81+U84+U86</f>
        <v>0</v>
      </c>
    </row>
    <row r="80" spans="1:30" s="53" customFormat="1" ht="60.75" customHeight="1">
      <c r="A80" s="96"/>
      <c r="B80" s="97"/>
      <c r="C80" s="273"/>
      <c r="D80" s="275" t="s">
        <v>264</v>
      </c>
      <c r="E80" s="130" t="s">
        <v>102</v>
      </c>
      <c r="F80" s="136">
        <v>0</v>
      </c>
      <c r="G80" s="136">
        <v>0</v>
      </c>
      <c r="H80" s="82">
        <v>4</v>
      </c>
      <c r="I80" s="82">
        <v>109600</v>
      </c>
      <c r="J80" s="90">
        <v>0</v>
      </c>
      <c r="K80" s="82">
        <v>0</v>
      </c>
      <c r="L80" s="82">
        <v>0</v>
      </c>
      <c r="M80" s="82">
        <v>0</v>
      </c>
      <c r="N80" s="82">
        <v>0</v>
      </c>
      <c r="O80" s="82">
        <v>0</v>
      </c>
      <c r="P80" s="82">
        <v>0</v>
      </c>
      <c r="Q80" s="82">
        <v>0</v>
      </c>
      <c r="R80" s="82">
        <v>0</v>
      </c>
      <c r="S80" s="82">
        <v>0</v>
      </c>
      <c r="T80" s="39">
        <f t="shared" si="19"/>
        <v>0</v>
      </c>
      <c r="U80" s="39">
        <f t="shared" si="19"/>
        <v>0</v>
      </c>
      <c r="V80" s="40" t="e">
        <f t="shared" si="20"/>
        <v>#DIV/0!</v>
      </c>
      <c r="W80" s="41" t="e">
        <f t="shared" si="20"/>
        <v>#DIV/0!</v>
      </c>
      <c r="X80" s="42">
        <f t="shared" si="21"/>
        <v>4</v>
      </c>
      <c r="Y80" s="42">
        <f t="shared" si="21"/>
        <v>109600</v>
      </c>
      <c r="Z80" s="43" t="e">
        <f t="shared" si="22"/>
        <v>#DIV/0!</v>
      </c>
      <c r="AA80" s="43" t="e">
        <f t="shared" si="22"/>
        <v>#DIV/0!</v>
      </c>
      <c r="AB80" s="99"/>
      <c r="AC80" s="70"/>
      <c r="AD80" s="245"/>
    </row>
    <row r="81" spans="1:30" s="53" customFormat="1" ht="49.5" customHeight="1">
      <c r="A81" s="96"/>
      <c r="B81" s="97"/>
      <c r="C81" s="81"/>
      <c r="D81" s="81" t="s">
        <v>98</v>
      </c>
      <c r="E81" s="130" t="s">
        <v>97</v>
      </c>
      <c r="F81" s="136">
        <v>0</v>
      </c>
      <c r="G81" s="136">
        <v>0</v>
      </c>
      <c r="H81" s="82">
        <v>1</v>
      </c>
      <c r="I81" s="82">
        <f>636+384+4800+5166</f>
        <v>10986</v>
      </c>
      <c r="J81" s="90">
        <v>0</v>
      </c>
      <c r="K81" s="82">
        <v>0</v>
      </c>
      <c r="L81" s="82">
        <v>0</v>
      </c>
      <c r="M81" s="82">
        <v>0</v>
      </c>
      <c r="N81" s="82">
        <v>0</v>
      </c>
      <c r="O81" s="82">
        <v>0</v>
      </c>
      <c r="P81" s="82">
        <v>0</v>
      </c>
      <c r="Q81" s="82">
        <v>0</v>
      </c>
      <c r="R81" s="82">
        <v>0</v>
      </c>
      <c r="S81" s="82">
        <v>0</v>
      </c>
      <c r="T81" s="39">
        <f t="shared" si="19"/>
        <v>0</v>
      </c>
      <c r="U81" s="39">
        <f t="shared" si="19"/>
        <v>0</v>
      </c>
      <c r="V81" s="40" t="e">
        <f t="shared" si="20"/>
        <v>#DIV/0!</v>
      </c>
      <c r="W81" s="40" t="e">
        <f t="shared" si="20"/>
        <v>#DIV/0!</v>
      </c>
      <c r="X81" s="42">
        <f t="shared" si="21"/>
        <v>1</v>
      </c>
      <c r="Y81" s="42">
        <f t="shared" si="21"/>
        <v>10986</v>
      </c>
      <c r="Z81" s="43" t="e">
        <f t="shared" si="22"/>
        <v>#DIV/0!</v>
      </c>
      <c r="AA81" s="43" t="e">
        <f t="shared" si="22"/>
        <v>#DIV/0!</v>
      </c>
      <c r="AB81" s="99"/>
      <c r="AC81" s="70"/>
      <c r="AD81" s="225"/>
    </row>
    <row r="82" spans="1:29" s="53" customFormat="1" ht="36.75" customHeight="1">
      <c r="A82" s="96"/>
      <c r="B82" s="97"/>
      <c r="C82" s="132"/>
      <c r="D82" s="81" t="s">
        <v>110</v>
      </c>
      <c r="E82" s="130" t="s">
        <v>102</v>
      </c>
      <c r="F82" s="136">
        <v>0</v>
      </c>
      <c r="G82" s="136">
        <v>0</v>
      </c>
      <c r="H82" s="82">
        <v>0</v>
      </c>
      <c r="I82" s="82">
        <v>0</v>
      </c>
      <c r="J82" s="90">
        <v>0</v>
      </c>
      <c r="K82" s="82">
        <v>0</v>
      </c>
      <c r="L82" s="82">
        <v>0</v>
      </c>
      <c r="M82" s="82">
        <v>0</v>
      </c>
      <c r="N82" s="82">
        <v>0</v>
      </c>
      <c r="O82" s="82">
        <v>0</v>
      </c>
      <c r="P82" s="82">
        <v>0</v>
      </c>
      <c r="Q82" s="82">
        <v>0</v>
      </c>
      <c r="R82" s="82">
        <v>0</v>
      </c>
      <c r="S82" s="82">
        <v>0</v>
      </c>
      <c r="T82" s="112">
        <f t="shared" si="19"/>
        <v>0</v>
      </c>
      <c r="U82" s="39">
        <f t="shared" si="19"/>
        <v>0</v>
      </c>
      <c r="V82" s="41" t="e">
        <f t="shared" si="20"/>
        <v>#DIV/0!</v>
      </c>
      <c r="W82" s="41" t="e">
        <f t="shared" si="20"/>
        <v>#DIV/0!</v>
      </c>
      <c r="X82" s="42">
        <f t="shared" si="21"/>
        <v>0</v>
      </c>
      <c r="Y82" s="42">
        <f t="shared" si="21"/>
        <v>0</v>
      </c>
      <c r="Z82" s="43" t="e">
        <f t="shared" si="22"/>
        <v>#DIV/0!</v>
      </c>
      <c r="AA82" s="43" t="e">
        <f t="shared" si="22"/>
        <v>#DIV/0!</v>
      </c>
      <c r="AB82" s="99"/>
      <c r="AC82" s="70"/>
    </row>
    <row r="83" spans="1:29" s="53" customFormat="1" ht="33.75" customHeight="1">
      <c r="A83" s="96"/>
      <c r="B83" s="97"/>
      <c r="C83" s="132"/>
      <c r="D83" s="81" t="s">
        <v>111</v>
      </c>
      <c r="E83" s="130" t="s">
        <v>102</v>
      </c>
      <c r="F83" s="136">
        <v>0</v>
      </c>
      <c r="G83" s="136">
        <v>0</v>
      </c>
      <c r="H83" s="82">
        <v>0</v>
      </c>
      <c r="I83" s="82">
        <v>0</v>
      </c>
      <c r="J83" s="90">
        <v>0</v>
      </c>
      <c r="K83" s="82">
        <v>0</v>
      </c>
      <c r="L83" s="82">
        <v>0</v>
      </c>
      <c r="M83" s="82">
        <v>0</v>
      </c>
      <c r="N83" s="82">
        <v>0</v>
      </c>
      <c r="O83" s="82">
        <v>0</v>
      </c>
      <c r="P83" s="82">
        <v>0</v>
      </c>
      <c r="Q83" s="82">
        <v>0</v>
      </c>
      <c r="R83" s="82">
        <v>0</v>
      </c>
      <c r="S83" s="82">
        <v>0</v>
      </c>
      <c r="T83" s="112">
        <f t="shared" si="19"/>
        <v>0</v>
      </c>
      <c r="U83" s="39">
        <f t="shared" si="19"/>
        <v>0</v>
      </c>
      <c r="V83" s="41" t="e">
        <f t="shared" si="20"/>
        <v>#DIV/0!</v>
      </c>
      <c r="W83" s="41" t="e">
        <f t="shared" si="20"/>
        <v>#DIV/0!</v>
      </c>
      <c r="X83" s="42">
        <f t="shared" si="21"/>
        <v>0</v>
      </c>
      <c r="Y83" s="42">
        <f t="shared" si="21"/>
        <v>0</v>
      </c>
      <c r="Z83" s="43" t="e">
        <f t="shared" si="22"/>
        <v>#DIV/0!</v>
      </c>
      <c r="AA83" s="43" t="e">
        <f t="shared" si="22"/>
        <v>#DIV/0!</v>
      </c>
      <c r="AB83" s="99"/>
      <c r="AC83" s="70"/>
    </row>
    <row r="84" spans="1:29" s="53" customFormat="1" ht="36" customHeight="1">
      <c r="A84" s="96"/>
      <c r="B84" s="97"/>
      <c r="C84" s="132"/>
      <c r="D84" s="81" t="s">
        <v>96</v>
      </c>
      <c r="E84" s="130" t="s">
        <v>97</v>
      </c>
      <c r="F84" s="136">
        <v>0</v>
      </c>
      <c r="G84" s="136">
        <v>0</v>
      </c>
      <c r="H84" s="82">
        <v>4</v>
      </c>
      <c r="I84" s="216">
        <f>3300+4150</f>
        <v>7450</v>
      </c>
      <c r="J84" s="90"/>
      <c r="K84" s="216"/>
      <c r="L84" s="82">
        <v>0</v>
      </c>
      <c r="M84" s="82">
        <v>0</v>
      </c>
      <c r="N84" s="82">
        <v>0</v>
      </c>
      <c r="O84" s="82">
        <v>0</v>
      </c>
      <c r="P84" s="82">
        <v>0</v>
      </c>
      <c r="Q84" s="82">
        <v>0</v>
      </c>
      <c r="R84" s="82">
        <v>0</v>
      </c>
      <c r="S84" s="82">
        <v>0</v>
      </c>
      <c r="T84" s="112">
        <f aca="true" t="shared" si="30" ref="T84:U103">SUM(L84+N84+P84+R84)</f>
        <v>0</v>
      </c>
      <c r="U84" s="39">
        <f t="shared" si="30"/>
        <v>0</v>
      </c>
      <c r="V84" s="40" t="e">
        <f aca="true" t="shared" si="31" ref="V84:W103">+T84/J84*100</f>
        <v>#DIV/0!</v>
      </c>
      <c r="W84" s="40" t="e">
        <f t="shared" si="31"/>
        <v>#DIV/0!</v>
      </c>
      <c r="X84" s="42">
        <f aca="true" t="shared" si="32" ref="X84:Y103">+H84+T84</f>
        <v>4</v>
      </c>
      <c r="Y84" s="42">
        <f t="shared" si="32"/>
        <v>7450</v>
      </c>
      <c r="Z84" s="43" t="e">
        <f t="shared" si="22"/>
        <v>#DIV/0!</v>
      </c>
      <c r="AA84" s="43" t="e">
        <f t="shared" si="22"/>
        <v>#DIV/0!</v>
      </c>
      <c r="AB84" s="99"/>
      <c r="AC84" s="70"/>
    </row>
    <row r="85" spans="1:29" s="53" customFormat="1" ht="119.25" customHeight="1">
      <c r="A85" s="96"/>
      <c r="B85" s="97"/>
      <c r="C85" s="274"/>
      <c r="D85" s="81" t="s">
        <v>112</v>
      </c>
      <c r="E85" s="130" t="s">
        <v>102</v>
      </c>
      <c r="F85" s="136">
        <v>5</v>
      </c>
      <c r="G85" s="136">
        <v>1350000</v>
      </c>
      <c r="H85" s="82">
        <v>0</v>
      </c>
      <c r="I85" s="82">
        <v>0</v>
      </c>
      <c r="J85" s="90">
        <v>0</v>
      </c>
      <c r="K85" s="82">
        <v>0</v>
      </c>
      <c r="L85" s="82">
        <v>0</v>
      </c>
      <c r="M85" s="82">
        <v>0</v>
      </c>
      <c r="N85" s="82">
        <v>0</v>
      </c>
      <c r="O85" s="82">
        <v>0</v>
      </c>
      <c r="P85" s="82">
        <v>0</v>
      </c>
      <c r="Q85" s="82">
        <v>0</v>
      </c>
      <c r="R85" s="82">
        <v>0</v>
      </c>
      <c r="S85" s="82">
        <v>0</v>
      </c>
      <c r="T85" s="112">
        <f t="shared" si="30"/>
        <v>0</v>
      </c>
      <c r="U85" s="39">
        <f t="shared" si="30"/>
        <v>0</v>
      </c>
      <c r="V85" s="41" t="e">
        <f t="shared" si="31"/>
        <v>#DIV/0!</v>
      </c>
      <c r="W85" s="41" t="e">
        <f t="shared" si="31"/>
        <v>#DIV/0!</v>
      </c>
      <c r="X85" s="42">
        <f t="shared" si="32"/>
        <v>0</v>
      </c>
      <c r="Y85" s="42">
        <f t="shared" si="32"/>
        <v>0</v>
      </c>
      <c r="Z85" s="43">
        <f t="shared" si="22"/>
        <v>0</v>
      </c>
      <c r="AA85" s="43">
        <f t="shared" si="22"/>
        <v>0</v>
      </c>
      <c r="AB85" s="99"/>
      <c r="AC85" s="70"/>
    </row>
    <row r="86" spans="1:29" s="88" customFormat="1" ht="21.75" customHeight="1">
      <c r="A86" s="60"/>
      <c r="B86" s="61"/>
      <c r="C86" s="137"/>
      <c r="D86" s="137" t="s">
        <v>113</v>
      </c>
      <c r="E86" s="115"/>
      <c r="F86" s="85">
        <v>0</v>
      </c>
      <c r="G86" s="85">
        <v>0</v>
      </c>
      <c r="H86" s="36">
        <v>4</v>
      </c>
      <c r="I86" s="113">
        <v>102000</v>
      </c>
      <c r="J86" s="138"/>
      <c r="K86" s="113"/>
      <c r="L86" s="85">
        <v>0</v>
      </c>
      <c r="M86" s="85">
        <v>0</v>
      </c>
      <c r="N86" s="82">
        <v>0</v>
      </c>
      <c r="O86" s="82">
        <v>0</v>
      </c>
      <c r="P86" s="82">
        <v>0</v>
      </c>
      <c r="Q86" s="82">
        <v>0</v>
      </c>
      <c r="R86" s="82">
        <v>0</v>
      </c>
      <c r="S86" s="82">
        <v>0</v>
      </c>
      <c r="T86" s="112">
        <f t="shared" si="30"/>
        <v>0</v>
      </c>
      <c r="U86" s="39">
        <f t="shared" si="30"/>
        <v>0</v>
      </c>
      <c r="V86" s="40" t="e">
        <f t="shared" si="31"/>
        <v>#DIV/0!</v>
      </c>
      <c r="W86" s="41" t="e">
        <f t="shared" si="31"/>
        <v>#DIV/0!</v>
      </c>
      <c r="X86" s="42">
        <f t="shared" si="32"/>
        <v>4</v>
      </c>
      <c r="Y86" s="42">
        <f t="shared" si="32"/>
        <v>102000</v>
      </c>
      <c r="Z86" s="43" t="e">
        <f t="shared" si="22"/>
        <v>#DIV/0!</v>
      </c>
      <c r="AA86" s="43" t="e">
        <f t="shared" si="22"/>
        <v>#DIV/0!</v>
      </c>
      <c r="AB86" s="83"/>
      <c r="AC86" s="87"/>
    </row>
    <row r="87" spans="1:31" s="53" customFormat="1" ht="61.5" customHeight="1">
      <c r="A87" s="96"/>
      <c r="B87" s="97"/>
      <c r="C87" s="81" t="s">
        <v>114</v>
      </c>
      <c r="D87" s="81" t="s">
        <v>115</v>
      </c>
      <c r="E87" s="140" t="s">
        <v>116</v>
      </c>
      <c r="F87" s="248">
        <v>450</v>
      </c>
      <c r="G87" s="136">
        <v>338200</v>
      </c>
      <c r="H87" s="36">
        <v>0</v>
      </c>
      <c r="I87" s="113">
        <v>0</v>
      </c>
      <c r="J87" s="138"/>
      <c r="K87" s="113"/>
      <c r="L87" s="85">
        <v>0</v>
      </c>
      <c r="M87" s="85">
        <v>0</v>
      </c>
      <c r="N87" s="82">
        <v>0</v>
      </c>
      <c r="O87" s="82">
        <v>0</v>
      </c>
      <c r="P87" s="82">
        <v>0</v>
      </c>
      <c r="Q87" s="82">
        <v>0</v>
      </c>
      <c r="R87" s="82">
        <v>0</v>
      </c>
      <c r="S87" s="82">
        <v>0</v>
      </c>
      <c r="T87" s="112">
        <f t="shared" si="30"/>
        <v>0</v>
      </c>
      <c r="U87" s="39">
        <f t="shared" si="30"/>
        <v>0</v>
      </c>
      <c r="V87" s="41" t="e">
        <f t="shared" si="31"/>
        <v>#DIV/0!</v>
      </c>
      <c r="W87" s="41" t="e">
        <f t="shared" si="31"/>
        <v>#DIV/0!</v>
      </c>
      <c r="X87" s="42">
        <f t="shared" si="32"/>
        <v>0</v>
      </c>
      <c r="Y87" s="42">
        <f t="shared" si="32"/>
        <v>0</v>
      </c>
      <c r="Z87" s="43">
        <f t="shared" si="22"/>
        <v>0</v>
      </c>
      <c r="AA87" s="43">
        <f t="shared" si="22"/>
        <v>0</v>
      </c>
      <c r="AB87" s="99"/>
      <c r="AC87" s="70"/>
      <c r="AD87" s="227">
        <f>+U88+U89+U90+U91+U92</f>
        <v>0</v>
      </c>
      <c r="AE87" s="225">
        <f>K88+K89+K90+K91+K92</f>
        <v>0</v>
      </c>
    </row>
    <row r="88" spans="1:30" s="53" customFormat="1" ht="29.25" customHeight="1">
      <c r="A88" s="96"/>
      <c r="B88" s="97"/>
      <c r="C88" s="132"/>
      <c r="D88" s="81" t="s">
        <v>96</v>
      </c>
      <c r="E88" s="130" t="s">
        <v>97</v>
      </c>
      <c r="F88" s="136">
        <v>0</v>
      </c>
      <c r="G88" s="136">
        <v>0</v>
      </c>
      <c r="H88" s="85">
        <v>3</v>
      </c>
      <c r="I88" s="82">
        <f>2100+2550</f>
        <v>4650</v>
      </c>
      <c r="J88" s="115"/>
      <c r="K88" s="82"/>
      <c r="L88" s="85">
        <v>0</v>
      </c>
      <c r="M88" s="85">
        <v>0</v>
      </c>
      <c r="N88" s="82">
        <v>0</v>
      </c>
      <c r="O88" s="82">
        <v>0</v>
      </c>
      <c r="P88" s="82">
        <v>0</v>
      </c>
      <c r="Q88" s="82">
        <v>0</v>
      </c>
      <c r="R88" s="82">
        <v>0</v>
      </c>
      <c r="S88" s="82">
        <v>0</v>
      </c>
      <c r="T88" s="112">
        <f t="shared" si="30"/>
        <v>0</v>
      </c>
      <c r="U88" s="39">
        <f t="shared" si="30"/>
        <v>0</v>
      </c>
      <c r="V88" s="40" t="e">
        <f t="shared" si="31"/>
        <v>#DIV/0!</v>
      </c>
      <c r="W88" s="40" t="e">
        <f t="shared" si="31"/>
        <v>#DIV/0!</v>
      </c>
      <c r="X88" s="42">
        <f t="shared" si="32"/>
        <v>3</v>
      </c>
      <c r="Y88" s="42">
        <f t="shared" si="32"/>
        <v>4650</v>
      </c>
      <c r="Z88" s="43" t="e">
        <f t="shared" si="22"/>
        <v>#DIV/0!</v>
      </c>
      <c r="AA88" s="43" t="e">
        <f t="shared" si="22"/>
        <v>#DIV/0!</v>
      </c>
      <c r="AB88" s="99"/>
      <c r="AC88" s="70"/>
      <c r="AD88" s="226">
        <f>377550-AD87</f>
        <v>377550</v>
      </c>
    </row>
    <row r="89" spans="1:29" s="111" customFormat="1" ht="72.75" customHeight="1">
      <c r="A89" s="104"/>
      <c r="B89" s="105"/>
      <c r="C89" s="141"/>
      <c r="D89" s="134" t="s">
        <v>108</v>
      </c>
      <c r="E89" s="142" t="s">
        <v>102</v>
      </c>
      <c r="F89" s="136">
        <v>0</v>
      </c>
      <c r="G89" s="136">
        <v>0</v>
      </c>
      <c r="H89" s="85">
        <v>2</v>
      </c>
      <c r="I89" s="82">
        <v>259600</v>
      </c>
      <c r="J89" s="85"/>
      <c r="K89" s="82"/>
      <c r="L89" s="85">
        <v>0</v>
      </c>
      <c r="M89" s="85">
        <v>0</v>
      </c>
      <c r="N89" s="82">
        <v>0</v>
      </c>
      <c r="O89" s="82">
        <v>0</v>
      </c>
      <c r="P89" s="82">
        <v>0</v>
      </c>
      <c r="Q89" s="82">
        <v>0</v>
      </c>
      <c r="R89" s="82">
        <v>0</v>
      </c>
      <c r="S89" s="82">
        <v>0</v>
      </c>
      <c r="T89" s="39">
        <f t="shared" si="30"/>
        <v>0</v>
      </c>
      <c r="U89" s="39">
        <f t="shared" si="30"/>
        <v>0</v>
      </c>
      <c r="V89" s="107" t="e">
        <f t="shared" si="31"/>
        <v>#DIV/0!</v>
      </c>
      <c r="W89" s="107" t="e">
        <f t="shared" si="31"/>
        <v>#DIV/0!</v>
      </c>
      <c r="X89" s="108">
        <f t="shared" si="32"/>
        <v>2</v>
      </c>
      <c r="Y89" s="108">
        <f t="shared" si="32"/>
        <v>259600</v>
      </c>
      <c r="Z89" s="109" t="e">
        <f t="shared" si="22"/>
        <v>#DIV/0!</v>
      </c>
      <c r="AA89" s="109" t="e">
        <f t="shared" si="22"/>
        <v>#DIV/0!</v>
      </c>
      <c r="AB89" s="101"/>
      <c r="AC89" s="110"/>
    </row>
    <row r="90" spans="1:29" s="111" customFormat="1" ht="60.75" customHeight="1">
      <c r="A90" s="104"/>
      <c r="B90" s="105"/>
      <c r="C90" s="141"/>
      <c r="D90" s="134" t="s">
        <v>109</v>
      </c>
      <c r="E90" s="142" t="s">
        <v>102</v>
      </c>
      <c r="F90" s="136">
        <v>0</v>
      </c>
      <c r="G90" s="136">
        <v>0</v>
      </c>
      <c r="H90" s="85">
        <v>2</v>
      </c>
      <c r="I90" s="82">
        <v>54800</v>
      </c>
      <c r="J90" s="85"/>
      <c r="K90" s="82"/>
      <c r="L90" s="85">
        <v>0</v>
      </c>
      <c r="M90" s="85">
        <v>0</v>
      </c>
      <c r="N90" s="82">
        <v>0</v>
      </c>
      <c r="O90" s="82">
        <v>0</v>
      </c>
      <c r="P90" s="82">
        <v>0</v>
      </c>
      <c r="Q90" s="82">
        <v>0</v>
      </c>
      <c r="R90" s="82">
        <v>0</v>
      </c>
      <c r="S90" s="82">
        <v>0</v>
      </c>
      <c r="T90" s="39">
        <f t="shared" si="30"/>
        <v>0</v>
      </c>
      <c r="U90" s="39">
        <f t="shared" si="30"/>
        <v>0</v>
      </c>
      <c r="V90" s="107" t="e">
        <f t="shared" si="31"/>
        <v>#DIV/0!</v>
      </c>
      <c r="W90" s="107" t="e">
        <f t="shared" si="31"/>
        <v>#DIV/0!</v>
      </c>
      <c r="X90" s="108">
        <f t="shared" si="32"/>
        <v>2</v>
      </c>
      <c r="Y90" s="108">
        <f t="shared" si="32"/>
        <v>54800</v>
      </c>
      <c r="Z90" s="109" t="e">
        <f t="shared" si="22"/>
        <v>#DIV/0!</v>
      </c>
      <c r="AA90" s="109" t="e">
        <f t="shared" si="22"/>
        <v>#DIV/0!</v>
      </c>
      <c r="AB90" s="101"/>
      <c r="AC90" s="110"/>
    </row>
    <row r="91" spans="1:29" s="111" customFormat="1" ht="44.25" customHeight="1">
      <c r="A91" s="104"/>
      <c r="B91" s="105"/>
      <c r="C91" s="141"/>
      <c r="D91" s="134" t="s">
        <v>106</v>
      </c>
      <c r="E91" s="142" t="s">
        <v>102</v>
      </c>
      <c r="F91" s="136">
        <v>0</v>
      </c>
      <c r="G91" s="136">
        <v>0</v>
      </c>
      <c r="H91" s="85">
        <v>12</v>
      </c>
      <c r="I91" s="82">
        <v>51600</v>
      </c>
      <c r="J91" s="85"/>
      <c r="K91" s="82"/>
      <c r="L91" s="85">
        <v>0</v>
      </c>
      <c r="M91" s="85">
        <v>0</v>
      </c>
      <c r="N91" s="82">
        <v>0</v>
      </c>
      <c r="O91" s="82">
        <v>0</v>
      </c>
      <c r="P91" s="82">
        <v>0</v>
      </c>
      <c r="Q91" s="82">
        <v>0</v>
      </c>
      <c r="R91" s="82">
        <v>0</v>
      </c>
      <c r="S91" s="82">
        <v>0</v>
      </c>
      <c r="T91" s="39">
        <f t="shared" si="30"/>
        <v>0</v>
      </c>
      <c r="U91" s="39">
        <f t="shared" si="30"/>
        <v>0</v>
      </c>
      <c r="V91" s="107" t="e">
        <f t="shared" si="31"/>
        <v>#DIV/0!</v>
      </c>
      <c r="W91" s="107" t="e">
        <f t="shared" si="31"/>
        <v>#DIV/0!</v>
      </c>
      <c r="X91" s="108">
        <f t="shared" si="32"/>
        <v>12</v>
      </c>
      <c r="Y91" s="108">
        <f t="shared" si="32"/>
        <v>51600</v>
      </c>
      <c r="Z91" s="109" t="e">
        <f t="shared" si="22"/>
        <v>#DIV/0!</v>
      </c>
      <c r="AA91" s="109" t="e">
        <f t="shared" si="22"/>
        <v>#DIV/0!</v>
      </c>
      <c r="AB91" s="101"/>
      <c r="AC91" s="110"/>
    </row>
    <row r="92" spans="1:29" s="111" customFormat="1" ht="45" customHeight="1">
      <c r="A92" s="104"/>
      <c r="B92" s="105"/>
      <c r="C92" s="134"/>
      <c r="D92" s="134" t="s">
        <v>98</v>
      </c>
      <c r="E92" s="142" t="s">
        <v>97</v>
      </c>
      <c r="F92" s="136">
        <v>0</v>
      </c>
      <c r="G92" s="136">
        <v>0</v>
      </c>
      <c r="H92" s="85">
        <v>1</v>
      </c>
      <c r="I92" s="82">
        <f>719+1120+261+4800</f>
        <v>6900</v>
      </c>
      <c r="J92" s="85"/>
      <c r="K92" s="82"/>
      <c r="L92" s="85">
        <v>0</v>
      </c>
      <c r="M92" s="85">
        <v>0</v>
      </c>
      <c r="N92" s="82">
        <v>0</v>
      </c>
      <c r="O92" s="82">
        <v>0</v>
      </c>
      <c r="P92" s="82">
        <v>0</v>
      </c>
      <c r="Q92" s="82">
        <v>0</v>
      </c>
      <c r="R92" s="82">
        <v>0</v>
      </c>
      <c r="S92" s="82">
        <v>0</v>
      </c>
      <c r="T92" s="39">
        <f t="shared" si="30"/>
        <v>0</v>
      </c>
      <c r="U92" s="39">
        <f t="shared" si="30"/>
        <v>0</v>
      </c>
      <c r="V92" s="107" t="e">
        <f t="shared" si="31"/>
        <v>#DIV/0!</v>
      </c>
      <c r="W92" s="107" t="e">
        <f t="shared" si="31"/>
        <v>#DIV/0!</v>
      </c>
      <c r="X92" s="108">
        <f t="shared" si="32"/>
        <v>1</v>
      </c>
      <c r="Y92" s="108">
        <f t="shared" si="32"/>
        <v>6900</v>
      </c>
      <c r="Z92" s="109" t="e">
        <f t="shared" si="22"/>
        <v>#DIV/0!</v>
      </c>
      <c r="AA92" s="109" t="e">
        <f t="shared" si="22"/>
        <v>#DIV/0!</v>
      </c>
      <c r="AB92" s="101"/>
      <c r="AC92" s="110"/>
    </row>
    <row r="93" spans="1:29" s="53" customFormat="1" ht="61.5" customHeight="1">
      <c r="A93" s="96"/>
      <c r="B93" s="97"/>
      <c r="C93" s="81" t="s">
        <v>117</v>
      </c>
      <c r="D93" s="81" t="s">
        <v>115</v>
      </c>
      <c r="E93" s="140" t="s">
        <v>116</v>
      </c>
      <c r="F93" s="248">
        <v>0</v>
      </c>
      <c r="G93" s="136">
        <v>0</v>
      </c>
      <c r="H93" s="38">
        <v>0</v>
      </c>
      <c r="I93" s="113">
        <v>0</v>
      </c>
      <c r="J93" s="144"/>
      <c r="K93" s="113"/>
      <c r="L93" s="85">
        <v>0</v>
      </c>
      <c r="M93" s="85">
        <v>0</v>
      </c>
      <c r="N93" s="82">
        <v>0</v>
      </c>
      <c r="O93" s="82">
        <v>0</v>
      </c>
      <c r="P93" s="82">
        <v>0</v>
      </c>
      <c r="Q93" s="82">
        <v>0</v>
      </c>
      <c r="R93" s="82">
        <v>0</v>
      </c>
      <c r="S93" s="82">
        <v>0</v>
      </c>
      <c r="T93" s="112">
        <f t="shared" si="30"/>
        <v>0</v>
      </c>
      <c r="U93" s="39">
        <f t="shared" si="30"/>
        <v>0</v>
      </c>
      <c r="V93" s="41" t="e">
        <f t="shared" si="31"/>
        <v>#DIV/0!</v>
      </c>
      <c r="W93" s="41" t="e">
        <f t="shared" si="31"/>
        <v>#DIV/0!</v>
      </c>
      <c r="X93" s="42">
        <f t="shared" si="32"/>
        <v>0</v>
      </c>
      <c r="Y93" s="42">
        <f t="shared" si="32"/>
        <v>0</v>
      </c>
      <c r="Z93" s="43" t="e">
        <f t="shared" si="22"/>
        <v>#DIV/0!</v>
      </c>
      <c r="AA93" s="43" t="e">
        <f t="shared" si="22"/>
        <v>#DIV/0!</v>
      </c>
      <c r="AB93" s="99"/>
      <c r="AC93" s="70"/>
    </row>
    <row r="94" spans="1:29" s="53" customFormat="1" ht="94.5" customHeight="1">
      <c r="A94" s="96"/>
      <c r="B94" s="97"/>
      <c r="C94" s="81" t="s">
        <v>118</v>
      </c>
      <c r="D94" s="81" t="s">
        <v>119</v>
      </c>
      <c r="E94" s="140" t="s">
        <v>116</v>
      </c>
      <c r="F94" s="248">
        <v>380</v>
      </c>
      <c r="G94" s="136">
        <v>150000</v>
      </c>
      <c r="H94" s="82">
        <v>100</v>
      </c>
      <c r="I94" s="82">
        <v>45000</v>
      </c>
      <c r="J94" s="144">
        <v>225</v>
      </c>
      <c r="K94" s="113">
        <v>100000</v>
      </c>
      <c r="L94" s="85">
        <v>45</v>
      </c>
      <c r="M94" s="85">
        <v>16875</v>
      </c>
      <c r="N94" s="85">
        <v>45</v>
      </c>
      <c r="O94" s="82">
        <f>36410-M94</f>
        <v>19535</v>
      </c>
      <c r="P94" s="82">
        <v>45</v>
      </c>
      <c r="Q94" s="82">
        <f>65460-M94-O94</f>
        <v>29050</v>
      </c>
      <c r="R94" s="85"/>
      <c r="S94" s="85">
        <f>96025-Q94-O94-M94</f>
        <v>30565</v>
      </c>
      <c r="T94" s="112">
        <f t="shared" si="30"/>
        <v>135</v>
      </c>
      <c r="U94" s="39">
        <f t="shared" si="30"/>
        <v>96025</v>
      </c>
      <c r="V94" s="40">
        <f t="shared" si="31"/>
        <v>60</v>
      </c>
      <c r="W94" s="41">
        <f t="shared" si="31"/>
        <v>96.025</v>
      </c>
      <c r="X94" s="42">
        <f t="shared" si="32"/>
        <v>235</v>
      </c>
      <c r="Y94" s="42">
        <f t="shared" si="32"/>
        <v>141025</v>
      </c>
      <c r="Z94" s="43">
        <f t="shared" si="22"/>
        <v>61.8421052631579</v>
      </c>
      <c r="AA94" s="43">
        <f t="shared" si="22"/>
        <v>94.01666666666667</v>
      </c>
      <c r="AB94" s="99"/>
      <c r="AC94" s="70"/>
    </row>
    <row r="95" spans="1:29" s="53" customFormat="1" ht="43.5" customHeight="1">
      <c r="A95" s="96"/>
      <c r="B95" s="97"/>
      <c r="C95" s="145"/>
      <c r="D95" s="81" t="s">
        <v>120</v>
      </c>
      <c r="E95" s="140" t="s">
        <v>116</v>
      </c>
      <c r="F95" s="248">
        <v>250</v>
      </c>
      <c r="G95" s="136">
        <v>145500</v>
      </c>
      <c r="H95" s="82">
        <v>0</v>
      </c>
      <c r="I95" s="82">
        <v>0</v>
      </c>
      <c r="J95" s="138">
        <v>0</v>
      </c>
      <c r="K95" s="113">
        <v>0</v>
      </c>
      <c r="L95" s="85">
        <v>0</v>
      </c>
      <c r="M95" s="85">
        <v>0</v>
      </c>
      <c r="N95" s="85">
        <v>0</v>
      </c>
      <c r="O95" s="82">
        <v>0</v>
      </c>
      <c r="P95" s="85">
        <v>0</v>
      </c>
      <c r="Q95" s="82">
        <v>0</v>
      </c>
      <c r="R95" s="85">
        <v>0</v>
      </c>
      <c r="S95" s="82">
        <v>0</v>
      </c>
      <c r="T95" s="112">
        <f t="shared" si="30"/>
        <v>0</v>
      </c>
      <c r="U95" s="39">
        <f t="shared" si="30"/>
        <v>0</v>
      </c>
      <c r="V95" s="41" t="e">
        <f t="shared" si="31"/>
        <v>#DIV/0!</v>
      </c>
      <c r="W95" s="41" t="e">
        <f t="shared" si="31"/>
        <v>#DIV/0!</v>
      </c>
      <c r="X95" s="42">
        <f t="shared" si="32"/>
        <v>0</v>
      </c>
      <c r="Y95" s="42">
        <f t="shared" si="32"/>
        <v>0</v>
      </c>
      <c r="Z95" s="43">
        <f t="shared" si="22"/>
        <v>0</v>
      </c>
      <c r="AA95" s="43">
        <f t="shared" si="22"/>
        <v>0</v>
      </c>
      <c r="AB95" s="99"/>
      <c r="AC95" s="70"/>
    </row>
    <row r="96" spans="1:29" s="53" customFormat="1" ht="94.5" customHeight="1">
      <c r="A96" s="96"/>
      <c r="B96" s="97"/>
      <c r="C96" s="81" t="s">
        <v>280</v>
      </c>
      <c r="D96" s="81" t="s">
        <v>281</v>
      </c>
      <c r="E96" s="131" t="s">
        <v>282</v>
      </c>
      <c r="F96" s="136">
        <v>0</v>
      </c>
      <c r="G96" s="136">
        <v>0</v>
      </c>
      <c r="H96" s="82">
        <v>0</v>
      </c>
      <c r="I96" s="82">
        <v>0</v>
      </c>
      <c r="J96" s="138">
        <v>2</v>
      </c>
      <c r="K96" s="113">
        <v>100600</v>
      </c>
      <c r="L96" s="85">
        <v>0</v>
      </c>
      <c r="M96" s="85">
        <v>0</v>
      </c>
      <c r="N96" s="85">
        <v>0</v>
      </c>
      <c r="O96" s="82">
        <v>0</v>
      </c>
      <c r="P96" s="86">
        <v>2</v>
      </c>
      <c r="Q96" s="82">
        <f>48400+48400</f>
        <v>96800</v>
      </c>
      <c r="R96" s="85">
        <v>0</v>
      </c>
      <c r="S96" s="85">
        <v>2800</v>
      </c>
      <c r="T96" s="112">
        <f>SUM(L96+N96+P96+R96)</f>
        <v>2</v>
      </c>
      <c r="U96" s="39">
        <f>SUM(M96+O96+Q96+S96)</f>
        <v>99600</v>
      </c>
      <c r="V96" s="40">
        <f>+T96/J96*100</f>
        <v>100</v>
      </c>
      <c r="W96" s="40">
        <f>+U96/K96*100</f>
        <v>99.00596421471172</v>
      </c>
      <c r="X96" s="42">
        <f>+H96+T96</f>
        <v>2</v>
      </c>
      <c r="Y96" s="42">
        <f>+I96+U96</f>
        <v>99600</v>
      </c>
      <c r="Z96" s="43" t="e">
        <f>+X96/F96*100</f>
        <v>#DIV/0!</v>
      </c>
      <c r="AA96" s="43" t="e">
        <f>+Y96/G96*100</f>
        <v>#DIV/0!</v>
      </c>
      <c r="AB96" s="99"/>
      <c r="AC96" s="70"/>
    </row>
    <row r="97" spans="1:29" s="53" customFormat="1" ht="71.25" customHeight="1">
      <c r="A97" s="96"/>
      <c r="B97" s="97"/>
      <c r="C97" s="81" t="s">
        <v>283</v>
      </c>
      <c r="D97" s="81" t="s">
        <v>284</v>
      </c>
      <c r="E97" s="131" t="s">
        <v>97</v>
      </c>
      <c r="F97" s="136"/>
      <c r="G97" s="136"/>
      <c r="H97" s="82"/>
      <c r="I97" s="82"/>
      <c r="J97" s="138">
        <v>12</v>
      </c>
      <c r="K97" s="113">
        <v>678000</v>
      </c>
      <c r="L97" s="85">
        <v>3</v>
      </c>
      <c r="M97" s="85">
        <v>62335.5</v>
      </c>
      <c r="N97" s="85">
        <v>3</v>
      </c>
      <c r="O97" s="82">
        <f>205605.5-M97</f>
        <v>143270</v>
      </c>
      <c r="P97" s="86">
        <v>3</v>
      </c>
      <c r="Q97" s="82">
        <f>370933.5-M97-O97</f>
        <v>165328</v>
      </c>
      <c r="R97" s="85">
        <v>3</v>
      </c>
      <c r="S97" s="85">
        <f>604992-Q97-O97-M97</f>
        <v>234058.5</v>
      </c>
      <c r="T97" s="112">
        <f>SUM(L97+N97+P97+R97)</f>
        <v>12</v>
      </c>
      <c r="U97" s="39">
        <f>SUM(M97+O97+Q97+S97)</f>
        <v>604992</v>
      </c>
      <c r="V97" s="40">
        <f>+T97/J97*100</f>
        <v>100</v>
      </c>
      <c r="W97" s="40">
        <f>+U97/K97*100</f>
        <v>89.23185840707964</v>
      </c>
      <c r="X97" s="42">
        <f>+H97+T97</f>
        <v>12</v>
      </c>
      <c r="Y97" s="42">
        <f>+I97+U97</f>
        <v>604992</v>
      </c>
      <c r="Z97" s="43" t="e">
        <f>+X97/F97*100</f>
        <v>#DIV/0!</v>
      </c>
      <c r="AA97" s="43" t="e">
        <f>+Y97/G97*100</f>
        <v>#DIV/0!</v>
      </c>
      <c r="AB97" s="99"/>
      <c r="AC97" s="70"/>
    </row>
    <row r="98" spans="1:29" s="53" customFormat="1" ht="95.25" customHeight="1">
      <c r="A98" s="96"/>
      <c r="B98" s="97"/>
      <c r="C98" s="81" t="s">
        <v>121</v>
      </c>
      <c r="D98" s="81" t="s">
        <v>122</v>
      </c>
      <c r="E98" s="131" t="s">
        <v>97</v>
      </c>
      <c r="F98" s="136">
        <f>5*12</f>
        <v>60</v>
      </c>
      <c r="G98" s="136">
        <v>35000</v>
      </c>
      <c r="H98" s="82">
        <v>12</v>
      </c>
      <c r="I98" s="82">
        <v>20000</v>
      </c>
      <c r="J98" s="138">
        <v>12</v>
      </c>
      <c r="K98" s="113">
        <v>26000</v>
      </c>
      <c r="L98" s="85">
        <v>0</v>
      </c>
      <c r="M98" s="85">
        <v>0</v>
      </c>
      <c r="N98" s="85">
        <v>3</v>
      </c>
      <c r="O98" s="82">
        <v>4300</v>
      </c>
      <c r="P98" s="86">
        <v>3</v>
      </c>
      <c r="Q98" s="82">
        <f>11245-O98</f>
        <v>6945</v>
      </c>
      <c r="R98" s="85">
        <v>6</v>
      </c>
      <c r="S98" s="85">
        <f>26000-Q98-O98</f>
        <v>14755</v>
      </c>
      <c r="T98" s="112">
        <f t="shared" si="30"/>
        <v>12</v>
      </c>
      <c r="U98" s="39">
        <f>SUM(M98+O98+Q98+S98)</f>
        <v>26000</v>
      </c>
      <c r="V98" s="40">
        <f t="shared" si="31"/>
        <v>100</v>
      </c>
      <c r="W98" s="40">
        <f t="shared" si="31"/>
        <v>100</v>
      </c>
      <c r="X98" s="42">
        <f t="shared" si="32"/>
        <v>24</v>
      </c>
      <c r="Y98" s="42">
        <f t="shared" si="32"/>
        <v>46000</v>
      </c>
      <c r="Z98" s="43">
        <f t="shared" si="22"/>
        <v>40</v>
      </c>
      <c r="AA98" s="43">
        <f t="shared" si="22"/>
        <v>131.42857142857142</v>
      </c>
      <c r="AB98" s="99"/>
      <c r="AC98" s="70"/>
    </row>
    <row r="99" spans="1:29" s="53" customFormat="1" ht="93.75" customHeight="1">
      <c r="A99" s="96"/>
      <c r="B99" s="97"/>
      <c r="C99" s="81" t="s">
        <v>123</v>
      </c>
      <c r="D99" s="81" t="s">
        <v>124</v>
      </c>
      <c r="E99" s="131" t="s">
        <v>100</v>
      </c>
      <c r="F99" s="136">
        <v>0</v>
      </c>
      <c r="G99" s="136">
        <v>0</v>
      </c>
      <c r="H99" s="82">
        <v>0</v>
      </c>
      <c r="I99" s="82">
        <v>0</v>
      </c>
      <c r="J99" s="138">
        <v>0</v>
      </c>
      <c r="K99" s="113">
        <v>0</v>
      </c>
      <c r="L99" s="85">
        <v>0</v>
      </c>
      <c r="M99" s="85">
        <v>0</v>
      </c>
      <c r="N99" s="85">
        <v>0</v>
      </c>
      <c r="O99" s="82">
        <v>0</v>
      </c>
      <c r="P99" s="82"/>
      <c r="Q99" s="82"/>
      <c r="R99" s="36"/>
      <c r="S99" s="139"/>
      <c r="T99" s="112">
        <f t="shared" si="30"/>
        <v>0</v>
      </c>
      <c r="U99" s="39">
        <f t="shared" si="30"/>
        <v>0</v>
      </c>
      <c r="V99" s="41" t="e">
        <f t="shared" si="31"/>
        <v>#DIV/0!</v>
      </c>
      <c r="W99" s="41" t="e">
        <f t="shared" si="31"/>
        <v>#DIV/0!</v>
      </c>
      <c r="X99" s="42">
        <f t="shared" si="32"/>
        <v>0</v>
      </c>
      <c r="Y99" s="42">
        <f t="shared" si="32"/>
        <v>0</v>
      </c>
      <c r="Z99" s="43" t="e">
        <f t="shared" si="22"/>
        <v>#DIV/0!</v>
      </c>
      <c r="AA99" s="43" t="e">
        <f t="shared" si="22"/>
        <v>#DIV/0!</v>
      </c>
      <c r="AB99" s="99"/>
      <c r="AC99" s="70"/>
    </row>
    <row r="100" spans="1:29" s="53" customFormat="1" ht="67.5" customHeight="1">
      <c r="A100" s="96"/>
      <c r="B100" s="97"/>
      <c r="C100" s="81"/>
      <c r="D100" s="81" t="s">
        <v>125</v>
      </c>
      <c r="E100" s="131" t="s">
        <v>102</v>
      </c>
      <c r="F100" s="136">
        <v>0</v>
      </c>
      <c r="G100" s="136">
        <v>0</v>
      </c>
      <c r="H100" s="82">
        <v>0</v>
      </c>
      <c r="I100" s="82">
        <v>0</v>
      </c>
      <c r="J100" s="138">
        <v>0</v>
      </c>
      <c r="K100" s="113">
        <v>0</v>
      </c>
      <c r="L100" s="85">
        <v>0</v>
      </c>
      <c r="M100" s="85">
        <v>0</v>
      </c>
      <c r="N100" s="85">
        <v>0</v>
      </c>
      <c r="O100" s="82">
        <v>0</v>
      </c>
      <c r="P100" s="82"/>
      <c r="Q100" s="82"/>
      <c r="R100" s="36"/>
      <c r="S100" s="139"/>
      <c r="T100" s="112">
        <f t="shared" si="30"/>
        <v>0</v>
      </c>
      <c r="U100" s="39">
        <f t="shared" si="30"/>
        <v>0</v>
      </c>
      <c r="V100" s="41" t="e">
        <f t="shared" si="31"/>
        <v>#DIV/0!</v>
      </c>
      <c r="W100" s="41" t="e">
        <f t="shared" si="31"/>
        <v>#DIV/0!</v>
      </c>
      <c r="X100" s="42">
        <f t="shared" si="32"/>
        <v>0</v>
      </c>
      <c r="Y100" s="42">
        <f t="shared" si="32"/>
        <v>0</v>
      </c>
      <c r="Z100" s="43" t="e">
        <f t="shared" si="22"/>
        <v>#DIV/0!</v>
      </c>
      <c r="AA100" s="43" t="e">
        <f t="shared" si="22"/>
        <v>#DIV/0!</v>
      </c>
      <c r="AB100" s="99"/>
      <c r="AC100" s="70"/>
    </row>
    <row r="101" spans="1:29" s="53" customFormat="1" ht="21.75" customHeight="1">
      <c r="A101" s="96"/>
      <c r="B101" s="97"/>
      <c r="C101" s="81"/>
      <c r="D101" s="81" t="s">
        <v>126</v>
      </c>
      <c r="E101" s="131" t="s">
        <v>127</v>
      </c>
      <c r="F101" s="136">
        <v>0</v>
      </c>
      <c r="G101" s="136">
        <v>0</v>
      </c>
      <c r="H101" s="82">
        <v>0</v>
      </c>
      <c r="I101" s="82">
        <v>0</v>
      </c>
      <c r="J101" s="138">
        <v>0</v>
      </c>
      <c r="K101" s="113">
        <v>0</v>
      </c>
      <c r="L101" s="85">
        <v>0</v>
      </c>
      <c r="M101" s="85">
        <v>0</v>
      </c>
      <c r="N101" s="85">
        <v>0</v>
      </c>
      <c r="O101" s="82">
        <v>0</v>
      </c>
      <c r="P101" s="82"/>
      <c r="Q101" s="82"/>
      <c r="R101" s="36"/>
      <c r="S101" s="139"/>
      <c r="T101" s="112">
        <f t="shared" si="30"/>
        <v>0</v>
      </c>
      <c r="U101" s="39">
        <f t="shared" si="30"/>
        <v>0</v>
      </c>
      <c r="V101" s="41" t="e">
        <f t="shared" si="31"/>
        <v>#DIV/0!</v>
      </c>
      <c r="W101" s="41" t="e">
        <f t="shared" si="31"/>
        <v>#DIV/0!</v>
      </c>
      <c r="X101" s="42">
        <f t="shared" si="32"/>
        <v>0</v>
      </c>
      <c r="Y101" s="42">
        <f t="shared" si="32"/>
        <v>0</v>
      </c>
      <c r="Z101" s="43" t="e">
        <f t="shared" si="22"/>
        <v>#DIV/0!</v>
      </c>
      <c r="AA101" s="43" t="e">
        <f t="shared" si="22"/>
        <v>#DIV/0!</v>
      </c>
      <c r="AB101" s="99"/>
      <c r="AC101" s="70"/>
    </row>
    <row r="102" spans="1:29" s="53" customFormat="1" ht="31.5" customHeight="1">
      <c r="A102" s="96"/>
      <c r="B102" s="97"/>
      <c r="C102" s="81"/>
      <c r="D102" s="81" t="s">
        <v>128</v>
      </c>
      <c r="E102" s="131" t="s">
        <v>129</v>
      </c>
      <c r="F102" s="136">
        <v>0</v>
      </c>
      <c r="G102" s="136">
        <v>0</v>
      </c>
      <c r="H102" s="82">
        <v>0</v>
      </c>
      <c r="I102" s="82">
        <v>0</v>
      </c>
      <c r="J102" s="138">
        <v>0</v>
      </c>
      <c r="K102" s="113">
        <v>0</v>
      </c>
      <c r="L102" s="85">
        <v>0</v>
      </c>
      <c r="M102" s="85">
        <v>0</v>
      </c>
      <c r="N102" s="85">
        <v>0</v>
      </c>
      <c r="O102" s="82">
        <v>0</v>
      </c>
      <c r="P102" s="82"/>
      <c r="Q102" s="82"/>
      <c r="R102" s="36"/>
      <c r="S102" s="139"/>
      <c r="T102" s="112">
        <f t="shared" si="30"/>
        <v>0</v>
      </c>
      <c r="U102" s="39">
        <f t="shared" si="30"/>
        <v>0</v>
      </c>
      <c r="V102" s="41" t="e">
        <f t="shared" si="31"/>
        <v>#DIV/0!</v>
      </c>
      <c r="W102" s="41" t="e">
        <f t="shared" si="31"/>
        <v>#DIV/0!</v>
      </c>
      <c r="X102" s="42">
        <f t="shared" si="32"/>
        <v>0</v>
      </c>
      <c r="Y102" s="42">
        <f t="shared" si="32"/>
        <v>0</v>
      </c>
      <c r="Z102" s="43" t="e">
        <f t="shared" si="22"/>
        <v>#DIV/0!</v>
      </c>
      <c r="AA102" s="43" t="e">
        <f t="shared" si="22"/>
        <v>#DIV/0!</v>
      </c>
      <c r="AB102" s="99"/>
      <c r="AC102" s="70"/>
    </row>
    <row r="103" spans="1:29" s="53" customFormat="1" ht="40.5" customHeight="1">
      <c r="A103" s="96"/>
      <c r="B103" s="97"/>
      <c r="C103" s="81"/>
      <c r="D103" s="81" t="s">
        <v>98</v>
      </c>
      <c r="E103" s="131" t="s">
        <v>100</v>
      </c>
      <c r="F103" s="136">
        <v>0</v>
      </c>
      <c r="G103" s="136">
        <v>0</v>
      </c>
      <c r="H103" s="82">
        <v>0</v>
      </c>
      <c r="I103" s="82">
        <v>0</v>
      </c>
      <c r="J103" s="138">
        <v>0</v>
      </c>
      <c r="K103" s="113">
        <v>0</v>
      </c>
      <c r="L103" s="85">
        <v>0</v>
      </c>
      <c r="M103" s="85">
        <v>0</v>
      </c>
      <c r="N103" s="85">
        <v>0</v>
      </c>
      <c r="O103" s="82">
        <v>0</v>
      </c>
      <c r="P103" s="82"/>
      <c r="Q103" s="82"/>
      <c r="R103" s="36"/>
      <c r="S103" s="139"/>
      <c r="T103" s="112">
        <f t="shared" si="30"/>
        <v>0</v>
      </c>
      <c r="U103" s="39">
        <f t="shared" si="30"/>
        <v>0</v>
      </c>
      <c r="V103" s="41" t="e">
        <f t="shared" si="31"/>
        <v>#DIV/0!</v>
      </c>
      <c r="W103" s="41" t="e">
        <f t="shared" si="31"/>
        <v>#DIV/0!</v>
      </c>
      <c r="X103" s="42">
        <f t="shared" si="32"/>
        <v>0</v>
      </c>
      <c r="Y103" s="42">
        <f t="shared" si="32"/>
        <v>0</v>
      </c>
      <c r="Z103" s="43" t="e">
        <f t="shared" si="22"/>
        <v>#DIV/0!</v>
      </c>
      <c r="AA103" s="43" t="e">
        <f t="shared" si="22"/>
        <v>#DIV/0!</v>
      </c>
      <c r="AB103" s="99"/>
      <c r="AC103" s="70"/>
    </row>
    <row r="104" spans="1:29" s="53" customFormat="1" ht="13.5">
      <c r="A104" s="96"/>
      <c r="B104" s="97"/>
      <c r="C104" s="98"/>
      <c r="D104" s="98"/>
      <c r="E104" s="146"/>
      <c r="F104" s="171"/>
      <c r="G104" s="171"/>
      <c r="H104" s="309"/>
      <c r="I104" s="309"/>
      <c r="J104" s="147"/>
      <c r="K104" s="148"/>
      <c r="L104" s="85"/>
      <c r="M104" s="85"/>
      <c r="N104" s="101"/>
      <c r="O104" s="102"/>
      <c r="P104" s="102"/>
      <c r="Q104" s="102"/>
      <c r="R104" s="101"/>
      <c r="S104" s="101"/>
      <c r="T104" s="112"/>
      <c r="U104" s="39"/>
      <c r="V104" s="41"/>
      <c r="W104" s="41"/>
      <c r="X104" s="42"/>
      <c r="Y104" s="42"/>
      <c r="Z104" s="43"/>
      <c r="AA104" s="43"/>
      <c r="AB104" s="99"/>
      <c r="AC104" s="70"/>
    </row>
    <row r="105" spans="1:30" s="111" customFormat="1" ht="66.75" customHeight="1">
      <c r="A105" s="104"/>
      <c r="B105" s="358"/>
      <c r="C105" s="72" t="s">
        <v>130</v>
      </c>
      <c r="D105" s="72"/>
      <c r="E105" s="39"/>
      <c r="F105" s="39">
        <f aca="true" t="shared" si="33" ref="F105:S105">SUM(F106:F123)</f>
        <v>961</v>
      </c>
      <c r="G105" s="39">
        <f t="shared" si="33"/>
        <v>9204498</v>
      </c>
      <c r="H105" s="39">
        <f t="shared" si="33"/>
        <v>265</v>
      </c>
      <c r="I105" s="39">
        <f t="shared" si="33"/>
        <v>1131215</v>
      </c>
      <c r="J105" s="39">
        <f t="shared" si="33"/>
        <v>361</v>
      </c>
      <c r="K105" s="39">
        <f t="shared" si="33"/>
        <v>1083000</v>
      </c>
      <c r="L105" s="39">
        <f t="shared" si="33"/>
        <v>9</v>
      </c>
      <c r="M105" s="39">
        <f t="shared" si="33"/>
        <v>7868.8</v>
      </c>
      <c r="N105" s="39">
        <f t="shared" si="33"/>
        <v>91</v>
      </c>
      <c r="O105" s="39">
        <f t="shared" si="33"/>
        <v>387465</v>
      </c>
      <c r="P105" s="39">
        <f t="shared" si="33"/>
        <v>34</v>
      </c>
      <c r="Q105" s="39">
        <f t="shared" si="33"/>
        <v>195540</v>
      </c>
      <c r="R105" s="39">
        <f t="shared" si="33"/>
        <v>9</v>
      </c>
      <c r="S105" s="238">
        <f t="shared" si="33"/>
        <v>406123.213</v>
      </c>
      <c r="T105" s="39">
        <f>SUM(L105+N105+P105+R105)</f>
        <v>143</v>
      </c>
      <c r="U105" s="149">
        <f>SUM(M105+O105+Q105+S105)</f>
        <v>996997.013</v>
      </c>
      <c r="V105" s="107">
        <f>+T105/J105*100</f>
        <v>39.612188365650965</v>
      </c>
      <c r="W105" s="107">
        <f>+U105/K105*100</f>
        <v>92.05881929824562</v>
      </c>
      <c r="X105" s="108">
        <f aca="true" t="shared" si="34" ref="X105:Y121">+H105+T105</f>
        <v>408</v>
      </c>
      <c r="Y105" s="108">
        <f t="shared" si="34"/>
        <v>2128212.0130000003</v>
      </c>
      <c r="Z105" s="109">
        <f aca="true" t="shared" si="35" ref="Z105:AA154">+X105/F105*100</f>
        <v>42.45577523413112</v>
      </c>
      <c r="AA105" s="109">
        <f t="shared" si="35"/>
        <v>23.12143490063228</v>
      </c>
      <c r="AB105" s="101"/>
      <c r="AC105" s="110"/>
      <c r="AD105" s="228"/>
    </row>
    <row r="106" spans="1:30" s="53" customFormat="1" ht="65.25" customHeight="1">
      <c r="A106" s="96"/>
      <c r="B106" s="373"/>
      <c r="C106" s="426" t="s">
        <v>131</v>
      </c>
      <c r="D106" s="81" t="s">
        <v>131</v>
      </c>
      <c r="E106" s="131" t="s">
        <v>97</v>
      </c>
      <c r="F106" s="136">
        <v>60</v>
      </c>
      <c r="G106" s="136">
        <v>721000</v>
      </c>
      <c r="H106" s="82">
        <v>12</v>
      </c>
      <c r="I106" s="82">
        <v>190600</v>
      </c>
      <c r="J106" s="138">
        <v>12</v>
      </c>
      <c r="K106" s="82">
        <v>410700</v>
      </c>
      <c r="L106" s="85">
        <v>3</v>
      </c>
      <c r="M106" s="305">
        <v>4493.8</v>
      </c>
      <c r="N106" s="307">
        <v>3</v>
      </c>
      <c r="O106" s="306">
        <v>99660</v>
      </c>
      <c r="P106" s="86">
        <v>3</v>
      </c>
      <c r="Q106" s="150">
        <v>137781</v>
      </c>
      <c r="R106" s="84">
        <v>3</v>
      </c>
      <c r="S106" s="85">
        <v>96125.3</v>
      </c>
      <c r="T106" s="39">
        <f aca="true" t="shared" si="36" ref="T106:U123">SUM(L106+N106+P106+R106)</f>
        <v>12</v>
      </c>
      <c r="U106" s="149">
        <f>SUM(M106+O106+Q106+S106)</f>
        <v>338060.1</v>
      </c>
      <c r="V106" s="40">
        <f aca="true" t="shared" si="37" ref="V106:W123">+T106/J106*100</f>
        <v>100</v>
      </c>
      <c r="W106" s="41">
        <f t="shared" si="37"/>
        <v>82.31314828341854</v>
      </c>
      <c r="X106" s="42">
        <f t="shared" si="34"/>
        <v>24</v>
      </c>
      <c r="Y106" s="42">
        <f t="shared" si="34"/>
        <v>528660.1</v>
      </c>
      <c r="Z106" s="43">
        <f t="shared" si="35"/>
        <v>40</v>
      </c>
      <c r="AA106" s="43">
        <f t="shared" si="35"/>
        <v>73.3231761442441</v>
      </c>
      <c r="AB106" s="99"/>
      <c r="AC106" s="70"/>
      <c r="AD106" s="226">
        <f>+U106+U108</f>
        <v>373060.1</v>
      </c>
    </row>
    <row r="107" spans="1:30" s="53" customFormat="1" ht="51" customHeight="1">
      <c r="A107" s="96"/>
      <c r="B107" s="361"/>
      <c r="C107" s="428"/>
      <c r="D107" s="81" t="s">
        <v>132</v>
      </c>
      <c r="E107" s="151" t="s">
        <v>133</v>
      </c>
      <c r="F107" s="136">
        <v>60</v>
      </c>
      <c r="G107" s="136">
        <v>293000</v>
      </c>
      <c r="H107" s="82">
        <v>12</v>
      </c>
      <c r="I107" s="82">
        <v>80000</v>
      </c>
      <c r="J107" s="138">
        <v>12</v>
      </c>
      <c r="K107" s="82">
        <v>80000</v>
      </c>
      <c r="L107" s="85">
        <v>0</v>
      </c>
      <c r="M107" s="305">
        <v>0</v>
      </c>
      <c r="N107" s="307">
        <v>3</v>
      </c>
      <c r="O107" s="351">
        <v>42768</v>
      </c>
      <c r="P107" s="82">
        <v>3</v>
      </c>
      <c r="Q107" s="376">
        <v>22206</v>
      </c>
      <c r="R107" s="84">
        <v>6</v>
      </c>
      <c r="S107" s="85">
        <f>80000-Q107-O107-M107</f>
        <v>15026</v>
      </c>
      <c r="T107" s="39">
        <f>SUM(L107+N107+P107+R107)</f>
        <v>12</v>
      </c>
      <c r="U107" s="149">
        <f>SUM(M107+O107+Q107+S107)</f>
        <v>80000</v>
      </c>
      <c r="V107" s="40">
        <f>+T107/J107*100</f>
        <v>100</v>
      </c>
      <c r="W107" s="40">
        <f>+U107/K107*100</f>
        <v>100</v>
      </c>
      <c r="X107" s="42">
        <f>+H107+T107</f>
        <v>24</v>
      </c>
      <c r="Y107" s="42">
        <f>+I107+U107</f>
        <v>160000</v>
      </c>
      <c r="Z107" s="43">
        <f>+X107/F107*100</f>
        <v>40</v>
      </c>
      <c r="AA107" s="43">
        <f>+Y107/G107*100</f>
        <v>54.60750853242321</v>
      </c>
      <c r="AB107" s="99"/>
      <c r="AC107" s="70"/>
      <c r="AD107" s="226"/>
    </row>
    <row r="108" spans="1:30" s="53" customFormat="1" ht="51" customHeight="1">
      <c r="A108" s="96"/>
      <c r="B108" s="374"/>
      <c r="C108" s="427"/>
      <c r="D108" s="81" t="s">
        <v>268</v>
      </c>
      <c r="E108" s="151" t="s">
        <v>213</v>
      </c>
      <c r="F108" s="136"/>
      <c r="G108" s="136"/>
      <c r="H108" s="82"/>
      <c r="I108" s="82">
        <v>0</v>
      </c>
      <c r="J108" s="138">
        <v>100</v>
      </c>
      <c r="K108" s="82">
        <v>35000</v>
      </c>
      <c r="L108" s="85">
        <v>0</v>
      </c>
      <c r="M108" s="305">
        <v>0</v>
      </c>
      <c r="N108" s="307">
        <v>75</v>
      </c>
      <c r="O108" s="306">
        <f>32565.8-4493.8</f>
        <v>28072</v>
      </c>
      <c r="P108" s="82">
        <v>25</v>
      </c>
      <c r="Q108" s="82">
        <v>6928</v>
      </c>
      <c r="R108" s="85">
        <v>0</v>
      </c>
      <c r="S108" s="85">
        <v>0</v>
      </c>
      <c r="T108" s="39">
        <f t="shared" si="36"/>
        <v>100</v>
      </c>
      <c r="U108" s="149">
        <f t="shared" si="36"/>
        <v>35000</v>
      </c>
      <c r="V108" s="40">
        <f t="shared" si="37"/>
        <v>100</v>
      </c>
      <c r="W108" s="40">
        <f t="shared" si="37"/>
        <v>100</v>
      </c>
      <c r="X108" s="42">
        <f t="shared" si="34"/>
        <v>100</v>
      </c>
      <c r="Y108" s="42">
        <f t="shared" si="34"/>
        <v>35000</v>
      </c>
      <c r="Z108" s="43" t="e">
        <f t="shared" si="35"/>
        <v>#DIV/0!</v>
      </c>
      <c r="AA108" s="43" t="e">
        <f t="shared" si="35"/>
        <v>#DIV/0!</v>
      </c>
      <c r="AB108" s="99"/>
      <c r="AC108" s="70"/>
      <c r="AD108" s="226"/>
    </row>
    <row r="109" spans="1:31" s="88" customFormat="1" ht="61.5" customHeight="1">
      <c r="A109" s="60"/>
      <c r="B109" s="375"/>
      <c r="C109" s="134" t="s">
        <v>134</v>
      </c>
      <c r="D109" s="134" t="s">
        <v>135</v>
      </c>
      <c r="E109" s="230" t="s">
        <v>100</v>
      </c>
      <c r="F109" s="136">
        <v>5</v>
      </c>
      <c r="G109" s="136">
        <v>274000</v>
      </c>
      <c r="H109" s="82">
        <v>1</v>
      </c>
      <c r="I109" s="82">
        <v>23735</v>
      </c>
      <c r="J109" s="38">
        <v>1</v>
      </c>
      <c r="K109" s="82">
        <f>35000+40000</f>
        <v>75000</v>
      </c>
      <c r="L109" s="82">
        <v>0</v>
      </c>
      <c r="M109" s="305">
        <v>0</v>
      </c>
      <c r="N109" s="306">
        <v>1</v>
      </c>
      <c r="O109" s="306">
        <f>35000+28380</f>
        <v>63380</v>
      </c>
      <c r="P109" s="86">
        <v>0</v>
      </c>
      <c r="Q109" s="91">
        <v>7980</v>
      </c>
      <c r="R109" s="86">
        <v>0</v>
      </c>
      <c r="S109" s="82">
        <v>4750.013</v>
      </c>
      <c r="T109" s="39">
        <f t="shared" si="36"/>
        <v>1</v>
      </c>
      <c r="U109" s="39">
        <f t="shared" si="36"/>
        <v>76110.013</v>
      </c>
      <c r="V109" s="231">
        <f>+T109/J109*100</f>
        <v>100</v>
      </c>
      <c r="W109" s="232">
        <f t="shared" si="37"/>
        <v>101.48001733333334</v>
      </c>
      <c r="X109" s="233">
        <f t="shared" si="34"/>
        <v>2</v>
      </c>
      <c r="Y109" s="233">
        <f t="shared" si="34"/>
        <v>99845.013</v>
      </c>
      <c r="Z109" s="234">
        <f t="shared" si="35"/>
        <v>40</v>
      </c>
      <c r="AA109" s="234">
        <f t="shared" si="35"/>
        <v>36.43978576642336</v>
      </c>
      <c r="AB109" s="86"/>
      <c r="AC109" s="235"/>
      <c r="AD109" s="236">
        <f>+U109+U110+U111+U112</f>
        <v>198530.013</v>
      </c>
      <c r="AE109" s="224"/>
    </row>
    <row r="110" spans="1:31" s="53" customFormat="1" ht="49.5" customHeight="1">
      <c r="A110" s="96"/>
      <c r="B110" s="350"/>
      <c r="C110" s="372"/>
      <c r="D110" s="81" t="s">
        <v>136</v>
      </c>
      <c r="E110" s="151" t="s">
        <v>100</v>
      </c>
      <c r="F110" s="136">
        <v>5</v>
      </c>
      <c r="G110" s="136">
        <v>145500</v>
      </c>
      <c r="H110" s="82">
        <v>1</v>
      </c>
      <c r="I110" s="82">
        <v>36400</v>
      </c>
      <c r="J110" s="138">
        <v>1</v>
      </c>
      <c r="K110" s="82">
        <v>15000</v>
      </c>
      <c r="L110" s="85">
        <v>0</v>
      </c>
      <c r="M110" s="305">
        <v>0</v>
      </c>
      <c r="N110" s="308">
        <v>1</v>
      </c>
      <c r="O110" s="306">
        <v>15000</v>
      </c>
      <c r="P110" s="82">
        <v>0</v>
      </c>
      <c r="Q110" s="82">
        <v>0</v>
      </c>
      <c r="R110" s="85">
        <v>0</v>
      </c>
      <c r="S110" s="85">
        <v>0</v>
      </c>
      <c r="T110" s="112">
        <f t="shared" si="36"/>
        <v>1</v>
      </c>
      <c r="U110" s="39">
        <f t="shared" si="36"/>
        <v>15000</v>
      </c>
      <c r="V110" s="40">
        <f t="shared" si="37"/>
        <v>100</v>
      </c>
      <c r="W110" s="41">
        <f t="shared" si="37"/>
        <v>100</v>
      </c>
      <c r="X110" s="42">
        <f t="shared" si="34"/>
        <v>2</v>
      </c>
      <c r="Y110" s="42">
        <f t="shared" si="34"/>
        <v>51400</v>
      </c>
      <c r="Z110" s="43">
        <f t="shared" si="35"/>
        <v>40</v>
      </c>
      <c r="AA110" s="43">
        <f t="shared" si="35"/>
        <v>35.32646048109966</v>
      </c>
      <c r="AB110" s="99"/>
      <c r="AC110" s="70"/>
      <c r="AD110" s="227"/>
      <c r="AE110" s="226"/>
    </row>
    <row r="111" spans="1:30" s="53" customFormat="1" ht="58.5" customHeight="1">
      <c r="A111" s="96"/>
      <c r="B111" s="97"/>
      <c r="C111" s="372"/>
      <c r="D111" s="81" t="s">
        <v>137</v>
      </c>
      <c r="E111" s="151" t="s">
        <v>100</v>
      </c>
      <c r="F111" s="136">
        <v>18</v>
      </c>
      <c r="G111" s="313">
        <v>1704199</v>
      </c>
      <c r="H111" s="82">
        <v>1</v>
      </c>
      <c r="I111" s="82">
        <v>117850</v>
      </c>
      <c r="J111" s="115">
        <v>1</v>
      </c>
      <c r="K111" s="82">
        <v>109300</v>
      </c>
      <c r="L111" s="85">
        <v>0</v>
      </c>
      <c r="M111" s="296">
        <v>0</v>
      </c>
      <c r="N111" s="82">
        <v>1</v>
      </c>
      <c r="O111" s="82">
        <v>107420</v>
      </c>
      <c r="P111" s="82">
        <v>0</v>
      </c>
      <c r="Q111" s="82">
        <v>0</v>
      </c>
      <c r="R111" s="84">
        <v>0</v>
      </c>
      <c r="S111" s="84">
        <v>0</v>
      </c>
      <c r="T111" s="112">
        <f t="shared" si="36"/>
        <v>1</v>
      </c>
      <c r="U111" s="39">
        <f t="shared" si="36"/>
        <v>107420</v>
      </c>
      <c r="V111" s="40">
        <f t="shared" si="37"/>
        <v>100</v>
      </c>
      <c r="W111" s="41">
        <f t="shared" si="37"/>
        <v>98.27996340347667</v>
      </c>
      <c r="X111" s="42">
        <f t="shared" si="34"/>
        <v>2</v>
      </c>
      <c r="Y111" s="42">
        <f t="shared" si="34"/>
        <v>225270</v>
      </c>
      <c r="Z111" s="43">
        <f t="shared" si="35"/>
        <v>11.11111111111111</v>
      </c>
      <c r="AA111" s="43">
        <f t="shared" si="35"/>
        <v>13.218526709615485</v>
      </c>
      <c r="AB111" s="99"/>
      <c r="AC111" s="70"/>
      <c r="AD111" s="229"/>
    </row>
    <row r="112" spans="1:30" s="53" customFormat="1" ht="76.5" customHeight="1">
      <c r="A112" s="96"/>
      <c r="B112" s="97"/>
      <c r="C112" s="262"/>
      <c r="D112" s="81" t="s">
        <v>138</v>
      </c>
      <c r="E112" s="151" t="s">
        <v>100</v>
      </c>
      <c r="F112" s="136">
        <v>11</v>
      </c>
      <c r="G112" s="136">
        <v>900000</v>
      </c>
      <c r="H112" s="82">
        <v>1</v>
      </c>
      <c r="I112" s="82">
        <v>195615</v>
      </c>
      <c r="J112" s="115">
        <v>0</v>
      </c>
      <c r="K112" s="216">
        <v>0</v>
      </c>
      <c r="L112" s="85">
        <v>0</v>
      </c>
      <c r="M112" s="297">
        <v>0</v>
      </c>
      <c r="N112" s="82">
        <v>0</v>
      </c>
      <c r="O112" s="82">
        <v>0</v>
      </c>
      <c r="P112" s="82">
        <v>0</v>
      </c>
      <c r="Q112" s="82">
        <v>0</v>
      </c>
      <c r="R112" s="84"/>
      <c r="S112" s="84"/>
      <c r="T112" s="112">
        <f t="shared" si="36"/>
        <v>0</v>
      </c>
      <c r="U112" s="39">
        <f t="shared" si="36"/>
        <v>0</v>
      </c>
      <c r="V112" s="40" t="e">
        <f t="shared" si="37"/>
        <v>#DIV/0!</v>
      </c>
      <c r="W112" s="41" t="e">
        <f t="shared" si="37"/>
        <v>#DIV/0!</v>
      </c>
      <c r="X112" s="42">
        <f t="shared" si="34"/>
        <v>1</v>
      </c>
      <c r="Y112" s="42">
        <f t="shared" si="34"/>
        <v>195615</v>
      </c>
      <c r="Z112" s="43">
        <f t="shared" si="35"/>
        <v>9.090909090909092</v>
      </c>
      <c r="AA112" s="43">
        <f t="shared" si="35"/>
        <v>21.735</v>
      </c>
      <c r="AB112" s="99"/>
      <c r="AC112" s="70"/>
      <c r="AD112" s="226"/>
    </row>
    <row r="113" spans="1:29" s="53" customFormat="1" ht="57" customHeight="1">
      <c r="A113" s="96"/>
      <c r="B113" s="97"/>
      <c r="C113" s="152"/>
      <c r="D113" s="153" t="s">
        <v>139</v>
      </c>
      <c r="E113" s="154" t="s">
        <v>127</v>
      </c>
      <c r="F113" s="314">
        <v>0</v>
      </c>
      <c r="G113" s="82">
        <v>324199</v>
      </c>
      <c r="H113" s="82">
        <v>0</v>
      </c>
      <c r="I113" s="82">
        <v>0</v>
      </c>
      <c r="J113" s="115">
        <v>0</v>
      </c>
      <c r="K113" s="82">
        <v>0</v>
      </c>
      <c r="L113" s="85">
        <v>0</v>
      </c>
      <c r="M113" s="298">
        <v>0</v>
      </c>
      <c r="N113" s="101"/>
      <c r="O113" s="82">
        <v>0</v>
      </c>
      <c r="P113" s="82">
        <v>0</v>
      </c>
      <c r="Q113" s="82">
        <v>0</v>
      </c>
      <c r="R113" s="85">
        <v>0</v>
      </c>
      <c r="S113" s="85">
        <v>0</v>
      </c>
      <c r="T113" s="163">
        <f t="shared" si="36"/>
        <v>0</v>
      </c>
      <c r="U113" s="39">
        <f t="shared" si="36"/>
        <v>0</v>
      </c>
      <c r="V113" s="40" t="e">
        <f t="shared" si="37"/>
        <v>#DIV/0!</v>
      </c>
      <c r="W113" s="41" t="e">
        <f t="shared" si="37"/>
        <v>#DIV/0!</v>
      </c>
      <c r="X113" s="42">
        <f t="shared" si="34"/>
        <v>0</v>
      </c>
      <c r="Y113" s="42">
        <f t="shared" si="34"/>
        <v>0</v>
      </c>
      <c r="Z113" s="43" t="e">
        <f t="shared" si="35"/>
        <v>#DIV/0!</v>
      </c>
      <c r="AA113" s="43">
        <f t="shared" si="35"/>
        <v>0</v>
      </c>
      <c r="AB113" s="99"/>
      <c r="AC113" s="70"/>
    </row>
    <row r="114" spans="1:29" s="53" customFormat="1" ht="66.75" customHeight="1">
      <c r="A114" s="96"/>
      <c r="B114" s="97"/>
      <c r="C114" s="81" t="s">
        <v>140</v>
      </c>
      <c r="D114" s="81" t="s">
        <v>141</v>
      </c>
      <c r="E114" s="155" t="s">
        <v>142</v>
      </c>
      <c r="F114" s="313">
        <f>40*5</f>
        <v>200</v>
      </c>
      <c r="G114" s="313">
        <v>215000</v>
      </c>
      <c r="H114" s="82">
        <v>36</v>
      </c>
      <c r="I114" s="82">
        <v>45000</v>
      </c>
      <c r="J114" s="115">
        <v>36</v>
      </c>
      <c r="K114" s="82">
        <v>40000</v>
      </c>
      <c r="L114" s="85">
        <v>3</v>
      </c>
      <c r="M114" s="296">
        <v>2350</v>
      </c>
      <c r="N114" s="85">
        <v>3</v>
      </c>
      <c r="O114" s="91">
        <f>17350-M114</f>
        <v>15000</v>
      </c>
      <c r="P114" s="82">
        <v>0</v>
      </c>
      <c r="Q114" s="82">
        <v>0</v>
      </c>
      <c r="R114" s="84"/>
      <c r="S114" s="85">
        <f>33231.9-Q114-O114-M114</f>
        <v>15881.900000000001</v>
      </c>
      <c r="T114" s="112">
        <f>SUM(L114+N114+P114+R114)</f>
        <v>6</v>
      </c>
      <c r="U114" s="349">
        <f t="shared" si="36"/>
        <v>33231.9</v>
      </c>
      <c r="V114" s="40">
        <f>+T114/J114*100</f>
        <v>16.666666666666664</v>
      </c>
      <c r="W114" s="41">
        <f t="shared" si="37"/>
        <v>83.07975</v>
      </c>
      <c r="X114" s="42">
        <f>+H114+T114</f>
        <v>42</v>
      </c>
      <c r="Y114" s="42">
        <f t="shared" si="34"/>
        <v>78231.9</v>
      </c>
      <c r="Z114" s="43">
        <f t="shared" si="35"/>
        <v>21</v>
      </c>
      <c r="AA114" s="43">
        <f t="shared" si="35"/>
        <v>36.386930232558136</v>
      </c>
      <c r="AB114" s="99"/>
      <c r="AC114" s="70"/>
    </row>
    <row r="115" spans="1:29" s="53" customFormat="1" ht="62.25" customHeight="1">
      <c r="A115" s="96"/>
      <c r="B115" s="97"/>
      <c r="C115" s="81" t="s">
        <v>143</v>
      </c>
      <c r="D115" s="81" t="s">
        <v>144</v>
      </c>
      <c r="E115" s="131" t="s">
        <v>145</v>
      </c>
      <c r="F115" s="313">
        <v>40</v>
      </c>
      <c r="G115" s="313">
        <v>169000</v>
      </c>
      <c r="H115" s="82">
        <v>0</v>
      </c>
      <c r="I115" s="82">
        <v>0</v>
      </c>
      <c r="J115" s="115">
        <v>0</v>
      </c>
      <c r="K115" s="82">
        <v>0</v>
      </c>
      <c r="L115" s="85">
        <v>0</v>
      </c>
      <c r="M115" s="296">
        <v>0</v>
      </c>
      <c r="N115" s="85"/>
      <c r="O115" s="82"/>
      <c r="P115" s="82">
        <v>0</v>
      </c>
      <c r="Q115" s="82">
        <v>0</v>
      </c>
      <c r="R115" s="84"/>
      <c r="S115" s="85"/>
      <c r="T115" s="112">
        <f t="shared" si="36"/>
        <v>0</v>
      </c>
      <c r="U115" s="39">
        <f>SUM(M115+O115+Q115+S115)</f>
        <v>0</v>
      </c>
      <c r="V115" s="41" t="e">
        <f>+T115/J115*100</f>
        <v>#DIV/0!</v>
      </c>
      <c r="W115" s="41" t="e">
        <f t="shared" si="37"/>
        <v>#DIV/0!</v>
      </c>
      <c r="X115" s="42">
        <f t="shared" si="34"/>
        <v>0</v>
      </c>
      <c r="Y115" s="42">
        <f t="shared" si="34"/>
        <v>0</v>
      </c>
      <c r="Z115" s="43">
        <f t="shared" si="35"/>
        <v>0</v>
      </c>
      <c r="AA115" s="43">
        <f t="shared" si="35"/>
        <v>0</v>
      </c>
      <c r="AB115" s="99"/>
      <c r="AC115" s="70"/>
    </row>
    <row r="116" spans="1:29" s="53" customFormat="1" ht="72.75" customHeight="1">
      <c r="A116" s="96"/>
      <c r="B116" s="97"/>
      <c r="C116" s="81" t="s">
        <v>146</v>
      </c>
      <c r="D116" s="81" t="s">
        <v>147</v>
      </c>
      <c r="E116" s="155" t="s">
        <v>148</v>
      </c>
      <c r="F116" s="136">
        <v>6</v>
      </c>
      <c r="G116" s="136">
        <v>264000</v>
      </c>
      <c r="H116" s="82">
        <v>2</v>
      </c>
      <c r="I116" s="82">
        <v>55000</v>
      </c>
      <c r="J116" s="115">
        <v>2</v>
      </c>
      <c r="K116" s="82">
        <v>70000</v>
      </c>
      <c r="L116" s="85">
        <v>0</v>
      </c>
      <c r="M116" s="296">
        <v>0</v>
      </c>
      <c r="N116" s="85">
        <v>1</v>
      </c>
      <c r="O116" s="91">
        <v>2725</v>
      </c>
      <c r="P116" s="82">
        <v>1</v>
      </c>
      <c r="Q116" s="82">
        <f>17160-O116</f>
        <v>14435</v>
      </c>
      <c r="R116" s="84"/>
      <c r="S116" s="85">
        <f>69845-Q116-O116</f>
        <v>52685</v>
      </c>
      <c r="T116" s="112">
        <f t="shared" si="36"/>
        <v>2</v>
      </c>
      <c r="U116" s="39">
        <f>SUM(M116+O116+Q116+S116)</f>
        <v>69845</v>
      </c>
      <c r="V116" s="40">
        <f>+T116/J116*100</f>
        <v>100</v>
      </c>
      <c r="W116" s="41">
        <f t="shared" si="37"/>
        <v>99.77857142857142</v>
      </c>
      <c r="X116" s="42">
        <f t="shared" si="34"/>
        <v>4</v>
      </c>
      <c r="Y116" s="42">
        <f t="shared" si="34"/>
        <v>124845</v>
      </c>
      <c r="Z116" s="43">
        <f t="shared" si="35"/>
        <v>66.66666666666666</v>
      </c>
      <c r="AA116" s="43">
        <f t="shared" si="35"/>
        <v>47.28977272727273</v>
      </c>
      <c r="AB116" s="99"/>
      <c r="AC116" s="70"/>
    </row>
    <row r="117" spans="1:29" s="53" customFormat="1" ht="60.75" customHeight="1">
      <c r="A117" s="96"/>
      <c r="B117" s="97"/>
      <c r="C117" s="81" t="s">
        <v>149</v>
      </c>
      <c r="D117" s="81" t="s">
        <v>150</v>
      </c>
      <c r="E117" s="131" t="s">
        <v>100</v>
      </c>
      <c r="F117" s="313">
        <v>5</v>
      </c>
      <c r="G117" s="313">
        <v>298000</v>
      </c>
      <c r="H117" s="82">
        <v>0</v>
      </c>
      <c r="I117" s="82">
        <v>0</v>
      </c>
      <c r="J117" s="90">
        <v>2</v>
      </c>
      <c r="K117" s="82">
        <v>70000</v>
      </c>
      <c r="L117" s="85">
        <v>0</v>
      </c>
      <c r="M117" s="296">
        <v>0</v>
      </c>
      <c r="N117" s="85">
        <v>1</v>
      </c>
      <c r="O117" s="91">
        <v>9170</v>
      </c>
      <c r="P117" s="82">
        <v>1</v>
      </c>
      <c r="Q117" s="82">
        <f>9620-O117</f>
        <v>450</v>
      </c>
      <c r="R117" s="84"/>
      <c r="S117" s="85">
        <f>69650-Q117-O117</f>
        <v>60030</v>
      </c>
      <c r="T117" s="112">
        <f t="shared" si="36"/>
        <v>2</v>
      </c>
      <c r="U117" s="39">
        <f t="shared" si="36"/>
        <v>69650</v>
      </c>
      <c r="V117" s="41">
        <f t="shared" si="37"/>
        <v>100</v>
      </c>
      <c r="W117" s="41">
        <f t="shared" si="37"/>
        <v>99.5</v>
      </c>
      <c r="X117" s="42">
        <f t="shared" si="34"/>
        <v>2</v>
      </c>
      <c r="Y117" s="42">
        <f t="shared" si="34"/>
        <v>69650</v>
      </c>
      <c r="Z117" s="43">
        <f t="shared" si="35"/>
        <v>40</v>
      </c>
      <c r="AA117" s="43">
        <f t="shared" si="35"/>
        <v>23.372483221476507</v>
      </c>
      <c r="AB117" s="99"/>
      <c r="AC117" s="70"/>
    </row>
    <row r="118" spans="1:29" s="53" customFormat="1" ht="103.5" customHeight="1">
      <c r="A118" s="96"/>
      <c r="B118" s="97"/>
      <c r="C118" s="81" t="s">
        <v>151</v>
      </c>
      <c r="D118" s="81" t="s">
        <v>152</v>
      </c>
      <c r="E118" s="131" t="s">
        <v>102</v>
      </c>
      <c r="F118" s="136">
        <v>16</v>
      </c>
      <c r="G118" s="136">
        <v>3377000</v>
      </c>
      <c r="H118" s="82">
        <v>9</v>
      </c>
      <c r="I118" s="82">
        <v>311700</v>
      </c>
      <c r="J118" s="115">
        <v>4</v>
      </c>
      <c r="K118" s="82">
        <v>158000</v>
      </c>
      <c r="L118" s="85">
        <v>0</v>
      </c>
      <c r="M118" s="296">
        <v>0</v>
      </c>
      <c r="N118" s="85">
        <v>1</v>
      </c>
      <c r="O118" s="91">
        <v>4000</v>
      </c>
      <c r="P118" s="82">
        <v>0</v>
      </c>
      <c r="Q118" s="82">
        <v>0</v>
      </c>
      <c r="R118" s="84"/>
      <c r="S118" s="85">
        <f>157700-Q118-O118</f>
        <v>153700</v>
      </c>
      <c r="T118" s="112">
        <f t="shared" si="36"/>
        <v>1</v>
      </c>
      <c r="U118" s="39">
        <f t="shared" si="36"/>
        <v>157700</v>
      </c>
      <c r="V118" s="40">
        <f t="shared" si="37"/>
        <v>25</v>
      </c>
      <c r="W118" s="41">
        <f t="shared" si="37"/>
        <v>99.81012658227849</v>
      </c>
      <c r="X118" s="42">
        <f t="shared" si="34"/>
        <v>10</v>
      </c>
      <c r="Y118" s="42">
        <f t="shared" si="34"/>
        <v>469400</v>
      </c>
      <c r="Z118" s="43">
        <f t="shared" si="35"/>
        <v>62.5</v>
      </c>
      <c r="AA118" s="43">
        <f t="shared" si="35"/>
        <v>13.89991116375481</v>
      </c>
      <c r="AB118" s="99"/>
      <c r="AC118" s="70"/>
    </row>
    <row r="119" spans="1:29" s="53" customFormat="1" ht="66" customHeight="1">
      <c r="A119" s="96"/>
      <c r="B119" s="97"/>
      <c r="C119" s="81" t="s">
        <v>153</v>
      </c>
      <c r="D119" s="81" t="s">
        <v>154</v>
      </c>
      <c r="E119" s="131" t="s">
        <v>155</v>
      </c>
      <c r="F119" s="136">
        <f>15*5</f>
        <v>75</v>
      </c>
      <c r="G119" s="136">
        <v>288000</v>
      </c>
      <c r="H119" s="82">
        <v>30</v>
      </c>
      <c r="I119" s="82">
        <v>35315</v>
      </c>
      <c r="J119" s="115">
        <v>30</v>
      </c>
      <c r="K119" s="82">
        <v>20000</v>
      </c>
      <c r="L119" s="156">
        <v>3</v>
      </c>
      <c r="M119" s="157">
        <v>1025</v>
      </c>
      <c r="N119" s="156">
        <v>1</v>
      </c>
      <c r="O119" s="157">
        <f>1295-M119</f>
        <v>270</v>
      </c>
      <c r="P119" s="82">
        <v>1</v>
      </c>
      <c r="Q119" s="82">
        <f>7055-O119-M119</f>
        <v>5760</v>
      </c>
      <c r="R119" s="84"/>
      <c r="S119" s="85">
        <f>14980-Q119-O119-M119</f>
        <v>7925</v>
      </c>
      <c r="T119" s="112">
        <f t="shared" si="36"/>
        <v>5</v>
      </c>
      <c r="U119" s="39">
        <f>SUM(M119+O119+Q119+S119)</f>
        <v>14980</v>
      </c>
      <c r="V119" s="40">
        <f t="shared" si="37"/>
        <v>16.666666666666664</v>
      </c>
      <c r="W119" s="41">
        <f t="shared" si="37"/>
        <v>74.9</v>
      </c>
      <c r="X119" s="42">
        <f t="shared" si="34"/>
        <v>35</v>
      </c>
      <c r="Y119" s="42">
        <f t="shared" si="34"/>
        <v>50295</v>
      </c>
      <c r="Z119" s="43">
        <f t="shared" si="35"/>
        <v>46.666666666666664</v>
      </c>
      <c r="AA119" s="43">
        <f t="shared" si="35"/>
        <v>17.463541666666664</v>
      </c>
      <c r="AB119" s="99"/>
      <c r="AC119" s="70"/>
    </row>
    <row r="120" spans="1:29" s="53" customFormat="1" ht="57" customHeight="1">
      <c r="A120" s="96"/>
      <c r="B120" s="97"/>
      <c r="C120" s="81" t="s">
        <v>156</v>
      </c>
      <c r="D120" s="81" t="s">
        <v>157</v>
      </c>
      <c r="E120" s="131" t="s">
        <v>116</v>
      </c>
      <c r="F120" s="136">
        <f>80*5</f>
        <v>400</v>
      </c>
      <c r="G120" s="167">
        <v>164000</v>
      </c>
      <c r="H120" s="82">
        <v>160</v>
      </c>
      <c r="I120" s="82">
        <v>40000</v>
      </c>
      <c r="J120" s="115">
        <v>160</v>
      </c>
      <c r="K120" s="82">
        <v>0</v>
      </c>
      <c r="L120" s="85">
        <v>0</v>
      </c>
      <c r="M120" s="296">
        <v>0</v>
      </c>
      <c r="N120" s="85">
        <v>0</v>
      </c>
      <c r="O120" s="296">
        <v>0</v>
      </c>
      <c r="P120" s="85">
        <v>0</v>
      </c>
      <c r="Q120" s="296">
        <v>0</v>
      </c>
      <c r="R120" s="84"/>
      <c r="S120" s="85"/>
      <c r="T120" s="112">
        <f t="shared" si="36"/>
        <v>0</v>
      </c>
      <c r="U120" s="39">
        <f t="shared" si="36"/>
        <v>0</v>
      </c>
      <c r="V120" s="41">
        <f t="shared" si="37"/>
        <v>0</v>
      </c>
      <c r="W120" s="41" t="e">
        <f t="shared" si="37"/>
        <v>#DIV/0!</v>
      </c>
      <c r="X120" s="42">
        <f t="shared" si="34"/>
        <v>160</v>
      </c>
      <c r="Y120" s="42">
        <f t="shared" si="34"/>
        <v>40000</v>
      </c>
      <c r="Z120" s="43">
        <f t="shared" si="35"/>
        <v>40</v>
      </c>
      <c r="AA120" s="43">
        <f t="shared" si="35"/>
        <v>24.390243902439025</v>
      </c>
      <c r="AB120" s="99"/>
      <c r="AC120" s="70"/>
    </row>
    <row r="121" spans="1:29" s="53" customFormat="1" ht="78" customHeight="1">
      <c r="A121" s="96"/>
      <c r="B121" s="97"/>
      <c r="C121" s="81" t="s">
        <v>158</v>
      </c>
      <c r="D121" s="81" t="s">
        <v>122</v>
      </c>
      <c r="E121" s="131" t="s">
        <v>97</v>
      </c>
      <c r="F121" s="136">
        <f>12*5</f>
        <v>60</v>
      </c>
      <c r="G121" s="167">
        <v>67600</v>
      </c>
      <c r="H121" s="82">
        <v>0</v>
      </c>
      <c r="I121" s="82">
        <v>0</v>
      </c>
      <c r="J121" s="90">
        <v>0</v>
      </c>
      <c r="K121" s="82">
        <v>0</v>
      </c>
      <c r="L121" s="85">
        <v>0</v>
      </c>
      <c r="M121" s="296">
        <v>0</v>
      </c>
      <c r="N121" s="85">
        <v>0</v>
      </c>
      <c r="O121" s="296">
        <v>0</v>
      </c>
      <c r="P121" s="85">
        <v>0</v>
      </c>
      <c r="Q121" s="296">
        <v>0</v>
      </c>
      <c r="R121" s="85">
        <v>0</v>
      </c>
      <c r="S121" s="296">
        <v>0</v>
      </c>
      <c r="T121" s="112">
        <f t="shared" si="36"/>
        <v>0</v>
      </c>
      <c r="U121" s="39">
        <f t="shared" si="36"/>
        <v>0</v>
      </c>
      <c r="V121" s="159" t="e">
        <f>+T121/J121*100</f>
        <v>#DIV/0!</v>
      </c>
      <c r="W121" s="41" t="e">
        <f t="shared" si="37"/>
        <v>#DIV/0!</v>
      </c>
      <c r="X121" s="42">
        <f t="shared" si="34"/>
        <v>0</v>
      </c>
      <c r="Y121" s="42">
        <f t="shared" si="34"/>
        <v>0</v>
      </c>
      <c r="Z121" s="43">
        <f t="shared" si="35"/>
        <v>0</v>
      </c>
      <c r="AA121" s="43">
        <f t="shared" si="35"/>
        <v>0</v>
      </c>
      <c r="AB121" s="99"/>
      <c r="AC121" s="70"/>
    </row>
    <row r="122" spans="1:29" s="53" customFormat="1" ht="60.75" customHeight="1">
      <c r="A122" s="96"/>
      <c r="B122" s="97"/>
      <c r="C122" s="81" t="s">
        <v>159</v>
      </c>
      <c r="D122" s="81" t="s">
        <v>160</v>
      </c>
      <c r="E122" s="160" t="s">
        <v>100</v>
      </c>
      <c r="F122" s="315">
        <v>0</v>
      </c>
      <c r="G122" s="85">
        <v>0</v>
      </c>
      <c r="H122" s="82">
        <v>0</v>
      </c>
      <c r="I122" s="82">
        <v>0</v>
      </c>
      <c r="J122" s="90">
        <v>0</v>
      </c>
      <c r="K122" s="82">
        <v>0</v>
      </c>
      <c r="L122" s="85">
        <v>0</v>
      </c>
      <c r="M122" s="85">
        <v>0</v>
      </c>
      <c r="N122" s="85">
        <v>0</v>
      </c>
      <c r="O122" s="85">
        <v>0</v>
      </c>
      <c r="P122" s="85">
        <v>0</v>
      </c>
      <c r="Q122" s="85">
        <v>0</v>
      </c>
      <c r="R122" s="85">
        <v>0</v>
      </c>
      <c r="S122" s="85">
        <v>0</v>
      </c>
      <c r="T122" s="39">
        <f>SUM(L122+N122+P122+R122)</f>
        <v>0</v>
      </c>
      <c r="U122" s="39">
        <f>SUM(M122+O122+Q122+S122)</f>
        <v>0</v>
      </c>
      <c r="V122" s="41" t="e">
        <f>+T122/J122*100</f>
        <v>#DIV/0!</v>
      </c>
      <c r="W122" s="41" t="e">
        <f>+U122/K122*100</f>
        <v>#DIV/0!</v>
      </c>
      <c r="X122" s="42">
        <f>+H122+T122</f>
        <v>0</v>
      </c>
      <c r="Y122" s="42">
        <f>+I122+U122</f>
        <v>0</v>
      </c>
      <c r="Z122" s="43" t="e">
        <f>+X122/F122*100</f>
        <v>#DIV/0!</v>
      </c>
      <c r="AA122" s="43" t="e">
        <f>+Y122/G122*100</f>
        <v>#DIV/0!</v>
      </c>
      <c r="AB122" s="99"/>
      <c r="AC122" s="70"/>
    </row>
    <row r="123" spans="1:29" s="53" customFormat="1" ht="104.25" customHeight="1">
      <c r="A123" s="96"/>
      <c r="B123" s="97"/>
      <c r="C123" s="81" t="s">
        <v>270</v>
      </c>
      <c r="D123" s="81" t="s">
        <v>271</v>
      </c>
      <c r="E123" s="160" t="s">
        <v>269</v>
      </c>
      <c r="F123" s="315">
        <v>0</v>
      </c>
      <c r="G123" s="85">
        <v>0</v>
      </c>
      <c r="H123" s="82">
        <v>0</v>
      </c>
      <c r="I123" s="82">
        <v>0</v>
      </c>
      <c r="J123" s="90">
        <v>0</v>
      </c>
      <c r="K123" s="82">
        <v>0</v>
      </c>
      <c r="L123" s="85">
        <v>0</v>
      </c>
      <c r="M123" s="85">
        <v>0</v>
      </c>
      <c r="N123" s="85">
        <v>0</v>
      </c>
      <c r="O123" s="85">
        <v>0</v>
      </c>
      <c r="P123" s="85">
        <v>0</v>
      </c>
      <c r="Q123" s="85">
        <v>0</v>
      </c>
      <c r="R123" s="85">
        <v>0</v>
      </c>
      <c r="S123" s="85">
        <v>0</v>
      </c>
      <c r="T123" s="39">
        <f t="shared" si="36"/>
        <v>0</v>
      </c>
      <c r="U123" s="39">
        <f t="shared" si="36"/>
        <v>0</v>
      </c>
      <c r="V123" s="41" t="e">
        <f t="shared" si="37"/>
        <v>#DIV/0!</v>
      </c>
      <c r="W123" s="41" t="e">
        <f t="shared" si="37"/>
        <v>#DIV/0!</v>
      </c>
      <c r="X123" s="42">
        <f aca="true" t="shared" si="38" ref="X123:Y140">+H123+T123</f>
        <v>0</v>
      </c>
      <c r="Y123" s="42">
        <f t="shared" si="38"/>
        <v>0</v>
      </c>
      <c r="Z123" s="43" t="e">
        <f t="shared" si="35"/>
        <v>#DIV/0!</v>
      </c>
      <c r="AA123" s="43" t="e">
        <f t="shared" si="35"/>
        <v>#DIV/0!</v>
      </c>
      <c r="AB123" s="99"/>
      <c r="AC123" s="70"/>
    </row>
    <row r="124" spans="1:29" s="53" customFormat="1" ht="13.5">
      <c r="A124" s="96"/>
      <c r="B124" s="97"/>
      <c r="C124" s="81"/>
      <c r="D124" s="81"/>
      <c r="E124" s="161"/>
      <c r="F124" s="315"/>
      <c r="G124" s="85"/>
      <c r="H124" s="82"/>
      <c r="I124" s="82"/>
      <c r="J124" s="115"/>
      <c r="K124" s="143"/>
      <c r="L124" s="85"/>
      <c r="M124" s="85"/>
      <c r="N124" s="101"/>
      <c r="O124" s="100"/>
      <c r="P124" s="102"/>
      <c r="Q124" s="102"/>
      <c r="R124" s="101"/>
      <c r="S124" s="101"/>
      <c r="T124" s="112">
        <f aca="true" t="shared" si="39" ref="T124:U146">SUM(L124+N124+P124+R124)</f>
        <v>0</v>
      </c>
      <c r="U124" s="39">
        <f t="shared" si="39"/>
        <v>0</v>
      </c>
      <c r="V124" s="41" t="e">
        <f aca="true" t="shared" si="40" ref="V124:W146">+T124/J124*100</f>
        <v>#DIV/0!</v>
      </c>
      <c r="W124" s="41" t="e">
        <f t="shared" si="40"/>
        <v>#DIV/0!</v>
      </c>
      <c r="X124" s="42">
        <f t="shared" si="38"/>
        <v>0</v>
      </c>
      <c r="Y124" s="42">
        <f t="shared" si="38"/>
        <v>0</v>
      </c>
      <c r="Z124" s="43" t="e">
        <f t="shared" si="35"/>
        <v>#DIV/0!</v>
      </c>
      <c r="AA124" s="43" t="e">
        <f t="shared" si="35"/>
        <v>#DIV/0!</v>
      </c>
      <c r="AB124" s="99"/>
      <c r="AC124" s="70"/>
    </row>
    <row r="125" spans="1:29" s="111" customFormat="1" ht="66.75" customHeight="1">
      <c r="A125" s="104"/>
      <c r="B125" s="358"/>
      <c r="C125" s="72" t="s">
        <v>161</v>
      </c>
      <c r="D125" s="72"/>
      <c r="E125" s="39"/>
      <c r="F125" s="39">
        <f>SUM(F126:F154)</f>
        <v>1233</v>
      </c>
      <c r="G125" s="39">
        <f aca="true" t="shared" si="41" ref="G125:R125">SUM(G126:G154)</f>
        <v>4348500</v>
      </c>
      <c r="H125" s="39">
        <f t="shared" si="41"/>
        <v>128</v>
      </c>
      <c r="I125" s="39">
        <f t="shared" si="41"/>
        <v>919118</v>
      </c>
      <c r="J125" s="39">
        <f t="shared" si="41"/>
        <v>1577</v>
      </c>
      <c r="K125" s="39">
        <f t="shared" si="41"/>
        <v>826792</v>
      </c>
      <c r="L125" s="39">
        <f t="shared" si="41"/>
        <v>1541</v>
      </c>
      <c r="M125" s="39">
        <f t="shared" si="41"/>
        <v>79975</v>
      </c>
      <c r="N125" s="39">
        <f t="shared" si="41"/>
        <v>36</v>
      </c>
      <c r="O125" s="39">
        <f>SUM(O126:O154)</f>
        <v>345812</v>
      </c>
      <c r="P125" s="39">
        <f t="shared" si="41"/>
        <v>1</v>
      </c>
      <c r="Q125" s="39">
        <f t="shared" si="41"/>
        <v>120216</v>
      </c>
      <c r="R125" s="39">
        <f t="shared" si="41"/>
        <v>0</v>
      </c>
      <c r="S125" s="238">
        <f>SUM(S126:S154)</f>
        <v>268001</v>
      </c>
      <c r="T125" s="39">
        <f>SUM(L125+N125+P125+R125)</f>
        <v>1578</v>
      </c>
      <c r="U125" s="39">
        <f t="shared" si="39"/>
        <v>814004</v>
      </c>
      <c r="V125" s="240">
        <f t="shared" si="40"/>
        <v>100.06341154090043</v>
      </c>
      <c r="W125" s="107">
        <f t="shared" si="40"/>
        <v>98.45329901595564</v>
      </c>
      <c r="X125" s="108">
        <f t="shared" si="38"/>
        <v>1706</v>
      </c>
      <c r="Y125" s="108">
        <f t="shared" si="38"/>
        <v>1733122</v>
      </c>
      <c r="Z125" s="109">
        <f t="shared" si="35"/>
        <v>138.36171938361719</v>
      </c>
      <c r="AA125" s="109">
        <f t="shared" si="35"/>
        <v>39.85562837760147</v>
      </c>
      <c r="AB125" s="101"/>
      <c r="AC125" s="110"/>
    </row>
    <row r="126" spans="1:29" s="53" customFormat="1" ht="68.25" customHeight="1">
      <c r="A126" s="96"/>
      <c r="B126" s="361"/>
      <c r="C126" s="81" t="s">
        <v>162</v>
      </c>
      <c r="D126" s="81" t="s">
        <v>163</v>
      </c>
      <c r="E126" s="140" t="s">
        <v>127</v>
      </c>
      <c r="F126" s="167">
        <v>100</v>
      </c>
      <c r="G126" s="167">
        <v>945000</v>
      </c>
      <c r="H126" s="82">
        <v>0</v>
      </c>
      <c r="I126" s="82">
        <v>0</v>
      </c>
      <c r="J126" s="115">
        <v>0</v>
      </c>
      <c r="K126" s="82">
        <v>0</v>
      </c>
      <c r="L126" s="85">
        <v>0</v>
      </c>
      <c r="M126" s="85">
        <v>0</v>
      </c>
      <c r="N126" s="85">
        <v>0</v>
      </c>
      <c r="O126" s="82">
        <v>0</v>
      </c>
      <c r="P126" s="82">
        <v>0</v>
      </c>
      <c r="Q126" s="82">
        <v>0</v>
      </c>
      <c r="R126" s="85">
        <v>0</v>
      </c>
      <c r="S126" s="85">
        <v>0</v>
      </c>
      <c r="T126" s="112">
        <f t="shared" si="39"/>
        <v>0</v>
      </c>
      <c r="U126" s="39">
        <f t="shared" si="39"/>
        <v>0</v>
      </c>
      <c r="V126" s="239" t="e">
        <f t="shared" si="40"/>
        <v>#DIV/0!</v>
      </c>
      <c r="W126" s="41" t="e">
        <f t="shared" si="40"/>
        <v>#DIV/0!</v>
      </c>
      <c r="X126" s="42">
        <f t="shared" si="38"/>
        <v>0</v>
      </c>
      <c r="Y126" s="42">
        <f t="shared" si="38"/>
        <v>0</v>
      </c>
      <c r="Z126" s="43">
        <f t="shared" si="35"/>
        <v>0</v>
      </c>
      <c r="AA126" s="43">
        <f t="shared" si="35"/>
        <v>0</v>
      </c>
      <c r="AB126" s="99"/>
      <c r="AC126" s="70"/>
    </row>
    <row r="127" spans="1:29" s="53" customFormat="1" ht="68.25" customHeight="1">
      <c r="A127" s="96"/>
      <c r="B127" s="353">
        <f>+B126-B125</f>
        <v>0</v>
      </c>
      <c r="C127" s="81"/>
      <c r="D127" s="162" t="s">
        <v>164</v>
      </c>
      <c r="E127" s="140"/>
      <c r="F127" s="167"/>
      <c r="G127" s="167"/>
      <c r="H127" s="82">
        <v>0</v>
      </c>
      <c r="I127" s="82">
        <v>0</v>
      </c>
      <c r="J127" s="237">
        <f>1-1</f>
        <v>0</v>
      </c>
      <c r="K127" s="216">
        <f>203700-203700</f>
        <v>0</v>
      </c>
      <c r="L127" s="85">
        <v>0</v>
      </c>
      <c r="M127" s="85">
        <v>0</v>
      </c>
      <c r="N127" s="85">
        <v>0</v>
      </c>
      <c r="O127" s="82">
        <v>0</v>
      </c>
      <c r="P127" s="82">
        <v>0</v>
      </c>
      <c r="Q127" s="82">
        <v>0</v>
      </c>
      <c r="R127" s="85">
        <v>0</v>
      </c>
      <c r="S127" s="85">
        <v>0</v>
      </c>
      <c r="T127" s="112">
        <f>SUM(L127+N127+P127+R127)</f>
        <v>0</v>
      </c>
      <c r="U127" s="39">
        <f>SUM(M127+O127+Q127+S127)</f>
        <v>0</v>
      </c>
      <c r="V127" s="41" t="e">
        <f>+T127/J127*100</f>
        <v>#DIV/0!</v>
      </c>
      <c r="W127" s="41" t="e">
        <f>+U127/K127*100</f>
        <v>#DIV/0!</v>
      </c>
      <c r="X127" s="42">
        <f>+H127+T127</f>
        <v>0</v>
      </c>
      <c r="Y127" s="42">
        <f>+I127+U127</f>
        <v>0</v>
      </c>
      <c r="Z127" s="43" t="e">
        <f>+X127/F127*100</f>
        <v>#DIV/0!</v>
      </c>
      <c r="AA127" s="43" t="e">
        <f>+Y127/G127*100</f>
        <v>#DIV/0!</v>
      </c>
      <c r="AB127" s="99"/>
      <c r="AC127" s="70"/>
    </row>
    <row r="128" spans="1:29" s="53" customFormat="1" ht="30" customHeight="1">
      <c r="A128" s="96"/>
      <c r="B128" s="97"/>
      <c r="C128" s="81"/>
      <c r="D128" s="162" t="s">
        <v>272</v>
      </c>
      <c r="E128" s="140" t="s">
        <v>193</v>
      </c>
      <c r="F128" s="167"/>
      <c r="G128" s="167"/>
      <c r="H128" s="82">
        <v>0</v>
      </c>
      <c r="I128" s="82">
        <v>0</v>
      </c>
      <c r="J128" s="237">
        <v>1500</v>
      </c>
      <c r="K128" s="216">
        <v>50000</v>
      </c>
      <c r="L128" s="186">
        <v>1500</v>
      </c>
      <c r="M128" s="85">
        <v>30000</v>
      </c>
      <c r="N128" s="85">
        <v>0</v>
      </c>
      <c r="O128" s="82">
        <f>47954-M128</f>
        <v>17954</v>
      </c>
      <c r="P128" s="82">
        <v>0</v>
      </c>
      <c r="Q128" s="82">
        <v>0</v>
      </c>
      <c r="R128" s="85">
        <v>0</v>
      </c>
      <c r="S128" s="85">
        <f>49954-Q128-O128-M128</f>
        <v>2000</v>
      </c>
      <c r="T128" s="112">
        <f t="shared" si="39"/>
        <v>1500</v>
      </c>
      <c r="U128" s="39">
        <f t="shared" si="39"/>
        <v>49954</v>
      </c>
      <c r="V128" s="239">
        <f t="shared" si="40"/>
        <v>100</v>
      </c>
      <c r="W128" s="41">
        <f t="shared" si="40"/>
        <v>99.908</v>
      </c>
      <c r="X128" s="42">
        <f t="shared" si="38"/>
        <v>1500</v>
      </c>
      <c r="Y128" s="42">
        <f t="shared" si="38"/>
        <v>49954</v>
      </c>
      <c r="Z128" s="43" t="e">
        <f t="shared" si="35"/>
        <v>#DIV/0!</v>
      </c>
      <c r="AA128" s="43" t="e">
        <f t="shared" si="35"/>
        <v>#DIV/0!</v>
      </c>
      <c r="AB128" s="99"/>
      <c r="AC128" s="70"/>
    </row>
    <row r="129" spans="1:30" s="53" customFormat="1" ht="69.75" customHeight="1">
      <c r="A129" s="96"/>
      <c r="B129" s="97"/>
      <c r="C129" s="81" t="s">
        <v>165</v>
      </c>
      <c r="D129" s="81" t="s">
        <v>166</v>
      </c>
      <c r="E129" s="140" t="s">
        <v>167</v>
      </c>
      <c r="F129" s="167">
        <v>345</v>
      </c>
      <c r="G129" s="230">
        <v>830000</v>
      </c>
      <c r="H129" s="82">
        <v>0</v>
      </c>
      <c r="I129" s="82">
        <v>0</v>
      </c>
      <c r="J129" s="115">
        <v>0</v>
      </c>
      <c r="K129" s="82">
        <v>0</v>
      </c>
      <c r="L129" s="85">
        <v>0</v>
      </c>
      <c r="M129" s="85">
        <v>0</v>
      </c>
      <c r="N129" s="85">
        <v>0</v>
      </c>
      <c r="O129" s="85">
        <v>0</v>
      </c>
      <c r="P129" s="85">
        <v>0</v>
      </c>
      <c r="Q129" s="85">
        <v>0</v>
      </c>
      <c r="R129" s="85">
        <v>0</v>
      </c>
      <c r="S129" s="85">
        <v>0</v>
      </c>
      <c r="T129" s="112">
        <f t="shared" si="39"/>
        <v>0</v>
      </c>
      <c r="U129" s="39">
        <f t="shared" si="39"/>
        <v>0</v>
      </c>
      <c r="V129" s="41" t="e">
        <f t="shared" si="40"/>
        <v>#DIV/0!</v>
      </c>
      <c r="W129" s="41" t="e">
        <f t="shared" si="40"/>
        <v>#DIV/0!</v>
      </c>
      <c r="X129" s="42">
        <f t="shared" si="38"/>
        <v>0</v>
      </c>
      <c r="Y129" s="42">
        <f t="shared" si="38"/>
        <v>0</v>
      </c>
      <c r="Z129" s="43">
        <f t="shared" si="35"/>
        <v>0</v>
      </c>
      <c r="AA129" s="43">
        <f t="shared" si="35"/>
        <v>0</v>
      </c>
      <c r="AB129" s="99"/>
      <c r="AC129" s="70"/>
      <c r="AD129" s="225">
        <f>+U131+U133</f>
        <v>0</v>
      </c>
    </row>
    <row r="130" spans="1:29" s="53" customFormat="1" ht="57.75" customHeight="1">
      <c r="A130" s="96"/>
      <c r="B130" s="97"/>
      <c r="C130" s="81"/>
      <c r="D130" s="81" t="s">
        <v>168</v>
      </c>
      <c r="E130" s="140" t="s">
        <v>167</v>
      </c>
      <c r="F130" s="167">
        <v>0</v>
      </c>
      <c r="G130" s="230">
        <v>0</v>
      </c>
      <c r="H130" s="82">
        <v>0</v>
      </c>
      <c r="I130" s="82">
        <v>0</v>
      </c>
      <c r="J130" s="239">
        <f>1-1</f>
        <v>0</v>
      </c>
      <c r="K130" s="240">
        <f>275+225+200+5000+194300-200000</f>
        <v>0</v>
      </c>
      <c r="L130" s="85">
        <v>0</v>
      </c>
      <c r="M130" s="85">
        <v>0</v>
      </c>
      <c r="N130" s="85">
        <v>0</v>
      </c>
      <c r="O130" s="85">
        <v>0</v>
      </c>
      <c r="P130" s="85">
        <v>0</v>
      </c>
      <c r="Q130" s="85">
        <v>0</v>
      </c>
      <c r="R130" s="85">
        <v>0</v>
      </c>
      <c r="S130" s="85">
        <v>0</v>
      </c>
      <c r="T130" s="163">
        <f t="shared" si="39"/>
        <v>0</v>
      </c>
      <c r="U130" s="285">
        <f t="shared" si="39"/>
        <v>0</v>
      </c>
      <c r="V130" s="41" t="e">
        <f t="shared" si="40"/>
        <v>#DIV/0!</v>
      </c>
      <c r="W130" s="41" t="e">
        <f t="shared" si="40"/>
        <v>#DIV/0!</v>
      </c>
      <c r="X130" s="42">
        <f t="shared" si="38"/>
        <v>0</v>
      </c>
      <c r="Y130" s="42">
        <f t="shared" si="38"/>
        <v>0</v>
      </c>
      <c r="Z130" s="43" t="e">
        <f t="shared" si="35"/>
        <v>#DIV/0!</v>
      </c>
      <c r="AA130" s="43" t="e">
        <f t="shared" si="35"/>
        <v>#DIV/0!</v>
      </c>
      <c r="AB130" s="99"/>
      <c r="AC130" s="70"/>
    </row>
    <row r="131" spans="1:29" s="53" customFormat="1" ht="28.5" customHeight="1">
      <c r="A131" s="96"/>
      <c r="B131" s="97"/>
      <c r="C131" s="164"/>
      <c r="D131" s="81" t="s">
        <v>169</v>
      </c>
      <c r="E131" s="140" t="s">
        <v>170</v>
      </c>
      <c r="F131" s="167">
        <v>10</v>
      </c>
      <c r="G131" s="230">
        <v>390000</v>
      </c>
      <c r="H131" s="82">
        <v>1</v>
      </c>
      <c r="I131" s="82">
        <v>175550</v>
      </c>
      <c r="J131" s="115">
        <v>0</v>
      </c>
      <c r="K131" s="240">
        <v>0</v>
      </c>
      <c r="L131" s="85">
        <v>0</v>
      </c>
      <c r="M131" s="85">
        <v>0</v>
      </c>
      <c r="N131" s="85"/>
      <c r="O131" s="85">
        <v>0</v>
      </c>
      <c r="P131" s="85">
        <v>0</v>
      </c>
      <c r="Q131" s="85"/>
      <c r="R131" s="85">
        <v>0</v>
      </c>
      <c r="S131" s="85">
        <v>0</v>
      </c>
      <c r="T131" s="112">
        <f t="shared" si="39"/>
        <v>0</v>
      </c>
      <c r="U131" s="39">
        <f t="shared" si="39"/>
        <v>0</v>
      </c>
      <c r="V131" s="40" t="e">
        <f t="shared" si="40"/>
        <v>#DIV/0!</v>
      </c>
      <c r="W131" s="41" t="e">
        <f t="shared" si="40"/>
        <v>#DIV/0!</v>
      </c>
      <c r="X131" s="42">
        <f t="shared" si="38"/>
        <v>1</v>
      </c>
      <c r="Y131" s="42">
        <f t="shared" si="38"/>
        <v>175550</v>
      </c>
      <c r="Z131" s="43">
        <f t="shared" si="35"/>
        <v>10</v>
      </c>
      <c r="AA131" s="43">
        <f t="shared" si="35"/>
        <v>45.01282051282051</v>
      </c>
      <c r="AB131" s="99"/>
      <c r="AC131" s="70"/>
    </row>
    <row r="132" spans="1:30" s="53" customFormat="1" ht="58.5" customHeight="1">
      <c r="A132" s="96"/>
      <c r="B132" s="97"/>
      <c r="C132" s="164"/>
      <c r="D132" s="81" t="s">
        <v>171</v>
      </c>
      <c r="E132" s="158" t="s">
        <v>116</v>
      </c>
      <c r="F132" s="167">
        <v>250</v>
      </c>
      <c r="G132" s="230">
        <v>114500</v>
      </c>
      <c r="H132" s="82">
        <v>0</v>
      </c>
      <c r="I132" s="82">
        <v>0</v>
      </c>
      <c r="J132" s="115">
        <v>0</v>
      </c>
      <c r="K132" s="82">
        <v>0</v>
      </c>
      <c r="L132" s="85">
        <v>0</v>
      </c>
      <c r="M132" s="85">
        <v>0</v>
      </c>
      <c r="N132" s="85"/>
      <c r="O132" s="85">
        <v>0</v>
      </c>
      <c r="P132" s="85">
        <v>0</v>
      </c>
      <c r="Q132" s="85"/>
      <c r="R132" s="85">
        <v>0</v>
      </c>
      <c r="S132" s="85">
        <v>0</v>
      </c>
      <c r="T132" s="112">
        <f t="shared" si="39"/>
        <v>0</v>
      </c>
      <c r="U132" s="39">
        <f t="shared" si="39"/>
        <v>0</v>
      </c>
      <c r="V132" s="41" t="e">
        <f t="shared" si="40"/>
        <v>#DIV/0!</v>
      </c>
      <c r="W132" s="41" t="e">
        <f t="shared" si="40"/>
        <v>#DIV/0!</v>
      </c>
      <c r="X132" s="42">
        <f t="shared" si="38"/>
        <v>0</v>
      </c>
      <c r="Y132" s="42">
        <f t="shared" si="38"/>
        <v>0</v>
      </c>
      <c r="Z132" s="43">
        <f t="shared" si="35"/>
        <v>0</v>
      </c>
      <c r="AA132" s="43">
        <f t="shared" si="35"/>
        <v>0</v>
      </c>
      <c r="AB132" s="99"/>
      <c r="AC132" s="70"/>
      <c r="AD132" s="225">
        <f>+K131+K133</f>
        <v>0</v>
      </c>
    </row>
    <row r="133" spans="1:30" s="53" customFormat="1" ht="50.25" customHeight="1">
      <c r="A133" s="96"/>
      <c r="B133" s="97"/>
      <c r="C133" s="164"/>
      <c r="D133" s="81" t="s">
        <v>172</v>
      </c>
      <c r="E133" s="158" t="s">
        <v>100</v>
      </c>
      <c r="F133" s="167">
        <v>0</v>
      </c>
      <c r="G133" s="230">
        <v>0</v>
      </c>
      <c r="H133" s="82">
        <v>1</v>
      </c>
      <c r="I133" s="82">
        <v>200850</v>
      </c>
      <c r="J133" s="115">
        <v>0</v>
      </c>
      <c r="K133" s="216">
        <v>0</v>
      </c>
      <c r="L133" s="85">
        <v>0</v>
      </c>
      <c r="M133" s="85">
        <v>0</v>
      </c>
      <c r="N133" s="85"/>
      <c r="O133" s="85">
        <v>0</v>
      </c>
      <c r="P133" s="85">
        <v>0</v>
      </c>
      <c r="Q133" s="85"/>
      <c r="R133" s="85">
        <v>0</v>
      </c>
      <c r="S133" s="85">
        <v>0</v>
      </c>
      <c r="T133" s="112">
        <f t="shared" si="39"/>
        <v>0</v>
      </c>
      <c r="U133" s="39">
        <f>SUM(M133+O133+Q133+S133)</f>
        <v>0</v>
      </c>
      <c r="V133" s="40" t="e">
        <f t="shared" si="40"/>
        <v>#DIV/0!</v>
      </c>
      <c r="W133" s="41" t="e">
        <f t="shared" si="40"/>
        <v>#DIV/0!</v>
      </c>
      <c r="X133" s="42">
        <f t="shared" si="38"/>
        <v>1</v>
      </c>
      <c r="Y133" s="42">
        <f t="shared" si="38"/>
        <v>200850</v>
      </c>
      <c r="Z133" s="43" t="e">
        <f t="shared" si="35"/>
        <v>#DIV/0!</v>
      </c>
      <c r="AA133" s="43" t="e">
        <f t="shared" si="35"/>
        <v>#DIV/0!</v>
      </c>
      <c r="AB133" s="99"/>
      <c r="AC133" s="70"/>
      <c r="AD133" s="226">
        <f>+U131+U133</f>
        <v>0</v>
      </c>
    </row>
    <row r="134" spans="1:29" s="53" customFormat="1" ht="43.5" customHeight="1">
      <c r="A134" s="96"/>
      <c r="B134" s="97"/>
      <c r="C134" s="145"/>
      <c r="D134" s="81" t="s">
        <v>173</v>
      </c>
      <c r="E134" s="158" t="s">
        <v>127</v>
      </c>
      <c r="F134" s="167">
        <v>0</v>
      </c>
      <c r="G134" s="230">
        <v>0</v>
      </c>
      <c r="H134" s="82">
        <v>0</v>
      </c>
      <c r="I134" s="82">
        <v>0</v>
      </c>
      <c r="J134" s="115">
        <v>0</v>
      </c>
      <c r="K134" s="82">
        <v>0</v>
      </c>
      <c r="L134" s="85">
        <v>0</v>
      </c>
      <c r="M134" s="85">
        <v>0</v>
      </c>
      <c r="N134" s="85">
        <v>0</v>
      </c>
      <c r="O134" s="85">
        <v>0</v>
      </c>
      <c r="P134" s="85">
        <v>0</v>
      </c>
      <c r="Q134" s="85">
        <v>0</v>
      </c>
      <c r="R134" s="85">
        <v>0</v>
      </c>
      <c r="S134" s="85">
        <v>0</v>
      </c>
      <c r="T134" s="112">
        <f t="shared" si="39"/>
        <v>0</v>
      </c>
      <c r="U134" s="39">
        <f t="shared" si="39"/>
        <v>0</v>
      </c>
      <c r="V134" s="41" t="e">
        <f t="shared" si="40"/>
        <v>#DIV/0!</v>
      </c>
      <c r="W134" s="41" t="e">
        <f t="shared" si="40"/>
        <v>#DIV/0!</v>
      </c>
      <c r="X134" s="42">
        <f t="shared" si="38"/>
        <v>0</v>
      </c>
      <c r="Y134" s="42">
        <f t="shared" si="38"/>
        <v>0</v>
      </c>
      <c r="Z134" s="43" t="e">
        <f t="shared" si="35"/>
        <v>#DIV/0!</v>
      </c>
      <c r="AA134" s="43" t="e">
        <f t="shared" si="35"/>
        <v>#DIV/0!</v>
      </c>
      <c r="AB134" s="99"/>
      <c r="AC134" s="70"/>
    </row>
    <row r="135" spans="1:29" s="53" customFormat="1" ht="122.25" customHeight="1">
      <c r="A135" s="96"/>
      <c r="B135" s="97"/>
      <c r="C135" s="81" t="s">
        <v>174</v>
      </c>
      <c r="D135" s="81" t="s">
        <v>175</v>
      </c>
      <c r="E135" s="158" t="s">
        <v>145</v>
      </c>
      <c r="F135" s="167">
        <v>83</v>
      </c>
      <c r="G135" s="230">
        <v>260500</v>
      </c>
      <c r="H135" s="82">
        <v>33</v>
      </c>
      <c r="I135" s="82">
        <v>155850</v>
      </c>
      <c r="J135" s="115">
        <v>33</v>
      </c>
      <c r="K135" s="216">
        <v>200000</v>
      </c>
      <c r="L135" s="85"/>
      <c r="M135" s="85"/>
      <c r="N135" s="85">
        <v>33</v>
      </c>
      <c r="O135" s="82">
        <f>98132+97925</f>
        <v>196057</v>
      </c>
      <c r="P135" s="82">
        <v>0</v>
      </c>
      <c r="Q135" s="82">
        <v>2800</v>
      </c>
      <c r="R135" s="85">
        <v>0</v>
      </c>
      <c r="S135" s="85">
        <v>0</v>
      </c>
      <c r="T135" s="112">
        <f t="shared" si="39"/>
        <v>33</v>
      </c>
      <c r="U135" s="39">
        <f t="shared" si="39"/>
        <v>198857</v>
      </c>
      <c r="V135" s="239">
        <f>+T135/J135*100</f>
        <v>100</v>
      </c>
      <c r="W135" s="41">
        <f t="shared" si="40"/>
        <v>99.4285</v>
      </c>
      <c r="X135" s="42">
        <f t="shared" si="38"/>
        <v>66</v>
      </c>
      <c r="Y135" s="42">
        <f t="shared" si="38"/>
        <v>354707</v>
      </c>
      <c r="Z135" s="43">
        <f t="shared" si="35"/>
        <v>79.51807228915662</v>
      </c>
      <c r="AA135" s="43">
        <f t="shared" si="35"/>
        <v>136.16391554702497</v>
      </c>
      <c r="AB135" s="99"/>
      <c r="AC135" s="70"/>
    </row>
    <row r="136" spans="1:29" s="53" customFormat="1" ht="126.75" customHeight="1">
      <c r="A136" s="96"/>
      <c r="B136" s="97"/>
      <c r="C136" s="81" t="s">
        <v>176</v>
      </c>
      <c r="D136" s="81" t="s">
        <v>177</v>
      </c>
      <c r="E136" s="158" t="s">
        <v>170</v>
      </c>
      <c r="F136" s="167">
        <v>10</v>
      </c>
      <c r="G136" s="167">
        <v>451000</v>
      </c>
      <c r="H136" s="82">
        <v>1</v>
      </c>
      <c r="I136" s="82">
        <v>65000</v>
      </c>
      <c r="J136" s="115">
        <v>0</v>
      </c>
      <c r="K136" s="82">
        <v>0</v>
      </c>
      <c r="L136" s="85"/>
      <c r="M136" s="85"/>
      <c r="N136" s="85">
        <v>0</v>
      </c>
      <c r="O136" s="82">
        <v>0</v>
      </c>
      <c r="P136" s="82"/>
      <c r="Q136" s="82"/>
      <c r="R136" s="85"/>
      <c r="S136" s="85"/>
      <c r="T136" s="163">
        <f t="shared" si="39"/>
        <v>0</v>
      </c>
      <c r="U136" s="39">
        <f t="shared" si="39"/>
        <v>0</v>
      </c>
      <c r="V136" s="40" t="e">
        <f t="shared" si="40"/>
        <v>#DIV/0!</v>
      </c>
      <c r="W136" s="41" t="e">
        <f t="shared" si="40"/>
        <v>#DIV/0!</v>
      </c>
      <c r="X136" s="42">
        <f t="shared" si="38"/>
        <v>1</v>
      </c>
      <c r="Y136" s="42">
        <f t="shared" si="38"/>
        <v>65000</v>
      </c>
      <c r="Z136" s="43">
        <f t="shared" si="35"/>
        <v>10</v>
      </c>
      <c r="AA136" s="43">
        <f t="shared" si="35"/>
        <v>14.412416851441243</v>
      </c>
      <c r="AB136" s="99"/>
      <c r="AC136" s="70"/>
    </row>
    <row r="137" spans="1:30" s="53" customFormat="1" ht="130.5" customHeight="1">
      <c r="A137" s="96"/>
      <c r="B137" s="97"/>
      <c r="C137" s="81" t="s">
        <v>178</v>
      </c>
      <c r="D137" s="81" t="s">
        <v>179</v>
      </c>
      <c r="E137" s="158" t="s">
        <v>145</v>
      </c>
      <c r="F137" s="167">
        <v>60</v>
      </c>
      <c r="G137" s="167">
        <v>121500</v>
      </c>
      <c r="H137" s="82">
        <f>12+10+25</f>
        <v>47</v>
      </c>
      <c r="I137" s="82">
        <v>25000</v>
      </c>
      <c r="J137" s="115">
        <v>0</v>
      </c>
      <c r="K137" s="82">
        <v>0</v>
      </c>
      <c r="L137" s="85">
        <v>0</v>
      </c>
      <c r="M137" s="85">
        <v>0</v>
      </c>
      <c r="N137" s="85"/>
      <c r="O137" s="82"/>
      <c r="P137" s="82"/>
      <c r="Q137" s="82"/>
      <c r="R137" s="85"/>
      <c r="S137" s="85"/>
      <c r="T137" s="112">
        <f t="shared" si="39"/>
        <v>0</v>
      </c>
      <c r="U137" s="39">
        <f t="shared" si="39"/>
        <v>0</v>
      </c>
      <c r="V137" s="40" t="e">
        <f t="shared" si="40"/>
        <v>#DIV/0!</v>
      </c>
      <c r="W137" s="41" t="e">
        <f t="shared" si="40"/>
        <v>#DIV/0!</v>
      </c>
      <c r="X137" s="42">
        <f t="shared" si="38"/>
        <v>47</v>
      </c>
      <c r="Y137" s="42">
        <f t="shared" si="38"/>
        <v>25000</v>
      </c>
      <c r="Z137" s="43">
        <f t="shared" si="35"/>
        <v>78.33333333333333</v>
      </c>
      <c r="AA137" s="43">
        <f t="shared" si="35"/>
        <v>20.5761316872428</v>
      </c>
      <c r="AB137" s="99"/>
      <c r="AC137" s="70"/>
      <c r="AD137" s="226">
        <f>+U137+U138+U139+U140</f>
        <v>177515</v>
      </c>
    </row>
    <row r="138" spans="1:29" s="53" customFormat="1" ht="68.25" customHeight="1">
      <c r="A138" s="96"/>
      <c r="B138" s="350"/>
      <c r="C138" s="81" t="s">
        <v>180</v>
      </c>
      <c r="D138" s="81" t="s">
        <v>180</v>
      </c>
      <c r="E138" s="158" t="s">
        <v>116</v>
      </c>
      <c r="F138" s="167">
        <f>50*5</f>
        <v>250</v>
      </c>
      <c r="G138" s="167">
        <v>145500</v>
      </c>
      <c r="H138" s="82">
        <v>40</v>
      </c>
      <c r="I138" s="82">
        <v>40000</v>
      </c>
      <c r="J138" s="115">
        <v>40</v>
      </c>
      <c r="K138" s="82">
        <v>40000</v>
      </c>
      <c r="L138" s="85">
        <v>40</v>
      </c>
      <c r="M138" s="85">
        <v>39000</v>
      </c>
      <c r="N138" s="85">
        <v>0</v>
      </c>
      <c r="O138" s="82">
        <v>0</v>
      </c>
      <c r="P138" s="82">
        <v>0</v>
      </c>
      <c r="Q138" s="82">
        <v>0</v>
      </c>
      <c r="R138" s="85">
        <v>0</v>
      </c>
      <c r="S138" s="85">
        <v>0</v>
      </c>
      <c r="T138" s="112">
        <f t="shared" si="39"/>
        <v>40</v>
      </c>
      <c r="U138" s="39">
        <f>SUM(M138+O138+Q138+S138)</f>
        <v>39000</v>
      </c>
      <c r="V138" s="40">
        <f t="shared" si="40"/>
        <v>100</v>
      </c>
      <c r="W138" s="41">
        <f t="shared" si="40"/>
        <v>97.5</v>
      </c>
      <c r="X138" s="42">
        <f t="shared" si="38"/>
        <v>80</v>
      </c>
      <c r="Y138" s="42">
        <f t="shared" si="38"/>
        <v>79000</v>
      </c>
      <c r="Z138" s="43">
        <f t="shared" si="35"/>
        <v>32</v>
      </c>
      <c r="AA138" s="43">
        <f t="shared" si="35"/>
        <v>54.29553264604811</v>
      </c>
      <c r="AB138" s="99"/>
      <c r="AC138" s="70"/>
    </row>
    <row r="139" spans="1:29" s="53" customFormat="1" ht="60" customHeight="1">
      <c r="A139" s="96"/>
      <c r="B139" s="352"/>
      <c r="C139" s="377"/>
      <c r="D139" s="81" t="s">
        <v>181</v>
      </c>
      <c r="E139" s="158" t="s">
        <v>182</v>
      </c>
      <c r="F139" s="167">
        <f>2*5</f>
        <v>10</v>
      </c>
      <c r="G139" s="167">
        <v>111500</v>
      </c>
      <c r="H139" s="82">
        <v>2</v>
      </c>
      <c r="I139" s="82">
        <v>33000</v>
      </c>
      <c r="J139" s="115">
        <v>2</v>
      </c>
      <c r="K139" s="82">
        <v>30000</v>
      </c>
      <c r="L139" s="85">
        <v>1</v>
      </c>
      <c r="M139" s="85">
        <v>2975</v>
      </c>
      <c r="N139" s="85">
        <v>1</v>
      </c>
      <c r="O139" s="113">
        <f>26175-M139-2260</f>
        <v>20940</v>
      </c>
      <c r="P139" s="82">
        <v>0</v>
      </c>
      <c r="Q139" s="82">
        <v>0</v>
      </c>
      <c r="R139" s="85">
        <v>0</v>
      </c>
      <c r="S139" s="85">
        <f>28565-Q139-O139-M139</f>
        <v>4650</v>
      </c>
      <c r="T139" s="112">
        <f t="shared" si="39"/>
        <v>2</v>
      </c>
      <c r="U139" s="39">
        <f t="shared" si="39"/>
        <v>28565</v>
      </c>
      <c r="V139" s="40">
        <f t="shared" si="40"/>
        <v>100</v>
      </c>
      <c r="W139" s="41">
        <f t="shared" si="40"/>
        <v>95.21666666666667</v>
      </c>
      <c r="X139" s="42">
        <f t="shared" si="38"/>
        <v>4</v>
      </c>
      <c r="Y139" s="42">
        <f t="shared" si="38"/>
        <v>61565</v>
      </c>
      <c r="Z139" s="43">
        <f t="shared" si="35"/>
        <v>40</v>
      </c>
      <c r="AA139" s="43">
        <f t="shared" si="35"/>
        <v>55.2152466367713</v>
      </c>
      <c r="AB139" s="99"/>
      <c r="AC139" s="70"/>
    </row>
    <row r="140" spans="1:30" s="111" customFormat="1" ht="51" customHeight="1">
      <c r="A140" s="104"/>
      <c r="B140" s="359"/>
      <c r="C140" s="165"/>
      <c r="D140" s="166" t="s">
        <v>183</v>
      </c>
      <c r="E140" s="167" t="s">
        <v>184</v>
      </c>
      <c r="F140" s="167"/>
      <c r="G140" s="167"/>
      <c r="H140" s="82">
        <v>1</v>
      </c>
      <c r="I140" s="82">
        <v>35000</v>
      </c>
      <c r="J140" s="85">
        <v>1</v>
      </c>
      <c r="K140" s="82">
        <v>110000</v>
      </c>
      <c r="L140" s="85">
        <v>0</v>
      </c>
      <c r="M140" s="85">
        <v>8000</v>
      </c>
      <c r="N140" s="85">
        <v>1</v>
      </c>
      <c r="O140" s="113">
        <f>23525-M140</f>
        <v>15525</v>
      </c>
      <c r="P140" s="82">
        <v>0</v>
      </c>
      <c r="Q140" s="82">
        <f>33900-O140-M140</f>
        <v>10375</v>
      </c>
      <c r="R140" s="85">
        <v>0</v>
      </c>
      <c r="S140" s="85">
        <f>109950-Q140-O140-M140</f>
        <v>76050</v>
      </c>
      <c r="T140" s="39">
        <f t="shared" si="39"/>
        <v>1</v>
      </c>
      <c r="U140" s="39">
        <f>SUM(M140+O140+Q140+S140)</f>
        <v>109950</v>
      </c>
      <c r="V140" s="168">
        <f t="shared" si="40"/>
        <v>100</v>
      </c>
      <c r="W140" s="107">
        <f t="shared" si="40"/>
        <v>99.95454545454545</v>
      </c>
      <c r="X140" s="108">
        <f t="shared" si="38"/>
        <v>2</v>
      </c>
      <c r="Y140" s="108">
        <f t="shared" si="38"/>
        <v>144950</v>
      </c>
      <c r="Z140" s="109" t="e">
        <f t="shared" si="35"/>
        <v>#DIV/0!</v>
      </c>
      <c r="AA140" s="109" t="e">
        <f t="shared" si="35"/>
        <v>#DIV/0!</v>
      </c>
      <c r="AB140" s="101"/>
      <c r="AC140" s="110"/>
      <c r="AD140" s="241"/>
    </row>
    <row r="141" spans="1:30" s="53" customFormat="1" ht="120" customHeight="1">
      <c r="A141" s="96"/>
      <c r="B141" s="360">
        <f>+K141+K140+K139+K138+K135+K128</f>
        <v>826792</v>
      </c>
      <c r="C141" s="81" t="s">
        <v>139</v>
      </c>
      <c r="D141" s="426" t="s">
        <v>185</v>
      </c>
      <c r="E141" s="158" t="s">
        <v>127</v>
      </c>
      <c r="F141" s="167"/>
      <c r="G141" s="167"/>
      <c r="H141" s="82">
        <v>1</v>
      </c>
      <c r="I141" s="82">
        <v>128868</v>
      </c>
      <c r="J141" s="94">
        <v>1</v>
      </c>
      <c r="K141" s="117">
        <v>396792</v>
      </c>
      <c r="L141" s="85">
        <v>0</v>
      </c>
      <c r="M141" s="85">
        <v>0</v>
      </c>
      <c r="N141" s="85">
        <v>1</v>
      </c>
      <c r="O141" s="82">
        <f>7286+88050</f>
        <v>95336</v>
      </c>
      <c r="P141" s="86">
        <v>1</v>
      </c>
      <c r="Q141" s="82">
        <f>202377-O141</f>
        <v>107041</v>
      </c>
      <c r="R141" s="84"/>
      <c r="S141" s="85">
        <f>387678-Q141-O141-M141</f>
        <v>185301</v>
      </c>
      <c r="T141" s="112">
        <f t="shared" si="39"/>
        <v>2</v>
      </c>
      <c r="U141" s="39">
        <f t="shared" si="39"/>
        <v>387678</v>
      </c>
      <c r="V141" s="40">
        <f t="shared" si="40"/>
        <v>200</v>
      </c>
      <c r="W141" s="41">
        <f t="shared" si="40"/>
        <v>97.70307869110265</v>
      </c>
      <c r="X141" s="42">
        <f aca="true" t="shared" si="42" ref="X141:Y154">+H141+T141</f>
        <v>3</v>
      </c>
      <c r="Y141" s="42">
        <f t="shared" si="42"/>
        <v>516546</v>
      </c>
      <c r="Z141" s="43" t="e">
        <f t="shared" si="35"/>
        <v>#DIV/0!</v>
      </c>
      <c r="AA141" s="43" t="e">
        <f t="shared" si="35"/>
        <v>#DIV/0!</v>
      </c>
      <c r="AB141" s="99"/>
      <c r="AC141" s="70"/>
      <c r="AD141" s="225">
        <f>+O141+Q141</f>
        <v>202377</v>
      </c>
    </row>
    <row r="142" spans="1:29" s="53" customFormat="1" ht="13.5">
      <c r="A142" s="96"/>
      <c r="B142" s="97"/>
      <c r="C142" s="169"/>
      <c r="D142" s="427"/>
      <c r="E142" s="158" t="s">
        <v>186</v>
      </c>
      <c r="F142" s="167">
        <v>50</v>
      </c>
      <c r="G142" s="167">
        <v>600000</v>
      </c>
      <c r="H142" s="82">
        <v>0</v>
      </c>
      <c r="I142" s="82">
        <v>0</v>
      </c>
      <c r="J142" s="99">
        <v>0</v>
      </c>
      <c r="K142" s="170">
        <v>0</v>
      </c>
      <c r="L142" s="170">
        <v>0</v>
      </c>
      <c r="M142" s="170">
        <v>0</v>
      </c>
      <c r="N142" s="171"/>
      <c r="O142" s="309"/>
      <c r="P142" s="102"/>
      <c r="Q142" s="102"/>
      <c r="R142" s="101"/>
      <c r="S142" s="101"/>
      <c r="T142" s="112">
        <f t="shared" si="39"/>
        <v>0</v>
      </c>
      <c r="U142" s="39">
        <f t="shared" si="39"/>
        <v>0</v>
      </c>
      <c r="V142" s="41" t="e">
        <f t="shared" si="40"/>
        <v>#DIV/0!</v>
      </c>
      <c r="W142" s="41" t="e">
        <f t="shared" si="40"/>
        <v>#DIV/0!</v>
      </c>
      <c r="X142" s="42">
        <f t="shared" si="42"/>
        <v>0</v>
      </c>
      <c r="Y142" s="42">
        <f t="shared" si="42"/>
        <v>0</v>
      </c>
      <c r="Z142" s="43">
        <f t="shared" si="35"/>
        <v>0</v>
      </c>
      <c r="AA142" s="43">
        <f t="shared" si="35"/>
        <v>0</v>
      </c>
      <c r="AB142" s="99"/>
      <c r="AC142" s="70"/>
    </row>
    <row r="143" spans="1:29" s="53" customFormat="1" ht="66" customHeight="1">
      <c r="A143" s="96"/>
      <c r="B143" s="97"/>
      <c r="C143" s="81" t="s">
        <v>187</v>
      </c>
      <c r="D143" s="81" t="s">
        <v>188</v>
      </c>
      <c r="E143" s="158" t="s">
        <v>189</v>
      </c>
      <c r="F143" s="167">
        <v>5</v>
      </c>
      <c r="G143" s="167">
        <v>319000</v>
      </c>
      <c r="H143" s="82">
        <v>1</v>
      </c>
      <c r="I143" s="82">
        <v>60000</v>
      </c>
      <c r="J143" s="93">
        <v>0</v>
      </c>
      <c r="K143" s="117">
        <v>0</v>
      </c>
      <c r="L143" s="95"/>
      <c r="M143" s="95"/>
      <c r="N143" s="85"/>
      <c r="O143" s="82"/>
      <c r="P143" s="102"/>
      <c r="Q143" s="102"/>
      <c r="R143" s="101"/>
      <c r="S143" s="101"/>
      <c r="T143" s="112">
        <f t="shared" si="39"/>
        <v>0</v>
      </c>
      <c r="U143" s="39">
        <f t="shared" si="39"/>
        <v>0</v>
      </c>
      <c r="V143" s="40" t="e">
        <f t="shared" si="40"/>
        <v>#DIV/0!</v>
      </c>
      <c r="W143" s="40" t="e">
        <f t="shared" si="40"/>
        <v>#DIV/0!</v>
      </c>
      <c r="X143" s="42">
        <f t="shared" si="42"/>
        <v>1</v>
      </c>
      <c r="Y143" s="42">
        <f t="shared" si="42"/>
        <v>60000</v>
      </c>
      <c r="Z143" s="43">
        <f t="shared" si="35"/>
        <v>20</v>
      </c>
      <c r="AA143" s="43">
        <f t="shared" si="35"/>
        <v>18.808777429467085</v>
      </c>
      <c r="AB143" s="99"/>
      <c r="AC143" s="70"/>
    </row>
    <row r="144" spans="1:29" s="53" customFormat="1" ht="66" customHeight="1">
      <c r="A144" s="96"/>
      <c r="B144" s="97"/>
      <c r="C144" s="81" t="s">
        <v>190</v>
      </c>
      <c r="D144" s="81" t="s">
        <v>122</v>
      </c>
      <c r="E144" s="131" t="s">
        <v>97</v>
      </c>
      <c r="F144" s="136">
        <f>5*12</f>
        <v>60</v>
      </c>
      <c r="G144" s="167">
        <v>60000</v>
      </c>
      <c r="H144" s="82">
        <v>0</v>
      </c>
      <c r="I144" s="82">
        <v>0</v>
      </c>
      <c r="J144" s="93">
        <v>0</v>
      </c>
      <c r="K144" s="117">
        <v>0</v>
      </c>
      <c r="L144" s="95">
        <v>0</v>
      </c>
      <c r="M144" s="95">
        <v>0</v>
      </c>
      <c r="N144" s="85"/>
      <c r="O144" s="82"/>
      <c r="P144" s="102"/>
      <c r="Q144" s="102"/>
      <c r="R144" s="101"/>
      <c r="S144" s="101"/>
      <c r="T144" s="112">
        <f t="shared" si="39"/>
        <v>0</v>
      </c>
      <c r="U144" s="39">
        <f t="shared" si="39"/>
        <v>0</v>
      </c>
      <c r="V144" s="40" t="e">
        <f t="shared" si="40"/>
        <v>#DIV/0!</v>
      </c>
      <c r="W144" s="41" t="e">
        <f t="shared" si="40"/>
        <v>#DIV/0!</v>
      </c>
      <c r="X144" s="42">
        <f t="shared" si="42"/>
        <v>0</v>
      </c>
      <c r="Y144" s="42">
        <f t="shared" si="42"/>
        <v>0</v>
      </c>
      <c r="Z144" s="43">
        <f t="shared" si="35"/>
        <v>0</v>
      </c>
      <c r="AA144" s="43">
        <f t="shared" si="35"/>
        <v>0</v>
      </c>
      <c r="AB144" s="99"/>
      <c r="AC144" s="70"/>
    </row>
    <row r="145" spans="1:29" s="53" customFormat="1" ht="62.25" customHeight="1">
      <c r="A145" s="96"/>
      <c r="B145" s="97"/>
      <c r="C145" s="426" t="s">
        <v>191</v>
      </c>
      <c r="D145" s="81" t="s">
        <v>192</v>
      </c>
      <c r="E145" s="160" t="s">
        <v>100</v>
      </c>
      <c r="F145" s="315">
        <v>0</v>
      </c>
      <c r="G145" s="85">
        <v>0</v>
      </c>
      <c r="H145" s="82">
        <v>0</v>
      </c>
      <c r="I145" s="82">
        <v>0</v>
      </c>
      <c r="J145" s="90">
        <v>0</v>
      </c>
      <c r="K145" s="82">
        <v>0</v>
      </c>
      <c r="L145" s="95">
        <v>0</v>
      </c>
      <c r="M145" s="95">
        <v>0</v>
      </c>
      <c r="N145" s="85"/>
      <c r="O145" s="82"/>
      <c r="P145" s="82"/>
      <c r="Q145" s="82"/>
      <c r="R145" s="84"/>
      <c r="S145" s="85"/>
      <c r="T145" s="112">
        <f t="shared" si="39"/>
        <v>0</v>
      </c>
      <c r="U145" s="39">
        <f t="shared" si="39"/>
        <v>0</v>
      </c>
      <c r="V145" s="41" t="e">
        <f t="shared" si="40"/>
        <v>#DIV/0!</v>
      </c>
      <c r="W145" s="41" t="e">
        <f t="shared" si="40"/>
        <v>#DIV/0!</v>
      </c>
      <c r="X145" s="42">
        <f t="shared" si="42"/>
        <v>0</v>
      </c>
      <c r="Y145" s="42">
        <f t="shared" si="42"/>
        <v>0</v>
      </c>
      <c r="Z145" s="43" t="e">
        <f t="shared" si="35"/>
        <v>#DIV/0!</v>
      </c>
      <c r="AA145" s="43" t="e">
        <f t="shared" si="35"/>
        <v>#DIV/0!</v>
      </c>
      <c r="AB145" s="99"/>
      <c r="AC145" s="70"/>
    </row>
    <row r="146" spans="1:29" s="53" customFormat="1" ht="45.75" customHeight="1">
      <c r="A146" s="96"/>
      <c r="B146" s="97"/>
      <c r="C146" s="428"/>
      <c r="D146" s="81" t="s">
        <v>169</v>
      </c>
      <c r="E146" s="160" t="s">
        <v>193</v>
      </c>
      <c r="F146" s="315">
        <v>0</v>
      </c>
      <c r="G146" s="85">
        <v>0</v>
      </c>
      <c r="H146" s="82">
        <v>0</v>
      </c>
      <c r="I146" s="82">
        <v>0</v>
      </c>
      <c r="J146" s="172">
        <v>0</v>
      </c>
      <c r="K146" s="82">
        <v>0</v>
      </c>
      <c r="L146" s="95">
        <v>0</v>
      </c>
      <c r="M146" s="95">
        <v>0</v>
      </c>
      <c r="N146" s="85"/>
      <c r="O146" s="82"/>
      <c r="P146" s="82"/>
      <c r="Q146" s="82"/>
      <c r="R146" s="101"/>
      <c r="S146" s="85"/>
      <c r="T146" s="112">
        <f t="shared" si="39"/>
        <v>0</v>
      </c>
      <c r="U146" s="39">
        <f t="shared" si="39"/>
        <v>0</v>
      </c>
      <c r="V146" s="41" t="e">
        <f t="shared" si="40"/>
        <v>#DIV/0!</v>
      </c>
      <c r="W146" s="41" t="e">
        <f t="shared" si="40"/>
        <v>#DIV/0!</v>
      </c>
      <c r="X146" s="42">
        <f t="shared" si="42"/>
        <v>0</v>
      </c>
      <c r="Y146" s="42">
        <f t="shared" si="42"/>
        <v>0</v>
      </c>
      <c r="Z146" s="43" t="e">
        <f t="shared" si="35"/>
        <v>#DIV/0!</v>
      </c>
      <c r="AA146" s="43" t="e">
        <f t="shared" si="35"/>
        <v>#DIV/0!</v>
      </c>
      <c r="AB146" s="99"/>
      <c r="AC146" s="70"/>
    </row>
    <row r="147" spans="1:29" s="53" customFormat="1" ht="30" customHeight="1">
      <c r="A147" s="96"/>
      <c r="B147" s="97"/>
      <c r="C147" s="428"/>
      <c r="D147" s="81" t="s">
        <v>96</v>
      </c>
      <c r="E147" s="160" t="s">
        <v>194</v>
      </c>
      <c r="F147" s="315">
        <v>0</v>
      </c>
      <c r="G147" s="85">
        <v>0</v>
      </c>
      <c r="H147" s="82">
        <v>0</v>
      </c>
      <c r="I147" s="82">
        <v>0</v>
      </c>
      <c r="J147" s="172">
        <v>0</v>
      </c>
      <c r="K147" s="82">
        <v>0</v>
      </c>
      <c r="L147" s="95">
        <v>0</v>
      </c>
      <c r="M147" s="95">
        <v>0</v>
      </c>
      <c r="N147" s="85"/>
      <c r="O147" s="82"/>
      <c r="P147" s="82"/>
      <c r="Q147" s="82"/>
      <c r="R147" s="242"/>
      <c r="S147" s="85"/>
      <c r="T147" s="112">
        <f aca="true" t="shared" si="43" ref="T147:U154">SUM(L147+N147+P147+R147)</f>
        <v>0</v>
      </c>
      <c r="U147" s="39">
        <f t="shared" si="43"/>
        <v>0</v>
      </c>
      <c r="V147" s="41" t="e">
        <f aca="true" t="shared" si="44" ref="V147:W154">+T147/J147*100</f>
        <v>#DIV/0!</v>
      </c>
      <c r="W147" s="41" t="e">
        <f t="shared" si="44"/>
        <v>#DIV/0!</v>
      </c>
      <c r="X147" s="42">
        <f t="shared" si="42"/>
        <v>0</v>
      </c>
      <c r="Y147" s="42">
        <f t="shared" si="42"/>
        <v>0</v>
      </c>
      <c r="Z147" s="43" t="e">
        <f t="shared" si="35"/>
        <v>#DIV/0!</v>
      </c>
      <c r="AA147" s="43" t="e">
        <f t="shared" si="35"/>
        <v>#DIV/0!</v>
      </c>
      <c r="AB147" s="99"/>
      <c r="AC147" s="70"/>
    </row>
    <row r="148" spans="1:29" s="53" customFormat="1" ht="46.5" customHeight="1">
      <c r="A148" s="96"/>
      <c r="B148" s="97"/>
      <c r="C148" s="427"/>
      <c r="D148" s="81" t="s">
        <v>98</v>
      </c>
      <c r="E148" s="160" t="s">
        <v>100</v>
      </c>
      <c r="F148" s="315">
        <v>0</v>
      </c>
      <c r="G148" s="85">
        <v>0</v>
      </c>
      <c r="H148" s="82">
        <v>0</v>
      </c>
      <c r="I148" s="82">
        <v>0</v>
      </c>
      <c r="J148" s="172">
        <v>0</v>
      </c>
      <c r="K148" s="82">
        <v>0</v>
      </c>
      <c r="L148" s="95">
        <v>0</v>
      </c>
      <c r="M148" s="95">
        <v>0</v>
      </c>
      <c r="N148" s="85"/>
      <c r="O148" s="82"/>
      <c r="P148" s="82"/>
      <c r="Q148" s="82"/>
      <c r="R148" s="101"/>
      <c r="S148" s="101"/>
      <c r="T148" s="112">
        <f t="shared" si="43"/>
        <v>0</v>
      </c>
      <c r="U148" s="39">
        <f t="shared" si="43"/>
        <v>0</v>
      </c>
      <c r="V148" s="41" t="e">
        <f t="shared" si="44"/>
        <v>#DIV/0!</v>
      </c>
      <c r="W148" s="41" t="e">
        <f t="shared" si="44"/>
        <v>#DIV/0!</v>
      </c>
      <c r="X148" s="42">
        <f t="shared" si="42"/>
        <v>0</v>
      </c>
      <c r="Y148" s="42">
        <f t="shared" si="42"/>
        <v>0</v>
      </c>
      <c r="Z148" s="43" t="e">
        <f t="shared" si="35"/>
        <v>#DIV/0!</v>
      </c>
      <c r="AA148" s="43" t="e">
        <f t="shared" si="35"/>
        <v>#DIV/0!</v>
      </c>
      <c r="AB148" s="99"/>
      <c r="AC148" s="70"/>
    </row>
    <row r="149" spans="1:29" s="53" customFormat="1" ht="57" customHeight="1">
      <c r="A149" s="96"/>
      <c r="B149" s="97"/>
      <c r="C149" s="173" t="s">
        <v>195</v>
      </c>
      <c r="D149" s="81" t="s">
        <v>172</v>
      </c>
      <c r="E149" s="115" t="s">
        <v>100</v>
      </c>
      <c r="F149" s="85">
        <v>0</v>
      </c>
      <c r="G149" s="85">
        <v>0</v>
      </c>
      <c r="H149" s="82">
        <v>0</v>
      </c>
      <c r="I149" s="82">
        <v>0</v>
      </c>
      <c r="J149" s="90">
        <v>0</v>
      </c>
      <c r="K149" s="82">
        <v>0</v>
      </c>
      <c r="L149" s="95">
        <v>0</v>
      </c>
      <c r="M149" s="95">
        <v>0</v>
      </c>
      <c r="N149" s="85"/>
      <c r="O149" s="82"/>
      <c r="P149" s="82"/>
      <c r="Q149" s="91"/>
      <c r="R149" s="86"/>
      <c r="S149" s="85"/>
      <c r="T149" s="112">
        <f t="shared" si="43"/>
        <v>0</v>
      </c>
      <c r="U149" s="39">
        <f>SUM(M149+O149+Q149+S149)</f>
        <v>0</v>
      </c>
      <c r="V149" s="41" t="e">
        <f t="shared" si="44"/>
        <v>#DIV/0!</v>
      </c>
      <c r="W149" s="41" t="e">
        <f t="shared" si="44"/>
        <v>#DIV/0!</v>
      </c>
      <c r="X149" s="42">
        <f t="shared" si="42"/>
        <v>0</v>
      </c>
      <c r="Y149" s="42">
        <f t="shared" si="42"/>
        <v>0</v>
      </c>
      <c r="Z149" s="43" t="e">
        <f t="shared" si="35"/>
        <v>#DIV/0!</v>
      </c>
      <c r="AA149" s="43" t="e">
        <f t="shared" si="35"/>
        <v>#DIV/0!</v>
      </c>
      <c r="AB149" s="99"/>
      <c r="AC149" s="70"/>
    </row>
    <row r="150" spans="1:29" s="88" customFormat="1" ht="74.25" customHeight="1">
      <c r="A150" s="60"/>
      <c r="B150" s="61"/>
      <c r="C150" s="173" t="s">
        <v>196</v>
      </c>
      <c r="D150" s="162" t="s">
        <v>164</v>
      </c>
      <c r="E150" s="85" t="s">
        <v>100</v>
      </c>
      <c r="F150" s="85">
        <v>0</v>
      </c>
      <c r="G150" s="85">
        <v>0</v>
      </c>
      <c r="H150" s="82">
        <v>0</v>
      </c>
      <c r="I150" s="82">
        <v>0</v>
      </c>
      <c r="J150" s="82">
        <v>0</v>
      </c>
      <c r="K150" s="82">
        <v>0</v>
      </c>
      <c r="L150" s="95">
        <v>0</v>
      </c>
      <c r="M150" s="95">
        <v>0</v>
      </c>
      <c r="N150" s="85"/>
      <c r="O150" s="82"/>
      <c r="P150" s="82"/>
      <c r="Q150" s="82"/>
      <c r="R150" s="84"/>
      <c r="S150" s="85"/>
      <c r="T150" s="112">
        <f t="shared" si="43"/>
        <v>0</v>
      </c>
      <c r="U150" s="39">
        <f t="shared" si="43"/>
        <v>0</v>
      </c>
      <c r="V150" s="41" t="e">
        <f t="shared" si="44"/>
        <v>#DIV/0!</v>
      </c>
      <c r="W150" s="41" t="e">
        <f t="shared" si="44"/>
        <v>#DIV/0!</v>
      </c>
      <c r="X150" s="42">
        <f t="shared" si="42"/>
        <v>0</v>
      </c>
      <c r="Y150" s="42">
        <f t="shared" si="42"/>
        <v>0</v>
      </c>
      <c r="Z150" s="43" t="e">
        <f t="shared" si="35"/>
        <v>#DIV/0!</v>
      </c>
      <c r="AA150" s="43" t="e">
        <f t="shared" si="35"/>
        <v>#DIV/0!</v>
      </c>
      <c r="AB150" s="83"/>
      <c r="AC150" s="87"/>
    </row>
    <row r="151" spans="1:29" s="53" customFormat="1" ht="36.75" customHeight="1">
      <c r="A151" s="96"/>
      <c r="B151" s="97"/>
      <c r="C151" s="433" t="s">
        <v>197</v>
      </c>
      <c r="D151" s="173" t="s">
        <v>198</v>
      </c>
      <c r="E151" s="115" t="s">
        <v>193</v>
      </c>
      <c r="F151" s="85">
        <v>0</v>
      </c>
      <c r="G151" s="85">
        <v>0</v>
      </c>
      <c r="H151" s="82">
        <v>0</v>
      </c>
      <c r="I151" s="82">
        <v>0</v>
      </c>
      <c r="J151" s="90">
        <v>0</v>
      </c>
      <c r="K151" s="82">
        <v>0</v>
      </c>
      <c r="L151" s="95">
        <v>0</v>
      </c>
      <c r="M151" s="95">
        <v>0</v>
      </c>
      <c r="N151" s="85"/>
      <c r="O151" s="82"/>
      <c r="P151" s="82"/>
      <c r="Q151" s="82"/>
      <c r="R151" s="86"/>
      <c r="S151" s="85"/>
      <c r="T151" s="112">
        <f t="shared" si="43"/>
        <v>0</v>
      </c>
      <c r="U151" s="39">
        <f t="shared" si="43"/>
        <v>0</v>
      </c>
      <c r="V151" s="41" t="e">
        <f t="shared" si="44"/>
        <v>#DIV/0!</v>
      </c>
      <c r="W151" s="41" t="e">
        <f t="shared" si="44"/>
        <v>#DIV/0!</v>
      </c>
      <c r="X151" s="42">
        <f t="shared" si="42"/>
        <v>0</v>
      </c>
      <c r="Y151" s="42">
        <f t="shared" si="42"/>
        <v>0</v>
      </c>
      <c r="Z151" s="43" t="e">
        <f t="shared" si="35"/>
        <v>#DIV/0!</v>
      </c>
      <c r="AA151" s="43" t="e">
        <f t="shared" si="35"/>
        <v>#DIV/0!</v>
      </c>
      <c r="AB151" s="99"/>
      <c r="AC151" s="70"/>
    </row>
    <row r="152" spans="1:29" s="53" customFormat="1" ht="35.25" customHeight="1">
      <c r="A152" s="96"/>
      <c r="B152" s="97"/>
      <c r="C152" s="434"/>
      <c r="D152" s="173" t="s">
        <v>199</v>
      </c>
      <c r="E152" s="115" t="s">
        <v>193</v>
      </c>
      <c r="F152" s="85">
        <v>0</v>
      </c>
      <c r="G152" s="85">
        <v>0</v>
      </c>
      <c r="H152" s="82">
        <v>0</v>
      </c>
      <c r="I152" s="82">
        <v>0</v>
      </c>
      <c r="J152" s="90">
        <v>0</v>
      </c>
      <c r="K152" s="82">
        <v>0</v>
      </c>
      <c r="L152" s="95">
        <v>0</v>
      </c>
      <c r="M152" s="95">
        <v>0</v>
      </c>
      <c r="N152" s="85"/>
      <c r="O152" s="143"/>
      <c r="P152" s="82"/>
      <c r="Q152" s="82"/>
      <c r="R152" s="86"/>
      <c r="S152" s="84"/>
      <c r="T152" s="112">
        <f t="shared" si="43"/>
        <v>0</v>
      </c>
      <c r="U152" s="39">
        <f t="shared" si="43"/>
        <v>0</v>
      </c>
      <c r="V152" s="41" t="e">
        <f t="shared" si="44"/>
        <v>#DIV/0!</v>
      </c>
      <c r="W152" s="41" t="e">
        <f>+U152/K152*100</f>
        <v>#DIV/0!</v>
      </c>
      <c r="X152" s="42">
        <f t="shared" si="42"/>
        <v>0</v>
      </c>
      <c r="Y152" s="42">
        <f t="shared" si="42"/>
        <v>0</v>
      </c>
      <c r="Z152" s="43" t="e">
        <f t="shared" si="35"/>
        <v>#DIV/0!</v>
      </c>
      <c r="AA152" s="43" t="e">
        <f t="shared" si="35"/>
        <v>#DIV/0!</v>
      </c>
      <c r="AB152" s="99"/>
      <c r="AC152" s="70"/>
    </row>
    <row r="153" spans="1:29" s="53" customFormat="1" ht="33.75" customHeight="1">
      <c r="A153" s="96"/>
      <c r="B153" s="97"/>
      <c r="C153" s="434"/>
      <c r="D153" s="173" t="s">
        <v>200</v>
      </c>
      <c r="E153" s="115" t="s">
        <v>129</v>
      </c>
      <c r="F153" s="85">
        <v>0</v>
      </c>
      <c r="G153" s="85">
        <v>0</v>
      </c>
      <c r="H153" s="82">
        <v>0</v>
      </c>
      <c r="I153" s="82">
        <v>0</v>
      </c>
      <c r="J153" s="90">
        <v>0</v>
      </c>
      <c r="K153" s="82">
        <v>0</v>
      </c>
      <c r="L153" s="95">
        <v>0</v>
      </c>
      <c r="M153" s="95">
        <v>0</v>
      </c>
      <c r="N153" s="85"/>
      <c r="O153" s="82"/>
      <c r="P153" s="82"/>
      <c r="Q153" s="82"/>
      <c r="R153" s="86"/>
      <c r="S153" s="84"/>
      <c r="T153" s="112">
        <f t="shared" si="43"/>
        <v>0</v>
      </c>
      <c r="U153" s="39">
        <f t="shared" si="43"/>
        <v>0</v>
      </c>
      <c r="V153" s="41" t="e">
        <f t="shared" si="44"/>
        <v>#DIV/0!</v>
      </c>
      <c r="W153" s="41" t="e">
        <f t="shared" si="44"/>
        <v>#DIV/0!</v>
      </c>
      <c r="X153" s="42">
        <f t="shared" si="42"/>
        <v>0</v>
      </c>
      <c r="Y153" s="42">
        <f t="shared" si="42"/>
        <v>0</v>
      </c>
      <c r="Z153" s="43" t="e">
        <f t="shared" si="35"/>
        <v>#DIV/0!</v>
      </c>
      <c r="AA153" s="43" t="e">
        <f t="shared" si="35"/>
        <v>#DIV/0!</v>
      </c>
      <c r="AB153" s="99"/>
      <c r="AC153" s="70"/>
    </row>
    <row r="154" spans="1:29" s="53" customFormat="1" ht="29.25" customHeight="1">
      <c r="A154" s="96"/>
      <c r="B154" s="97"/>
      <c r="C154" s="435"/>
      <c r="D154" s="116" t="s">
        <v>128</v>
      </c>
      <c r="E154" s="115" t="s">
        <v>129</v>
      </c>
      <c r="F154" s="85">
        <v>0</v>
      </c>
      <c r="G154" s="85">
        <v>0</v>
      </c>
      <c r="H154" s="82">
        <v>0</v>
      </c>
      <c r="I154" s="82">
        <v>0</v>
      </c>
      <c r="J154" s="90"/>
      <c r="K154" s="82">
        <v>0</v>
      </c>
      <c r="L154" s="95">
        <v>0</v>
      </c>
      <c r="M154" s="95">
        <v>0</v>
      </c>
      <c r="N154" s="85"/>
      <c r="O154" s="82"/>
      <c r="P154" s="82"/>
      <c r="Q154" s="82"/>
      <c r="R154" s="85"/>
      <c r="S154" s="85"/>
      <c r="T154" s="112">
        <f>SUM(L154+N154+P154+R154)</f>
        <v>0</v>
      </c>
      <c r="U154" s="39">
        <f t="shared" si="43"/>
        <v>0</v>
      </c>
      <c r="V154" s="41" t="e">
        <f t="shared" si="44"/>
        <v>#DIV/0!</v>
      </c>
      <c r="W154" s="41" t="e">
        <f t="shared" si="44"/>
        <v>#DIV/0!</v>
      </c>
      <c r="X154" s="42">
        <f t="shared" si="42"/>
        <v>0</v>
      </c>
      <c r="Y154" s="42">
        <f t="shared" si="42"/>
        <v>0</v>
      </c>
      <c r="Z154" s="43" t="e">
        <f t="shared" si="35"/>
        <v>#DIV/0!</v>
      </c>
      <c r="AA154" s="43" t="e">
        <f t="shared" si="35"/>
        <v>#DIV/0!</v>
      </c>
      <c r="AB154" s="99"/>
      <c r="AC154" s="70"/>
    </row>
    <row r="155" spans="1:29" s="53" customFormat="1" ht="13.5">
      <c r="A155" s="96"/>
      <c r="B155" s="97"/>
      <c r="C155" s="98"/>
      <c r="D155" s="98"/>
      <c r="E155" s="99"/>
      <c r="F155" s="101"/>
      <c r="G155" s="101"/>
      <c r="H155" s="102"/>
      <c r="I155" s="102"/>
      <c r="J155" s="115"/>
      <c r="K155" s="143"/>
      <c r="L155" s="101"/>
      <c r="M155" s="101"/>
      <c r="N155" s="101"/>
      <c r="O155" s="102"/>
      <c r="P155" s="102"/>
      <c r="Q155" s="102"/>
      <c r="R155" s="101"/>
      <c r="S155" s="101"/>
      <c r="T155" s="112"/>
      <c r="U155" s="39"/>
      <c r="V155" s="41"/>
      <c r="W155" s="41"/>
      <c r="X155" s="42"/>
      <c r="Y155" s="42"/>
      <c r="Z155" s="43"/>
      <c r="AA155" s="43"/>
      <c r="AB155" s="99"/>
      <c r="AC155" s="70"/>
    </row>
    <row r="156" spans="1:29" s="111" customFormat="1" ht="79.5" customHeight="1">
      <c r="A156" s="104"/>
      <c r="B156" s="358"/>
      <c r="C156" s="72" t="s">
        <v>201</v>
      </c>
      <c r="D156" s="72"/>
      <c r="E156" s="39"/>
      <c r="F156" s="39">
        <f aca="true" t="shared" si="45" ref="F156:S156">SUM(F157:F162)</f>
        <v>35</v>
      </c>
      <c r="G156" s="39">
        <f t="shared" si="45"/>
        <v>1593000</v>
      </c>
      <c r="H156" s="39">
        <f t="shared" si="45"/>
        <v>1</v>
      </c>
      <c r="I156" s="39">
        <f t="shared" si="45"/>
        <v>50750</v>
      </c>
      <c r="J156" s="39">
        <f t="shared" si="45"/>
        <v>0</v>
      </c>
      <c r="K156" s="39">
        <f t="shared" si="45"/>
        <v>0</v>
      </c>
      <c r="L156" s="39">
        <f t="shared" si="45"/>
        <v>0</v>
      </c>
      <c r="M156" s="39">
        <f t="shared" si="45"/>
        <v>0</v>
      </c>
      <c r="N156" s="39">
        <f t="shared" si="45"/>
        <v>0</v>
      </c>
      <c r="O156" s="39">
        <f t="shared" si="45"/>
        <v>0</v>
      </c>
      <c r="P156" s="39">
        <f t="shared" si="45"/>
        <v>0</v>
      </c>
      <c r="Q156" s="39">
        <f t="shared" si="45"/>
        <v>0</v>
      </c>
      <c r="R156" s="39">
        <f t="shared" si="45"/>
        <v>0</v>
      </c>
      <c r="S156" s="238">
        <f t="shared" si="45"/>
        <v>0</v>
      </c>
      <c r="T156" s="39">
        <f aca="true" t="shared" si="46" ref="T156:U162">SUM(L156+N156+P156+R156)</f>
        <v>0</v>
      </c>
      <c r="U156" s="39">
        <f t="shared" si="46"/>
        <v>0</v>
      </c>
      <c r="V156" s="174" t="e">
        <f aca="true" t="shared" si="47" ref="V156:W162">+T156/J156*100</f>
        <v>#DIV/0!</v>
      </c>
      <c r="W156" s="107" t="e">
        <f t="shared" si="47"/>
        <v>#DIV/0!</v>
      </c>
      <c r="X156" s="108">
        <f aca="true" t="shared" si="48" ref="X156:Y162">+H156+T156</f>
        <v>1</v>
      </c>
      <c r="Y156" s="108">
        <f t="shared" si="48"/>
        <v>50750</v>
      </c>
      <c r="Z156" s="109">
        <f aca="true" t="shared" si="49" ref="Z156:AA162">+X156/F156*100</f>
        <v>2.857142857142857</v>
      </c>
      <c r="AA156" s="109">
        <f t="shared" si="49"/>
        <v>3.1858129315756436</v>
      </c>
      <c r="AB156" s="101"/>
      <c r="AC156" s="110"/>
    </row>
    <row r="157" spans="1:29" s="53" customFormat="1" ht="118.5" customHeight="1">
      <c r="A157" s="96"/>
      <c r="B157" s="97"/>
      <c r="C157" s="81" t="s">
        <v>202</v>
      </c>
      <c r="D157" s="81" t="s">
        <v>203</v>
      </c>
      <c r="E157" s="131" t="s">
        <v>204</v>
      </c>
      <c r="F157" s="136">
        <f>1*5</f>
        <v>5</v>
      </c>
      <c r="G157" s="167">
        <v>730000</v>
      </c>
      <c r="H157" s="82">
        <v>1</v>
      </c>
      <c r="I157" s="82">
        <v>50750</v>
      </c>
      <c r="J157" s="90">
        <v>0</v>
      </c>
      <c r="K157" s="82">
        <v>0</v>
      </c>
      <c r="L157" s="85">
        <v>0</v>
      </c>
      <c r="M157" s="85">
        <v>0</v>
      </c>
      <c r="N157" s="85"/>
      <c r="O157" s="82"/>
      <c r="P157" s="82"/>
      <c r="Q157" s="82"/>
      <c r="R157" s="85"/>
      <c r="S157" s="85"/>
      <c r="T157" s="112">
        <f t="shared" si="46"/>
        <v>0</v>
      </c>
      <c r="U157" s="39">
        <f t="shared" si="46"/>
        <v>0</v>
      </c>
      <c r="V157" s="159" t="e">
        <f t="shared" si="47"/>
        <v>#DIV/0!</v>
      </c>
      <c r="W157" s="41" t="e">
        <f t="shared" si="47"/>
        <v>#DIV/0!</v>
      </c>
      <c r="X157" s="42">
        <f t="shared" si="48"/>
        <v>1</v>
      </c>
      <c r="Y157" s="42">
        <f t="shared" si="48"/>
        <v>50750</v>
      </c>
      <c r="Z157" s="43">
        <f t="shared" si="49"/>
        <v>20</v>
      </c>
      <c r="AA157" s="43">
        <f t="shared" si="49"/>
        <v>6.952054794520548</v>
      </c>
      <c r="AB157" s="99"/>
      <c r="AC157" s="70"/>
    </row>
    <row r="158" spans="1:29" s="53" customFormat="1" ht="63" customHeight="1">
      <c r="A158" s="96"/>
      <c r="B158" s="97"/>
      <c r="C158" s="81" t="s">
        <v>205</v>
      </c>
      <c r="D158" s="81" t="s">
        <v>206</v>
      </c>
      <c r="E158" s="131" t="s">
        <v>145</v>
      </c>
      <c r="F158" s="136">
        <v>30</v>
      </c>
      <c r="G158" s="167">
        <v>863000</v>
      </c>
      <c r="H158" s="82">
        <v>0</v>
      </c>
      <c r="I158" s="82">
        <v>0</v>
      </c>
      <c r="J158" s="90">
        <v>0</v>
      </c>
      <c r="K158" s="82">
        <v>0</v>
      </c>
      <c r="L158" s="85">
        <v>0</v>
      </c>
      <c r="M158" s="85">
        <v>0</v>
      </c>
      <c r="N158" s="85"/>
      <c r="O158" s="82"/>
      <c r="P158" s="82"/>
      <c r="Q158" s="82"/>
      <c r="R158" s="84"/>
      <c r="S158" s="85"/>
      <c r="T158" s="112">
        <f t="shared" si="46"/>
        <v>0</v>
      </c>
      <c r="U158" s="39">
        <f t="shared" si="46"/>
        <v>0</v>
      </c>
      <c r="V158" s="159" t="e">
        <f t="shared" si="47"/>
        <v>#DIV/0!</v>
      </c>
      <c r="W158" s="41" t="e">
        <f t="shared" si="47"/>
        <v>#DIV/0!</v>
      </c>
      <c r="X158" s="42">
        <f t="shared" si="48"/>
        <v>0</v>
      </c>
      <c r="Y158" s="42">
        <f t="shared" si="48"/>
        <v>0</v>
      </c>
      <c r="Z158" s="43">
        <f t="shared" si="49"/>
        <v>0</v>
      </c>
      <c r="AA158" s="43">
        <f t="shared" si="49"/>
        <v>0</v>
      </c>
      <c r="AB158" s="99"/>
      <c r="AC158" s="70"/>
    </row>
    <row r="159" spans="1:29" s="53" customFormat="1" ht="49.5" customHeight="1">
      <c r="A159" s="96"/>
      <c r="B159" s="97"/>
      <c r="C159" s="81"/>
      <c r="D159" s="81" t="s">
        <v>207</v>
      </c>
      <c r="E159" s="131"/>
      <c r="F159" s="136">
        <v>0</v>
      </c>
      <c r="G159" s="167">
        <v>0</v>
      </c>
      <c r="H159" s="82">
        <v>0</v>
      </c>
      <c r="I159" s="82">
        <v>0</v>
      </c>
      <c r="J159" s="90">
        <v>0</v>
      </c>
      <c r="K159" s="82">
        <v>0</v>
      </c>
      <c r="L159" s="85">
        <v>0</v>
      </c>
      <c r="M159" s="85">
        <v>0</v>
      </c>
      <c r="N159" s="85"/>
      <c r="O159" s="82"/>
      <c r="P159" s="82"/>
      <c r="Q159" s="82"/>
      <c r="R159" s="85"/>
      <c r="S159" s="85"/>
      <c r="T159" s="112">
        <f t="shared" si="46"/>
        <v>0</v>
      </c>
      <c r="U159" s="39">
        <f t="shared" si="46"/>
        <v>0</v>
      </c>
      <c r="V159" s="159" t="e">
        <f t="shared" si="47"/>
        <v>#DIV/0!</v>
      </c>
      <c r="W159" s="41" t="e">
        <f t="shared" si="47"/>
        <v>#DIV/0!</v>
      </c>
      <c r="X159" s="42">
        <f t="shared" si="48"/>
        <v>0</v>
      </c>
      <c r="Y159" s="42">
        <f t="shared" si="48"/>
        <v>0</v>
      </c>
      <c r="Z159" s="43" t="e">
        <f t="shared" si="49"/>
        <v>#DIV/0!</v>
      </c>
      <c r="AA159" s="43" t="e">
        <f t="shared" si="49"/>
        <v>#DIV/0!</v>
      </c>
      <c r="AB159" s="99"/>
      <c r="AC159" s="70"/>
    </row>
    <row r="160" spans="1:29" s="53" customFormat="1" ht="59.25" customHeight="1">
      <c r="A160" s="96"/>
      <c r="B160" s="97"/>
      <c r="C160" s="81"/>
      <c r="D160" s="81" t="s">
        <v>208</v>
      </c>
      <c r="E160" s="131" t="s">
        <v>204</v>
      </c>
      <c r="F160" s="136">
        <v>0</v>
      </c>
      <c r="G160" s="167">
        <v>0</v>
      </c>
      <c r="H160" s="82">
        <v>0</v>
      </c>
      <c r="I160" s="82">
        <v>0</v>
      </c>
      <c r="J160" s="90">
        <v>0</v>
      </c>
      <c r="K160" s="82">
        <v>0</v>
      </c>
      <c r="L160" s="85">
        <v>0</v>
      </c>
      <c r="M160" s="85">
        <v>0</v>
      </c>
      <c r="N160" s="85"/>
      <c r="O160" s="82"/>
      <c r="P160" s="82"/>
      <c r="Q160" s="82"/>
      <c r="R160" s="85"/>
      <c r="S160" s="85"/>
      <c r="T160" s="112">
        <f t="shared" si="46"/>
        <v>0</v>
      </c>
      <c r="U160" s="39">
        <f t="shared" si="46"/>
        <v>0</v>
      </c>
      <c r="V160" s="159" t="e">
        <f t="shared" si="47"/>
        <v>#DIV/0!</v>
      </c>
      <c r="W160" s="41" t="e">
        <f t="shared" si="47"/>
        <v>#DIV/0!</v>
      </c>
      <c r="X160" s="42">
        <f t="shared" si="48"/>
        <v>0</v>
      </c>
      <c r="Y160" s="42">
        <f t="shared" si="48"/>
        <v>0</v>
      </c>
      <c r="Z160" s="43" t="e">
        <f t="shared" si="49"/>
        <v>#DIV/0!</v>
      </c>
      <c r="AA160" s="43" t="e">
        <f t="shared" si="49"/>
        <v>#DIV/0!</v>
      </c>
      <c r="AB160" s="99"/>
      <c r="AC160" s="70"/>
    </row>
    <row r="161" spans="1:29" s="53" customFormat="1" ht="39" customHeight="1">
      <c r="A161" s="96"/>
      <c r="B161" s="97"/>
      <c r="C161" s="81"/>
      <c r="D161" s="81" t="s">
        <v>209</v>
      </c>
      <c r="E161" s="131" t="s">
        <v>194</v>
      </c>
      <c r="F161" s="136">
        <v>0</v>
      </c>
      <c r="G161" s="167">
        <v>0</v>
      </c>
      <c r="H161" s="82">
        <v>0</v>
      </c>
      <c r="I161" s="82">
        <v>0</v>
      </c>
      <c r="J161" s="90">
        <v>0</v>
      </c>
      <c r="K161" s="82">
        <v>0</v>
      </c>
      <c r="L161" s="85">
        <v>0</v>
      </c>
      <c r="M161" s="85">
        <v>0</v>
      </c>
      <c r="N161" s="85"/>
      <c r="O161" s="82"/>
      <c r="P161" s="82"/>
      <c r="Q161" s="82"/>
      <c r="R161" s="84"/>
      <c r="S161" s="85"/>
      <c r="T161" s="112">
        <f t="shared" si="46"/>
        <v>0</v>
      </c>
      <c r="U161" s="39">
        <f t="shared" si="46"/>
        <v>0</v>
      </c>
      <c r="V161" s="159" t="e">
        <f t="shared" si="47"/>
        <v>#DIV/0!</v>
      </c>
      <c r="W161" s="41" t="e">
        <f t="shared" si="47"/>
        <v>#DIV/0!</v>
      </c>
      <c r="X161" s="42">
        <f t="shared" si="48"/>
        <v>0</v>
      </c>
      <c r="Y161" s="42">
        <f t="shared" si="48"/>
        <v>0</v>
      </c>
      <c r="Z161" s="43" t="e">
        <f t="shared" si="49"/>
        <v>#DIV/0!</v>
      </c>
      <c r="AA161" s="43" t="e">
        <f t="shared" si="49"/>
        <v>#DIV/0!</v>
      </c>
      <c r="AB161" s="99"/>
      <c r="AC161" s="70"/>
    </row>
    <row r="162" spans="1:29" s="53" customFormat="1" ht="51.75" customHeight="1">
      <c r="A162" s="96"/>
      <c r="B162" s="97"/>
      <c r="C162" s="81"/>
      <c r="D162" s="81" t="s">
        <v>98</v>
      </c>
      <c r="E162" s="131" t="s">
        <v>204</v>
      </c>
      <c r="F162" s="136">
        <v>0</v>
      </c>
      <c r="G162" s="167">
        <v>0</v>
      </c>
      <c r="H162" s="82">
        <v>0</v>
      </c>
      <c r="I162" s="82">
        <v>0</v>
      </c>
      <c r="J162" s="115">
        <v>0</v>
      </c>
      <c r="K162" s="82">
        <v>0</v>
      </c>
      <c r="L162" s="85">
        <v>0</v>
      </c>
      <c r="M162" s="85">
        <v>0</v>
      </c>
      <c r="N162" s="85"/>
      <c r="O162" s="82"/>
      <c r="P162" s="82"/>
      <c r="Q162" s="82"/>
      <c r="R162" s="84"/>
      <c r="S162" s="85"/>
      <c r="T162" s="112">
        <f t="shared" si="46"/>
        <v>0</v>
      </c>
      <c r="U162" s="39">
        <f t="shared" si="46"/>
        <v>0</v>
      </c>
      <c r="V162" s="40" t="e">
        <f t="shared" si="47"/>
        <v>#DIV/0!</v>
      </c>
      <c r="W162" s="41" t="e">
        <f t="shared" si="47"/>
        <v>#DIV/0!</v>
      </c>
      <c r="X162" s="42">
        <f t="shared" si="48"/>
        <v>0</v>
      </c>
      <c r="Y162" s="42">
        <f t="shared" si="48"/>
        <v>0</v>
      </c>
      <c r="Z162" s="43" t="e">
        <f t="shared" si="49"/>
        <v>#DIV/0!</v>
      </c>
      <c r="AA162" s="43" t="e">
        <f t="shared" si="49"/>
        <v>#DIV/0!</v>
      </c>
      <c r="AB162" s="99"/>
      <c r="AC162" s="70"/>
    </row>
    <row r="163" spans="1:29" s="53" customFormat="1" ht="13.5">
      <c r="A163" s="96"/>
      <c r="B163" s="97"/>
      <c r="C163" s="98"/>
      <c r="D163" s="98"/>
      <c r="E163" s="99"/>
      <c r="F163" s="101"/>
      <c r="G163" s="101"/>
      <c r="H163" s="102"/>
      <c r="I163" s="102"/>
      <c r="J163" s="115"/>
      <c r="K163" s="143"/>
      <c r="L163" s="101"/>
      <c r="M163" s="101"/>
      <c r="N163" s="101"/>
      <c r="O163" s="102"/>
      <c r="P163" s="102"/>
      <c r="Q163" s="102"/>
      <c r="R163" s="101"/>
      <c r="S163" s="243"/>
      <c r="T163" s="112"/>
      <c r="U163" s="39"/>
      <c r="V163" s="41"/>
      <c r="W163" s="41"/>
      <c r="X163" s="42"/>
      <c r="Y163" s="42"/>
      <c r="Z163" s="43"/>
      <c r="AA163" s="43"/>
      <c r="AB163" s="99"/>
      <c r="AC163" s="70"/>
    </row>
    <row r="164" spans="1:29" s="111" customFormat="1" ht="83.25" customHeight="1">
      <c r="A164" s="104"/>
      <c r="B164" s="358"/>
      <c r="C164" s="72" t="s">
        <v>210</v>
      </c>
      <c r="D164" s="72"/>
      <c r="E164" s="39"/>
      <c r="F164" s="39">
        <f aca="true" t="shared" si="50" ref="F164:S164">SUM(F165:F182)</f>
        <v>700</v>
      </c>
      <c r="G164" s="39">
        <f t="shared" si="50"/>
        <v>2203000</v>
      </c>
      <c r="H164" s="39">
        <f t="shared" si="50"/>
        <v>151</v>
      </c>
      <c r="I164" s="39">
        <f>SUM(I165:I182)</f>
        <v>680854.3</v>
      </c>
      <c r="J164" s="39">
        <f t="shared" si="50"/>
        <v>152</v>
      </c>
      <c r="K164" s="39">
        <f>SUM(K165:K182)</f>
        <v>681000</v>
      </c>
      <c r="L164" s="39">
        <f t="shared" si="50"/>
        <v>0</v>
      </c>
      <c r="M164" s="39">
        <f t="shared" si="50"/>
        <v>0</v>
      </c>
      <c r="N164" s="39">
        <f t="shared" si="50"/>
        <v>1</v>
      </c>
      <c r="O164" s="39">
        <f t="shared" si="50"/>
        <v>32890</v>
      </c>
      <c r="P164" s="39">
        <f t="shared" si="50"/>
        <v>141</v>
      </c>
      <c r="Q164" s="39">
        <f t="shared" si="50"/>
        <v>129410</v>
      </c>
      <c r="R164" s="39">
        <f t="shared" si="50"/>
        <v>11</v>
      </c>
      <c r="S164" s="238">
        <f t="shared" si="50"/>
        <v>495743.3</v>
      </c>
      <c r="T164" s="39">
        <f>SUM(L164+N164+P164+R164)</f>
        <v>153</v>
      </c>
      <c r="U164" s="349">
        <f>SUM(M164+O164+Q164+S164)</f>
        <v>658043.3</v>
      </c>
      <c r="V164" s="107">
        <f aca="true" t="shared" si="51" ref="V164:W182">+T164/J164*100</f>
        <v>100.6578947368421</v>
      </c>
      <c r="W164" s="107">
        <f t="shared" si="51"/>
        <v>96.62897209985316</v>
      </c>
      <c r="X164" s="108">
        <f>+H164+T164</f>
        <v>304</v>
      </c>
      <c r="Y164" s="108">
        <f aca="true" t="shared" si="52" ref="Y164:Y182">+I164+U164</f>
        <v>1338897.6</v>
      </c>
      <c r="Z164" s="109">
        <f aca="true" t="shared" si="53" ref="Z164:AA182">+X164/F164*100</f>
        <v>43.42857142857143</v>
      </c>
      <c r="AA164" s="109">
        <f t="shared" si="53"/>
        <v>60.776105310939634</v>
      </c>
      <c r="AB164" s="101"/>
      <c r="AC164" s="110"/>
    </row>
    <row r="165" spans="1:29" s="53" customFormat="1" ht="66" customHeight="1">
      <c r="A165" s="96"/>
      <c r="B165" s="378"/>
      <c r="C165" s="81" t="s">
        <v>211</v>
      </c>
      <c r="D165" s="81" t="s">
        <v>212</v>
      </c>
      <c r="E165" s="131" t="s">
        <v>213</v>
      </c>
      <c r="F165" s="136">
        <f>120*5</f>
        <v>600</v>
      </c>
      <c r="G165" s="167">
        <v>491000</v>
      </c>
      <c r="H165" s="85">
        <v>140</v>
      </c>
      <c r="I165" s="82">
        <v>75000</v>
      </c>
      <c r="J165" s="115">
        <v>140</v>
      </c>
      <c r="K165" s="82">
        <v>85000</v>
      </c>
      <c r="L165" s="85">
        <v>0</v>
      </c>
      <c r="M165" s="85">
        <v>0</v>
      </c>
      <c r="N165" s="85"/>
      <c r="O165" s="82"/>
      <c r="P165" s="86">
        <v>140</v>
      </c>
      <c r="Q165" s="82">
        <v>85000</v>
      </c>
      <c r="R165" s="85"/>
      <c r="S165" s="85"/>
      <c r="T165" s="112">
        <f aca="true" t="shared" si="54" ref="T165:U181">SUM(L165+N165+P165+R165)</f>
        <v>140</v>
      </c>
      <c r="U165" s="39">
        <f t="shared" si="54"/>
        <v>85000</v>
      </c>
      <c r="V165" s="239">
        <f t="shared" si="51"/>
        <v>100</v>
      </c>
      <c r="W165" s="41">
        <f t="shared" si="51"/>
        <v>100</v>
      </c>
      <c r="X165" s="42">
        <f aca="true" t="shared" si="55" ref="X165:X182">+H165+T165</f>
        <v>280</v>
      </c>
      <c r="Y165" s="42">
        <f t="shared" si="52"/>
        <v>160000</v>
      </c>
      <c r="Z165" s="43">
        <f t="shared" si="53"/>
        <v>46.666666666666664</v>
      </c>
      <c r="AA165" s="43">
        <f t="shared" si="53"/>
        <v>32.586558044806516</v>
      </c>
      <c r="AB165" s="99"/>
      <c r="AC165" s="70"/>
    </row>
    <row r="166" spans="1:30" s="53" customFormat="1" ht="68.25" customHeight="1">
      <c r="A166" s="96"/>
      <c r="B166" s="362"/>
      <c r="C166" s="81" t="s">
        <v>214</v>
      </c>
      <c r="D166" s="81" t="s">
        <v>215</v>
      </c>
      <c r="E166" s="131" t="s">
        <v>204</v>
      </c>
      <c r="F166" s="136">
        <v>5</v>
      </c>
      <c r="G166" s="167">
        <v>115000</v>
      </c>
      <c r="H166" s="85">
        <v>1</v>
      </c>
      <c r="I166" s="216">
        <f>50000+750-260</f>
        <v>50490</v>
      </c>
      <c r="J166" s="115">
        <v>1</v>
      </c>
      <c r="K166" s="216">
        <v>45000</v>
      </c>
      <c r="L166" s="85">
        <v>0</v>
      </c>
      <c r="M166" s="85">
        <v>0</v>
      </c>
      <c r="N166" s="85"/>
      <c r="O166" s="82"/>
      <c r="P166" s="82">
        <v>1</v>
      </c>
      <c r="Q166" s="82">
        <f>43010+1400</f>
        <v>44410</v>
      </c>
      <c r="R166" s="85">
        <v>0</v>
      </c>
      <c r="S166" s="85"/>
      <c r="T166" s="112">
        <f t="shared" si="54"/>
        <v>1</v>
      </c>
      <c r="U166" s="39">
        <f>SUM(M166+O166+Q166+S166)</f>
        <v>44410</v>
      </c>
      <c r="V166" s="40">
        <f t="shared" si="51"/>
        <v>100</v>
      </c>
      <c r="W166" s="41">
        <f t="shared" si="51"/>
        <v>98.6888888888889</v>
      </c>
      <c r="X166" s="42">
        <f>+H166+T166</f>
        <v>2</v>
      </c>
      <c r="Y166" s="42">
        <f t="shared" si="52"/>
        <v>94900</v>
      </c>
      <c r="Z166" s="43">
        <f t="shared" si="53"/>
        <v>40</v>
      </c>
      <c r="AA166" s="43">
        <f t="shared" si="53"/>
        <v>82.52173913043478</v>
      </c>
      <c r="AB166" s="99"/>
      <c r="AC166" s="70"/>
      <c r="AD166" s="226">
        <f>+U166+U167+U168+U169+U170+U171</f>
        <v>211922.8</v>
      </c>
    </row>
    <row r="167" spans="1:29" s="53" customFormat="1" ht="92.25" customHeight="1">
      <c r="A167" s="96"/>
      <c r="B167" s="97"/>
      <c r="C167" s="164"/>
      <c r="D167" s="81" t="s">
        <v>216</v>
      </c>
      <c r="E167" s="131" t="s">
        <v>204</v>
      </c>
      <c r="F167" s="136">
        <v>5</v>
      </c>
      <c r="G167" s="167">
        <v>144000</v>
      </c>
      <c r="H167" s="85">
        <v>1</v>
      </c>
      <c r="I167" s="216">
        <f>50000+750-260</f>
        <v>50490</v>
      </c>
      <c r="J167" s="115">
        <v>1</v>
      </c>
      <c r="K167" s="216">
        <v>45000</v>
      </c>
      <c r="L167" s="85">
        <v>0</v>
      </c>
      <c r="M167" s="85">
        <v>0</v>
      </c>
      <c r="N167" s="85"/>
      <c r="O167" s="82"/>
      <c r="P167" s="82"/>
      <c r="Q167" s="82"/>
      <c r="R167" s="85">
        <v>1</v>
      </c>
      <c r="S167" s="85">
        <f>42622.8+1400</f>
        <v>44022.8</v>
      </c>
      <c r="T167" s="112">
        <f t="shared" si="54"/>
        <v>1</v>
      </c>
      <c r="U167" s="39">
        <f t="shared" si="54"/>
        <v>44022.8</v>
      </c>
      <c r="V167" s="40">
        <f t="shared" si="51"/>
        <v>100</v>
      </c>
      <c r="W167" s="41">
        <f t="shared" si="51"/>
        <v>97.82844444444446</v>
      </c>
      <c r="X167" s="42">
        <f t="shared" si="55"/>
        <v>2</v>
      </c>
      <c r="Y167" s="42">
        <f t="shared" si="52"/>
        <v>94512.8</v>
      </c>
      <c r="Z167" s="43">
        <f t="shared" si="53"/>
        <v>40</v>
      </c>
      <c r="AA167" s="43">
        <f t="shared" si="53"/>
        <v>65.63388888888889</v>
      </c>
      <c r="AB167" s="99"/>
      <c r="AC167" s="70"/>
    </row>
    <row r="168" spans="1:29" s="53" customFormat="1" ht="98.25" customHeight="1">
      <c r="A168" s="96"/>
      <c r="B168" s="97"/>
      <c r="C168" s="164"/>
      <c r="D168" s="81" t="s">
        <v>217</v>
      </c>
      <c r="E168" s="131" t="s">
        <v>204</v>
      </c>
      <c r="F168" s="136">
        <v>5</v>
      </c>
      <c r="G168" s="316">
        <v>150000</v>
      </c>
      <c r="H168" s="85">
        <v>1</v>
      </c>
      <c r="I168" s="216">
        <f>50000+540</f>
        <v>50540</v>
      </c>
      <c r="J168" s="115">
        <v>1</v>
      </c>
      <c r="K168" s="216">
        <v>36000</v>
      </c>
      <c r="L168" s="85">
        <v>0</v>
      </c>
      <c r="M168" s="85">
        <v>0</v>
      </c>
      <c r="N168" s="85">
        <v>1</v>
      </c>
      <c r="O168" s="82">
        <v>32890</v>
      </c>
      <c r="P168" s="82">
        <v>0</v>
      </c>
      <c r="Q168" s="82">
        <v>0</v>
      </c>
      <c r="R168" s="85">
        <v>0</v>
      </c>
      <c r="S168" s="85">
        <v>1400</v>
      </c>
      <c r="T168" s="112">
        <f t="shared" si="54"/>
        <v>1</v>
      </c>
      <c r="U168" s="39">
        <f t="shared" si="54"/>
        <v>34290</v>
      </c>
      <c r="V168" s="40">
        <f t="shared" si="51"/>
        <v>100</v>
      </c>
      <c r="W168" s="41">
        <f t="shared" si="51"/>
        <v>95.25</v>
      </c>
      <c r="X168" s="42">
        <f t="shared" si="55"/>
        <v>2</v>
      </c>
      <c r="Y168" s="42">
        <f t="shared" si="52"/>
        <v>84830</v>
      </c>
      <c r="Z168" s="43">
        <f t="shared" si="53"/>
        <v>40</v>
      </c>
      <c r="AA168" s="43">
        <f t="shared" si="53"/>
        <v>56.553333333333335</v>
      </c>
      <c r="AB168" s="99"/>
      <c r="AC168" s="70"/>
    </row>
    <row r="169" spans="1:29" s="53" customFormat="1" ht="60.75" customHeight="1">
      <c r="A169" s="96"/>
      <c r="B169" s="97"/>
      <c r="C169" s="145"/>
      <c r="D169" s="81" t="s">
        <v>218</v>
      </c>
      <c r="E169" s="131" t="s">
        <v>204</v>
      </c>
      <c r="F169" s="136">
        <v>5</v>
      </c>
      <c r="G169" s="316">
        <v>140000</v>
      </c>
      <c r="H169" s="85">
        <v>1</v>
      </c>
      <c r="I169" s="216">
        <f>50000+750-360.5</f>
        <v>50389.5</v>
      </c>
      <c r="J169" s="115">
        <v>1</v>
      </c>
      <c r="K169" s="216">
        <v>45000</v>
      </c>
      <c r="L169" s="85">
        <v>0</v>
      </c>
      <c r="M169" s="85">
        <v>0</v>
      </c>
      <c r="N169" s="85"/>
      <c r="O169" s="82"/>
      <c r="P169" s="82"/>
      <c r="Q169" s="82"/>
      <c r="R169" s="85">
        <v>1</v>
      </c>
      <c r="S169" s="85">
        <f>43400+1400</f>
        <v>44800</v>
      </c>
      <c r="T169" s="112">
        <f t="shared" si="54"/>
        <v>1</v>
      </c>
      <c r="U169" s="39">
        <f t="shared" si="54"/>
        <v>44800</v>
      </c>
      <c r="V169" s="40">
        <f t="shared" si="51"/>
        <v>100</v>
      </c>
      <c r="W169" s="41">
        <f t="shared" si="51"/>
        <v>99.55555555555556</v>
      </c>
      <c r="X169" s="42">
        <f t="shared" si="55"/>
        <v>2</v>
      </c>
      <c r="Y169" s="42">
        <f t="shared" si="52"/>
        <v>95189.5</v>
      </c>
      <c r="Z169" s="43">
        <f t="shared" si="53"/>
        <v>40</v>
      </c>
      <c r="AA169" s="43">
        <f t="shared" si="53"/>
        <v>67.9925</v>
      </c>
      <c r="AB169" s="99"/>
      <c r="AC169" s="70"/>
    </row>
    <row r="170" spans="1:29" s="53" customFormat="1" ht="81" customHeight="1">
      <c r="A170" s="96"/>
      <c r="B170" s="97"/>
      <c r="C170" s="175"/>
      <c r="D170" s="81" t="s">
        <v>219</v>
      </c>
      <c r="E170" s="131" t="s">
        <v>204</v>
      </c>
      <c r="F170" s="136">
        <v>5</v>
      </c>
      <c r="G170" s="317">
        <v>200000</v>
      </c>
      <c r="H170" s="85">
        <v>1</v>
      </c>
      <c r="I170" s="216">
        <f>50000+750-335.1</f>
        <v>50414.9</v>
      </c>
      <c r="J170" s="115">
        <v>0</v>
      </c>
      <c r="K170" s="216">
        <v>0</v>
      </c>
      <c r="L170" s="85">
        <v>0</v>
      </c>
      <c r="M170" s="85">
        <v>0</v>
      </c>
      <c r="N170" s="85"/>
      <c r="O170" s="82"/>
      <c r="P170" s="82"/>
      <c r="Q170" s="82"/>
      <c r="R170" s="85">
        <v>0</v>
      </c>
      <c r="S170" s="85">
        <v>0</v>
      </c>
      <c r="T170" s="112">
        <f t="shared" si="54"/>
        <v>0</v>
      </c>
      <c r="U170" s="39">
        <f t="shared" si="54"/>
        <v>0</v>
      </c>
      <c r="V170" s="40" t="e">
        <f t="shared" si="51"/>
        <v>#DIV/0!</v>
      </c>
      <c r="W170" s="41" t="e">
        <f t="shared" si="51"/>
        <v>#DIV/0!</v>
      </c>
      <c r="X170" s="42">
        <f t="shared" si="55"/>
        <v>1</v>
      </c>
      <c r="Y170" s="42">
        <f t="shared" si="52"/>
        <v>50414.9</v>
      </c>
      <c r="Z170" s="43">
        <f t="shared" si="53"/>
        <v>20</v>
      </c>
      <c r="AA170" s="43">
        <f t="shared" si="53"/>
        <v>25.207450000000005</v>
      </c>
      <c r="AB170" s="99"/>
      <c r="AC170" s="70"/>
    </row>
    <row r="171" spans="1:30" s="53" customFormat="1" ht="99.75" customHeight="1">
      <c r="A171" s="96"/>
      <c r="B171" s="97"/>
      <c r="C171" s="175"/>
      <c r="D171" s="81" t="s">
        <v>220</v>
      </c>
      <c r="E171" s="131" t="s">
        <v>204</v>
      </c>
      <c r="F171" s="136">
        <v>5</v>
      </c>
      <c r="G171" s="318">
        <v>154000</v>
      </c>
      <c r="H171" s="85">
        <v>1</v>
      </c>
      <c r="I171" s="216">
        <f>50000+750-260</f>
        <v>50490</v>
      </c>
      <c r="J171" s="115">
        <v>1</v>
      </c>
      <c r="K171" s="216">
        <v>45000</v>
      </c>
      <c r="L171" s="85">
        <v>0</v>
      </c>
      <c r="M171" s="85">
        <v>0</v>
      </c>
      <c r="N171" s="85"/>
      <c r="O171" s="82"/>
      <c r="P171" s="82"/>
      <c r="Q171" s="82"/>
      <c r="R171" s="85">
        <v>1</v>
      </c>
      <c r="S171" s="85">
        <f>43000+1400</f>
        <v>44400</v>
      </c>
      <c r="T171" s="112">
        <f t="shared" si="54"/>
        <v>1</v>
      </c>
      <c r="U171" s="39">
        <f t="shared" si="54"/>
        <v>44400</v>
      </c>
      <c r="V171" s="40">
        <f t="shared" si="51"/>
        <v>100</v>
      </c>
      <c r="W171" s="41">
        <f t="shared" si="51"/>
        <v>98.66666666666667</v>
      </c>
      <c r="X171" s="42">
        <f t="shared" si="55"/>
        <v>2</v>
      </c>
      <c r="Y171" s="42">
        <f t="shared" si="52"/>
        <v>94890</v>
      </c>
      <c r="Z171" s="43">
        <f t="shared" si="53"/>
        <v>40</v>
      </c>
      <c r="AA171" s="43">
        <f t="shared" si="53"/>
        <v>61.616883116883116</v>
      </c>
      <c r="AB171" s="99"/>
      <c r="AC171" s="70"/>
      <c r="AD171" s="244">
        <f>+U171+U170+U169+U168+U167+U166</f>
        <v>211922.8</v>
      </c>
    </row>
    <row r="172" spans="1:30" s="53" customFormat="1" ht="60.75" customHeight="1">
      <c r="A172" s="96"/>
      <c r="B172" s="97"/>
      <c r="C172" s="426" t="s">
        <v>221</v>
      </c>
      <c r="D172" s="81" t="s">
        <v>222</v>
      </c>
      <c r="E172" s="131" t="s">
        <v>204</v>
      </c>
      <c r="F172" s="136">
        <v>5</v>
      </c>
      <c r="G172" s="318">
        <v>359000</v>
      </c>
      <c r="H172" s="85">
        <v>1</v>
      </c>
      <c r="I172" s="82">
        <f>50000+750-225</f>
        <v>50525</v>
      </c>
      <c r="J172" s="115">
        <v>1</v>
      </c>
      <c r="K172" s="82">
        <v>45000</v>
      </c>
      <c r="L172" s="85">
        <v>0</v>
      </c>
      <c r="M172" s="85">
        <v>0</v>
      </c>
      <c r="N172" s="85"/>
      <c r="O172" s="82"/>
      <c r="P172" s="82"/>
      <c r="Q172" s="82"/>
      <c r="R172" s="85">
        <v>1</v>
      </c>
      <c r="S172" s="85">
        <f>42636+1400</f>
        <v>44036</v>
      </c>
      <c r="T172" s="163">
        <f t="shared" si="54"/>
        <v>1</v>
      </c>
      <c r="U172" s="39">
        <f t="shared" si="54"/>
        <v>44036</v>
      </c>
      <c r="V172" s="40">
        <f t="shared" si="51"/>
        <v>100</v>
      </c>
      <c r="W172" s="41">
        <f t="shared" si="51"/>
        <v>97.85777777777778</v>
      </c>
      <c r="X172" s="42">
        <f t="shared" si="55"/>
        <v>2</v>
      </c>
      <c r="Y172" s="42">
        <f t="shared" si="52"/>
        <v>94561</v>
      </c>
      <c r="Z172" s="43">
        <f t="shared" si="53"/>
        <v>40</v>
      </c>
      <c r="AA172" s="43">
        <f t="shared" si="53"/>
        <v>26.34011142061281</v>
      </c>
      <c r="AB172" s="99"/>
      <c r="AC172" s="70"/>
      <c r="AD172" s="226">
        <f>+U172+U173+U174+U175+U176+U181</f>
        <v>225322.5</v>
      </c>
    </row>
    <row r="173" spans="1:29" s="53" customFormat="1" ht="69.75" customHeight="1">
      <c r="A173" s="96"/>
      <c r="B173" s="97"/>
      <c r="C173" s="428"/>
      <c r="D173" s="81" t="s">
        <v>223</v>
      </c>
      <c r="E173" s="131" t="s">
        <v>204</v>
      </c>
      <c r="F173" s="136">
        <v>5</v>
      </c>
      <c r="G173" s="318">
        <v>407000</v>
      </c>
      <c r="H173" s="85">
        <v>1</v>
      </c>
      <c r="I173" s="82">
        <f>50000+750-335.1</f>
        <v>50414.9</v>
      </c>
      <c r="J173" s="115">
        <v>1</v>
      </c>
      <c r="K173" s="82">
        <v>45000</v>
      </c>
      <c r="L173" s="85">
        <v>0</v>
      </c>
      <c r="M173" s="85">
        <v>0</v>
      </c>
      <c r="N173" s="85"/>
      <c r="O173" s="82"/>
      <c r="P173" s="82"/>
      <c r="Q173" s="82"/>
      <c r="R173" s="85">
        <v>1</v>
      </c>
      <c r="S173" s="85">
        <f>41734+1400</f>
        <v>43134</v>
      </c>
      <c r="T173" s="112">
        <f t="shared" si="54"/>
        <v>1</v>
      </c>
      <c r="U173" s="39">
        <f t="shared" si="54"/>
        <v>43134</v>
      </c>
      <c r="V173" s="40">
        <f t="shared" si="51"/>
        <v>100</v>
      </c>
      <c r="W173" s="41">
        <f t="shared" si="51"/>
        <v>95.85333333333334</v>
      </c>
      <c r="X173" s="42">
        <f t="shared" si="55"/>
        <v>2</v>
      </c>
      <c r="Y173" s="42">
        <f t="shared" si="52"/>
        <v>93548.9</v>
      </c>
      <c r="Z173" s="43">
        <f t="shared" si="53"/>
        <v>40</v>
      </c>
      <c r="AA173" s="43">
        <f t="shared" si="53"/>
        <v>22.984987714987714</v>
      </c>
      <c r="AB173" s="99"/>
      <c r="AC173" s="70"/>
    </row>
    <row r="174" spans="1:29" s="53" customFormat="1" ht="32.25" customHeight="1">
      <c r="A174" s="96"/>
      <c r="B174" s="97"/>
      <c r="C174" s="428"/>
      <c r="D174" s="81" t="s">
        <v>224</v>
      </c>
      <c r="E174" s="131" t="s">
        <v>204</v>
      </c>
      <c r="F174" s="136">
        <v>0</v>
      </c>
      <c r="G174" s="318">
        <v>0</v>
      </c>
      <c r="H174" s="85">
        <v>0</v>
      </c>
      <c r="I174" s="82">
        <f>50000+750-225</f>
        <v>50525</v>
      </c>
      <c r="J174" s="115">
        <v>0</v>
      </c>
      <c r="K174" s="82">
        <v>0</v>
      </c>
      <c r="L174" s="85">
        <v>0</v>
      </c>
      <c r="M174" s="85">
        <v>0</v>
      </c>
      <c r="N174" s="85"/>
      <c r="O174" s="82"/>
      <c r="P174" s="82"/>
      <c r="Q174" s="82"/>
      <c r="R174" s="85"/>
      <c r="S174" s="85"/>
      <c r="T174" s="112">
        <f t="shared" si="54"/>
        <v>0</v>
      </c>
      <c r="U174" s="39">
        <f t="shared" si="54"/>
        <v>0</v>
      </c>
      <c r="V174" s="40" t="e">
        <f>+T174/J174*100</f>
        <v>#DIV/0!</v>
      </c>
      <c r="W174" s="41" t="e">
        <f t="shared" si="51"/>
        <v>#DIV/0!</v>
      </c>
      <c r="X174" s="42">
        <f t="shared" si="55"/>
        <v>0</v>
      </c>
      <c r="Y174" s="42">
        <f t="shared" si="52"/>
        <v>50525</v>
      </c>
      <c r="Z174" s="43" t="e">
        <f t="shared" si="53"/>
        <v>#DIV/0!</v>
      </c>
      <c r="AA174" s="43" t="e">
        <f t="shared" si="53"/>
        <v>#DIV/0!</v>
      </c>
      <c r="AB174" s="99"/>
      <c r="AC174" s="70"/>
    </row>
    <row r="175" spans="1:29" s="53" customFormat="1" ht="85.5" customHeight="1">
      <c r="A175" s="96"/>
      <c r="B175" s="97"/>
      <c r="C175" s="428"/>
      <c r="D175" s="81" t="s">
        <v>225</v>
      </c>
      <c r="E175" s="131" t="s">
        <v>204</v>
      </c>
      <c r="F175" s="136">
        <v>0</v>
      </c>
      <c r="G175" s="318">
        <v>0</v>
      </c>
      <c r="H175" s="85">
        <v>1</v>
      </c>
      <c r="I175" s="82">
        <f>50000+750-225</f>
        <v>50525</v>
      </c>
      <c r="J175" s="115">
        <v>0</v>
      </c>
      <c r="K175" s="82">
        <v>45000</v>
      </c>
      <c r="L175" s="85">
        <v>0</v>
      </c>
      <c r="M175" s="85">
        <v>0</v>
      </c>
      <c r="N175" s="85"/>
      <c r="O175" s="82"/>
      <c r="P175" s="82"/>
      <c r="Q175" s="82"/>
      <c r="R175" s="85">
        <v>1</v>
      </c>
      <c r="S175" s="85">
        <f>42652.5+1400</f>
        <v>44052.5</v>
      </c>
      <c r="T175" s="112">
        <f t="shared" si="54"/>
        <v>1</v>
      </c>
      <c r="U175" s="39">
        <f t="shared" si="54"/>
        <v>44052.5</v>
      </c>
      <c r="V175" s="40" t="e">
        <f t="shared" si="51"/>
        <v>#DIV/0!</v>
      </c>
      <c r="W175" s="41">
        <f t="shared" si="51"/>
        <v>97.89444444444445</v>
      </c>
      <c r="X175" s="42">
        <f t="shared" si="55"/>
        <v>2</v>
      </c>
      <c r="Y175" s="42">
        <f t="shared" si="52"/>
        <v>94577.5</v>
      </c>
      <c r="Z175" s="43" t="e">
        <f t="shared" si="53"/>
        <v>#DIV/0!</v>
      </c>
      <c r="AA175" s="43" t="e">
        <f t="shared" si="53"/>
        <v>#DIV/0!</v>
      </c>
      <c r="AB175" s="99"/>
      <c r="AC175" s="70"/>
    </row>
    <row r="176" spans="1:29" s="53" customFormat="1" ht="60.75" customHeight="1">
      <c r="A176" s="96"/>
      <c r="B176" s="97"/>
      <c r="C176" s="428"/>
      <c r="D176" s="81" t="s">
        <v>226</v>
      </c>
      <c r="E176" s="131" t="s">
        <v>204</v>
      </c>
      <c r="F176" s="136">
        <v>0</v>
      </c>
      <c r="G176" s="318">
        <v>0</v>
      </c>
      <c r="H176" s="85">
        <v>1</v>
      </c>
      <c r="I176" s="82">
        <f>50000+750-225</f>
        <v>50525</v>
      </c>
      <c r="J176" s="115">
        <v>1</v>
      </c>
      <c r="K176" s="82">
        <v>45000</v>
      </c>
      <c r="L176" s="85">
        <v>0</v>
      </c>
      <c r="M176" s="85">
        <v>0</v>
      </c>
      <c r="N176" s="85"/>
      <c r="O176" s="82"/>
      <c r="P176" s="82"/>
      <c r="Q176" s="82"/>
      <c r="R176" s="85">
        <v>1</v>
      </c>
      <c r="S176" s="85">
        <f>43150+1400</f>
        <v>44550</v>
      </c>
      <c r="T176" s="112">
        <f t="shared" si="54"/>
        <v>1</v>
      </c>
      <c r="U176" s="39">
        <f t="shared" si="54"/>
        <v>44550</v>
      </c>
      <c r="V176" s="40">
        <f t="shared" si="51"/>
        <v>100</v>
      </c>
      <c r="W176" s="41">
        <f t="shared" si="51"/>
        <v>99</v>
      </c>
      <c r="X176" s="42">
        <f t="shared" si="55"/>
        <v>2</v>
      </c>
      <c r="Y176" s="42">
        <f t="shared" si="52"/>
        <v>95075</v>
      </c>
      <c r="Z176" s="43" t="e">
        <f t="shared" si="53"/>
        <v>#DIV/0!</v>
      </c>
      <c r="AA176" s="43" t="e">
        <f t="shared" si="53"/>
        <v>#DIV/0!</v>
      </c>
      <c r="AB176" s="99"/>
      <c r="AC176" s="70"/>
    </row>
    <row r="177" spans="1:30" s="53" customFormat="1" ht="73.5" customHeight="1">
      <c r="A177" s="96"/>
      <c r="B177" s="97"/>
      <c r="C177" s="428"/>
      <c r="D177" s="81" t="s">
        <v>227</v>
      </c>
      <c r="E177" s="131" t="s">
        <v>204</v>
      </c>
      <c r="F177" s="136">
        <v>0</v>
      </c>
      <c r="G177" s="318">
        <v>0</v>
      </c>
      <c r="H177" s="85">
        <v>1</v>
      </c>
      <c r="I177" s="82">
        <f>50000+750-225</f>
        <v>50525</v>
      </c>
      <c r="J177" s="115">
        <v>0</v>
      </c>
      <c r="K177" s="82">
        <v>0</v>
      </c>
      <c r="L177" s="85">
        <v>0</v>
      </c>
      <c r="M177" s="85">
        <v>0</v>
      </c>
      <c r="N177" s="85"/>
      <c r="O177" s="82"/>
      <c r="P177" s="82"/>
      <c r="Q177" s="82"/>
      <c r="R177" s="85"/>
      <c r="S177" s="85"/>
      <c r="T177" s="112">
        <f>SUM(L177+N177+P177+R177)</f>
        <v>0</v>
      </c>
      <c r="U177" s="39">
        <f>SUM(M177+O177+Q177+S177)</f>
        <v>0</v>
      </c>
      <c r="V177" s="40" t="e">
        <f aca="true" t="shared" si="56" ref="V177:W180">+T177/J177*100</f>
        <v>#DIV/0!</v>
      </c>
      <c r="W177" s="41" t="e">
        <f t="shared" si="56"/>
        <v>#DIV/0!</v>
      </c>
      <c r="X177" s="42">
        <f aca="true" t="shared" si="57" ref="X177:Y180">+H177+T177</f>
        <v>1</v>
      </c>
      <c r="Y177" s="42">
        <f t="shared" si="57"/>
        <v>50525</v>
      </c>
      <c r="Z177" s="43" t="e">
        <f aca="true" t="shared" si="58" ref="Z177:AA180">+X177/F177*100</f>
        <v>#DIV/0!</v>
      </c>
      <c r="AA177" s="43" t="e">
        <f t="shared" si="58"/>
        <v>#DIV/0!</v>
      </c>
      <c r="AB177" s="99"/>
      <c r="AC177" s="70"/>
      <c r="AD177" s="245"/>
    </row>
    <row r="178" spans="1:30" s="53" customFormat="1" ht="65.25" customHeight="1">
      <c r="A178" s="96"/>
      <c r="B178" s="97"/>
      <c r="C178" s="428"/>
      <c r="D178" s="81" t="s">
        <v>295</v>
      </c>
      <c r="E178" s="131" t="s">
        <v>204</v>
      </c>
      <c r="F178" s="136"/>
      <c r="G178" s="318"/>
      <c r="H178" s="85"/>
      <c r="I178" s="82"/>
      <c r="J178" s="115">
        <v>1</v>
      </c>
      <c r="K178" s="82">
        <v>50000</v>
      </c>
      <c r="L178" s="85"/>
      <c r="M178" s="85"/>
      <c r="N178" s="85"/>
      <c r="O178" s="82"/>
      <c r="P178" s="82"/>
      <c r="Q178" s="82"/>
      <c r="R178" s="85">
        <v>1</v>
      </c>
      <c r="S178" s="85">
        <v>47795</v>
      </c>
      <c r="T178" s="112">
        <f>SUM(L178+N178+P178+R178)</f>
        <v>1</v>
      </c>
      <c r="U178" s="39">
        <f>SUM(M178+O178+Q178+S178)</f>
        <v>47795</v>
      </c>
      <c r="V178" s="40">
        <f t="shared" si="56"/>
        <v>100</v>
      </c>
      <c r="W178" s="41">
        <f t="shared" si="56"/>
        <v>95.59</v>
      </c>
      <c r="X178" s="42">
        <f t="shared" si="57"/>
        <v>1</v>
      </c>
      <c r="Y178" s="42">
        <f t="shared" si="57"/>
        <v>47795</v>
      </c>
      <c r="Z178" s="43" t="e">
        <f t="shared" si="58"/>
        <v>#DIV/0!</v>
      </c>
      <c r="AA178" s="43" t="e">
        <f t="shared" si="58"/>
        <v>#DIV/0!</v>
      </c>
      <c r="AB178" s="99"/>
      <c r="AC178" s="70"/>
      <c r="AD178" s="245"/>
    </row>
    <row r="179" spans="1:29" s="53" customFormat="1" ht="83.25" customHeight="1">
      <c r="A179" s="96"/>
      <c r="B179" s="97"/>
      <c r="C179" s="428"/>
      <c r="D179" s="81" t="s">
        <v>296</v>
      </c>
      <c r="E179" s="131" t="s">
        <v>204</v>
      </c>
      <c r="F179" s="136"/>
      <c r="G179" s="318"/>
      <c r="H179" s="85"/>
      <c r="I179" s="82"/>
      <c r="J179" s="115">
        <v>1</v>
      </c>
      <c r="K179" s="82">
        <v>50000</v>
      </c>
      <c r="L179" s="85"/>
      <c r="M179" s="85"/>
      <c r="N179" s="85"/>
      <c r="O179" s="82"/>
      <c r="P179" s="82"/>
      <c r="Q179" s="82"/>
      <c r="R179" s="85">
        <v>1</v>
      </c>
      <c r="S179" s="85">
        <v>48103</v>
      </c>
      <c r="T179" s="112">
        <v>1</v>
      </c>
      <c r="U179" s="39">
        <f>SUM(M179+O179+Q179+S179)</f>
        <v>48103</v>
      </c>
      <c r="V179" s="40">
        <f t="shared" si="56"/>
        <v>100</v>
      </c>
      <c r="W179" s="41">
        <f t="shared" si="56"/>
        <v>96.206</v>
      </c>
      <c r="X179" s="42">
        <f t="shared" si="57"/>
        <v>1</v>
      </c>
      <c r="Y179" s="42">
        <f t="shared" si="57"/>
        <v>48103</v>
      </c>
      <c r="Z179" s="43" t="e">
        <f t="shared" si="58"/>
        <v>#DIV/0!</v>
      </c>
      <c r="AA179" s="43" t="e">
        <f t="shared" si="58"/>
        <v>#DIV/0!</v>
      </c>
      <c r="AB179" s="99"/>
      <c r="AC179" s="70"/>
    </row>
    <row r="180" spans="1:30" s="53" customFormat="1" ht="39" customHeight="1">
      <c r="A180" s="96"/>
      <c r="B180" s="379"/>
      <c r="C180" s="428"/>
      <c r="D180" s="81" t="s">
        <v>297</v>
      </c>
      <c r="E180" s="131" t="s">
        <v>298</v>
      </c>
      <c r="F180" s="136"/>
      <c r="G180" s="318"/>
      <c r="H180" s="85"/>
      <c r="I180" s="82"/>
      <c r="J180" s="115">
        <v>1</v>
      </c>
      <c r="K180" s="82">
        <v>50000</v>
      </c>
      <c r="L180" s="85">
        <v>0</v>
      </c>
      <c r="M180" s="85">
        <v>0</v>
      </c>
      <c r="N180" s="85"/>
      <c r="O180" s="82"/>
      <c r="P180" s="82"/>
      <c r="Q180" s="82"/>
      <c r="R180" s="85">
        <v>1</v>
      </c>
      <c r="S180" s="85">
        <v>39900</v>
      </c>
      <c r="T180" s="112">
        <f>SUM(L180+N180+P180+R180)</f>
        <v>1</v>
      </c>
      <c r="U180" s="39">
        <f>SUM(M180+O180+Q180+S180)</f>
        <v>39900</v>
      </c>
      <c r="V180" s="40">
        <f t="shared" si="56"/>
        <v>100</v>
      </c>
      <c r="W180" s="41">
        <f t="shared" si="56"/>
        <v>79.80000000000001</v>
      </c>
      <c r="X180" s="42">
        <f t="shared" si="57"/>
        <v>1</v>
      </c>
      <c r="Y180" s="42">
        <f t="shared" si="57"/>
        <v>39900</v>
      </c>
      <c r="Z180" s="43" t="e">
        <f t="shared" si="58"/>
        <v>#DIV/0!</v>
      </c>
      <c r="AA180" s="43" t="e">
        <f t="shared" si="58"/>
        <v>#DIV/0!</v>
      </c>
      <c r="AB180" s="99"/>
      <c r="AC180" s="70"/>
      <c r="AD180" s="245"/>
    </row>
    <row r="181" spans="1:30" s="53" customFormat="1" ht="71.25" customHeight="1">
      <c r="A181" s="96"/>
      <c r="B181" s="379"/>
      <c r="C181" s="427"/>
      <c r="D181" s="81" t="s">
        <v>273</v>
      </c>
      <c r="E181" s="131" t="s">
        <v>204</v>
      </c>
      <c r="F181" s="136">
        <v>0</v>
      </c>
      <c r="G181" s="318">
        <v>0</v>
      </c>
      <c r="H181" s="82">
        <v>0</v>
      </c>
      <c r="I181" s="82">
        <v>0</v>
      </c>
      <c r="J181" s="115">
        <v>1</v>
      </c>
      <c r="K181" s="82">
        <v>50000</v>
      </c>
      <c r="L181" s="85">
        <v>0</v>
      </c>
      <c r="M181" s="85">
        <v>0</v>
      </c>
      <c r="N181" s="85"/>
      <c r="O181" s="82"/>
      <c r="P181" s="82"/>
      <c r="Q181" s="82"/>
      <c r="R181" s="85">
        <v>1</v>
      </c>
      <c r="S181" s="85">
        <f>1400+48150</f>
        <v>49550</v>
      </c>
      <c r="T181" s="112">
        <f t="shared" si="54"/>
        <v>1</v>
      </c>
      <c r="U181" s="39">
        <f t="shared" si="54"/>
        <v>49550</v>
      </c>
      <c r="V181" s="40">
        <f t="shared" si="51"/>
        <v>100</v>
      </c>
      <c r="W181" s="41">
        <f t="shared" si="51"/>
        <v>99.1</v>
      </c>
      <c r="X181" s="42">
        <f t="shared" si="55"/>
        <v>1</v>
      </c>
      <c r="Y181" s="42">
        <f t="shared" si="52"/>
        <v>49550</v>
      </c>
      <c r="Z181" s="43" t="e">
        <f t="shared" si="53"/>
        <v>#DIV/0!</v>
      </c>
      <c r="AA181" s="43" t="e">
        <f t="shared" si="53"/>
        <v>#DIV/0!</v>
      </c>
      <c r="AB181" s="99"/>
      <c r="AC181" s="70"/>
      <c r="AD181" s="245"/>
    </row>
    <row r="182" spans="1:29" s="53" customFormat="1" ht="97.5" customHeight="1">
      <c r="A182" s="96"/>
      <c r="B182" s="97"/>
      <c r="C182" s="81" t="s">
        <v>228</v>
      </c>
      <c r="D182" s="81" t="s">
        <v>229</v>
      </c>
      <c r="E182" s="131" t="s">
        <v>97</v>
      </c>
      <c r="F182" s="136">
        <f>12*5</f>
        <v>60</v>
      </c>
      <c r="G182" s="318">
        <v>43000</v>
      </c>
      <c r="H182" s="82">
        <v>0</v>
      </c>
      <c r="I182" s="82">
        <v>0</v>
      </c>
      <c r="J182" s="115">
        <v>0</v>
      </c>
      <c r="K182" s="82">
        <v>0</v>
      </c>
      <c r="L182" s="85">
        <v>0</v>
      </c>
      <c r="M182" s="85">
        <v>0</v>
      </c>
      <c r="N182" s="85"/>
      <c r="O182" s="82"/>
      <c r="P182" s="102"/>
      <c r="Q182" s="102"/>
      <c r="R182" s="101"/>
      <c r="S182" s="101"/>
      <c r="T182" s="39">
        <f>SUM(L182+N182+P182+R182)</f>
        <v>0</v>
      </c>
      <c r="U182" s="39">
        <f>SUM(M182+O182+Q182+S182)</f>
        <v>0</v>
      </c>
      <c r="V182" s="41" t="e">
        <f t="shared" si="51"/>
        <v>#DIV/0!</v>
      </c>
      <c r="W182" s="41" t="e">
        <f t="shared" si="51"/>
        <v>#DIV/0!</v>
      </c>
      <c r="X182" s="42">
        <f t="shared" si="55"/>
        <v>0</v>
      </c>
      <c r="Y182" s="42">
        <f t="shared" si="52"/>
        <v>0</v>
      </c>
      <c r="Z182" s="43">
        <f t="shared" si="53"/>
        <v>0</v>
      </c>
      <c r="AA182" s="43">
        <f t="shared" si="53"/>
        <v>0</v>
      </c>
      <c r="AB182" s="99"/>
      <c r="AC182" s="70"/>
    </row>
    <row r="183" spans="1:29" s="53" customFormat="1" ht="13.5">
      <c r="A183" s="96"/>
      <c r="B183" s="97"/>
      <c r="C183" s="81"/>
      <c r="D183" s="81"/>
      <c r="E183" s="131"/>
      <c r="F183" s="136"/>
      <c r="G183" s="318"/>
      <c r="H183" s="82"/>
      <c r="I183" s="82"/>
      <c r="J183" s="115"/>
      <c r="K183" s="143"/>
      <c r="L183" s="85"/>
      <c r="M183" s="85"/>
      <c r="N183" s="102"/>
      <c r="O183" s="102"/>
      <c r="P183" s="102"/>
      <c r="Q183" s="102"/>
      <c r="R183" s="101"/>
      <c r="S183" s="101"/>
      <c r="T183" s="39"/>
      <c r="U183" s="39"/>
      <c r="V183" s="41"/>
      <c r="W183" s="41"/>
      <c r="X183" s="42"/>
      <c r="Y183" s="42"/>
      <c r="Z183" s="43"/>
      <c r="AA183" s="43"/>
      <c r="AB183" s="99"/>
      <c r="AC183" s="70"/>
    </row>
    <row r="184" spans="1:29" s="111" customFormat="1" ht="67.5" customHeight="1">
      <c r="A184" s="104"/>
      <c r="B184" s="358"/>
      <c r="C184" s="72" t="s">
        <v>230</v>
      </c>
      <c r="D184" s="72"/>
      <c r="E184" s="176"/>
      <c r="F184" s="176">
        <f aca="true" t="shared" si="59" ref="F184:K184">SUM(F185:F195)</f>
        <v>506</v>
      </c>
      <c r="G184" s="176">
        <f t="shared" si="59"/>
        <v>892500</v>
      </c>
      <c r="H184" s="176">
        <f t="shared" si="59"/>
        <v>266</v>
      </c>
      <c r="I184" s="176">
        <f t="shared" si="59"/>
        <v>222185</v>
      </c>
      <c r="J184" s="176">
        <f t="shared" si="59"/>
        <v>68</v>
      </c>
      <c r="K184" s="176">
        <f t="shared" si="59"/>
        <v>150000</v>
      </c>
      <c r="L184" s="176">
        <f aca="true" t="shared" si="60" ref="L184:S184">SUM(L185:L195)</f>
        <v>1</v>
      </c>
      <c r="M184" s="176">
        <f t="shared" si="60"/>
        <v>1625</v>
      </c>
      <c r="N184" s="176">
        <f t="shared" si="60"/>
        <v>30</v>
      </c>
      <c r="O184" s="176">
        <f>SUM(O185:O195)</f>
        <v>7140</v>
      </c>
      <c r="P184" s="176">
        <f t="shared" si="60"/>
        <v>4</v>
      </c>
      <c r="Q184" s="176">
        <f>SUM(Q185:Q195)</f>
        <v>34592.638999999996</v>
      </c>
      <c r="R184" s="176">
        <f t="shared" si="60"/>
        <v>0</v>
      </c>
      <c r="S184" s="246">
        <f t="shared" si="60"/>
        <v>93425.14600000001</v>
      </c>
      <c r="T184" s="39">
        <f>SUM(L184+N184+P184+R184)</f>
        <v>35</v>
      </c>
      <c r="U184" s="39">
        <f>SUM(M184+O184+Q184+S184)</f>
        <v>136782.785</v>
      </c>
      <c r="V184" s="168">
        <f aca="true" t="shared" si="61" ref="V184:W195">+T184/J184*100</f>
        <v>51.470588235294116</v>
      </c>
      <c r="W184" s="107">
        <f t="shared" si="61"/>
        <v>91.18852333333334</v>
      </c>
      <c r="X184" s="108">
        <f aca="true" t="shared" si="62" ref="X184:Y195">+H184+T184</f>
        <v>301</v>
      </c>
      <c r="Y184" s="108">
        <f t="shared" si="62"/>
        <v>358967.78500000003</v>
      </c>
      <c r="Z184" s="109">
        <f aca="true" t="shared" si="63" ref="Z184:AA195">+X184/F184*100</f>
        <v>59.48616600790514</v>
      </c>
      <c r="AA184" s="109">
        <f t="shared" si="63"/>
        <v>40.22048011204482</v>
      </c>
      <c r="AB184" s="101"/>
      <c r="AC184" s="110"/>
    </row>
    <row r="185" spans="1:29" s="53" customFormat="1" ht="75.75" customHeight="1">
      <c r="A185" s="96"/>
      <c r="B185" s="97"/>
      <c r="C185" s="429" t="s">
        <v>231</v>
      </c>
      <c r="D185" s="81" t="s">
        <v>231</v>
      </c>
      <c r="E185" s="131" t="s">
        <v>232</v>
      </c>
      <c r="F185" s="136">
        <f>6*5</f>
        <v>30</v>
      </c>
      <c r="G185" s="136">
        <v>77300</v>
      </c>
      <c r="H185" s="82">
        <v>21</v>
      </c>
      <c r="I185" s="82">
        <v>29950</v>
      </c>
      <c r="J185" s="115">
        <v>0</v>
      </c>
      <c r="K185" s="216">
        <v>0</v>
      </c>
      <c r="L185" s="85">
        <v>0</v>
      </c>
      <c r="M185" s="85">
        <v>0</v>
      </c>
      <c r="N185" s="82"/>
      <c r="O185" s="82"/>
      <c r="P185" s="82"/>
      <c r="Q185" s="82"/>
      <c r="R185" s="85"/>
      <c r="S185" s="85"/>
      <c r="T185" s="112">
        <f>SUM(L185+N185+P185+R185)</f>
        <v>0</v>
      </c>
      <c r="U185" s="39">
        <f aca="true" t="shared" si="64" ref="T185:U195">SUM(M185+O185+Q185+S185)</f>
        <v>0</v>
      </c>
      <c r="V185" s="40" t="e">
        <f>+T185/J185*100</f>
        <v>#DIV/0!</v>
      </c>
      <c r="W185" s="41" t="e">
        <f t="shared" si="61"/>
        <v>#DIV/0!</v>
      </c>
      <c r="X185" s="42">
        <f t="shared" si="62"/>
        <v>21</v>
      </c>
      <c r="Y185" s="42">
        <f t="shared" si="62"/>
        <v>29950</v>
      </c>
      <c r="Z185" s="43">
        <f t="shared" si="63"/>
        <v>70</v>
      </c>
      <c r="AA185" s="43">
        <f t="shared" si="63"/>
        <v>38.745148771021995</v>
      </c>
      <c r="AB185" s="99"/>
      <c r="AC185" s="70"/>
    </row>
    <row r="186" spans="1:29" s="53" customFormat="1" ht="76.5" customHeight="1">
      <c r="A186" s="96"/>
      <c r="B186" s="362"/>
      <c r="C186" s="430"/>
      <c r="D186" s="81" t="s">
        <v>233</v>
      </c>
      <c r="E186" s="131" t="s">
        <v>232</v>
      </c>
      <c r="F186" s="136">
        <v>16</v>
      </c>
      <c r="G186" s="136">
        <v>61500</v>
      </c>
      <c r="H186" s="82">
        <v>0</v>
      </c>
      <c r="I186" s="82">
        <v>0</v>
      </c>
      <c r="J186" s="115">
        <v>0</v>
      </c>
      <c r="K186" s="143">
        <v>0</v>
      </c>
      <c r="L186" s="85">
        <v>0</v>
      </c>
      <c r="M186" s="85">
        <v>0</v>
      </c>
      <c r="N186" s="82"/>
      <c r="O186" s="82"/>
      <c r="P186" s="82"/>
      <c r="Q186" s="82"/>
      <c r="R186" s="85"/>
      <c r="S186" s="85"/>
      <c r="T186" s="163">
        <f t="shared" si="64"/>
        <v>0</v>
      </c>
      <c r="U186" s="39">
        <f t="shared" si="64"/>
        <v>0</v>
      </c>
      <c r="V186" s="41" t="e">
        <f t="shared" si="61"/>
        <v>#DIV/0!</v>
      </c>
      <c r="W186" s="41" t="e">
        <f t="shared" si="61"/>
        <v>#DIV/0!</v>
      </c>
      <c r="X186" s="42">
        <f t="shared" si="62"/>
        <v>0</v>
      </c>
      <c r="Y186" s="42">
        <f t="shared" si="62"/>
        <v>0</v>
      </c>
      <c r="Z186" s="43">
        <f t="shared" si="63"/>
        <v>0</v>
      </c>
      <c r="AA186" s="43">
        <f t="shared" si="63"/>
        <v>0</v>
      </c>
      <c r="AB186" s="99"/>
      <c r="AC186" s="70"/>
    </row>
    <row r="187" spans="1:29" s="53" customFormat="1" ht="66" customHeight="1">
      <c r="A187" s="96"/>
      <c r="B187" s="97"/>
      <c r="C187" s="81" t="s">
        <v>234</v>
      </c>
      <c r="D187" s="81" t="s">
        <v>234</v>
      </c>
      <c r="E187" s="131" t="s">
        <v>232</v>
      </c>
      <c r="F187" s="136">
        <v>80</v>
      </c>
      <c r="G187" s="136">
        <v>107700</v>
      </c>
      <c r="H187" s="82">
        <v>37</v>
      </c>
      <c r="I187" s="82">
        <v>32235</v>
      </c>
      <c r="J187" s="115">
        <v>0</v>
      </c>
      <c r="K187" s="216">
        <v>0</v>
      </c>
      <c r="L187" s="85">
        <v>0</v>
      </c>
      <c r="M187" s="85">
        <v>0</v>
      </c>
      <c r="N187" s="82"/>
      <c r="O187" s="82"/>
      <c r="P187" s="82"/>
      <c r="Q187" s="82"/>
      <c r="R187" s="85"/>
      <c r="S187" s="85"/>
      <c r="T187" s="163">
        <f t="shared" si="64"/>
        <v>0</v>
      </c>
      <c r="U187" s="39">
        <f t="shared" si="64"/>
        <v>0</v>
      </c>
      <c r="V187" s="40" t="e">
        <f t="shared" si="61"/>
        <v>#DIV/0!</v>
      </c>
      <c r="W187" s="41" t="e">
        <f t="shared" si="61"/>
        <v>#DIV/0!</v>
      </c>
      <c r="X187" s="42">
        <f t="shared" si="62"/>
        <v>37</v>
      </c>
      <c r="Y187" s="42">
        <f t="shared" si="62"/>
        <v>32235</v>
      </c>
      <c r="Z187" s="43">
        <f t="shared" si="63"/>
        <v>46.25</v>
      </c>
      <c r="AA187" s="43">
        <f t="shared" si="63"/>
        <v>29.930362116991642</v>
      </c>
      <c r="AB187" s="99"/>
      <c r="AC187" s="70"/>
    </row>
    <row r="188" spans="1:29" s="53" customFormat="1" ht="74.25" customHeight="1">
      <c r="A188" s="96"/>
      <c r="B188" s="97"/>
      <c r="C188" s="164"/>
      <c r="D188" s="81" t="s">
        <v>235</v>
      </c>
      <c r="E188" s="131" t="s">
        <v>232</v>
      </c>
      <c r="F188" s="136">
        <v>60</v>
      </c>
      <c r="G188" s="136">
        <v>88500</v>
      </c>
      <c r="H188" s="82">
        <v>0</v>
      </c>
      <c r="I188" s="82">
        <v>0</v>
      </c>
      <c r="J188" s="115">
        <v>0</v>
      </c>
      <c r="K188" s="143">
        <v>0</v>
      </c>
      <c r="L188" s="85">
        <v>0</v>
      </c>
      <c r="M188" s="85">
        <v>0</v>
      </c>
      <c r="N188" s="82"/>
      <c r="O188" s="82"/>
      <c r="P188" s="82"/>
      <c r="Q188" s="82"/>
      <c r="R188" s="85"/>
      <c r="S188" s="85"/>
      <c r="T188" s="163">
        <f t="shared" si="64"/>
        <v>0</v>
      </c>
      <c r="U188" s="39">
        <f t="shared" si="64"/>
        <v>0</v>
      </c>
      <c r="V188" s="41" t="e">
        <f t="shared" si="61"/>
        <v>#DIV/0!</v>
      </c>
      <c r="W188" s="41" t="e">
        <f t="shared" si="61"/>
        <v>#DIV/0!</v>
      </c>
      <c r="X188" s="42">
        <f t="shared" si="62"/>
        <v>0</v>
      </c>
      <c r="Y188" s="42">
        <f t="shared" si="62"/>
        <v>0</v>
      </c>
      <c r="Z188" s="43">
        <f t="shared" si="63"/>
        <v>0</v>
      </c>
      <c r="AA188" s="43">
        <f t="shared" si="63"/>
        <v>0</v>
      </c>
      <c r="AB188" s="99"/>
      <c r="AC188" s="70"/>
    </row>
    <row r="189" spans="1:29" s="53" customFormat="1" ht="86.25" customHeight="1">
      <c r="A189" s="96"/>
      <c r="B189" s="97"/>
      <c r="C189" s="177"/>
      <c r="D189" s="81" t="s">
        <v>236</v>
      </c>
      <c r="E189" s="140" t="s">
        <v>237</v>
      </c>
      <c r="F189" s="136">
        <v>0</v>
      </c>
      <c r="G189" s="136">
        <v>0</v>
      </c>
      <c r="H189" s="82">
        <v>0</v>
      </c>
      <c r="I189" s="82">
        <v>0</v>
      </c>
      <c r="J189" s="115">
        <v>0</v>
      </c>
      <c r="K189" s="143">
        <v>0</v>
      </c>
      <c r="L189" s="85">
        <v>0</v>
      </c>
      <c r="M189" s="85">
        <v>0</v>
      </c>
      <c r="N189" s="82">
        <v>0</v>
      </c>
      <c r="O189" s="82">
        <v>0</v>
      </c>
      <c r="P189" s="82">
        <v>0</v>
      </c>
      <c r="Q189" s="82"/>
      <c r="R189" s="101"/>
      <c r="S189" s="101"/>
      <c r="T189" s="112">
        <f t="shared" si="64"/>
        <v>0</v>
      </c>
      <c r="U189" s="39">
        <f t="shared" si="64"/>
        <v>0</v>
      </c>
      <c r="V189" s="41" t="e">
        <f t="shared" si="61"/>
        <v>#DIV/0!</v>
      </c>
      <c r="W189" s="41" t="e">
        <f t="shared" si="61"/>
        <v>#DIV/0!</v>
      </c>
      <c r="X189" s="42">
        <f t="shared" si="62"/>
        <v>0</v>
      </c>
      <c r="Y189" s="42">
        <f t="shared" si="62"/>
        <v>0</v>
      </c>
      <c r="Z189" s="43" t="e">
        <f t="shared" si="63"/>
        <v>#DIV/0!</v>
      </c>
      <c r="AA189" s="43" t="e">
        <f t="shared" si="63"/>
        <v>#DIV/0!</v>
      </c>
      <c r="AB189" s="99"/>
      <c r="AC189" s="70"/>
    </row>
    <row r="190" spans="1:29" s="53" customFormat="1" ht="43.5" customHeight="1">
      <c r="A190" s="96"/>
      <c r="B190" s="97"/>
      <c r="C190" s="431" t="s">
        <v>238</v>
      </c>
      <c r="D190" s="247" t="s">
        <v>239</v>
      </c>
      <c r="E190" s="136" t="s">
        <v>116</v>
      </c>
      <c r="F190" s="136">
        <f>60*5</f>
        <v>300</v>
      </c>
      <c r="G190" s="136">
        <v>384500</v>
      </c>
      <c r="H190" s="82">
        <v>200</v>
      </c>
      <c r="I190" s="82">
        <v>30000</v>
      </c>
      <c r="J190" s="85">
        <v>60</v>
      </c>
      <c r="K190" s="82">
        <v>25000</v>
      </c>
      <c r="L190" s="85">
        <v>0</v>
      </c>
      <c r="M190" s="85">
        <v>0</v>
      </c>
      <c r="N190" s="82">
        <v>30</v>
      </c>
      <c r="O190" s="82">
        <f>8765-M191</f>
        <v>7140</v>
      </c>
      <c r="P190" s="86"/>
      <c r="Q190" s="82"/>
      <c r="R190" s="85"/>
      <c r="S190" s="85">
        <v>16835</v>
      </c>
      <c r="T190" s="39">
        <f>SUM(L190+N190+P190+R190)</f>
        <v>30</v>
      </c>
      <c r="U190" s="39">
        <f t="shared" si="64"/>
        <v>23975</v>
      </c>
      <c r="V190" s="168">
        <f t="shared" si="61"/>
        <v>50</v>
      </c>
      <c r="W190" s="168">
        <f t="shared" si="61"/>
        <v>95.89999999999999</v>
      </c>
      <c r="X190" s="108">
        <f t="shared" si="62"/>
        <v>230</v>
      </c>
      <c r="Y190" s="108">
        <f t="shared" si="62"/>
        <v>53975</v>
      </c>
      <c r="Z190" s="109">
        <f t="shared" si="63"/>
        <v>76.66666666666667</v>
      </c>
      <c r="AA190" s="109">
        <f t="shared" si="63"/>
        <v>14.03771131339402</v>
      </c>
      <c r="AB190" s="101"/>
      <c r="AC190" s="110"/>
    </row>
    <row r="191" spans="1:29" s="53" customFormat="1" ht="52.5" customHeight="1">
      <c r="A191" s="96"/>
      <c r="B191" s="97"/>
      <c r="C191" s="432"/>
      <c r="D191" s="247" t="s">
        <v>240</v>
      </c>
      <c r="E191" s="248" t="s">
        <v>237</v>
      </c>
      <c r="F191" s="136">
        <f>4*5</f>
        <v>20</v>
      </c>
      <c r="G191" s="136">
        <v>173000</v>
      </c>
      <c r="H191" s="82">
        <v>4</v>
      </c>
      <c r="I191" s="82">
        <v>30000</v>
      </c>
      <c r="J191" s="85">
        <v>4</v>
      </c>
      <c r="K191" s="82">
        <v>25000</v>
      </c>
      <c r="L191" s="85">
        <v>1</v>
      </c>
      <c r="M191" s="85">
        <v>1625</v>
      </c>
      <c r="N191" s="82"/>
      <c r="O191" s="82"/>
      <c r="P191" s="82"/>
      <c r="Q191" s="82"/>
      <c r="R191" s="85"/>
      <c r="S191" s="85">
        <v>13040</v>
      </c>
      <c r="T191" s="249">
        <f t="shared" si="64"/>
        <v>1</v>
      </c>
      <c r="U191" s="39">
        <f>SUM(M191+O191+Q191+S191)</f>
        <v>14665</v>
      </c>
      <c r="V191" s="168">
        <f>+T191/J191*100</f>
        <v>25</v>
      </c>
      <c r="W191" s="168">
        <f t="shared" si="61"/>
        <v>58.660000000000004</v>
      </c>
      <c r="X191" s="108">
        <f t="shared" si="62"/>
        <v>5</v>
      </c>
      <c r="Y191" s="108">
        <f t="shared" si="62"/>
        <v>44665</v>
      </c>
      <c r="Z191" s="109">
        <f t="shared" si="63"/>
        <v>25</v>
      </c>
      <c r="AA191" s="109">
        <f t="shared" si="63"/>
        <v>25.81791907514451</v>
      </c>
      <c r="AB191" s="101"/>
      <c r="AC191" s="110"/>
    </row>
    <row r="192" spans="1:29" s="53" customFormat="1" ht="66" customHeight="1">
      <c r="A192" s="96"/>
      <c r="B192" s="97"/>
      <c r="C192" s="380"/>
      <c r="D192" s="247" t="s">
        <v>236</v>
      </c>
      <c r="E192" s="136">
        <v>0</v>
      </c>
      <c r="F192" s="136">
        <v>0</v>
      </c>
      <c r="G192" s="136">
        <v>0</v>
      </c>
      <c r="H192" s="82">
        <v>0</v>
      </c>
      <c r="I192" s="82">
        <v>0</v>
      </c>
      <c r="J192" s="85">
        <v>0</v>
      </c>
      <c r="K192" s="82">
        <v>0</v>
      </c>
      <c r="L192" s="85">
        <v>0</v>
      </c>
      <c r="M192" s="85">
        <v>0</v>
      </c>
      <c r="N192" s="82"/>
      <c r="O192" s="82"/>
      <c r="P192" s="82"/>
      <c r="Q192" s="82"/>
      <c r="R192" s="85"/>
      <c r="S192" s="85"/>
      <c r="T192" s="249">
        <f t="shared" si="64"/>
        <v>0</v>
      </c>
      <c r="U192" s="39">
        <f t="shared" si="64"/>
        <v>0</v>
      </c>
      <c r="V192" s="107" t="e">
        <f t="shared" si="61"/>
        <v>#DIV/0!</v>
      </c>
      <c r="W192" s="107" t="e">
        <f t="shared" si="61"/>
        <v>#DIV/0!</v>
      </c>
      <c r="X192" s="108">
        <f t="shared" si="62"/>
        <v>0</v>
      </c>
      <c r="Y192" s="108">
        <f t="shared" si="62"/>
        <v>0</v>
      </c>
      <c r="Z192" s="109" t="e">
        <f t="shared" si="63"/>
        <v>#DIV/0!</v>
      </c>
      <c r="AA192" s="109" t="e">
        <f t="shared" si="63"/>
        <v>#DIV/0!</v>
      </c>
      <c r="AB192" s="101"/>
      <c r="AC192" s="110"/>
    </row>
    <row r="193" spans="1:29" s="53" customFormat="1" ht="55.5" customHeight="1">
      <c r="A193" s="96"/>
      <c r="B193" s="97"/>
      <c r="C193" s="381"/>
      <c r="D193" s="178" t="s">
        <v>241</v>
      </c>
      <c r="E193" s="140" t="s">
        <v>237</v>
      </c>
      <c r="F193" s="136">
        <v>0</v>
      </c>
      <c r="G193" s="136">
        <v>0</v>
      </c>
      <c r="H193" s="82"/>
      <c r="I193" s="82"/>
      <c r="J193" s="115">
        <v>0</v>
      </c>
      <c r="K193" s="82">
        <v>0</v>
      </c>
      <c r="L193" s="85">
        <v>0</v>
      </c>
      <c r="M193" s="85">
        <v>0</v>
      </c>
      <c r="N193" s="102"/>
      <c r="O193" s="102"/>
      <c r="P193" s="102"/>
      <c r="Q193" s="102"/>
      <c r="R193" s="101"/>
      <c r="S193" s="101"/>
      <c r="T193" s="39">
        <f t="shared" si="64"/>
        <v>0</v>
      </c>
      <c r="U193" s="39">
        <f t="shared" si="64"/>
        <v>0</v>
      </c>
      <c r="V193" s="41" t="e">
        <f t="shared" si="61"/>
        <v>#DIV/0!</v>
      </c>
      <c r="W193" s="41" t="e">
        <f t="shared" si="61"/>
        <v>#DIV/0!</v>
      </c>
      <c r="X193" s="42">
        <f t="shared" si="62"/>
        <v>0</v>
      </c>
      <c r="Y193" s="42">
        <f t="shared" si="62"/>
        <v>0</v>
      </c>
      <c r="Z193" s="43" t="e">
        <f t="shared" si="63"/>
        <v>#DIV/0!</v>
      </c>
      <c r="AA193" s="43" t="e">
        <f t="shared" si="63"/>
        <v>#DIV/0!</v>
      </c>
      <c r="AB193" s="99"/>
      <c r="AC193" s="70"/>
    </row>
    <row r="194" spans="1:29" s="53" customFormat="1" ht="78.75" customHeight="1">
      <c r="A194" s="96"/>
      <c r="B194" s="97"/>
      <c r="C194" s="179"/>
      <c r="D194" s="178" t="s">
        <v>242</v>
      </c>
      <c r="E194" s="140" t="s">
        <v>237</v>
      </c>
      <c r="F194" s="136">
        <v>0</v>
      </c>
      <c r="G194" s="136">
        <v>0</v>
      </c>
      <c r="H194" s="82"/>
      <c r="I194" s="82"/>
      <c r="J194" s="115">
        <v>0</v>
      </c>
      <c r="K194" s="82">
        <v>0</v>
      </c>
      <c r="L194" s="85">
        <v>0</v>
      </c>
      <c r="M194" s="85">
        <v>0</v>
      </c>
      <c r="N194" s="102"/>
      <c r="O194" s="102"/>
      <c r="P194" s="102"/>
      <c r="Q194" s="102"/>
      <c r="R194" s="101"/>
      <c r="S194" s="101"/>
      <c r="T194" s="39">
        <f t="shared" si="64"/>
        <v>0</v>
      </c>
      <c r="U194" s="39">
        <f t="shared" si="64"/>
        <v>0</v>
      </c>
      <c r="V194" s="41" t="e">
        <f t="shared" si="61"/>
        <v>#DIV/0!</v>
      </c>
      <c r="W194" s="41" t="e">
        <f t="shared" si="61"/>
        <v>#DIV/0!</v>
      </c>
      <c r="X194" s="42">
        <f t="shared" si="62"/>
        <v>0</v>
      </c>
      <c r="Y194" s="42">
        <f t="shared" si="62"/>
        <v>0</v>
      </c>
      <c r="Z194" s="43" t="e">
        <f t="shared" si="63"/>
        <v>#DIV/0!</v>
      </c>
      <c r="AA194" s="43" t="e">
        <f t="shared" si="63"/>
        <v>#DIV/0!</v>
      </c>
      <c r="AB194" s="99"/>
      <c r="AC194" s="70"/>
    </row>
    <row r="195" spans="1:30" s="193" customFormat="1" ht="78" customHeight="1">
      <c r="A195" s="180"/>
      <c r="B195" s="181"/>
      <c r="C195" s="182"/>
      <c r="D195" s="178" t="s">
        <v>243</v>
      </c>
      <c r="E195" s="183" t="s">
        <v>237</v>
      </c>
      <c r="F195" s="319">
        <v>0</v>
      </c>
      <c r="G195" s="319">
        <v>0</v>
      </c>
      <c r="H195" s="184">
        <v>4</v>
      </c>
      <c r="I195" s="184">
        <v>100000</v>
      </c>
      <c r="J195" s="185">
        <v>4</v>
      </c>
      <c r="K195" s="184">
        <v>100000</v>
      </c>
      <c r="L195" s="186">
        <v>0</v>
      </c>
      <c r="M195" s="186">
        <v>0</v>
      </c>
      <c r="N195" s="184"/>
      <c r="O195" s="184"/>
      <c r="P195" s="187">
        <v>4</v>
      </c>
      <c r="Q195" s="184">
        <f>10842.639+23750</f>
        <v>34592.638999999996</v>
      </c>
      <c r="R195" s="250"/>
      <c r="S195" s="186">
        <f>98142.785-Q195</f>
        <v>63550.14600000001</v>
      </c>
      <c r="T195" s="189">
        <f t="shared" si="64"/>
        <v>4</v>
      </c>
      <c r="U195" s="39">
        <f t="shared" si="64"/>
        <v>98142.785</v>
      </c>
      <c r="V195" s="363">
        <f t="shared" si="61"/>
        <v>100</v>
      </c>
      <c r="W195" s="363">
        <f t="shared" si="61"/>
        <v>98.142785</v>
      </c>
      <c r="X195" s="190">
        <f t="shared" si="62"/>
        <v>8</v>
      </c>
      <c r="Y195" s="190">
        <f t="shared" si="62"/>
        <v>198142.785</v>
      </c>
      <c r="Z195" s="191" t="e">
        <f t="shared" si="63"/>
        <v>#DIV/0!</v>
      </c>
      <c r="AA195" s="191" t="e">
        <f t="shared" si="63"/>
        <v>#DIV/0!</v>
      </c>
      <c r="AB195" s="188"/>
      <c r="AC195" s="192"/>
      <c r="AD195" s="251">
        <f>+U195+U191+U190</f>
        <v>136782.785</v>
      </c>
    </row>
    <row r="196" spans="1:29" s="53" customFormat="1" ht="13.5" customHeight="1">
      <c r="A196" s="96"/>
      <c r="B196" s="97"/>
      <c r="C196" s="81"/>
      <c r="D196" s="81"/>
      <c r="E196" s="131"/>
      <c r="F196" s="136"/>
      <c r="G196" s="101"/>
      <c r="H196" s="102"/>
      <c r="I196" s="102"/>
      <c r="J196" s="99"/>
      <c r="K196" s="100"/>
      <c r="L196" s="101"/>
      <c r="M196" s="101"/>
      <c r="N196" s="101"/>
      <c r="O196" s="102"/>
      <c r="P196" s="102"/>
      <c r="Q196" s="102"/>
      <c r="R196" s="101"/>
      <c r="S196" s="101"/>
      <c r="T196" s="99"/>
      <c r="U196" s="103"/>
      <c r="V196" s="99"/>
      <c r="W196" s="99"/>
      <c r="X196" s="99"/>
      <c r="Y196" s="99"/>
      <c r="Z196" s="99"/>
      <c r="AA196" s="99"/>
      <c r="AB196" s="99"/>
      <c r="AC196" s="70"/>
    </row>
    <row r="197" spans="1:29" s="111" customFormat="1" ht="58.5" customHeight="1">
      <c r="A197" s="104"/>
      <c r="B197" s="358">
        <f>+M197+O197+Q197</f>
        <v>0</v>
      </c>
      <c r="C197" s="72" t="s">
        <v>244</v>
      </c>
      <c r="D197" s="134"/>
      <c r="E197" s="176"/>
      <c r="F197" s="176">
        <f>SUM(F198:F206)</f>
        <v>0</v>
      </c>
      <c r="G197" s="176">
        <f aca="true" t="shared" si="65" ref="G197:S197">SUM(G198:G206)</f>
        <v>0</v>
      </c>
      <c r="H197" s="176">
        <f t="shared" si="65"/>
        <v>12</v>
      </c>
      <c r="I197" s="176">
        <f t="shared" si="65"/>
        <v>719553</v>
      </c>
      <c r="J197" s="176">
        <f t="shared" si="65"/>
        <v>0</v>
      </c>
      <c r="K197" s="176">
        <f t="shared" si="65"/>
        <v>0</v>
      </c>
      <c r="L197" s="176">
        <f t="shared" si="65"/>
        <v>0</v>
      </c>
      <c r="M197" s="176">
        <f t="shared" si="65"/>
        <v>0</v>
      </c>
      <c r="N197" s="176">
        <f t="shared" si="65"/>
        <v>0</v>
      </c>
      <c r="O197" s="176">
        <f t="shared" si="65"/>
        <v>0</v>
      </c>
      <c r="P197" s="176">
        <f t="shared" si="65"/>
        <v>0</v>
      </c>
      <c r="Q197" s="176">
        <f t="shared" si="65"/>
        <v>0</v>
      </c>
      <c r="R197" s="176">
        <f t="shared" si="65"/>
        <v>0</v>
      </c>
      <c r="S197" s="246">
        <f t="shared" si="65"/>
        <v>0</v>
      </c>
      <c r="T197" s="39">
        <f>SUM(L197+N197+P197+R197)</f>
        <v>0</v>
      </c>
      <c r="U197" s="39">
        <f>SUM(M197+O197+Q197+S197)</f>
        <v>0</v>
      </c>
      <c r="V197" s="107" t="e">
        <f aca="true" t="shared" si="66" ref="V197:W206">+T197/J197*100</f>
        <v>#DIV/0!</v>
      </c>
      <c r="W197" s="107" t="e">
        <f t="shared" si="66"/>
        <v>#DIV/0!</v>
      </c>
      <c r="X197" s="108">
        <f aca="true" t="shared" si="67" ref="X197:Y206">+H197+T197</f>
        <v>12</v>
      </c>
      <c r="Y197" s="108">
        <f t="shared" si="67"/>
        <v>719553</v>
      </c>
      <c r="Z197" s="109" t="e">
        <f aca="true" t="shared" si="68" ref="Z197:AA207">+X197/F197*100</f>
        <v>#DIV/0!</v>
      </c>
      <c r="AA197" s="109" t="e">
        <f t="shared" si="68"/>
        <v>#DIV/0!</v>
      </c>
      <c r="AB197" s="101"/>
      <c r="AC197" s="110"/>
    </row>
    <row r="198" spans="1:29" s="53" customFormat="1" ht="99" customHeight="1">
      <c r="A198" s="104"/>
      <c r="B198" s="105"/>
      <c r="C198" s="134" t="s">
        <v>245</v>
      </c>
      <c r="D198" s="258" t="s">
        <v>246</v>
      </c>
      <c r="E198" s="259" t="s">
        <v>204</v>
      </c>
      <c r="F198" s="259">
        <v>0</v>
      </c>
      <c r="G198" s="85">
        <v>0</v>
      </c>
      <c r="H198" s="82"/>
      <c r="I198" s="82"/>
      <c r="J198" s="85">
        <v>0</v>
      </c>
      <c r="K198" s="82">
        <v>0</v>
      </c>
      <c r="L198" s="85">
        <v>0</v>
      </c>
      <c r="M198" s="85">
        <v>0</v>
      </c>
      <c r="N198" s="85"/>
      <c r="O198" s="82"/>
      <c r="P198" s="82"/>
      <c r="Q198" s="102"/>
      <c r="R198" s="85"/>
      <c r="S198" s="85"/>
      <c r="T198" s="39">
        <f aca="true" t="shared" si="69" ref="T198:U206">SUM(L198+N198+P198+R198)</f>
        <v>0</v>
      </c>
      <c r="U198" s="39">
        <f t="shared" si="69"/>
        <v>0</v>
      </c>
      <c r="V198" s="41" t="e">
        <f t="shared" si="66"/>
        <v>#DIV/0!</v>
      </c>
      <c r="W198" s="41" t="e">
        <f t="shared" si="66"/>
        <v>#DIV/0!</v>
      </c>
      <c r="X198" s="42">
        <f t="shared" si="67"/>
        <v>0</v>
      </c>
      <c r="Y198" s="42">
        <f t="shared" si="67"/>
        <v>0</v>
      </c>
      <c r="Z198" s="43" t="e">
        <f t="shared" si="68"/>
        <v>#DIV/0!</v>
      </c>
      <c r="AA198" s="43" t="e">
        <f t="shared" si="68"/>
        <v>#DIV/0!</v>
      </c>
      <c r="AB198" s="99"/>
      <c r="AC198" s="70"/>
    </row>
    <row r="199" spans="1:29" s="53" customFormat="1" ht="28.5" customHeight="1">
      <c r="A199" s="104"/>
      <c r="B199" s="105"/>
      <c r="C199" s="134"/>
      <c r="D199" s="134" t="s">
        <v>128</v>
      </c>
      <c r="E199" s="136" t="s">
        <v>194</v>
      </c>
      <c r="F199" s="136">
        <v>0</v>
      </c>
      <c r="G199" s="85">
        <v>0</v>
      </c>
      <c r="H199" s="82"/>
      <c r="I199" s="82"/>
      <c r="J199" s="85">
        <v>0</v>
      </c>
      <c r="K199" s="82">
        <v>0</v>
      </c>
      <c r="L199" s="85">
        <v>0</v>
      </c>
      <c r="M199" s="85">
        <v>0</v>
      </c>
      <c r="N199" s="101"/>
      <c r="O199" s="102"/>
      <c r="P199" s="102"/>
      <c r="Q199" s="102"/>
      <c r="R199" s="85"/>
      <c r="S199" s="85"/>
      <c r="T199" s="39">
        <f t="shared" si="69"/>
        <v>0</v>
      </c>
      <c r="U199" s="39">
        <f t="shared" si="69"/>
        <v>0</v>
      </c>
      <c r="V199" s="41" t="e">
        <f t="shared" si="66"/>
        <v>#DIV/0!</v>
      </c>
      <c r="W199" s="41" t="e">
        <f t="shared" si="66"/>
        <v>#DIV/0!</v>
      </c>
      <c r="X199" s="42">
        <f t="shared" si="67"/>
        <v>0</v>
      </c>
      <c r="Y199" s="42">
        <f t="shared" si="67"/>
        <v>0</v>
      </c>
      <c r="Z199" s="43" t="e">
        <f t="shared" si="68"/>
        <v>#DIV/0!</v>
      </c>
      <c r="AA199" s="43" t="e">
        <f t="shared" si="68"/>
        <v>#DIV/0!</v>
      </c>
      <c r="AB199" s="99"/>
      <c r="AC199" s="70"/>
    </row>
    <row r="200" spans="1:29" s="53" customFormat="1" ht="39" customHeight="1">
      <c r="A200" s="104"/>
      <c r="B200" s="105"/>
      <c r="C200" s="134"/>
      <c r="D200" s="134" t="s">
        <v>247</v>
      </c>
      <c r="E200" s="136" t="s">
        <v>204</v>
      </c>
      <c r="F200" s="136">
        <v>0</v>
      </c>
      <c r="G200" s="85">
        <v>0</v>
      </c>
      <c r="H200" s="82"/>
      <c r="I200" s="82"/>
      <c r="J200" s="85">
        <v>0</v>
      </c>
      <c r="K200" s="82">
        <v>0</v>
      </c>
      <c r="L200" s="85">
        <v>0</v>
      </c>
      <c r="M200" s="85">
        <v>0</v>
      </c>
      <c r="N200" s="101"/>
      <c r="O200" s="102"/>
      <c r="P200" s="102"/>
      <c r="Q200" s="102"/>
      <c r="R200" s="85"/>
      <c r="S200" s="85"/>
      <c r="T200" s="39">
        <f t="shared" si="69"/>
        <v>0</v>
      </c>
      <c r="U200" s="39">
        <f t="shared" si="69"/>
        <v>0</v>
      </c>
      <c r="V200" s="41" t="e">
        <f t="shared" si="66"/>
        <v>#DIV/0!</v>
      </c>
      <c r="W200" s="41" t="e">
        <f t="shared" si="66"/>
        <v>#DIV/0!</v>
      </c>
      <c r="X200" s="42">
        <f t="shared" si="67"/>
        <v>0</v>
      </c>
      <c r="Y200" s="42">
        <f t="shared" si="67"/>
        <v>0</v>
      </c>
      <c r="Z200" s="43" t="e">
        <f t="shared" si="68"/>
        <v>#DIV/0!</v>
      </c>
      <c r="AA200" s="43" t="e">
        <f t="shared" si="68"/>
        <v>#DIV/0!</v>
      </c>
      <c r="AB200" s="99"/>
      <c r="AC200" s="70"/>
    </row>
    <row r="201" spans="1:29" s="53" customFormat="1" ht="84" customHeight="1">
      <c r="A201" s="104"/>
      <c r="B201" s="105"/>
      <c r="C201" s="134" t="s">
        <v>248</v>
      </c>
      <c r="D201" s="258" t="s">
        <v>249</v>
      </c>
      <c r="E201" s="136" t="s">
        <v>204</v>
      </c>
      <c r="F201" s="136">
        <v>0</v>
      </c>
      <c r="G201" s="85">
        <v>0</v>
      </c>
      <c r="H201" s="82"/>
      <c r="I201" s="82"/>
      <c r="J201" s="82">
        <v>0</v>
      </c>
      <c r="K201" s="82">
        <v>0</v>
      </c>
      <c r="L201" s="85">
        <v>0</v>
      </c>
      <c r="M201" s="85">
        <v>0</v>
      </c>
      <c r="N201" s="101"/>
      <c r="O201" s="143"/>
      <c r="P201" s="102"/>
      <c r="Q201" s="82"/>
      <c r="R201" s="85"/>
      <c r="S201" s="85"/>
      <c r="T201" s="39">
        <f t="shared" si="69"/>
        <v>0</v>
      </c>
      <c r="U201" s="39">
        <f t="shared" si="69"/>
        <v>0</v>
      </c>
      <c r="V201" s="41" t="e">
        <f t="shared" si="66"/>
        <v>#DIV/0!</v>
      </c>
      <c r="W201" s="41" t="e">
        <f t="shared" si="66"/>
        <v>#DIV/0!</v>
      </c>
      <c r="X201" s="42">
        <f t="shared" si="67"/>
        <v>0</v>
      </c>
      <c r="Y201" s="42">
        <f t="shared" si="67"/>
        <v>0</v>
      </c>
      <c r="Z201" s="43" t="e">
        <f t="shared" si="68"/>
        <v>#DIV/0!</v>
      </c>
      <c r="AA201" s="43" t="e">
        <f t="shared" si="68"/>
        <v>#DIV/0!</v>
      </c>
      <c r="AB201" s="99"/>
      <c r="AC201" s="70"/>
    </row>
    <row r="202" spans="1:29" s="53" customFormat="1" ht="42" customHeight="1">
      <c r="A202" s="104"/>
      <c r="B202" s="105"/>
      <c r="C202" s="134"/>
      <c r="D202" s="134" t="s">
        <v>128</v>
      </c>
      <c r="E202" s="136" t="s">
        <v>194</v>
      </c>
      <c r="F202" s="136">
        <v>0</v>
      </c>
      <c r="G202" s="85">
        <v>0</v>
      </c>
      <c r="H202" s="82"/>
      <c r="I202" s="82"/>
      <c r="J202" s="82">
        <v>0</v>
      </c>
      <c r="K202" s="82">
        <v>0</v>
      </c>
      <c r="L202" s="85">
        <v>0</v>
      </c>
      <c r="M202" s="85">
        <v>0</v>
      </c>
      <c r="N202" s="101"/>
      <c r="O202" s="100"/>
      <c r="P202" s="102"/>
      <c r="Q202" s="102"/>
      <c r="R202" s="85"/>
      <c r="S202" s="85"/>
      <c r="T202" s="39">
        <f t="shared" si="69"/>
        <v>0</v>
      </c>
      <c r="U202" s="39">
        <f t="shared" si="69"/>
        <v>0</v>
      </c>
      <c r="V202" s="41" t="e">
        <f t="shared" si="66"/>
        <v>#DIV/0!</v>
      </c>
      <c r="W202" s="41" t="e">
        <f t="shared" si="66"/>
        <v>#DIV/0!</v>
      </c>
      <c r="X202" s="42">
        <f t="shared" si="67"/>
        <v>0</v>
      </c>
      <c r="Y202" s="42">
        <f t="shared" si="67"/>
        <v>0</v>
      </c>
      <c r="Z202" s="43" t="e">
        <f t="shared" si="68"/>
        <v>#DIV/0!</v>
      </c>
      <c r="AA202" s="43" t="e">
        <f t="shared" si="68"/>
        <v>#DIV/0!</v>
      </c>
      <c r="AB202" s="99"/>
      <c r="AC202" s="70"/>
    </row>
    <row r="203" spans="1:29" s="53" customFormat="1" ht="48" customHeight="1">
      <c r="A203" s="104"/>
      <c r="B203" s="105"/>
      <c r="C203" s="134"/>
      <c r="D203" s="134" t="s">
        <v>247</v>
      </c>
      <c r="E203" s="136" t="s">
        <v>204</v>
      </c>
      <c r="F203" s="136">
        <v>0</v>
      </c>
      <c r="G203" s="85">
        <v>0</v>
      </c>
      <c r="H203" s="82">
        <v>0</v>
      </c>
      <c r="I203" s="82">
        <v>0</v>
      </c>
      <c r="J203" s="82">
        <v>0</v>
      </c>
      <c r="K203" s="82">
        <f>7000-7000</f>
        <v>0</v>
      </c>
      <c r="L203" s="85">
        <v>0</v>
      </c>
      <c r="M203" s="85">
        <v>0</v>
      </c>
      <c r="N203" s="101"/>
      <c r="O203" s="100"/>
      <c r="P203" s="102"/>
      <c r="Q203" s="102"/>
      <c r="R203" s="101"/>
      <c r="S203" s="101"/>
      <c r="T203" s="39">
        <f t="shared" si="69"/>
        <v>0</v>
      </c>
      <c r="U203" s="39">
        <f t="shared" si="69"/>
        <v>0</v>
      </c>
      <c r="V203" s="41" t="e">
        <f t="shared" si="66"/>
        <v>#DIV/0!</v>
      </c>
      <c r="W203" s="41" t="e">
        <f t="shared" si="66"/>
        <v>#DIV/0!</v>
      </c>
      <c r="X203" s="42">
        <f t="shared" si="67"/>
        <v>0</v>
      </c>
      <c r="Y203" s="42">
        <f t="shared" si="67"/>
        <v>0</v>
      </c>
      <c r="Z203" s="43" t="e">
        <f t="shared" si="68"/>
        <v>#DIV/0!</v>
      </c>
      <c r="AA203" s="43" t="e">
        <f t="shared" si="68"/>
        <v>#DIV/0!</v>
      </c>
      <c r="AB203" s="99"/>
      <c r="AC203" s="70"/>
    </row>
    <row r="204" spans="1:30" s="53" customFormat="1" ht="79.5" customHeight="1">
      <c r="A204" s="104"/>
      <c r="B204" s="105"/>
      <c r="C204" s="134" t="s">
        <v>250</v>
      </c>
      <c r="D204" s="247" t="s">
        <v>246</v>
      </c>
      <c r="E204" s="259" t="s">
        <v>204</v>
      </c>
      <c r="F204" s="259">
        <v>0</v>
      </c>
      <c r="G204" s="85">
        <v>0</v>
      </c>
      <c r="H204" s="82">
        <v>4</v>
      </c>
      <c r="I204" s="82">
        <v>594000</v>
      </c>
      <c r="J204" s="85">
        <v>0</v>
      </c>
      <c r="K204" s="82">
        <v>0</v>
      </c>
      <c r="L204" s="85">
        <v>0</v>
      </c>
      <c r="M204" s="85">
        <v>0</v>
      </c>
      <c r="N204" s="101"/>
      <c r="O204" s="143"/>
      <c r="P204" s="86"/>
      <c r="Q204" s="82"/>
      <c r="R204" s="85"/>
      <c r="S204" s="85"/>
      <c r="T204" s="39">
        <f t="shared" si="69"/>
        <v>0</v>
      </c>
      <c r="U204" s="39">
        <f t="shared" si="69"/>
        <v>0</v>
      </c>
      <c r="V204" s="41" t="e">
        <f t="shared" si="66"/>
        <v>#DIV/0!</v>
      </c>
      <c r="W204" s="41" t="e">
        <f t="shared" si="66"/>
        <v>#DIV/0!</v>
      </c>
      <c r="X204" s="42">
        <f t="shared" si="67"/>
        <v>4</v>
      </c>
      <c r="Y204" s="42">
        <f t="shared" si="67"/>
        <v>594000</v>
      </c>
      <c r="Z204" s="43" t="e">
        <f t="shared" si="68"/>
        <v>#DIV/0!</v>
      </c>
      <c r="AA204" s="43" t="e">
        <f t="shared" si="68"/>
        <v>#DIV/0!</v>
      </c>
      <c r="AB204" s="99"/>
      <c r="AC204" s="70"/>
      <c r="AD204" s="226">
        <f>+U204+U205+U206</f>
        <v>0</v>
      </c>
    </row>
    <row r="205" spans="1:29" s="53" customFormat="1" ht="30" customHeight="1">
      <c r="A205" s="104"/>
      <c r="B205" s="105"/>
      <c r="C205" s="134"/>
      <c r="D205" s="247" t="s">
        <v>128</v>
      </c>
      <c r="E205" s="136" t="s">
        <v>194</v>
      </c>
      <c r="F205" s="136">
        <v>0</v>
      </c>
      <c r="G205" s="85">
        <v>0</v>
      </c>
      <c r="H205" s="82">
        <v>4</v>
      </c>
      <c r="I205" s="82">
        <v>5900</v>
      </c>
      <c r="J205" s="85">
        <v>0</v>
      </c>
      <c r="K205" s="216">
        <v>0</v>
      </c>
      <c r="L205" s="85">
        <v>0</v>
      </c>
      <c r="M205" s="85">
        <v>0</v>
      </c>
      <c r="N205" s="101"/>
      <c r="O205" s="100"/>
      <c r="P205" s="102"/>
      <c r="Q205" s="102"/>
      <c r="R205" s="85"/>
      <c r="S205" s="85"/>
      <c r="T205" s="39">
        <f t="shared" si="69"/>
        <v>0</v>
      </c>
      <c r="U205" s="39">
        <f t="shared" si="69"/>
        <v>0</v>
      </c>
      <c r="V205" s="40" t="e">
        <f t="shared" si="66"/>
        <v>#DIV/0!</v>
      </c>
      <c r="W205" s="40" t="e">
        <f>+U205/K205*100</f>
        <v>#DIV/0!</v>
      </c>
      <c r="X205" s="42">
        <f t="shared" si="67"/>
        <v>4</v>
      </c>
      <c r="Y205" s="42">
        <f t="shared" si="67"/>
        <v>5900</v>
      </c>
      <c r="Z205" s="43" t="e">
        <f t="shared" si="68"/>
        <v>#DIV/0!</v>
      </c>
      <c r="AA205" s="43" t="e">
        <f t="shared" si="68"/>
        <v>#DIV/0!</v>
      </c>
      <c r="AB205" s="99"/>
      <c r="AC205" s="70"/>
    </row>
    <row r="206" spans="1:29" s="53" customFormat="1" ht="32.25" customHeight="1">
      <c r="A206" s="104"/>
      <c r="B206" s="105"/>
      <c r="C206" s="134"/>
      <c r="D206" s="247" t="s">
        <v>247</v>
      </c>
      <c r="E206" s="136" t="s">
        <v>204</v>
      </c>
      <c r="F206" s="136">
        <v>0</v>
      </c>
      <c r="G206" s="85">
        <v>0</v>
      </c>
      <c r="H206" s="82">
        <v>4</v>
      </c>
      <c r="I206" s="82">
        <v>119653</v>
      </c>
      <c r="J206" s="85">
        <v>0</v>
      </c>
      <c r="K206" s="82">
        <v>0</v>
      </c>
      <c r="L206" s="85">
        <v>0</v>
      </c>
      <c r="M206" s="85">
        <v>0</v>
      </c>
      <c r="N206" s="101"/>
      <c r="O206" s="100"/>
      <c r="P206" s="86"/>
      <c r="Q206" s="82"/>
      <c r="R206" s="84"/>
      <c r="S206" s="84"/>
      <c r="T206" s="39">
        <f t="shared" si="69"/>
        <v>0</v>
      </c>
      <c r="U206" s="39">
        <f t="shared" si="69"/>
        <v>0</v>
      </c>
      <c r="V206" s="40" t="e">
        <f t="shared" si="66"/>
        <v>#DIV/0!</v>
      </c>
      <c r="W206" s="41" t="e">
        <f t="shared" si="66"/>
        <v>#DIV/0!</v>
      </c>
      <c r="X206" s="42">
        <f t="shared" si="67"/>
        <v>4</v>
      </c>
      <c r="Y206" s="42">
        <f t="shared" si="67"/>
        <v>119653</v>
      </c>
      <c r="Z206" s="43" t="e">
        <f t="shared" si="68"/>
        <v>#DIV/0!</v>
      </c>
      <c r="AA206" s="43" t="e">
        <f t="shared" si="68"/>
        <v>#DIV/0!</v>
      </c>
      <c r="AB206" s="99"/>
      <c r="AC206" s="70"/>
    </row>
    <row r="207" spans="1:29" s="200" customFormat="1" ht="32.25" customHeight="1">
      <c r="A207" s="260"/>
      <c r="B207" s="358"/>
      <c r="C207" s="261"/>
      <c r="D207" s="261"/>
      <c r="E207" s="194"/>
      <c r="F207" s="194">
        <f aca="true" t="shared" si="70" ref="F207:U207">+F58+F28+F15</f>
        <v>5749</v>
      </c>
      <c r="G207" s="194">
        <f t="shared" si="70"/>
        <v>25141234</v>
      </c>
      <c r="H207" s="194">
        <f t="shared" si="70"/>
        <v>1206</v>
      </c>
      <c r="I207" s="194">
        <f t="shared" si="70"/>
        <v>6777749.5</v>
      </c>
      <c r="J207" s="194">
        <f t="shared" si="70"/>
        <v>2636</v>
      </c>
      <c r="K207" s="194">
        <f t="shared" si="70"/>
        <v>10127265</v>
      </c>
      <c r="L207" s="194">
        <f t="shared" si="70"/>
        <v>1653</v>
      </c>
      <c r="M207" s="354">
        <f t="shared" si="70"/>
        <v>625603.761</v>
      </c>
      <c r="N207" s="194">
        <f t="shared" si="70"/>
        <v>261</v>
      </c>
      <c r="O207" s="194">
        <f t="shared" si="70"/>
        <v>1641878.965</v>
      </c>
      <c r="P207" s="194">
        <f t="shared" si="70"/>
        <v>282</v>
      </c>
      <c r="Q207" s="194">
        <f t="shared" si="70"/>
        <v>1745588.301</v>
      </c>
      <c r="R207" s="194">
        <f t="shared" si="70"/>
        <v>89</v>
      </c>
      <c r="S207" s="194">
        <f t="shared" si="70"/>
        <v>5799975.25</v>
      </c>
      <c r="T207" s="194">
        <f t="shared" si="70"/>
        <v>2285</v>
      </c>
      <c r="U207" s="382">
        <f t="shared" si="70"/>
        <v>9813046.277</v>
      </c>
      <c r="V207" s="195">
        <f>+T207/J207*100</f>
        <v>86.68437025796662</v>
      </c>
      <c r="W207" s="324">
        <f>+U207/K207*100</f>
        <v>96.89729929057846</v>
      </c>
      <c r="X207" s="196">
        <f>+H207+T207</f>
        <v>3491</v>
      </c>
      <c r="Y207" s="42">
        <f>+I207+U207</f>
        <v>16590795.777</v>
      </c>
      <c r="Z207" s="197">
        <f t="shared" si="68"/>
        <v>60.723604105061746</v>
      </c>
      <c r="AA207" s="197">
        <f>+Y207/G207*100</f>
        <v>65.99037969655745</v>
      </c>
      <c r="AB207" s="198"/>
      <c r="AC207" s="199"/>
    </row>
    <row r="208" spans="1:29" s="53" customFormat="1" ht="13.5">
      <c r="A208" s="412" t="s">
        <v>87</v>
      </c>
      <c r="B208" s="413"/>
      <c r="C208" s="413"/>
      <c r="D208" s="413"/>
      <c r="E208" s="413"/>
      <c r="F208" s="413"/>
      <c r="G208" s="413"/>
      <c r="H208" s="413"/>
      <c r="I208" s="413"/>
      <c r="J208" s="413"/>
      <c r="K208" s="413"/>
      <c r="L208" s="413"/>
      <c r="M208" s="413"/>
      <c r="N208" s="413"/>
      <c r="O208" s="413"/>
      <c r="P208" s="413"/>
      <c r="Q208" s="413"/>
      <c r="R208" s="413"/>
      <c r="S208" s="413"/>
      <c r="T208" s="413"/>
      <c r="U208" s="414"/>
      <c r="V208" s="99"/>
      <c r="W208" s="99"/>
      <c r="X208" s="118"/>
      <c r="Y208" s="118"/>
      <c r="Z208" s="118"/>
      <c r="AA208" s="118"/>
      <c r="AB208" s="118"/>
      <c r="AC208" s="119"/>
    </row>
    <row r="209" spans="1:29" s="53" customFormat="1" ht="14.25" thickBot="1">
      <c r="A209" s="412" t="s">
        <v>88</v>
      </c>
      <c r="B209" s="413"/>
      <c r="C209" s="413"/>
      <c r="D209" s="413"/>
      <c r="E209" s="413"/>
      <c r="F209" s="413"/>
      <c r="G209" s="413"/>
      <c r="H209" s="413"/>
      <c r="I209" s="413"/>
      <c r="J209" s="413"/>
      <c r="K209" s="413"/>
      <c r="L209" s="413"/>
      <c r="M209" s="413"/>
      <c r="N209" s="413"/>
      <c r="O209" s="413"/>
      <c r="P209" s="413"/>
      <c r="Q209" s="413"/>
      <c r="R209" s="413"/>
      <c r="S209" s="413"/>
      <c r="T209" s="413"/>
      <c r="U209" s="414"/>
      <c r="V209" s="99"/>
      <c r="W209" s="99"/>
      <c r="X209" s="118"/>
      <c r="Y209" s="118"/>
      <c r="Z209" s="118"/>
      <c r="AA209" s="118"/>
      <c r="AB209" s="118"/>
      <c r="AC209" s="119"/>
    </row>
    <row r="210" spans="1:29" s="53" customFormat="1" ht="14.25" thickTop="1">
      <c r="A210" s="415" t="s">
        <v>251</v>
      </c>
      <c r="B210" s="416"/>
      <c r="C210" s="416"/>
      <c r="D210" s="416"/>
      <c r="E210" s="416"/>
      <c r="F210" s="416"/>
      <c r="G210" s="416"/>
      <c r="H210" s="416"/>
      <c r="I210" s="416"/>
      <c r="J210" s="417"/>
      <c r="K210" s="201"/>
      <c r="L210" s="202"/>
      <c r="M210" s="202"/>
      <c r="N210" s="202"/>
      <c r="O210" s="202"/>
      <c r="P210" s="203"/>
      <c r="Q210" s="203"/>
      <c r="R210" s="202"/>
      <c r="S210" s="202"/>
      <c r="T210" s="202"/>
      <c r="U210" s="280"/>
      <c r="V210" s="418"/>
      <c r="W210" s="418"/>
      <c r="X210" s="418"/>
      <c r="Y210" s="418"/>
      <c r="Z210" s="418"/>
      <c r="AA210" s="418"/>
      <c r="AB210" s="418"/>
      <c r="AC210" s="419"/>
    </row>
    <row r="211" spans="1:29" s="53" customFormat="1" ht="12.75">
      <c r="A211" s="420"/>
      <c r="B211" s="421"/>
      <c r="C211" s="421"/>
      <c r="D211" s="421"/>
      <c r="E211" s="421"/>
      <c r="F211" s="421"/>
      <c r="G211" s="421"/>
      <c r="H211" s="421"/>
      <c r="I211" s="421"/>
      <c r="J211" s="421"/>
      <c r="K211" s="421"/>
      <c r="L211" s="421"/>
      <c r="M211" s="421"/>
      <c r="N211" s="421"/>
      <c r="O211" s="421"/>
      <c r="P211" s="421"/>
      <c r="Q211" s="421"/>
      <c r="R211" s="421"/>
      <c r="S211" s="421"/>
      <c r="T211" s="421"/>
      <c r="U211" s="421"/>
      <c r="V211" s="421"/>
      <c r="W211" s="421"/>
      <c r="X211" s="421"/>
      <c r="Y211" s="421"/>
      <c r="Z211" s="421"/>
      <c r="AA211" s="421"/>
      <c r="AB211" s="421"/>
      <c r="AC211" s="422"/>
    </row>
    <row r="212" spans="1:29" s="53" customFormat="1" ht="13.5">
      <c r="A212" s="423" t="s">
        <v>252</v>
      </c>
      <c r="B212" s="424"/>
      <c r="C212" s="424"/>
      <c r="D212" s="424"/>
      <c r="E212" s="424"/>
      <c r="F212" s="424"/>
      <c r="G212" s="424"/>
      <c r="H212" s="424"/>
      <c r="I212" s="424"/>
      <c r="J212" s="424"/>
      <c r="K212" s="424"/>
      <c r="L212" s="424"/>
      <c r="M212" s="424"/>
      <c r="N212" s="424"/>
      <c r="O212" s="424"/>
      <c r="P212" s="424"/>
      <c r="Q212" s="424"/>
      <c r="R212" s="424"/>
      <c r="S212" s="424"/>
      <c r="T212" s="424"/>
      <c r="U212" s="425"/>
      <c r="V212" s="101"/>
      <c r="W212" s="101"/>
      <c r="X212" s="101"/>
      <c r="Y212" s="101"/>
      <c r="Z212" s="101"/>
      <c r="AA212" s="101"/>
      <c r="AB212" s="101"/>
      <c r="AC212" s="110"/>
    </row>
    <row r="213" spans="1:29" s="53" customFormat="1" ht="13.5">
      <c r="A213" s="423" t="s">
        <v>253</v>
      </c>
      <c r="B213" s="424"/>
      <c r="C213" s="424"/>
      <c r="D213" s="424"/>
      <c r="E213" s="424"/>
      <c r="F213" s="424"/>
      <c r="G213" s="424"/>
      <c r="H213" s="424"/>
      <c r="I213" s="424"/>
      <c r="J213" s="424"/>
      <c r="K213" s="424"/>
      <c r="L213" s="424"/>
      <c r="M213" s="424"/>
      <c r="N213" s="424"/>
      <c r="O213" s="424"/>
      <c r="P213" s="424"/>
      <c r="Q213" s="424"/>
      <c r="R213" s="424"/>
      <c r="S213" s="424"/>
      <c r="T213" s="424"/>
      <c r="U213" s="425"/>
      <c r="V213" s="101"/>
      <c r="W213" s="101"/>
      <c r="X213" s="101"/>
      <c r="Y213" s="101"/>
      <c r="Z213" s="101"/>
      <c r="AA213" s="101"/>
      <c r="AB213" s="101"/>
      <c r="AC213" s="110"/>
    </row>
    <row r="214" spans="1:29" s="53" customFormat="1" ht="12.75">
      <c r="A214" s="401" t="s">
        <v>254</v>
      </c>
      <c r="B214" s="402"/>
      <c r="C214" s="402"/>
      <c r="D214" s="402"/>
      <c r="E214" s="402"/>
      <c r="F214" s="402"/>
      <c r="G214" s="402"/>
      <c r="H214" s="402"/>
      <c r="I214" s="402"/>
      <c r="J214" s="402"/>
      <c r="K214" s="402"/>
      <c r="L214" s="402"/>
      <c r="M214" s="402"/>
      <c r="N214" s="402"/>
      <c r="O214" s="402"/>
      <c r="P214" s="402"/>
      <c r="Q214" s="402"/>
      <c r="R214" s="402"/>
      <c r="S214" s="402"/>
      <c r="T214" s="402"/>
      <c r="U214" s="402"/>
      <c r="V214" s="402"/>
      <c r="W214" s="402"/>
      <c r="X214" s="402"/>
      <c r="Y214" s="402"/>
      <c r="Z214" s="402"/>
      <c r="AA214" s="402"/>
      <c r="AB214" s="402"/>
      <c r="AC214" s="403"/>
    </row>
    <row r="215" spans="1:29" s="53" customFormat="1" ht="12.75">
      <c r="A215" s="401" t="s">
        <v>255</v>
      </c>
      <c r="B215" s="402"/>
      <c r="C215" s="402"/>
      <c r="D215" s="402"/>
      <c r="E215" s="402"/>
      <c r="F215" s="402"/>
      <c r="G215" s="402"/>
      <c r="H215" s="402"/>
      <c r="I215" s="402"/>
      <c r="J215" s="402"/>
      <c r="K215" s="402"/>
      <c r="L215" s="402"/>
      <c r="M215" s="402"/>
      <c r="N215" s="402"/>
      <c r="O215" s="402"/>
      <c r="P215" s="402"/>
      <c r="Q215" s="402"/>
      <c r="R215" s="402"/>
      <c r="S215" s="402"/>
      <c r="T215" s="402"/>
      <c r="U215" s="402"/>
      <c r="V215" s="402"/>
      <c r="W215" s="402"/>
      <c r="X215" s="402"/>
      <c r="Y215" s="402"/>
      <c r="Z215" s="402"/>
      <c r="AA215" s="402"/>
      <c r="AB215" s="402"/>
      <c r="AC215" s="403"/>
    </row>
    <row r="216" spans="1:29" s="53" customFormat="1" ht="12.75">
      <c r="A216" s="401" t="s">
        <v>256</v>
      </c>
      <c r="B216" s="402"/>
      <c r="C216" s="402"/>
      <c r="D216" s="402"/>
      <c r="E216" s="402"/>
      <c r="F216" s="402"/>
      <c r="G216" s="402"/>
      <c r="H216" s="402"/>
      <c r="I216" s="402"/>
      <c r="J216" s="402"/>
      <c r="K216" s="402"/>
      <c r="L216" s="402"/>
      <c r="M216" s="402"/>
      <c r="N216" s="402"/>
      <c r="O216" s="402"/>
      <c r="P216" s="402"/>
      <c r="Q216" s="402"/>
      <c r="R216" s="402"/>
      <c r="S216" s="402"/>
      <c r="T216" s="402"/>
      <c r="U216" s="402"/>
      <c r="V216" s="402"/>
      <c r="W216" s="402"/>
      <c r="X216" s="402"/>
      <c r="Y216" s="402"/>
      <c r="Z216" s="402"/>
      <c r="AA216" s="402"/>
      <c r="AB216" s="402"/>
      <c r="AC216" s="403"/>
    </row>
    <row r="217" spans="1:29" s="53" customFormat="1" ht="15.75" thickBot="1">
      <c r="A217" s="404" t="s">
        <v>257</v>
      </c>
      <c r="B217" s="405"/>
      <c r="C217" s="405"/>
      <c r="D217" s="405"/>
      <c r="E217" s="405"/>
      <c r="F217" s="405"/>
      <c r="G217" s="405"/>
      <c r="H217" s="405"/>
      <c r="I217" s="405"/>
      <c r="J217" s="405"/>
      <c r="K217" s="405"/>
      <c r="L217" s="405"/>
      <c r="M217" s="405"/>
      <c r="N217" s="405"/>
      <c r="O217" s="405"/>
      <c r="P217" s="405"/>
      <c r="Q217" s="405"/>
      <c r="R217" s="405"/>
      <c r="S217" s="405"/>
      <c r="T217" s="405"/>
      <c r="U217" s="405"/>
      <c r="V217" s="405"/>
      <c r="W217" s="405"/>
      <c r="X217" s="405"/>
      <c r="Y217" s="405"/>
      <c r="Z217" s="405"/>
      <c r="AA217" s="405"/>
      <c r="AB217" s="405"/>
      <c r="AC217" s="406"/>
    </row>
    <row r="218" spans="1:29" s="208" customFormat="1" ht="15.75" customHeight="1" thickTop="1">
      <c r="A218" s="204" t="s">
        <v>258</v>
      </c>
      <c r="B218" s="204"/>
      <c r="C218" s="1"/>
      <c r="D218" s="1"/>
      <c r="E218" s="1"/>
      <c r="F218" s="1"/>
      <c r="G218" s="1"/>
      <c r="H218" s="2"/>
      <c r="I218" s="205"/>
      <c r="J218" s="407"/>
      <c r="K218" s="407"/>
      <c r="L218" s="206"/>
      <c r="M218" s="355"/>
      <c r="N218" s="408"/>
      <c r="O218" s="408"/>
      <c r="P218" s="409"/>
      <c r="Q218" s="409"/>
      <c r="R218" s="252"/>
      <c r="S218" s="253"/>
      <c r="T218" s="410">
        <f>+U207-U15</f>
        <v>7854172.514</v>
      </c>
      <c r="U218" s="410"/>
      <c r="V218" s="410">
        <f>+T218-U207</f>
        <v>-1958873.7630000003</v>
      </c>
      <c r="W218" s="411"/>
      <c r="X218" s="206"/>
      <c r="Y218" s="206"/>
      <c r="Z218" s="206"/>
      <c r="AA218" s="206"/>
      <c r="AB218" s="1"/>
      <c r="AC218" s="1"/>
    </row>
    <row r="219" spans="1:29" s="208" customFormat="1" ht="18.75">
      <c r="A219" s="1"/>
      <c r="B219" s="1"/>
      <c r="C219" s="1"/>
      <c r="D219" s="1"/>
      <c r="E219" s="1"/>
      <c r="F219" s="1"/>
      <c r="G219" s="292"/>
      <c r="H219" s="393"/>
      <c r="I219" s="393"/>
      <c r="J219" s="394"/>
      <c r="K219" s="395"/>
      <c r="L219" s="209"/>
      <c r="M219" s="356"/>
      <c r="N219" s="397"/>
      <c r="O219" s="398"/>
      <c r="P219" s="210"/>
      <c r="Q219" s="2"/>
      <c r="R219" s="254"/>
      <c r="S219" s="255"/>
      <c r="T219" s="211"/>
      <c r="U219" s="328"/>
      <c r="V219" s="391" t="s">
        <v>259</v>
      </c>
      <c r="W219" s="387"/>
      <c r="X219" s="336"/>
      <c r="Y219" s="212"/>
      <c r="Z219" s="336"/>
      <c r="AA219" s="336"/>
      <c r="AB219" s="1"/>
      <c r="AC219" s="1"/>
    </row>
    <row r="220" spans="1:29" s="208" customFormat="1" ht="15" customHeight="1">
      <c r="A220" s="1"/>
      <c r="B220" s="1"/>
      <c r="C220" s="1"/>
      <c r="D220" s="1"/>
      <c r="E220" s="1"/>
      <c r="F220" s="1"/>
      <c r="G220" s="293"/>
      <c r="H220" s="393"/>
      <c r="I220" s="393"/>
      <c r="J220" s="206"/>
      <c r="K220" s="207"/>
      <c r="L220" s="206"/>
      <c r="M220" s="383" t="s">
        <v>299</v>
      </c>
      <c r="N220" s="1"/>
      <c r="O220" s="336"/>
      <c r="P220" s="399"/>
      <c r="Q220" s="399"/>
      <c r="R220" s="256"/>
      <c r="S220" s="400" t="e">
        <f>+T218/J218*100</f>
        <v>#DIV/0!</v>
      </c>
      <c r="T220" s="400"/>
      <c r="U220" s="281"/>
      <c r="V220" s="336"/>
      <c r="W220" s="388" t="s">
        <v>260</v>
      </c>
      <c r="X220" s="1"/>
      <c r="Y220" s="336"/>
      <c r="Z220" s="336"/>
      <c r="AA220" s="336"/>
      <c r="AB220" s="1"/>
      <c r="AC220" s="1"/>
    </row>
    <row r="221" spans="1:29" s="208" customFormat="1" ht="15" customHeight="1">
      <c r="A221" s="1"/>
      <c r="B221" s="1"/>
      <c r="C221" s="1"/>
      <c r="D221" s="1"/>
      <c r="E221" s="1"/>
      <c r="F221" s="1"/>
      <c r="G221" s="294"/>
      <c r="H221" s="393"/>
      <c r="I221" s="393"/>
      <c r="J221" s="206"/>
      <c r="K221" s="207"/>
      <c r="L221" s="206"/>
      <c r="M221" s="383" t="s">
        <v>285</v>
      </c>
      <c r="N221" s="336"/>
      <c r="O221" s="336"/>
      <c r="P221" s="210"/>
      <c r="Q221" s="2"/>
      <c r="R221" s="336"/>
      <c r="S221" s="257"/>
      <c r="T221" s="336"/>
      <c r="U221" s="281"/>
      <c r="V221" s="336"/>
      <c r="W221" s="388" t="s">
        <v>287</v>
      </c>
      <c r="X221" s="336"/>
      <c r="Y221" s="336"/>
      <c r="Z221" s="336"/>
      <c r="AA221" s="336"/>
      <c r="AB221" s="1"/>
      <c r="AC221" s="1"/>
    </row>
    <row r="222" spans="1:29" s="208" customFormat="1" ht="21">
      <c r="A222" s="1"/>
      <c r="B222" s="1"/>
      <c r="C222" s="1"/>
      <c r="D222" s="1"/>
      <c r="E222" s="1"/>
      <c r="F222" s="1"/>
      <c r="G222" s="292"/>
      <c r="H222" s="393"/>
      <c r="I222" s="393"/>
      <c r="J222" s="394"/>
      <c r="K222" s="395"/>
      <c r="L222" s="206"/>
      <c r="M222" s="383" t="s">
        <v>0</v>
      </c>
      <c r="N222" s="336"/>
      <c r="O222" s="336"/>
      <c r="P222" s="210"/>
      <c r="Q222" s="2"/>
      <c r="R222" s="336"/>
      <c r="S222" s="335"/>
      <c r="T222" s="336"/>
      <c r="U222" s="281"/>
      <c r="V222" s="336"/>
      <c r="W222" s="388" t="s">
        <v>0</v>
      </c>
      <c r="X222" s="336"/>
      <c r="Y222" s="336"/>
      <c r="Z222" s="336"/>
      <c r="AA222" s="336"/>
      <c r="AB222" s="1"/>
      <c r="AC222" s="1"/>
    </row>
    <row r="223" spans="1:29" s="208" customFormat="1" ht="21">
      <c r="A223" s="1"/>
      <c r="B223" s="1"/>
      <c r="C223" s="1"/>
      <c r="D223" s="1"/>
      <c r="E223" s="1"/>
      <c r="F223" s="1"/>
      <c r="G223" s="292"/>
      <c r="H223" s="337"/>
      <c r="I223" s="337"/>
      <c r="J223" s="338"/>
      <c r="K223" s="339"/>
      <c r="L223" s="206"/>
      <c r="M223" s="383"/>
      <c r="N223" s="341"/>
      <c r="O223" s="341"/>
      <c r="P223" s="210"/>
      <c r="Q223" s="2"/>
      <c r="R223" s="341"/>
      <c r="S223" s="340"/>
      <c r="T223" s="341"/>
      <c r="U223" s="281"/>
      <c r="V223" s="341"/>
      <c r="W223" s="388"/>
      <c r="X223" s="341"/>
      <c r="Y223" s="341"/>
      <c r="Z223" s="341"/>
      <c r="AA223" s="341"/>
      <c r="AB223" s="1"/>
      <c r="AC223" s="1"/>
    </row>
    <row r="224" spans="1:29" s="208" customFormat="1" ht="21">
      <c r="A224" s="1"/>
      <c r="B224" s="1"/>
      <c r="C224" s="1"/>
      <c r="D224" s="1"/>
      <c r="E224" s="1"/>
      <c r="F224" s="1"/>
      <c r="G224" s="292"/>
      <c r="H224" s="337"/>
      <c r="I224" s="337"/>
      <c r="J224" s="338"/>
      <c r="K224" s="339"/>
      <c r="L224" s="206"/>
      <c r="M224" s="383"/>
      <c r="N224" s="341"/>
      <c r="O224" s="341"/>
      <c r="P224" s="210"/>
      <c r="Q224" s="2"/>
      <c r="R224" s="341"/>
      <c r="S224" s="340"/>
      <c r="T224" s="341"/>
      <c r="U224" s="281"/>
      <c r="V224" s="341"/>
      <c r="W224" s="388"/>
      <c r="X224" s="341"/>
      <c r="Y224" s="341"/>
      <c r="Z224" s="341"/>
      <c r="AA224" s="341"/>
      <c r="AB224" s="1"/>
      <c r="AC224" s="1"/>
    </row>
    <row r="225" spans="1:29" s="208" customFormat="1" ht="21">
      <c r="A225" s="1"/>
      <c r="B225" s="1"/>
      <c r="C225" s="1"/>
      <c r="D225" s="1"/>
      <c r="E225" s="1"/>
      <c r="F225" s="1"/>
      <c r="G225" s="292"/>
      <c r="H225" s="337"/>
      <c r="I225" s="337"/>
      <c r="J225" s="338"/>
      <c r="K225" s="339"/>
      <c r="L225" s="206"/>
      <c r="M225" s="383"/>
      <c r="N225" s="341"/>
      <c r="O225" s="341"/>
      <c r="P225" s="210"/>
      <c r="Q225" s="2"/>
      <c r="R225" s="341"/>
      <c r="S225" s="340"/>
      <c r="T225" s="341"/>
      <c r="U225" s="281"/>
      <c r="V225" s="341"/>
      <c r="W225" s="388"/>
      <c r="X225" s="341"/>
      <c r="Y225" s="341"/>
      <c r="Z225" s="341"/>
      <c r="AA225" s="341"/>
      <c r="AB225" s="1"/>
      <c r="AC225" s="1"/>
    </row>
    <row r="226" spans="1:29" s="208" customFormat="1" ht="21">
      <c r="A226" s="1"/>
      <c r="B226" s="1"/>
      <c r="C226" s="1"/>
      <c r="D226" s="1"/>
      <c r="E226" s="1"/>
      <c r="F226" s="1"/>
      <c r="G226" s="292"/>
      <c r="H226" s="393"/>
      <c r="I226" s="393"/>
      <c r="J226" s="396"/>
      <c r="K226" s="396"/>
      <c r="L226" s="206"/>
      <c r="M226" s="384"/>
      <c r="N226" s="336"/>
      <c r="O226" s="336"/>
      <c r="P226" s="210"/>
      <c r="Q226" s="210"/>
      <c r="R226" s="336"/>
      <c r="S226" s="336"/>
      <c r="T226" s="336"/>
      <c r="U226" s="281"/>
      <c r="V226" s="336"/>
      <c r="W226" s="389"/>
      <c r="X226" s="336"/>
      <c r="Y226" s="336"/>
      <c r="Z226" s="336"/>
      <c r="AA226" s="336"/>
      <c r="AB226" s="1"/>
      <c r="AC226" s="1"/>
    </row>
    <row r="227" spans="1:29" s="208" customFormat="1" ht="21">
      <c r="A227" s="1"/>
      <c r="B227" s="1"/>
      <c r="C227" s="1"/>
      <c r="D227" s="1"/>
      <c r="E227" s="1"/>
      <c r="F227" s="1"/>
      <c r="G227" s="292"/>
      <c r="H227" s="393"/>
      <c r="I227" s="393"/>
      <c r="J227" s="390"/>
      <c r="K227" s="390"/>
      <c r="L227" s="206"/>
      <c r="M227" s="385" t="s">
        <v>300</v>
      </c>
      <c r="N227" s="209"/>
      <c r="O227" s="209"/>
      <c r="P227" s="210"/>
      <c r="Q227" s="210"/>
      <c r="R227" s="336"/>
      <c r="S227" s="336"/>
      <c r="T227" s="336"/>
      <c r="U227" s="281"/>
      <c r="V227" s="336"/>
      <c r="W227" s="388" t="s">
        <v>261</v>
      </c>
      <c r="X227" s="336"/>
      <c r="Y227" s="336"/>
      <c r="Z227" s="336"/>
      <c r="AA227" s="336"/>
      <c r="AB227" s="1"/>
      <c r="AC227" s="1"/>
    </row>
    <row r="228" spans="1:29" s="208" customFormat="1" ht="21">
      <c r="A228" s="1"/>
      <c r="B228" s="1"/>
      <c r="C228" s="1"/>
      <c r="D228" s="1"/>
      <c r="E228" s="1"/>
      <c r="F228" s="1"/>
      <c r="G228" s="292"/>
      <c r="H228" s="2"/>
      <c r="I228" s="205"/>
      <c r="J228" s="206"/>
      <c r="K228" s="207"/>
      <c r="L228" s="206"/>
      <c r="M228" s="386" t="s">
        <v>286</v>
      </c>
      <c r="N228" s="206"/>
      <c r="O228" s="206"/>
      <c r="P228" s="205"/>
      <c r="Q228" s="205"/>
      <c r="R228" s="206"/>
      <c r="S228" s="206"/>
      <c r="T228" s="206"/>
      <c r="U228" s="282"/>
      <c r="V228" s="206"/>
      <c r="W228" s="387"/>
      <c r="X228" s="206"/>
      <c r="Y228" s="206"/>
      <c r="Z228" s="206"/>
      <c r="AA228" s="206"/>
      <c r="AB228" s="1"/>
      <c r="AC228" s="1"/>
    </row>
    <row r="229" spans="6:27" s="208" customFormat="1" ht="12">
      <c r="F229" s="286"/>
      <c r="G229" s="286"/>
      <c r="H229" s="290"/>
      <c r="I229" s="291"/>
      <c r="J229" s="213"/>
      <c r="K229" s="343"/>
      <c r="L229" s="287"/>
      <c r="M229" s="287"/>
      <c r="N229" s="302"/>
      <c r="O229" s="302"/>
      <c r="P229" s="347"/>
      <c r="Q229" s="347"/>
      <c r="R229" s="215"/>
      <c r="S229" s="215"/>
      <c r="T229" s="213"/>
      <c r="U229" s="282"/>
      <c r="V229" s="213"/>
      <c r="W229" s="213"/>
      <c r="X229" s="213"/>
      <c r="Y229" s="213"/>
      <c r="Z229" s="213"/>
      <c r="AA229" s="213"/>
    </row>
    <row r="230" spans="11:21" ht="15">
      <c r="K230" s="344"/>
      <c r="L230" s="288"/>
      <c r="M230" s="289"/>
      <c r="N230" s="303"/>
      <c r="O230" s="304"/>
      <c r="P230" s="348"/>
      <c r="Q230" s="348"/>
      <c r="R230" s="392"/>
      <c r="S230" s="392"/>
      <c r="U230" s="283"/>
    </row>
    <row r="231" ht="15"/>
    <row r="232" ht="12">
      <c r="U232" s="276">
        <f>+U231-U230</f>
        <v>0</v>
      </c>
    </row>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sheetData>
  <sheetProtection/>
  <mergeCells count="83">
    <mergeCell ref="A2:AC2"/>
    <mergeCell ref="A3:AC3"/>
    <mergeCell ref="A4:AC4"/>
    <mergeCell ref="A6:AC6"/>
    <mergeCell ref="A7:AC7"/>
    <mergeCell ref="A9:A10"/>
    <mergeCell ref="B9:B10"/>
    <mergeCell ref="C9:C10"/>
    <mergeCell ref="D9:D10"/>
    <mergeCell ref="E9:E10"/>
    <mergeCell ref="F9:G10"/>
    <mergeCell ref="H9:I10"/>
    <mergeCell ref="J9:K10"/>
    <mergeCell ref="L9:S9"/>
    <mergeCell ref="T9:U10"/>
    <mergeCell ref="V9:W10"/>
    <mergeCell ref="X9:Y10"/>
    <mergeCell ref="Z9:AA10"/>
    <mergeCell ref="AB9:AB10"/>
    <mergeCell ref="AC9:AC10"/>
    <mergeCell ref="L10:M10"/>
    <mergeCell ref="N10:O10"/>
    <mergeCell ref="P10:Q10"/>
    <mergeCell ref="R10:S10"/>
    <mergeCell ref="A11:A12"/>
    <mergeCell ref="B11:B12"/>
    <mergeCell ref="C11:C12"/>
    <mergeCell ref="D11:D12"/>
    <mergeCell ref="E11:E12"/>
    <mergeCell ref="F11:G11"/>
    <mergeCell ref="H11:I11"/>
    <mergeCell ref="J11:K11"/>
    <mergeCell ref="L11:M11"/>
    <mergeCell ref="N11:O11"/>
    <mergeCell ref="P11:Q11"/>
    <mergeCell ref="R11:S11"/>
    <mergeCell ref="T11:U11"/>
    <mergeCell ref="V11:W11"/>
    <mergeCell ref="X11:Y11"/>
    <mergeCell ref="Z11:AA11"/>
    <mergeCell ref="AB11:AB12"/>
    <mergeCell ref="AC11:AC12"/>
    <mergeCell ref="AB29:AB36"/>
    <mergeCell ref="A55:U55"/>
    <mergeCell ref="A56:U56"/>
    <mergeCell ref="A57:AC57"/>
    <mergeCell ref="C61:C63"/>
    <mergeCell ref="C106:C108"/>
    <mergeCell ref="D141:D142"/>
    <mergeCell ref="C145:C148"/>
    <mergeCell ref="C172:C181"/>
    <mergeCell ref="C185:C186"/>
    <mergeCell ref="C190:C191"/>
    <mergeCell ref="A208:U208"/>
    <mergeCell ref="C151:C154"/>
    <mergeCell ref="A209:U209"/>
    <mergeCell ref="A210:J210"/>
    <mergeCell ref="V210:AC210"/>
    <mergeCell ref="A211:AC211"/>
    <mergeCell ref="A212:U212"/>
    <mergeCell ref="A213:U213"/>
    <mergeCell ref="A214:AC214"/>
    <mergeCell ref="A215:AC215"/>
    <mergeCell ref="A216:AC216"/>
    <mergeCell ref="A217:AC217"/>
    <mergeCell ref="J218:K218"/>
    <mergeCell ref="N218:O218"/>
    <mergeCell ref="P218:Q218"/>
    <mergeCell ref="T218:U218"/>
    <mergeCell ref="V218:W218"/>
    <mergeCell ref="H219:I219"/>
    <mergeCell ref="N219:O219"/>
    <mergeCell ref="H220:I220"/>
    <mergeCell ref="P220:Q220"/>
    <mergeCell ref="S220:T220"/>
    <mergeCell ref="H221:I221"/>
    <mergeCell ref="J219:K219"/>
    <mergeCell ref="R230:S230"/>
    <mergeCell ref="H222:I222"/>
    <mergeCell ref="J222:K222"/>
    <mergeCell ref="H226:I226"/>
    <mergeCell ref="J226:K226"/>
    <mergeCell ref="H227:I227"/>
  </mergeCells>
  <printOptions/>
  <pageMargins left="1.13" right="0.275590551181102" top="0.275590551181102" bottom="0.63" header="0.236220472440945" footer="0.196850393700787"/>
  <pageSetup horizontalDpi="600" verticalDpi="600" orientation="landscape" paperSize="5" scale="67" r:id="rId3"/>
  <rowBreaks count="2" manualBreakCount="2">
    <brk id="139" max="28" man="1"/>
    <brk id="155" max="28" man="1"/>
  </rowBreaks>
  <legacyDrawing r:id="rId2"/>
  <oleObjects>
    <oleObject progId="Word.Document.12" shapeId="96236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istimewa</dc:creator>
  <cp:keywords/>
  <dc:description/>
  <cp:lastModifiedBy>seen7</cp:lastModifiedBy>
  <cp:lastPrinted>2018-01-02T08:06:34Z</cp:lastPrinted>
  <dcterms:created xsi:type="dcterms:W3CDTF">2016-10-04T06:30:53Z</dcterms:created>
  <dcterms:modified xsi:type="dcterms:W3CDTF">2019-12-31T04:37:38Z</dcterms:modified>
  <cp:category/>
  <cp:version/>
  <cp:contentType/>
  <cp:contentStatus/>
</cp:coreProperties>
</file>