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hidePivotFieldList="1" defaultThemeVersion="124226"/>
  <bookViews>
    <workbookView xWindow="-105" yWindow="-105" windowWidth="20730" windowHeight="11760" tabRatio="860" firstSheet="1" activeTab="2"/>
  </bookViews>
  <sheets>
    <sheet name="Sheet1" sheetId="36" r:id="rId1"/>
    <sheet name="TOTAL KONTAK ERAT" sheetId="29" r:id="rId2"/>
    <sheet name="perdesa" sheetId="19" r:id="rId3"/>
    <sheet name="per kecamatan" sheetId="20" r:id="rId4"/>
    <sheet name="Sheet4" sheetId="24" state="hidden" r:id="rId5"/>
    <sheet name="Sheet2" sheetId="26" state="hidden" r:id="rId6"/>
    <sheet name="SEMUA KONTAK ERAT" sheetId="31" r:id="rId7"/>
    <sheet name="KONTAKERAT MASUK" sheetId="34" r:id="rId8"/>
    <sheet name="KONTAK ERAT KELUAR" sheetId="33" r:id="rId9"/>
    <sheet name="FORMAT KONTAK ERAT" sheetId="35" r:id="rId10"/>
  </sheets>
  <definedNames>
    <definedName name="_xlnm._FilterDatabase" localSheetId="7" hidden="1">'KONTAKERAT MASUK'!#REF!</definedName>
    <definedName name="_xlnm._FilterDatabase" localSheetId="2" hidden="1">perdesa!$B$4:$I$260</definedName>
    <definedName name="_xlnm._FilterDatabase" localSheetId="6" hidden="1">'SEMUA KONTAK ERAT'!#REF!</definedName>
    <definedName name="_xlnm._FilterDatabase" localSheetId="1" hidden="1">'TOTAL KONTAK ERAT'!$F$1:$F$1</definedName>
    <definedName name="CZ">#REF!</definedName>
    <definedName name="_xlnm.Print_Area" localSheetId="2">perdesa!$B$1:$R$258</definedName>
    <definedName name="_xlnm.Print_Titles" localSheetId="2">perdesa!$5:$7</definedName>
  </definedNames>
  <calcPr calcId="144525"/>
  <pivotCaches>
    <pivotCache cacheId="0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9" l="1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135" i="19"/>
  <c r="E136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154" i="19"/>
  <c r="E155" i="19"/>
  <c r="E156" i="19"/>
  <c r="E157" i="19"/>
  <c r="E158" i="19"/>
  <c r="E159" i="19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173" i="19"/>
  <c r="E174" i="19"/>
  <c r="E175" i="19"/>
  <c r="E176" i="19"/>
  <c r="E177" i="19"/>
  <c r="E178" i="19"/>
  <c r="E179" i="19"/>
  <c r="E180" i="19"/>
  <c r="E181" i="19"/>
  <c r="E182" i="19"/>
  <c r="E183" i="19"/>
  <c r="E184" i="19"/>
  <c r="E185" i="19"/>
  <c r="E186" i="19"/>
  <c r="E187" i="19"/>
  <c r="E188" i="19"/>
  <c r="E189" i="19"/>
  <c r="E190" i="19"/>
  <c r="E191" i="19"/>
  <c r="E192" i="19"/>
  <c r="E193" i="19"/>
  <c r="E194" i="19"/>
  <c r="E195" i="19"/>
  <c r="E196" i="19"/>
  <c r="E197" i="19"/>
  <c r="E198" i="19"/>
  <c r="E199" i="19"/>
  <c r="E200" i="19"/>
  <c r="E201" i="19"/>
  <c r="E202" i="19"/>
  <c r="E203" i="19"/>
  <c r="E204" i="19"/>
  <c r="E205" i="19"/>
  <c r="E206" i="19"/>
  <c r="E207" i="19"/>
  <c r="E208" i="19"/>
  <c r="E209" i="19"/>
  <c r="E210" i="19"/>
  <c r="E211" i="19"/>
  <c r="E212" i="19"/>
  <c r="E213" i="19"/>
  <c r="E214" i="19"/>
  <c r="E215" i="19"/>
  <c r="E216" i="19"/>
  <c r="E217" i="19"/>
  <c r="E218" i="19"/>
  <c r="E219" i="19"/>
  <c r="E220" i="19"/>
  <c r="E221" i="19"/>
  <c r="E222" i="19"/>
  <c r="E223" i="19"/>
  <c r="E224" i="19"/>
  <c r="E225" i="19"/>
  <c r="E226" i="19"/>
  <c r="E227" i="19"/>
  <c r="E228" i="19"/>
  <c r="E229" i="19"/>
  <c r="E230" i="19"/>
  <c r="E231" i="19"/>
  <c r="E232" i="19"/>
  <c r="E233" i="19"/>
  <c r="E234" i="19"/>
  <c r="E235" i="19"/>
  <c r="E236" i="19"/>
  <c r="E237" i="19"/>
  <c r="E238" i="19"/>
  <c r="E239" i="19"/>
  <c r="E240" i="19"/>
  <c r="E241" i="19"/>
  <c r="E242" i="19"/>
  <c r="E243" i="19"/>
  <c r="E244" i="19"/>
  <c r="E245" i="19"/>
  <c r="E246" i="19"/>
  <c r="E247" i="19"/>
  <c r="E248" i="19"/>
  <c r="E249" i="19"/>
  <c r="E250" i="19"/>
  <c r="E251" i="19"/>
  <c r="E252" i="19"/>
  <c r="E253" i="19"/>
  <c r="E254" i="19"/>
  <c r="E255" i="19"/>
  <c r="E256" i="19"/>
  <c r="E258" i="19" l="1"/>
  <c r="A3" i="20"/>
  <c r="F625" i="35" l="1"/>
  <c r="D625" i="35" l="1"/>
  <c r="F626" i="35"/>
  <c r="D624" i="35"/>
  <c r="D626" i="35" l="1"/>
  <c r="F627" i="35"/>
  <c r="D623" i="35"/>
  <c r="D627" i="35" l="1"/>
  <c r="F628" i="35"/>
  <c r="D622" i="35"/>
  <c r="D628" i="35" l="1"/>
  <c r="F629" i="35"/>
  <c r="D621" i="35"/>
  <c r="D629" i="35" l="1"/>
  <c r="F630" i="35"/>
  <c r="D620" i="35"/>
  <c r="D630" i="35" l="1"/>
  <c r="F631" i="35"/>
  <c r="D619" i="35"/>
  <c r="D618" i="35"/>
  <c r="D631" i="35" l="1"/>
  <c r="F632" i="35"/>
  <c r="D617" i="35"/>
  <c r="D632" i="35" l="1"/>
  <c r="F633" i="35"/>
  <c r="D616" i="35"/>
  <c r="D633" i="35" l="1"/>
  <c r="F634" i="35"/>
  <c r="D615" i="35"/>
  <c r="D634" i="35" l="1"/>
  <c r="F635" i="35"/>
  <c r="D614" i="35"/>
  <c r="D635" i="35" l="1"/>
  <c r="F636" i="35"/>
  <c r="D613" i="35"/>
  <c r="D636" i="35" l="1"/>
  <c r="F637" i="35"/>
  <c r="D612" i="35"/>
  <c r="D637" i="35" l="1"/>
  <c r="F638" i="35"/>
  <c r="D611" i="35"/>
  <c r="D638" i="35" l="1"/>
  <c r="F639" i="35"/>
  <c r="D610" i="35"/>
  <c r="D639" i="35" l="1"/>
  <c r="F640" i="35"/>
  <c r="D609" i="35"/>
  <c r="D640" i="35" l="1"/>
  <c r="F641" i="35"/>
  <c r="D608" i="35"/>
  <c r="D641" i="35" l="1"/>
  <c r="F642" i="35"/>
  <c r="D607" i="35"/>
  <c r="D642" i="35" l="1"/>
  <c r="F643" i="35"/>
  <c r="D606" i="35"/>
  <c r="D643" i="35" l="1"/>
  <c r="F644" i="35"/>
  <c r="D605" i="35"/>
  <c r="D644" i="35" l="1"/>
  <c r="F645" i="35"/>
  <c r="D604" i="35"/>
  <c r="D645" i="35" l="1"/>
  <c r="F646" i="35"/>
  <c r="D603" i="35"/>
  <c r="D646" i="35" l="1"/>
  <c r="F647" i="35"/>
  <c r="D602" i="35"/>
  <c r="D647" i="35" l="1"/>
  <c r="F648" i="35"/>
  <c r="D601" i="35"/>
  <c r="D648" i="35" l="1"/>
  <c r="F649" i="35"/>
  <c r="D600" i="35"/>
  <c r="D649" i="35" l="1"/>
  <c r="F650" i="35"/>
  <c r="D599" i="35"/>
  <c r="D650" i="35" l="1"/>
  <c r="F651" i="35"/>
  <c r="D598" i="35"/>
  <c r="D651" i="35" l="1"/>
  <c r="F652" i="35"/>
  <c r="D597" i="35"/>
  <c r="D652" i="35" l="1"/>
  <c r="F653" i="35"/>
  <c r="D596" i="35"/>
  <c r="D653" i="35" l="1"/>
  <c r="F654" i="35"/>
  <c r="D595" i="35"/>
  <c r="D654" i="35" l="1"/>
  <c r="F655" i="35"/>
  <c r="D594" i="35"/>
  <c r="D655" i="35" l="1"/>
  <c r="F656" i="35"/>
  <c r="D593" i="35"/>
  <c r="D656" i="35" l="1"/>
  <c r="F657" i="35"/>
  <c r="D592" i="35"/>
  <c r="D657" i="35" l="1"/>
  <c r="F658" i="35"/>
  <c r="D591" i="35"/>
  <c r="D658" i="35" l="1"/>
  <c r="F659" i="35"/>
  <c r="D590" i="35"/>
  <c r="D659" i="35" l="1"/>
  <c r="F660" i="35"/>
  <c r="D589" i="35"/>
  <c r="D660" i="35" l="1"/>
  <c r="F661" i="35"/>
  <c r="D588" i="35"/>
  <c r="D661" i="35" l="1"/>
  <c r="F662" i="35"/>
  <c r="D587" i="35"/>
  <c r="D662" i="35" l="1"/>
  <c r="F663" i="35"/>
  <c r="D586" i="35"/>
  <c r="D663" i="35" l="1"/>
  <c r="F664" i="35"/>
  <c r="D585" i="35"/>
  <c r="D664" i="35" l="1"/>
  <c r="F665" i="35"/>
  <c r="D584" i="35"/>
  <c r="D665" i="35" l="1"/>
  <c r="F666" i="35"/>
  <c r="D583" i="35"/>
  <c r="D666" i="35" l="1"/>
  <c r="F667" i="35"/>
  <c r="D582" i="35"/>
  <c r="D667" i="35" l="1"/>
  <c r="F668" i="35"/>
  <c r="D581" i="35"/>
  <c r="D668" i="35" l="1"/>
  <c r="F669" i="35"/>
  <c r="D580" i="35"/>
  <c r="D669" i="35" l="1"/>
  <c r="F670" i="35"/>
  <c r="D579" i="35"/>
  <c r="D670" i="35" l="1"/>
  <c r="F671" i="35"/>
  <c r="D578" i="35"/>
  <c r="D671" i="35" l="1"/>
  <c r="F672" i="35"/>
  <c r="D577" i="35"/>
  <c r="D672" i="35" l="1"/>
  <c r="F673" i="35"/>
  <c r="D576" i="35"/>
  <c r="D673" i="35" l="1"/>
  <c r="F674" i="35"/>
  <c r="D575" i="35"/>
  <c r="D674" i="35" l="1"/>
  <c r="F675" i="35"/>
  <c r="D574" i="35"/>
  <c r="D675" i="35" l="1"/>
  <c r="F676" i="35"/>
  <c r="D573" i="35"/>
  <c r="D676" i="35" l="1"/>
  <c r="F677" i="35"/>
  <c r="D572" i="35"/>
  <c r="D677" i="35" l="1"/>
  <c r="F678" i="35"/>
  <c r="D571" i="35"/>
  <c r="D678" i="35" l="1"/>
  <c r="F679" i="35"/>
  <c r="D570" i="35"/>
  <c r="D679" i="35" l="1"/>
  <c r="F680" i="35"/>
  <c r="D569" i="35"/>
  <c r="D680" i="35" l="1"/>
  <c r="F681" i="35"/>
  <c r="D568" i="35"/>
  <c r="D681" i="35" l="1"/>
  <c r="F682" i="35"/>
  <c r="D567" i="35"/>
  <c r="D682" i="35" l="1"/>
  <c r="F683" i="35"/>
  <c r="F684" i="35" s="1"/>
  <c r="F685" i="35" s="1"/>
  <c r="D685" i="35" s="1"/>
  <c r="D566" i="35"/>
  <c r="F686" i="35" l="1"/>
  <c r="D684" i="35"/>
  <c r="D683" i="35"/>
  <c r="D565" i="35"/>
  <c r="F687" i="35" l="1"/>
  <c r="D686" i="35"/>
  <c r="D564" i="35"/>
  <c r="F688" i="35" l="1"/>
  <c r="D687" i="35"/>
  <c r="D563" i="35"/>
  <c r="D688" i="35" l="1"/>
  <c r="F689" i="35"/>
  <c r="D562" i="35"/>
  <c r="D689" i="35" l="1"/>
  <c r="F690" i="35"/>
  <c r="D560" i="35"/>
  <c r="D690" i="35" l="1"/>
  <c r="F691" i="35"/>
  <c r="D559" i="35"/>
  <c r="D691" i="35" l="1"/>
  <c r="F692" i="35"/>
  <c r="D558" i="35"/>
  <c r="D692" i="35" l="1"/>
  <c r="F693" i="35"/>
  <c r="D557" i="35"/>
  <c r="D693" i="35" l="1"/>
  <c r="F694" i="35"/>
  <c r="D556" i="35"/>
  <c r="D694" i="35" l="1"/>
  <c r="F695" i="35"/>
  <c r="D555" i="35"/>
  <c r="D695" i="35" l="1"/>
  <c r="F696" i="35"/>
  <c r="D554" i="35"/>
  <c r="D696" i="35" l="1"/>
  <c r="F697" i="35"/>
  <c r="D553" i="35"/>
  <c r="D697" i="35" l="1"/>
  <c r="F698" i="35"/>
  <c r="D552" i="35"/>
  <c r="D698" i="35" l="1"/>
  <c r="F699" i="35"/>
  <c r="D551" i="35"/>
  <c r="D699" i="35" l="1"/>
  <c r="F700" i="35"/>
  <c r="D550" i="35"/>
  <c r="D700" i="35" l="1"/>
  <c r="F701" i="35"/>
  <c r="D549" i="35"/>
  <c r="D701" i="35" l="1"/>
  <c r="F702" i="35"/>
  <c r="D548" i="35"/>
  <c r="D702" i="35" l="1"/>
  <c r="F703" i="35"/>
  <c r="D547" i="35"/>
  <c r="D703" i="35" l="1"/>
  <c r="F704" i="35"/>
  <c r="D546" i="35"/>
  <c r="D704" i="35" l="1"/>
  <c r="F705" i="35"/>
  <c r="D545" i="35"/>
  <c r="D705" i="35" l="1"/>
  <c r="F706" i="35"/>
  <c r="D544" i="35"/>
  <c r="D706" i="35" l="1"/>
  <c r="F707" i="35"/>
  <c r="D543" i="35"/>
  <c r="D707" i="35" l="1"/>
  <c r="F708" i="35"/>
  <c r="D542" i="35"/>
  <c r="D708" i="35" l="1"/>
  <c r="F709" i="35"/>
  <c r="D541" i="35"/>
  <c r="D709" i="35" l="1"/>
  <c r="F710" i="35"/>
  <c r="D540" i="35"/>
  <c r="D710" i="35" l="1"/>
  <c r="F711" i="35"/>
  <c r="F534" i="35"/>
  <c r="D711" i="35" l="1"/>
  <c r="F712" i="35"/>
  <c r="D534" i="35"/>
  <c r="F535" i="35"/>
  <c r="D533" i="35"/>
  <c r="D712" i="35" l="1"/>
  <c r="F713" i="35"/>
  <c r="D535" i="35"/>
  <c r="F536" i="35"/>
  <c r="D532" i="35"/>
  <c r="D713" i="35" l="1"/>
  <c r="F714" i="35"/>
  <c r="D536" i="35"/>
  <c r="F537" i="35"/>
  <c r="D46" i="35"/>
  <c r="D55" i="35"/>
  <c r="D56" i="35" s="1"/>
  <c r="D57" i="35" s="1"/>
  <c r="D62" i="35"/>
  <c r="D63" i="35" s="1"/>
  <c r="D65" i="35"/>
  <c r="D66" i="35" s="1"/>
  <c r="D67" i="35" s="1"/>
  <c r="D68" i="35" s="1"/>
  <c r="D69" i="35" s="1"/>
  <c r="D70" i="35" s="1"/>
  <c r="D71" i="35" s="1"/>
  <c r="D72" i="35" s="1"/>
  <c r="D73" i="35" s="1"/>
  <c r="D74" i="35" s="1"/>
  <c r="D75" i="35" s="1"/>
  <c r="D76" i="35" s="1"/>
  <c r="D77" i="35" s="1"/>
  <c r="D78" i="35" s="1"/>
  <c r="D79" i="35" s="1"/>
  <c r="D80" i="35" s="1"/>
  <c r="D81" i="35" s="1"/>
  <c r="D82" i="35" s="1"/>
  <c r="D83" i="35" s="1"/>
  <c r="D84" i="35" s="1"/>
  <c r="D85" i="35" s="1"/>
  <c r="D86" i="35" s="1"/>
  <c r="D87" i="35" s="1"/>
  <c r="D88" i="35" s="1"/>
  <c r="D89" i="35" s="1"/>
  <c r="D90" i="35" s="1"/>
  <c r="D91" i="35" s="1"/>
  <c r="D92" i="35" s="1"/>
  <c r="D93" i="35" s="1"/>
  <c r="D94" i="35" s="1"/>
  <c r="D95" i="35" s="1"/>
  <c r="D96" i="35" s="1"/>
  <c r="D97" i="35" s="1"/>
  <c r="D98" i="35" s="1"/>
  <c r="D99" i="35" s="1"/>
  <c r="D100" i="35" s="1"/>
  <c r="D101" i="35" s="1"/>
  <c r="D102" i="35" s="1"/>
  <c r="D103" i="35" s="1"/>
  <c r="D104" i="35" s="1"/>
  <c r="D105" i="35" s="1"/>
  <c r="D106" i="35" s="1"/>
  <c r="D107" i="35" s="1"/>
  <c r="D108" i="35" s="1"/>
  <c r="D109" i="35" s="1"/>
  <c r="D110" i="35" s="1"/>
  <c r="D111" i="35" s="1"/>
  <c r="D112" i="35" s="1"/>
  <c r="D113" i="35" s="1"/>
  <c r="D114" i="35" s="1"/>
  <c r="D115" i="35" s="1"/>
  <c r="D116" i="35" s="1"/>
  <c r="D117" i="35" s="1"/>
  <c r="D118" i="35" s="1"/>
  <c r="D119" i="35" s="1"/>
  <c r="D120" i="35" s="1"/>
  <c r="D121" i="35" s="1"/>
  <c r="D122" i="35" s="1"/>
  <c r="D123" i="35" s="1"/>
  <c r="D124" i="35" s="1"/>
  <c r="D125" i="35" s="1"/>
  <c r="D126" i="35" s="1"/>
  <c r="D127" i="35" s="1"/>
  <c r="D128" i="35" s="1"/>
  <c r="D129" i="35" s="1"/>
  <c r="D130" i="35" s="1"/>
  <c r="D131" i="35" s="1"/>
  <c r="D132" i="35" s="1"/>
  <c r="D133" i="35" s="1"/>
  <c r="D134" i="35" s="1"/>
  <c r="D135" i="35" s="1"/>
  <c r="D136" i="35" s="1"/>
  <c r="D137" i="35" s="1"/>
  <c r="D138" i="35" s="1"/>
  <c r="D139" i="35" s="1"/>
  <c r="D140" i="35" s="1"/>
  <c r="D141" i="35" s="1"/>
  <c r="D142" i="35" s="1"/>
  <c r="D143" i="35" s="1"/>
  <c r="D144" i="35" s="1"/>
  <c r="D145" i="35" s="1"/>
  <c r="D146" i="35" s="1"/>
  <c r="D147" i="35" s="1"/>
  <c r="D148" i="35" s="1"/>
  <c r="D149" i="35" s="1"/>
  <c r="D150" i="35" s="1"/>
  <c r="D151" i="35" s="1"/>
  <c r="D152" i="35" s="1"/>
  <c r="D153" i="35" s="1"/>
  <c r="D154" i="35" s="1"/>
  <c r="D155" i="35" s="1"/>
  <c r="D156" i="35" s="1"/>
  <c r="D157" i="35" s="1"/>
  <c r="D158" i="35" s="1"/>
  <c r="D159" i="35" s="1"/>
  <c r="D160" i="35" s="1"/>
  <c r="D161" i="35" s="1"/>
  <c r="D162" i="35" s="1"/>
  <c r="D163" i="35" s="1"/>
  <c r="D164" i="35" s="1"/>
  <c r="D165" i="35" s="1"/>
  <c r="D166" i="35" s="1"/>
  <c r="D167" i="35" s="1"/>
  <c r="D168" i="35" s="1"/>
  <c r="D169" i="35" s="1"/>
  <c r="D170" i="35" s="1"/>
  <c r="D171" i="35" s="1"/>
  <c r="D172" i="35" s="1"/>
  <c r="D173" i="35" s="1"/>
  <c r="D174" i="35" s="1"/>
  <c r="D175" i="35" s="1"/>
  <c r="D176" i="35" s="1"/>
  <c r="D177" i="35" s="1"/>
  <c r="D178" i="35" s="1"/>
  <c r="D179" i="35" s="1"/>
  <c r="D180" i="35" s="1"/>
  <c r="D181" i="35" s="1"/>
  <c r="D182" i="35" s="1"/>
  <c r="D183" i="35" s="1"/>
  <c r="D184" i="35" s="1"/>
  <c r="D185" i="35" s="1"/>
  <c r="D186" i="35" s="1"/>
  <c r="D187" i="35" s="1"/>
  <c r="D188" i="35" s="1"/>
  <c r="D189" i="35" s="1"/>
  <c r="D190" i="35" s="1"/>
  <c r="D191" i="35" s="1"/>
  <c r="D192" i="35" s="1"/>
  <c r="D193" i="35" s="1"/>
  <c r="D194" i="35" s="1"/>
  <c r="D195" i="35" s="1"/>
  <c r="D196" i="35" s="1"/>
  <c r="D197" i="35" s="1"/>
  <c r="D198" i="35" s="1"/>
  <c r="D199" i="35" s="1"/>
  <c r="D200" i="35" s="1"/>
  <c r="D201" i="35" s="1"/>
  <c r="D202" i="35" s="1"/>
  <c r="D203" i="35" s="1"/>
  <c r="D204" i="35" s="1"/>
  <c r="D205" i="35" s="1"/>
  <c r="D206" i="35" s="1"/>
  <c r="D207" i="35" s="1"/>
  <c r="D208" i="35" s="1"/>
  <c r="D209" i="35" s="1"/>
  <c r="D210" i="35" s="1"/>
  <c r="D211" i="35" s="1"/>
  <c r="D212" i="35" s="1"/>
  <c r="D213" i="35" s="1"/>
  <c r="D214" i="35" s="1"/>
  <c r="D215" i="35" s="1"/>
  <c r="D216" i="35" s="1"/>
  <c r="D217" i="35" s="1"/>
  <c r="D218" i="35" s="1"/>
  <c r="D219" i="35" s="1"/>
  <c r="D220" i="35" s="1"/>
  <c r="D221" i="35" s="1"/>
  <c r="D222" i="35" s="1"/>
  <c r="D223" i="35" s="1"/>
  <c r="D224" i="35" s="1"/>
  <c r="D225" i="35" s="1"/>
  <c r="D226" i="35" s="1"/>
  <c r="D227" i="35" s="1"/>
  <c r="D228" i="35" s="1"/>
  <c r="D229" i="35" s="1"/>
  <c r="D230" i="35" s="1"/>
  <c r="D231" i="35" s="1"/>
  <c r="D232" i="35" s="1"/>
  <c r="D233" i="35" s="1"/>
  <c r="D234" i="35" s="1"/>
  <c r="D235" i="35" s="1"/>
  <c r="D236" i="35" s="1"/>
  <c r="D237" i="35" s="1"/>
  <c r="D238" i="35" s="1"/>
  <c r="D239" i="35" s="1"/>
  <c r="D240" i="35" s="1"/>
  <c r="D241" i="35" s="1"/>
  <c r="D242" i="35" s="1"/>
  <c r="D243" i="35" s="1"/>
  <c r="D244" i="35" s="1"/>
  <c r="D245" i="35" s="1"/>
  <c r="D246" i="35" s="1"/>
  <c r="D247" i="35" s="1"/>
  <c r="D248" i="35" s="1"/>
  <c r="D249" i="35" s="1"/>
  <c r="D250" i="35" s="1"/>
  <c r="D251" i="35" s="1"/>
  <c r="D252" i="35" s="1"/>
  <c r="D253" i="35" s="1"/>
  <c r="D254" i="35" s="1"/>
  <c r="D255" i="35" s="1"/>
  <c r="D256" i="35" s="1"/>
  <c r="D257" i="35" s="1"/>
  <c r="D258" i="35" s="1"/>
  <c r="D259" i="35" s="1"/>
  <c r="D260" i="35" s="1"/>
  <c r="D261" i="35" s="1"/>
  <c r="D262" i="35" s="1"/>
  <c r="D263" i="35" s="1"/>
  <c r="D264" i="35" s="1"/>
  <c r="D265" i="35" s="1"/>
  <c r="D266" i="35" s="1"/>
  <c r="D267" i="35" s="1"/>
  <c r="D268" i="35" s="1"/>
  <c r="D269" i="35" s="1"/>
  <c r="D270" i="35" s="1"/>
  <c r="D271" i="35" s="1"/>
  <c r="D272" i="35" s="1"/>
  <c r="D273" i="35" s="1"/>
  <c r="D274" i="35" s="1"/>
  <c r="D275" i="35" s="1"/>
  <c r="D276" i="35" s="1"/>
  <c r="D277" i="35" s="1"/>
  <c r="D278" i="35" s="1"/>
  <c r="D279" i="35" s="1"/>
  <c r="D280" i="35" s="1"/>
  <c r="D281" i="35" s="1"/>
  <c r="D282" i="35" s="1"/>
  <c r="D283" i="35" s="1"/>
  <c r="D284" i="35" s="1"/>
  <c r="D285" i="35" s="1"/>
  <c r="D286" i="35" s="1"/>
  <c r="D287" i="35" s="1"/>
  <c r="D288" i="35" s="1"/>
  <c r="D289" i="35" s="1"/>
  <c r="D290" i="35" s="1"/>
  <c r="D291" i="35" s="1"/>
  <c r="D292" i="35" s="1"/>
  <c r="D293" i="35" s="1"/>
  <c r="D294" i="35" s="1"/>
  <c r="D295" i="35" s="1"/>
  <c r="D296" i="35" s="1"/>
  <c r="D297" i="35" s="1"/>
  <c r="D298" i="35" s="1"/>
  <c r="D299" i="35" s="1"/>
  <c r="D300" i="35" s="1"/>
  <c r="D301" i="35" s="1"/>
  <c r="D302" i="35" s="1"/>
  <c r="D303" i="35" s="1"/>
  <c r="D304" i="35" s="1"/>
  <c r="D305" i="35" s="1"/>
  <c r="D306" i="35" s="1"/>
  <c r="D307" i="35" s="1"/>
  <c r="D308" i="35" s="1"/>
  <c r="D309" i="35" s="1"/>
  <c r="D310" i="35" s="1"/>
  <c r="D311" i="35" s="1"/>
  <c r="D312" i="35" s="1"/>
  <c r="D313" i="35" s="1"/>
  <c r="D314" i="35" s="1"/>
  <c r="D315" i="35" s="1"/>
  <c r="D316" i="35" s="1"/>
  <c r="D317" i="35" s="1"/>
  <c r="D318" i="35" s="1"/>
  <c r="D319" i="35" s="1"/>
  <c r="D320" i="35" s="1"/>
  <c r="D321" i="35" s="1"/>
  <c r="D322" i="35" s="1"/>
  <c r="D323" i="35" s="1"/>
  <c r="D324" i="35" s="1"/>
  <c r="D325" i="35" s="1"/>
  <c r="D326" i="35" s="1"/>
  <c r="D327" i="35" s="1"/>
  <c r="D328" i="35" s="1"/>
  <c r="D329" i="35" s="1"/>
  <c r="D330" i="35" s="1"/>
  <c r="D331" i="35" s="1"/>
  <c r="D332" i="35" s="1"/>
  <c r="D333" i="35" s="1"/>
  <c r="D334" i="35" s="1"/>
  <c r="D335" i="35" s="1"/>
  <c r="D336" i="35" s="1"/>
  <c r="D337" i="35" s="1"/>
  <c r="D338" i="35" s="1"/>
  <c r="D339" i="35" s="1"/>
  <c r="D340" i="35" s="1"/>
  <c r="D341" i="35" s="1"/>
  <c r="D342" i="35" s="1"/>
  <c r="D343" i="35" s="1"/>
  <c r="D344" i="35" s="1"/>
  <c r="D345" i="35" s="1"/>
  <c r="D346" i="35" s="1"/>
  <c r="D347" i="35" s="1"/>
  <c r="D348" i="35" s="1"/>
  <c r="D349" i="35" s="1"/>
  <c r="D350" i="35" s="1"/>
  <c r="D351" i="35" s="1"/>
  <c r="D352" i="35" s="1"/>
  <c r="D353" i="35" s="1"/>
  <c r="D354" i="35" s="1"/>
  <c r="D355" i="35" s="1"/>
  <c r="D356" i="35" s="1"/>
  <c r="D357" i="35" s="1"/>
  <c r="D358" i="35" s="1"/>
  <c r="D359" i="35" s="1"/>
  <c r="D360" i="35" s="1"/>
  <c r="D361" i="35" s="1"/>
  <c r="D362" i="35" s="1"/>
  <c r="D363" i="35" s="1"/>
  <c r="D364" i="35" s="1"/>
  <c r="D365" i="35" s="1"/>
  <c r="D366" i="35" s="1"/>
  <c r="D367" i="35" s="1"/>
  <c r="D368" i="35" s="1"/>
  <c r="D369" i="35" s="1"/>
  <c r="D370" i="35" s="1"/>
  <c r="D371" i="35" s="1"/>
  <c r="D372" i="35" s="1"/>
  <c r="D373" i="35" s="1"/>
  <c r="D374" i="35" s="1"/>
  <c r="D375" i="35" s="1"/>
  <c r="D376" i="35" s="1"/>
  <c r="D377" i="35" s="1"/>
  <c r="D378" i="35" s="1"/>
  <c r="D379" i="35" s="1"/>
  <c r="D380" i="35" s="1"/>
  <c r="D381" i="35" s="1"/>
  <c r="D382" i="35" s="1"/>
  <c r="D383" i="35" s="1"/>
  <c r="D384" i="35" s="1"/>
  <c r="D385" i="35" s="1"/>
  <c r="D386" i="35" s="1"/>
  <c r="D387" i="35" s="1"/>
  <c r="D388" i="35" s="1"/>
  <c r="D389" i="35" s="1"/>
  <c r="D390" i="35" s="1"/>
  <c r="D391" i="35" s="1"/>
  <c r="D392" i="35" s="1"/>
  <c r="D393" i="35" s="1"/>
  <c r="D394" i="35" s="1"/>
  <c r="D395" i="35" s="1"/>
  <c r="D396" i="35" s="1"/>
  <c r="D397" i="35" s="1"/>
  <c r="D398" i="35" s="1"/>
  <c r="D399" i="35" s="1"/>
  <c r="D400" i="35" s="1"/>
  <c r="D401" i="35" s="1"/>
  <c r="D402" i="35" s="1"/>
  <c r="D403" i="35" s="1"/>
  <c r="D404" i="35" s="1"/>
  <c r="D405" i="35" s="1"/>
  <c r="D406" i="35" s="1"/>
  <c r="D407" i="35" s="1"/>
  <c r="D408" i="35" s="1"/>
  <c r="D409" i="35" s="1"/>
  <c r="D410" i="35" s="1"/>
  <c r="D411" i="35" s="1"/>
  <c r="D412" i="35" s="1"/>
  <c r="D413" i="35" s="1"/>
  <c r="D414" i="35" s="1"/>
  <c r="D415" i="35" s="1"/>
  <c r="D416" i="35" s="1"/>
  <c r="D417" i="35" s="1"/>
  <c r="D418" i="35" s="1"/>
  <c r="D419" i="35" s="1"/>
  <c r="D420" i="35" s="1"/>
  <c r="D421" i="35" s="1"/>
  <c r="D422" i="35" s="1"/>
  <c r="D423" i="35" s="1"/>
  <c r="D424" i="35" s="1"/>
  <c r="D425" i="35" s="1"/>
  <c r="D426" i="35" s="1"/>
  <c r="D427" i="35" s="1"/>
  <c r="D428" i="35" s="1"/>
  <c r="D429" i="35" s="1"/>
  <c r="D430" i="35" s="1"/>
  <c r="D431" i="35" s="1"/>
  <c r="D432" i="35" s="1"/>
  <c r="D433" i="35" s="1"/>
  <c r="D434" i="35" s="1"/>
  <c r="D435" i="35" s="1"/>
  <c r="D436" i="35" s="1"/>
  <c r="D437" i="35" s="1"/>
  <c r="D438" i="35" s="1"/>
  <c r="D439" i="35" s="1"/>
  <c r="D440" i="35" s="1"/>
  <c r="D441" i="35" s="1"/>
  <c r="D442" i="35" s="1"/>
  <c r="D443" i="35" s="1"/>
  <c r="D444" i="35" s="1"/>
  <c r="D445" i="35" s="1"/>
  <c r="D446" i="35" s="1"/>
  <c r="D447" i="35" s="1"/>
  <c r="D448" i="35" s="1"/>
  <c r="D449" i="35" s="1"/>
  <c r="D450" i="35" s="1"/>
  <c r="D451" i="35" s="1"/>
  <c r="D452" i="35" s="1"/>
  <c r="D453" i="35" s="1"/>
  <c r="D454" i="35" s="1"/>
  <c r="D455" i="35" s="1"/>
  <c r="D456" i="35" s="1"/>
  <c r="D457" i="35" s="1"/>
  <c r="D458" i="35" s="1"/>
  <c r="D459" i="35" s="1"/>
  <c r="D460" i="35" s="1"/>
  <c r="D461" i="35" s="1"/>
  <c r="D462" i="35" s="1"/>
  <c r="D463" i="35" s="1"/>
  <c r="D464" i="35" s="1"/>
  <c r="D465" i="35" s="1"/>
  <c r="D466" i="35" s="1"/>
  <c r="D467" i="35" s="1"/>
  <c r="D468" i="35" s="1"/>
  <c r="D469" i="35" s="1"/>
  <c r="D470" i="35" s="1"/>
  <c r="D471" i="35" s="1"/>
  <c r="D472" i="35" s="1"/>
  <c r="D473" i="35" s="1"/>
  <c r="D474" i="35" s="1"/>
  <c r="D475" i="35" s="1"/>
  <c r="D476" i="35" s="1"/>
  <c r="D477" i="35" s="1"/>
  <c r="D478" i="35" s="1"/>
  <c r="D479" i="35" s="1"/>
  <c r="D480" i="35" s="1"/>
  <c r="D481" i="35" s="1"/>
  <c r="D482" i="35" s="1"/>
  <c r="D483" i="35" s="1"/>
  <c r="D484" i="35" s="1"/>
  <c r="D485" i="35" s="1"/>
  <c r="D486" i="35" s="1"/>
  <c r="D487" i="35" s="1"/>
  <c r="D488" i="35" s="1"/>
  <c r="D489" i="35" s="1"/>
  <c r="D490" i="35" s="1"/>
  <c r="D491" i="35" s="1"/>
  <c r="D492" i="35" s="1"/>
  <c r="D493" i="35" s="1"/>
  <c r="D494" i="35" s="1"/>
  <c r="D495" i="35" s="1"/>
  <c r="D496" i="35" s="1"/>
  <c r="D497" i="35" s="1"/>
  <c r="D498" i="35" s="1"/>
  <c r="D499" i="35" s="1"/>
  <c r="D500" i="35" s="1"/>
  <c r="D501" i="35" s="1"/>
  <c r="D502" i="35" s="1"/>
  <c r="D503" i="35" s="1"/>
  <c r="D504" i="35" s="1"/>
  <c r="D505" i="35" s="1"/>
  <c r="D506" i="35" s="1"/>
  <c r="D507" i="35" s="1"/>
  <c r="D508" i="35" s="1"/>
  <c r="D509" i="35" s="1"/>
  <c r="D510" i="35" s="1"/>
  <c r="D511" i="35" s="1"/>
  <c r="D512" i="35" s="1"/>
  <c r="D513" i="35" s="1"/>
  <c r="D514" i="35" s="1"/>
  <c r="D515" i="35" s="1"/>
  <c r="D516" i="35" s="1"/>
  <c r="D517" i="35" s="1"/>
  <c r="D518" i="35" s="1"/>
  <c r="D519" i="35" s="1"/>
  <c r="D520" i="35" s="1"/>
  <c r="D521" i="35" s="1"/>
  <c r="D522" i="35" s="1"/>
  <c r="D523" i="35" s="1"/>
  <c r="D524" i="35" s="1"/>
  <c r="D525" i="35" s="1"/>
  <c r="D526" i="35" s="1"/>
  <c r="D527" i="35" s="1"/>
  <c r="D528" i="35" s="1"/>
  <c r="D529" i="35" s="1"/>
  <c r="D530" i="35" s="1"/>
  <c r="D714" i="35" l="1"/>
  <c r="F715" i="35"/>
  <c r="D537" i="35"/>
  <c r="F538" i="35"/>
  <c r="G64" i="35"/>
  <c r="G65" i="35" s="1"/>
  <c r="G66" i="35" s="1"/>
  <c r="G67" i="35" s="1"/>
  <c r="G68" i="35" s="1"/>
  <c r="G69" i="35" s="1"/>
  <c r="G70" i="35" s="1"/>
  <c r="G71" i="35" s="1"/>
  <c r="G72" i="35" s="1"/>
  <c r="G73" i="35" s="1"/>
  <c r="G74" i="35" s="1"/>
  <c r="G75" i="35" s="1"/>
  <c r="G76" i="35" s="1"/>
  <c r="G77" i="35" s="1"/>
  <c r="G78" i="35" s="1"/>
  <c r="G79" i="35" s="1"/>
  <c r="G80" i="35" s="1"/>
  <c r="G81" i="35" s="1"/>
  <c r="G82" i="35" s="1"/>
  <c r="G83" i="35" s="1"/>
  <c r="G84" i="35" s="1"/>
  <c r="G85" i="35" s="1"/>
  <c r="G86" i="35" s="1"/>
  <c r="G87" i="35" s="1"/>
  <c r="G88" i="35" s="1"/>
  <c r="G89" i="35" s="1"/>
  <c r="G90" i="35" s="1"/>
  <c r="G91" i="35" s="1"/>
  <c r="G92" i="35" s="1"/>
  <c r="G93" i="35" s="1"/>
  <c r="G94" i="35" s="1"/>
  <c r="G95" i="35" s="1"/>
  <c r="G96" i="35" s="1"/>
  <c r="G97" i="35" s="1"/>
  <c r="G98" i="35" s="1"/>
  <c r="G99" i="35" s="1"/>
  <c r="G100" i="35" s="1"/>
  <c r="G101" i="35" s="1"/>
  <c r="G102" i="35" s="1"/>
  <c r="G103" i="35" s="1"/>
  <c r="G104" i="35" s="1"/>
  <c r="G105" i="35" s="1"/>
  <c r="G106" i="35" s="1"/>
  <c r="G107" i="35" s="1"/>
  <c r="G108" i="35" s="1"/>
  <c r="G109" i="35" s="1"/>
  <c r="G110" i="35" s="1"/>
  <c r="G111" i="35" s="1"/>
  <c r="G112" i="35" s="1"/>
  <c r="G113" i="35" s="1"/>
  <c r="G114" i="35" s="1"/>
  <c r="G115" i="35" s="1"/>
  <c r="G116" i="35" s="1"/>
  <c r="G117" i="35" s="1"/>
  <c r="G118" i="35" s="1"/>
  <c r="G119" i="35" s="1"/>
  <c r="G120" i="35" s="1"/>
  <c r="G121" i="35" s="1"/>
  <c r="G122" i="35" s="1"/>
  <c r="G123" i="35" s="1"/>
  <c r="G124" i="35" s="1"/>
  <c r="G125" i="35" s="1"/>
  <c r="G126" i="35" s="1"/>
  <c r="G127" i="35" s="1"/>
  <c r="G128" i="35" s="1"/>
  <c r="G129" i="35" s="1"/>
  <c r="G130" i="35" s="1"/>
  <c r="G131" i="35" s="1"/>
  <c r="G132" i="35" s="1"/>
  <c r="G133" i="35" s="1"/>
  <c r="G134" i="35" s="1"/>
  <c r="G135" i="35" s="1"/>
  <c r="G136" i="35" s="1"/>
  <c r="G137" i="35" s="1"/>
  <c r="G138" i="35" s="1"/>
  <c r="G139" i="35" s="1"/>
  <c r="G140" i="35" s="1"/>
  <c r="G141" i="35" s="1"/>
  <c r="G142" i="35" s="1"/>
  <c r="G143" i="35" s="1"/>
  <c r="G144" i="35" s="1"/>
  <c r="G145" i="35" s="1"/>
  <c r="G146" i="35" s="1"/>
  <c r="G147" i="35" s="1"/>
  <c r="G148" i="35" s="1"/>
  <c r="G149" i="35" s="1"/>
  <c r="G150" i="35" s="1"/>
  <c r="G151" i="35" s="1"/>
  <c r="G152" i="35" s="1"/>
  <c r="G153" i="35" s="1"/>
  <c r="G154" i="35" s="1"/>
  <c r="G155" i="35" s="1"/>
  <c r="G156" i="35" s="1"/>
  <c r="G157" i="35" s="1"/>
  <c r="G158" i="35" s="1"/>
  <c r="G159" i="35" s="1"/>
  <c r="G160" i="35" s="1"/>
  <c r="G161" i="35" s="1"/>
  <c r="G162" i="35" s="1"/>
  <c r="G163" i="35" s="1"/>
  <c r="G164" i="35" s="1"/>
  <c r="G165" i="35" s="1"/>
  <c r="G166" i="35" s="1"/>
  <c r="G167" i="35" s="1"/>
  <c r="G168" i="35" s="1"/>
  <c r="G169" i="35" s="1"/>
  <c r="G170" i="35" s="1"/>
  <c r="G171" i="35" s="1"/>
  <c r="G172" i="35" s="1"/>
  <c r="G173" i="35" s="1"/>
  <c r="G174" i="35" s="1"/>
  <c r="G175" i="35" s="1"/>
  <c r="G176" i="35" s="1"/>
  <c r="G177" i="35" s="1"/>
  <c r="G178" i="35" s="1"/>
  <c r="G179" i="35" s="1"/>
  <c r="G180" i="35" s="1"/>
  <c r="G181" i="35" s="1"/>
  <c r="G182" i="35" s="1"/>
  <c r="G183" i="35" s="1"/>
  <c r="G184" i="35" s="1"/>
  <c r="G185" i="35" s="1"/>
  <c r="G186" i="35" s="1"/>
  <c r="G187" i="35" s="1"/>
  <c r="G188" i="35" s="1"/>
  <c r="G189" i="35" s="1"/>
  <c r="G190" i="35" s="1"/>
  <c r="G191" i="35" s="1"/>
  <c r="G192" i="35" s="1"/>
  <c r="G193" i="35" s="1"/>
  <c r="G194" i="35" s="1"/>
  <c r="G195" i="35" s="1"/>
  <c r="G196" i="35" s="1"/>
  <c r="G197" i="35" s="1"/>
  <c r="G198" i="35" s="1"/>
  <c r="G199" i="35" s="1"/>
  <c r="G200" i="35" s="1"/>
  <c r="G201" i="35" s="1"/>
  <c r="G202" i="35" s="1"/>
  <c r="G203" i="35" s="1"/>
  <c r="G204" i="35" s="1"/>
  <c r="G205" i="35" s="1"/>
  <c r="G206" i="35" s="1"/>
  <c r="G207" i="35" s="1"/>
  <c r="G208" i="35" s="1"/>
  <c r="G209" i="35" s="1"/>
  <c r="G210" i="35" s="1"/>
  <c r="G211" i="35" s="1"/>
  <c r="G212" i="35" s="1"/>
  <c r="G213" i="35" s="1"/>
  <c r="G214" i="35" s="1"/>
  <c r="G215" i="35" s="1"/>
  <c r="G216" i="35" s="1"/>
  <c r="G217" i="35" s="1"/>
  <c r="G218" i="35" s="1"/>
  <c r="G219" i="35" s="1"/>
  <c r="G220" i="35" s="1"/>
  <c r="G221" i="35" s="1"/>
  <c r="G222" i="35" s="1"/>
  <c r="G223" i="35" s="1"/>
  <c r="G224" i="35" s="1"/>
  <c r="G225" i="35" s="1"/>
  <c r="G226" i="35" s="1"/>
  <c r="G227" i="35" s="1"/>
  <c r="G228" i="35" s="1"/>
  <c r="G229" i="35" s="1"/>
  <c r="G230" i="35" s="1"/>
  <c r="G231" i="35" s="1"/>
  <c r="G232" i="35" s="1"/>
  <c r="G233" i="35" s="1"/>
  <c r="G234" i="35" s="1"/>
  <c r="G235" i="35" s="1"/>
  <c r="G236" i="35" s="1"/>
  <c r="G237" i="35" s="1"/>
  <c r="G238" i="35" s="1"/>
  <c r="G239" i="35" s="1"/>
  <c r="G240" i="35" s="1"/>
  <c r="G241" i="35" s="1"/>
  <c r="G242" i="35" s="1"/>
  <c r="G243" i="35" s="1"/>
  <c r="G244" i="35" s="1"/>
  <c r="G245" i="35" s="1"/>
  <c r="G246" i="35" s="1"/>
  <c r="G247" i="35" s="1"/>
  <c r="G248" i="35" s="1"/>
  <c r="G249" i="35" s="1"/>
  <c r="G250" i="35" s="1"/>
  <c r="G251" i="35" s="1"/>
  <c r="G252" i="35" s="1"/>
  <c r="G253" i="35" s="1"/>
  <c r="G254" i="35" s="1"/>
  <c r="G255" i="35" s="1"/>
  <c r="G256" i="35" s="1"/>
  <c r="G257" i="35" s="1"/>
  <c r="G258" i="35" s="1"/>
  <c r="G259" i="35" s="1"/>
  <c r="G260" i="35" s="1"/>
  <c r="G261" i="35" s="1"/>
  <c r="G262" i="35" s="1"/>
  <c r="G263" i="35" s="1"/>
  <c r="G264" i="35" s="1"/>
  <c r="G265" i="35" s="1"/>
  <c r="G266" i="35" s="1"/>
  <c r="G267" i="35" s="1"/>
  <c r="G268" i="35" s="1"/>
  <c r="G269" i="35" s="1"/>
  <c r="G270" i="35" s="1"/>
  <c r="G271" i="35" s="1"/>
  <c r="G272" i="35" s="1"/>
  <c r="G273" i="35" s="1"/>
  <c r="G274" i="35" s="1"/>
  <c r="G275" i="35" s="1"/>
  <c r="G276" i="35" s="1"/>
  <c r="G277" i="35" s="1"/>
  <c r="G278" i="35" s="1"/>
  <c r="G279" i="35" s="1"/>
  <c r="G280" i="35" s="1"/>
  <c r="G281" i="35" s="1"/>
  <c r="G282" i="35" s="1"/>
  <c r="G283" i="35" s="1"/>
  <c r="G284" i="35" s="1"/>
  <c r="G285" i="35" s="1"/>
  <c r="G286" i="35" s="1"/>
  <c r="G287" i="35" s="1"/>
  <c r="G288" i="35" s="1"/>
  <c r="G289" i="35" s="1"/>
  <c r="G290" i="35" s="1"/>
  <c r="G291" i="35" s="1"/>
  <c r="G292" i="35" s="1"/>
  <c r="G293" i="35" s="1"/>
  <c r="G294" i="35" s="1"/>
  <c r="G295" i="35" s="1"/>
  <c r="G296" i="35" s="1"/>
  <c r="G297" i="35" s="1"/>
  <c r="G298" i="35" s="1"/>
  <c r="G299" i="35" s="1"/>
  <c r="G300" i="35" s="1"/>
  <c r="G301" i="35" s="1"/>
  <c r="G302" i="35" s="1"/>
  <c r="G303" i="35" s="1"/>
  <c r="G304" i="35" s="1"/>
  <c r="G305" i="35" s="1"/>
  <c r="G306" i="35" s="1"/>
  <c r="G307" i="35" s="1"/>
  <c r="G308" i="35" s="1"/>
  <c r="G309" i="35" s="1"/>
  <c r="G310" i="35" s="1"/>
  <c r="G311" i="35" s="1"/>
  <c r="G312" i="35" s="1"/>
  <c r="G313" i="35" s="1"/>
  <c r="G314" i="35" s="1"/>
  <c r="G315" i="35" s="1"/>
  <c r="G316" i="35" s="1"/>
  <c r="G317" i="35" s="1"/>
  <c r="G318" i="35" s="1"/>
  <c r="G319" i="35" s="1"/>
  <c r="G320" i="35" s="1"/>
  <c r="G321" i="35" s="1"/>
  <c r="G322" i="35" s="1"/>
  <c r="G323" i="35" s="1"/>
  <c r="G324" i="35" s="1"/>
  <c r="G325" i="35" s="1"/>
  <c r="G326" i="35" s="1"/>
  <c r="G327" i="35" s="1"/>
  <c r="G328" i="35" s="1"/>
  <c r="G329" i="35" s="1"/>
  <c r="G330" i="35" s="1"/>
  <c r="G331" i="35" s="1"/>
  <c r="G332" i="35" s="1"/>
  <c r="G333" i="35" s="1"/>
  <c r="G334" i="35" s="1"/>
  <c r="G335" i="35" s="1"/>
  <c r="G336" i="35" s="1"/>
  <c r="G337" i="35" s="1"/>
  <c r="G338" i="35" s="1"/>
  <c r="G339" i="35" s="1"/>
  <c r="G340" i="35" s="1"/>
  <c r="G341" i="35" s="1"/>
  <c r="G342" i="35" s="1"/>
  <c r="G343" i="35" s="1"/>
  <c r="G344" i="35" s="1"/>
  <c r="G345" i="35" s="1"/>
  <c r="G346" i="35" s="1"/>
  <c r="G347" i="35" s="1"/>
  <c r="G348" i="35" s="1"/>
  <c r="G349" i="35" s="1"/>
  <c r="G350" i="35" s="1"/>
  <c r="G351" i="35" s="1"/>
  <c r="G352" i="35" s="1"/>
  <c r="G353" i="35" s="1"/>
  <c r="G354" i="35" s="1"/>
  <c r="G355" i="35" s="1"/>
  <c r="G356" i="35" s="1"/>
  <c r="G357" i="35" s="1"/>
  <c r="G358" i="35" s="1"/>
  <c r="G359" i="35" s="1"/>
  <c r="G360" i="35" s="1"/>
  <c r="G361" i="35" s="1"/>
  <c r="G362" i="35" s="1"/>
  <c r="G363" i="35" s="1"/>
  <c r="G364" i="35" s="1"/>
  <c r="G365" i="35" s="1"/>
  <c r="G366" i="35" s="1"/>
  <c r="G367" i="35" s="1"/>
  <c r="G368" i="35" s="1"/>
  <c r="G369" i="35" s="1"/>
  <c r="G370" i="35" s="1"/>
  <c r="G371" i="35" s="1"/>
  <c r="G372" i="35" s="1"/>
  <c r="G373" i="35" s="1"/>
  <c r="G374" i="35" s="1"/>
  <c r="G375" i="35" s="1"/>
  <c r="G376" i="35" s="1"/>
  <c r="G377" i="35" s="1"/>
  <c r="G378" i="35" s="1"/>
  <c r="G379" i="35" s="1"/>
  <c r="G380" i="35" s="1"/>
  <c r="G381" i="35" s="1"/>
  <c r="G382" i="35" s="1"/>
  <c r="G383" i="35" s="1"/>
  <c r="G384" i="35" s="1"/>
  <c r="G385" i="35" s="1"/>
  <c r="G386" i="35" s="1"/>
  <c r="G387" i="35" s="1"/>
  <c r="G388" i="35" s="1"/>
  <c r="G389" i="35" s="1"/>
  <c r="G390" i="35" s="1"/>
  <c r="G391" i="35" s="1"/>
  <c r="G392" i="35" s="1"/>
  <c r="G393" i="35" s="1"/>
  <c r="G394" i="35" s="1"/>
  <c r="G395" i="35" s="1"/>
  <c r="G396" i="35" s="1"/>
  <c r="G397" i="35" s="1"/>
  <c r="G398" i="35" s="1"/>
  <c r="G399" i="35" s="1"/>
  <c r="G400" i="35" s="1"/>
  <c r="G401" i="35" s="1"/>
  <c r="G402" i="35" s="1"/>
  <c r="G403" i="35" s="1"/>
  <c r="G404" i="35" s="1"/>
  <c r="G405" i="35" s="1"/>
  <c r="G406" i="35" s="1"/>
  <c r="G407" i="35" s="1"/>
  <c r="G408" i="35" s="1"/>
  <c r="G409" i="35" s="1"/>
  <c r="G410" i="35" s="1"/>
  <c r="G411" i="35" s="1"/>
  <c r="G412" i="35" s="1"/>
  <c r="G413" i="35" s="1"/>
  <c r="G414" i="35" s="1"/>
  <c r="G415" i="35" s="1"/>
  <c r="G416" i="35" s="1"/>
  <c r="G417" i="35" s="1"/>
  <c r="G418" i="35" s="1"/>
  <c r="G419" i="35" s="1"/>
  <c r="G420" i="35" s="1"/>
  <c r="G421" i="35" s="1"/>
  <c r="G422" i="35" s="1"/>
  <c r="G423" i="35" s="1"/>
  <c r="G424" i="35" s="1"/>
  <c r="G425" i="35" s="1"/>
  <c r="G426" i="35" s="1"/>
  <c r="G427" i="35" s="1"/>
  <c r="G428" i="35" s="1"/>
  <c r="G429" i="35" s="1"/>
  <c r="G430" i="35" s="1"/>
  <c r="G431" i="35" s="1"/>
  <c r="G432" i="35" s="1"/>
  <c r="G433" i="35" s="1"/>
  <c r="G434" i="35" s="1"/>
  <c r="G435" i="35" s="1"/>
  <c r="G436" i="35" s="1"/>
  <c r="G437" i="35" s="1"/>
  <c r="G438" i="35" s="1"/>
  <c r="G439" i="35" s="1"/>
  <c r="G440" i="35" s="1"/>
  <c r="G441" i="35" s="1"/>
  <c r="G442" i="35" s="1"/>
  <c r="G443" i="35" s="1"/>
  <c r="G444" i="35" s="1"/>
  <c r="G445" i="35" s="1"/>
  <c r="G446" i="35" s="1"/>
  <c r="G447" i="35" s="1"/>
  <c r="G448" i="35" s="1"/>
  <c r="G449" i="35" s="1"/>
  <c r="G450" i="35" s="1"/>
  <c r="G451" i="35" s="1"/>
  <c r="G452" i="35" s="1"/>
  <c r="G453" i="35" s="1"/>
  <c r="G454" i="35" s="1"/>
  <c r="G455" i="35" s="1"/>
  <c r="G456" i="35" s="1"/>
  <c r="G457" i="35" s="1"/>
  <c r="G458" i="35" s="1"/>
  <c r="G459" i="35" s="1"/>
  <c r="G460" i="35" s="1"/>
  <c r="G461" i="35" s="1"/>
  <c r="G462" i="35" s="1"/>
  <c r="G463" i="35" s="1"/>
  <c r="G464" i="35" s="1"/>
  <c r="G465" i="35" s="1"/>
  <c r="G466" i="35" s="1"/>
  <c r="G467" i="35" s="1"/>
  <c r="G468" i="35" s="1"/>
  <c r="G469" i="35" s="1"/>
  <c r="G470" i="35" s="1"/>
  <c r="G471" i="35" s="1"/>
  <c r="G472" i="35" s="1"/>
  <c r="G473" i="35" s="1"/>
  <c r="G474" i="35" s="1"/>
  <c r="G475" i="35" s="1"/>
  <c r="G476" i="35" s="1"/>
  <c r="G477" i="35" s="1"/>
  <c r="G478" i="35" s="1"/>
  <c r="G479" i="35" s="1"/>
  <c r="G480" i="35" s="1"/>
  <c r="G481" i="35" s="1"/>
  <c r="G482" i="35" s="1"/>
  <c r="G483" i="35" s="1"/>
  <c r="G484" i="35" s="1"/>
  <c r="G485" i="35" s="1"/>
  <c r="G486" i="35" s="1"/>
  <c r="G487" i="35" s="1"/>
  <c r="G488" i="35" s="1"/>
  <c r="G489" i="35" s="1"/>
  <c r="G490" i="35" s="1"/>
  <c r="G491" i="35" s="1"/>
  <c r="G492" i="35" s="1"/>
  <c r="G493" i="35" s="1"/>
  <c r="G494" i="35" s="1"/>
  <c r="G495" i="35" s="1"/>
  <c r="G496" i="35" s="1"/>
  <c r="G497" i="35" s="1"/>
  <c r="G498" i="35" s="1"/>
  <c r="G499" i="35" s="1"/>
  <c r="G500" i="35" s="1"/>
  <c r="G501" i="35" s="1"/>
  <c r="G502" i="35" s="1"/>
  <c r="G503" i="35" s="1"/>
  <c r="G504" i="35" s="1"/>
  <c r="G505" i="35" s="1"/>
  <c r="G506" i="35" s="1"/>
  <c r="G507" i="35" s="1"/>
  <c r="G508" i="35" s="1"/>
  <c r="G509" i="35" s="1"/>
  <c r="G510" i="35" s="1"/>
  <c r="G511" i="35" s="1"/>
  <c r="G512" i="35" s="1"/>
  <c r="G513" i="35" s="1"/>
  <c r="G514" i="35" s="1"/>
  <c r="G515" i="35" s="1"/>
  <c r="G516" i="35" s="1"/>
  <c r="G517" i="35" s="1"/>
  <c r="G518" i="35" s="1"/>
  <c r="G519" i="35" s="1"/>
  <c r="G520" i="35" s="1"/>
  <c r="G521" i="35" s="1"/>
  <c r="G522" i="35" s="1"/>
  <c r="G523" i="35" s="1"/>
  <c r="G524" i="35" s="1"/>
  <c r="G525" i="35" s="1"/>
  <c r="G526" i="35" s="1"/>
  <c r="G527" i="35" s="1"/>
  <c r="G528" i="35" s="1"/>
  <c r="G529" i="35" s="1"/>
  <c r="G530" i="35" s="1"/>
  <c r="G62" i="35"/>
  <c r="F62" i="35"/>
  <c r="F63" i="35" s="1"/>
  <c r="F64" i="35" s="1"/>
  <c r="F65" i="35" s="1"/>
  <c r="F66" i="35" s="1"/>
  <c r="F67" i="35" s="1"/>
  <c r="F68" i="35" s="1"/>
  <c r="F69" i="35" s="1"/>
  <c r="F70" i="35" s="1"/>
  <c r="F71" i="35" s="1"/>
  <c r="F72" i="35" s="1"/>
  <c r="F73" i="35" s="1"/>
  <c r="F74" i="35" s="1"/>
  <c r="F75" i="35" s="1"/>
  <c r="F76" i="35" s="1"/>
  <c r="F77" i="35" s="1"/>
  <c r="F78" i="35" s="1"/>
  <c r="F79" i="35" s="1"/>
  <c r="F80" i="35" s="1"/>
  <c r="F81" i="35" s="1"/>
  <c r="F82" i="35" s="1"/>
  <c r="F83" i="35" s="1"/>
  <c r="F84" i="35" s="1"/>
  <c r="F85" i="35" s="1"/>
  <c r="F86" i="35" s="1"/>
  <c r="F87" i="35" s="1"/>
  <c r="F88" i="35" s="1"/>
  <c r="F89" i="35" s="1"/>
  <c r="F90" i="35" s="1"/>
  <c r="F91" i="35" s="1"/>
  <c r="F92" i="35" s="1"/>
  <c r="F93" i="35" s="1"/>
  <c r="F94" i="35" s="1"/>
  <c r="F95" i="35" s="1"/>
  <c r="F96" i="35" s="1"/>
  <c r="F97" i="35" s="1"/>
  <c r="F98" i="35" s="1"/>
  <c r="F99" i="35" s="1"/>
  <c r="F100" i="35" s="1"/>
  <c r="F101" i="35" s="1"/>
  <c r="F102" i="35" s="1"/>
  <c r="F103" i="35" s="1"/>
  <c r="F104" i="35" s="1"/>
  <c r="F105" i="35" s="1"/>
  <c r="F106" i="35" s="1"/>
  <c r="F107" i="35" s="1"/>
  <c r="F108" i="35" s="1"/>
  <c r="F109" i="35" s="1"/>
  <c r="F110" i="35" s="1"/>
  <c r="F111" i="35" s="1"/>
  <c r="F112" i="35" s="1"/>
  <c r="F113" i="35" s="1"/>
  <c r="F114" i="35" s="1"/>
  <c r="F115" i="35" s="1"/>
  <c r="F116" i="35" s="1"/>
  <c r="F117" i="35" s="1"/>
  <c r="F118" i="35" s="1"/>
  <c r="F119" i="35" s="1"/>
  <c r="F120" i="35" s="1"/>
  <c r="F121" i="35" s="1"/>
  <c r="F122" i="35" s="1"/>
  <c r="F123" i="35" s="1"/>
  <c r="F124" i="35" s="1"/>
  <c r="F125" i="35" s="1"/>
  <c r="F126" i="35" s="1"/>
  <c r="F127" i="35" s="1"/>
  <c r="F128" i="35" s="1"/>
  <c r="F129" i="35" s="1"/>
  <c r="F130" i="35" s="1"/>
  <c r="F131" i="35" s="1"/>
  <c r="F132" i="35" s="1"/>
  <c r="F133" i="35" s="1"/>
  <c r="F134" i="35" s="1"/>
  <c r="F135" i="35" s="1"/>
  <c r="F136" i="35" s="1"/>
  <c r="F137" i="35" s="1"/>
  <c r="F138" i="35" s="1"/>
  <c r="F139" i="35" s="1"/>
  <c r="F140" i="35" s="1"/>
  <c r="F141" i="35" s="1"/>
  <c r="F142" i="35" s="1"/>
  <c r="F143" i="35" s="1"/>
  <c r="F144" i="35" s="1"/>
  <c r="F145" i="35" s="1"/>
  <c r="F146" i="35" s="1"/>
  <c r="F147" i="35" s="1"/>
  <c r="F148" i="35" s="1"/>
  <c r="F149" i="35" s="1"/>
  <c r="F150" i="35" s="1"/>
  <c r="F151" i="35" s="1"/>
  <c r="F152" i="35" s="1"/>
  <c r="F153" i="35" s="1"/>
  <c r="F154" i="35" s="1"/>
  <c r="F155" i="35" s="1"/>
  <c r="F156" i="35" s="1"/>
  <c r="F157" i="35" s="1"/>
  <c r="F158" i="35" s="1"/>
  <c r="F159" i="35" s="1"/>
  <c r="F160" i="35" s="1"/>
  <c r="F161" i="35" s="1"/>
  <c r="F162" i="35" s="1"/>
  <c r="F163" i="35" s="1"/>
  <c r="F164" i="35" s="1"/>
  <c r="F165" i="35" s="1"/>
  <c r="F166" i="35" s="1"/>
  <c r="F167" i="35" s="1"/>
  <c r="F168" i="35" s="1"/>
  <c r="F169" i="35" s="1"/>
  <c r="F170" i="35" s="1"/>
  <c r="F171" i="35" s="1"/>
  <c r="F172" i="35" s="1"/>
  <c r="F173" i="35" s="1"/>
  <c r="F174" i="35" s="1"/>
  <c r="F175" i="35" s="1"/>
  <c r="F176" i="35" s="1"/>
  <c r="F177" i="35" s="1"/>
  <c r="F178" i="35" s="1"/>
  <c r="F179" i="35" s="1"/>
  <c r="F180" i="35" s="1"/>
  <c r="F181" i="35" s="1"/>
  <c r="F182" i="35" s="1"/>
  <c r="F183" i="35" s="1"/>
  <c r="F184" i="35" s="1"/>
  <c r="F185" i="35" s="1"/>
  <c r="F186" i="35" s="1"/>
  <c r="F187" i="35" s="1"/>
  <c r="F188" i="35" s="1"/>
  <c r="F189" i="35" s="1"/>
  <c r="F190" i="35" s="1"/>
  <c r="F191" i="35" s="1"/>
  <c r="F192" i="35" s="1"/>
  <c r="F193" i="35" s="1"/>
  <c r="F194" i="35" s="1"/>
  <c r="F195" i="35" s="1"/>
  <c r="F196" i="35" s="1"/>
  <c r="F197" i="35" s="1"/>
  <c r="F198" i="35" s="1"/>
  <c r="F199" i="35" s="1"/>
  <c r="F200" i="35" s="1"/>
  <c r="F201" i="35" s="1"/>
  <c r="F202" i="35" s="1"/>
  <c r="F203" i="35" s="1"/>
  <c r="F204" i="35" s="1"/>
  <c r="F205" i="35" s="1"/>
  <c r="F206" i="35" s="1"/>
  <c r="F207" i="35" s="1"/>
  <c r="F208" i="35" s="1"/>
  <c r="F209" i="35" s="1"/>
  <c r="F210" i="35" s="1"/>
  <c r="F211" i="35" s="1"/>
  <c r="F212" i="35" s="1"/>
  <c r="F213" i="35" s="1"/>
  <c r="F214" i="35" s="1"/>
  <c r="F215" i="35" s="1"/>
  <c r="F216" i="35" s="1"/>
  <c r="F217" i="35" s="1"/>
  <c r="F218" i="35" s="1"/>
  <c r="F219" i="35" s="1"/>
  <c r="F220" i="35" s="1"/>
  <c r="F221" i="35" s="1"/>
  <c r="F222" i="35" s="1"/>
  <c r="F223" i="35" s="1"/>
  <c r="F224" i="35" s="1"/>
  <c r="F225" i="35" s="1"/>
  <c r="F226" i="35" s="1"/>
  <c r="F227" i="35" s="1"/>
  <c r="F228" i="35" s="1"/>
  <c r="F229" i="35" s="1"/>
  <c r="F230" i="35" s="1"/>
  <c r="F231" i="35" s="1"/>
  <c r="F232" i="35" s="1"/>
  <c r="F233" i="35" s="1"/>
  <c r="F234" i="35" s="1"/>
  <c r="F235" i="35" s="1"/>
  <c r="F236" i="35" s="1"/>
  <c r="F237" i="35" s="1"/>
  <c r="F238" i="35" s="1"/>
  <c r="F239" i="35" s="1"/>
  <c r="F240" i="35" s="1"/>
  <c r="F241" i="35" s="1"/>
  <c r="F242" i="35" s="1"/>
  <c r="F243" i="35" s="1"/>
  <c r="F244" i="35" s="1"/>
  <c r="F245" i="35" s="1"/>
  <c r="F246" i="35" s="1"/>
  <c r="F247" i="35" s="1"/>
  <c r="F248" i="35" s="1"/>
  <c r="F249" i="35" s="1"/>
  <c r="F250" i="35" s="1"/>
  <c r="F251" i="35" s="1"/>
  <c r="F252" i="35" s="1"/>
  <c r="F253" i="35" s="1"/>
  <c r="F254" i="35" s="1"/>
  <c r="F255" i="35" s="1"/>
  <c r="F256" i="35" s="1"/>
  <c r="F257" i="35" s="1"/>
  <c r="F258" i="35" s="1"/>
  <c r="F259" i="35" s="1"/>
  <c r="F260" i="35" s="1"/>
  <c r="F261" i="35" s="1"/>
  <c r="F262" i="35" s="1"/>
  <c r="F263" i="35" s="1"/>
  <c r="F264" i="35" s="1"/>
  <c r="F265" i="35" s="1"/>
  <c r="F266" i="35" s="1"/>
  <c r="F267" i="35" s="1"/>
  <c r="F268" i="35" s="1"/>
  <c r="F269" i="35" s="1"/>
  <c r="F270" i="35" s="1"/>
  <c r="F271" i="35" s="1"/>
  <c r="F272" i="35" s="1"/>
  <c r="F273" i="35" s="1"/>
  <c r="F274" i="35" s="1"/>
  <c r="F275" i="35" s="1"/>
  <c r="F276" i="35" s="1"/>
  <c r="F277" i="35" s="1"/>
  <c r="F278" i="35" s="1"/>
  <c r="F279" i="35" s="1"/>
  <c r="F280" i="35" s="1"/>
  <c r="F281" i="35" s="1"/>
  <c r="F282" i="35" s="1"/>
  <c r="F283" i="35" s="1"/>
  <c r="F284" i="35" s="1"/>
  <c r="F285" i="35" s="1"/>
  <c r="F286" i="35" s="1"/>
  <c r="F287" i="35" s="1"/>
  <c r="F288" i="35" s="1"/>
  <c r="F289" i="35" s="1"/>
  <c r="F290" i="35" s="1"/>
  <c r="F291" i="35" s="1"/>
  <c r="F292" i="35" s="1"/>
  <c r="F293" i="35" s="1"/>
  <c r="F294" i="35" s="1"/>
  <c r="F295" i="35" s="1"/>
  <c r="F296" i="35" s="1"/>
  <c r="F297" i="35" s="1"/>
  <c r="F298" i="35" s="1"/>
  <c r="F299" i="35" s="1"/>
  <c r="F300" i="35" s="1"/>
  <c r="F301" i="35" s="1"/>
  <c r="F302" i="35" s="1"/>
  <c r="F303" i="35" s="1"/>
  <c r="F304" i="35" s="1"/>
  <c r="F305" i="35" s="1"/>
  <c r="F306" i="35" s="1"/>
  <c r="F307" i="35" s="1"/>
  <c r="F308" i="35" s="1"/>
  <c r="F309" i="35" s="1"/>
  <c r="F310" i="35" s="1"/>
  <c r="F311" i="35" s="1"/>
  <c r="F312" i="35" s="1"/>
  <c r="F313" i="35" s="1"/>
  <c r="F314" i="35" s="1"/>
  <c r="F315" i="35" s="1"/>
  <c r="F316" i="35" s="1"/>
  <c r="F317" i="35" s="1"/>
  <c r="F318" i="35" s="1"/>
  <c r="F319" i="35" s="1"/>
  <c r="F320" i="35" s="1"/>
  <c r="F321" i="35" s="1"/>
  <c r="F322" i="35" s="1"/>
  <c r="F323" i="35" s="1"/>
  <c r="F324" i="35" s="1"/>
  <c r="F325" i="35" s="1"/>
  <c r="F326" i="35" s="1"/>
  <c r="F327" i="35" s="1"/>
  <c r="F328" i="35" s="1"/>
  <c r="F329" i="35" s="1"/>
  <c r="F330" i="35" s="1"/>
  <c r="F331" i="35" s="1"/>
  <c r="F332" i="35" s="1"/>
  <c r="F333" i="35" s="1"/>
  <c r="F334" i="35" s="1"/>
  <c r="F335" i="35" s="1"/>
  <c r="F336" i="35" s="1"/>
  <c r="F337" i="35" s="1"/>
  <c r="F338" i="35" s="1"/>
  <c r="F339" i="35" s="1"/>
  <c r="F340" i="35" s="1"/>
  <c r="F341" i="35" s="1"/>
  <c r="F342" i="35" s="1"/>
  <c r="F343" i="35" s="1"/>
  <c r="F344" i="35" s="1"/>
  <c r="F345" i="35" s="1"/>
  <c r="F346" i="35" s="1"/>
  <c r="F347" i="35" s="1"/>
  <c r="F348" i="35" s="1"/>
  <c r="F349" i="35" s="1"/>
  <c r="F350" i="35" s="1"/>
  <c r="F351" i="35" s="1"/>
  <c r="F352" i="35" s="1"/>
  <c r="F353" i="35" s="1"/>
  <c r="F354" i="35" s="1"/>
  <c r="F355" i="35" s="1"/>
  <c r="F356" i="35" s="1"/>
  <c r="F357" i="35" s="1"/>
  <c r="F358" i="35" s="1"/>
  <c r="F359" i="35" s="1"/>
  <c r="F360" i="35" s="1"/>
  <c r="F361" i="35" s="1"/>
  <c r="F362" i="35" s="1"/>
  <c r="F363" i="35" s="1"/>
  <c r="F364" i="35" s="1"/>
  <c r="F365" i="35" s="1"/>
  <c r="F366" i="35" s="1"/>
  <c r="F367" i="35" s="1"/>
  <c r="F368" i="35" s="1"/>
  <c r="F369" i="35" s="1"/>
  <c r="F370" i="35" s="1"/>
  <c r="F371" i="35" s="1"/>
  <c r="F372" i="35" s="1"/>
  <c r="F373" i="35" s="1"/>
  <c r="F374" i="35" s="1"/>
  <c r="F375" i="35" s="1"/>
  <c r="F376" i="35" s="1"/>
  <c r="F377" i="35" s="1"/>
  <c r="F378" i="35" s="1"/>
  <c r="F379" i="35" s="1"/>
  <c r="F380" i="35" s="1"/>
  <c r="F381" i="35" s="1"/>
  <c r="F382" i="35" s="1"/>
  <c r="F383" i="35" s="1"/>
  <c r="F384" i="35" s="1"/>
  <c r="F385" i="35" s="1"/>
  <c r="F386" i="35" s="1"/>
  <c r="F387" i="35" s="1"/>
  <c r="F388" i="35" s="1"/>
  <c r="F389" i="35" s="1"/>
  <c r="F390" i="35" s="1"/>
  <c r="F391" i="35" s="1"/>
  <c r="F392" i="35" s="1"/>
  <c r="F393" i="35" s="1"/>
  <c r="F394" i="35" s="1"/>
  <c r="F395" i="35" s="1"/>
  <c r="F396" i="35" s="1"/>
  <c r="F397" i="35" s="1"/>
  <c r="F398" i="35" s="1"/>
  <c r="F399" i="35" s="1"/>
  <c r="F400" i="35" s="1"/>
  <c r="F401" i="35" s="1"/>
  <c r="F402" i="35" s="1"/>
  <c r="F403" i="35" s="1"/>
  <c r="F404" i="35" s="1"/>
  <c r="F405" i="35" s="1"/>
  <c r="F406" i="35" s="1"/>
  <c r="F407" i="35" s="1"/>
  <c r="F408" i="35" s="1"/>
  <c r="F409" i="35" s="1"/>
  <c r="F410" i="35" s="1"/>
  <c r="F411" i="35" s="1"/>
  <c r="F412" i="35" s="1"/>
  <c r="F413" i="35" s="1"/>
  <c r="F414" i="35" s="1"/>
  <c r="F415" i="35" s="1"/>
  <c r="F416" i="35" s="1"/>
  <c r="F417" i="35" s="1"/>
  <c r="F418" i="35" s="1"/>
  <c r="F419" i="35" s="1"/>
  <c r="F420" i="35" s="1"/>
  <c r="F421" i="35" s="1"/>
  <c r="F422" i="35" s="1"/>
  <c r="F423" i="35" s="1"/>
  <c r="F424" i="35" s="1"/>
  <c r="F425" i="35" s="1"/>
  <c r="F426" i="35" s="1"/>
  <c r="F427" i="35" s="1"/>
  <c r="F428" i="35" s="1"/>
  <c r="F429" i="35" s="1"/>
  <c r="F430" i="35" s="1"/>
  <c r="F431" i="35" s="1"/>
  <c r="F432" i="35" s="1"/>
  <c r="F433" i="35" s="1"/>
  <c r="F434" i="35" s="1"/>
  <c r="F435" i="35" s="1"/>
  <c r="F436" i="35" s="1"/>
  <c r="F437" i="35" s="1"/>
  <c r="F438" i="35" s="1"/>
  <c r="F439" i="35" s="1"/>
  <c r="F440" i="35" s="1"/>
  <c r="F441" i="35" s="1"/>
  <c r="F442" i="35" s="1"/>
  <c r="F443" i="35" s="1"/>
  <c r="F444" i="35" s="1"/>
  <c r="F445" i="35" s="1"/>
  <c r="F446" i="35" s="1"/>
  <c r="F447" i="35" s="1"/>
  <c r="F448" i="35" s="1"/>
  <c r="F449" i="35" s="1"/>
  <c r="F450" i="35" s="1"/>
  <c r="F451" i="35" s="1"/>
  <c r="F452" i="35" s="1"/>
  <c r="F453" i="35" s="1"/>
  <c r="F454" i="35" s="1"/>
  <c r="F455" i="35" s="1"/>
  <c r="F456" i="35" s="1"/>
  <c r="F457" i="35" s="1"/>
  <c r="F458" i="35" s="1"/>
  <c r="F459" i="35" s="1"/>
  <c r="F460" i="35" s="1"/>
  <c r="F461" i="35" s="1"/>
  <c r="F462" i="35" s="1"/>
  <c r="F463" i="35" s="1"/>
  <c r="F464" i="35" s="1"/>
  <c r="F465" i="35" s="1"/>
  <c r="F466" i="35" s="1"/>
  <c r="F467" i="35" s="1"/>
  <c r="F468" i="35" s="1"/>
  <c r="F469" i="35" s="1"/>
  <c r="F470" i="35" s="1"/>
  <c r="F471" i="35" s="1"/>
  <c r="F472" i="35" s="1"/>
  <c r="F473" i="35" s="1"/>
  <c r="F474" i="35" s="1"/>
  <c r="F475" i="35" s="1"/>
  <c r="F476" i="35" s="1"/>
  <c r="F477" i="35" s="1"/>
  <c r="F478" i="35" s="1"/>
  <c r="F479" i="35" s="1"/>
  <c r="F480" i="35" s="1"/>
  <c r="F481" i="35" s="1"/>
  <c r="F482" i="35" s="1"/>
  <c r="F483" i="35" s="1"/>
  <c r="F484" i="35" s="1"/>
  <c r="F485" i="35" s="1"/>
  <c r="F486" i="35" s="1"/>
  <c r="F487" i="35" s="1"/>
  <c r="F488" i="35" s="1"/>
  <c r="F489" i="35" s="1"/>
  <c r="F490" i="35" s="1"/>
  <c r="F491" i="35" s="1"/>
  <c r="F492" i="35" s="1"/>
  <c r="F493" i="35" s="1"/>
  <c r="F494" i="35" s="1"/>
  <c r="F495" i="35" s="1"/>
  <c r="F496" i="35" s="1"/>
  <c r="F497" i="35" s="1"/>
  <c r="F498" i="35" s="1"/>
  <c r="F499" i="35" s="1"/>
  <c r="F500" i="35" s="1"/>
  <c r="F501" i="35" s="1"/>
  <c r="F502" i="35" s="1"/>
  <c r="F503" i="35" s="1"/>
  <c r="F504" i="35" s="1"/>
  <c r="F505" i="35" s="1"/>
  <c r="F506" i="35" s="1"/>
  <c r="F507" i="35" s="1"/>
  <c r="F508" i="35" s="1"/>
  <c r="F509" i="35" s="1"/>
  <c r="F510" i="35" s="1"/>
  <c r="F511" i="35" s="1"/>
  <c r="F512" i="35" s="1"/>
  <c r="F513" i="35" s="1"/>
  <c r="F514" i="35" s="1"/>
  <c r="F515" i="35" s="1"/>
  <c r="F516" i="35" s="1"/>
  <c r="F517" i="35" s="1"/>
  <c r="F518" i="35" s="1"/>
  <c r="F519" i="35" s="1"/>
  <c r="F520" i="35" s="1"/>
  <c r="F521" i="35" s="1"/>
  <c r="F522" i="35" s="1"/>
  <c r="F523" i="35" s="1"/>
  <c r="F524" i="35" s="1"/>
  <c r="F525" i="35" s="1"/>
  <c r="F526" i="35" s="1"/>
  <c r="F527" i="35" s="1"/>
  <c r="F528" i="35" s="1"/>
  <c r="F529" i="35" s="1"/>
  <c r="F530" i="35" s="1"/>
  <c r="D531" i="35" s="1"/>
  <c r="G55" i="35"/>
  <c r="F50" i="35"/>
  <c r="D7" i="35"/>
  <c r="D9" i="35" s="1"/>
  <c r="D10" i="35" s="1"/>
  <c r="D11" i="35" s="1"/>
  <c r="F4" i="35"/>
  <c r="D715" i="35" l="1"/>
  <c r="F716" i="35"/>
  <c r="D538" i="35"/>
  <c r="D539" i="35"/>
  <c r="D21" i="35"/>
  <c r="D22" i="35" s="1"/>
  <c r="D23" i="35" s="1"/>
  <c r="D25" i="35" s="1"/>
  <c r="D27" i="35" s="1"/>
  <c r="D28" i="35" s="1"/>
  <c r="D29" i="35" s="1"/>
  <c r="D30" i="35" s="1"/>
  <c r="D31" i="35" s="1"/>
  <c r="D33" i="35" s="1"/>
  <c r="D37" i="35" s="1"/>
  <c r="D39" i="35" s="1"/>
  <c r="D40" i="35" s="1"/>
  <c r="D42" i="35" s="1"/>
  <c r="D12" i="35"/>
  <c r="D13" i="35" s="1"/>
  <c r="D14" i="35" s="1"/>
  <c r="D15" i="35" s="1"/>
  <c r="D16" i="35" s="1"/>
  <c r="D17" i="35" s="1"/>
  <c r="D18" i="35" s="1"/>
  <c r="D19" i="35" s="1"/>
  <c r="D20" i="35" s="1"/>
  <c r="F7" i="35"/>
  <c r="D716" i="35" l="1"/>
  <c r="F717" i="35"/>
  <c r="F21" i="35"/>
  <c r="F11" i="35"/>
  <c r="F10" i="35"/>
  <c r="F9" i="35"/>
  <c r="F12" i="35"/>
  <c r="Q8" i="19"/>
  <c r="Q257" i="19"/>
  <c r="P258" i="19"/>
  <c r="R257" i="19"/>
  <c r="C20" i="20" s="1"/>
  <c r="Q225" i="19"/>
  <c r="Q223" i="19"/>
  <c r="Q222" i="19"/>
  <c r="Q209" i="19"/>
  <c r="Q196" i="19"/>
  <c r="Q190" i="19"/>
  <c r="Q183" i="19"/>
  <c r="Q182" i="19"/>
  <c r="Q180" i="19"/>
  <c r="Q174" i="19"/>
  <c r="Q160" i="19"/>
  <c r="Q140" i="19"/>
  <c r="Q136" i="19"/>
  <c r="Q122" i="19"/>
  <c r="Q111" i="19"/>
  <c r="Q100" i="19"/>
  <c r="Q99" i="19"/>
  <c r="Q89" i="19"/>
  <c r="Q73" i="19"/>
  <c r="Q66" i="19"/>
  <c r="Q65" i="19"/>
  <c r="Q62" i="19"/>
  <c r="Q59" i="19"/>
  <c r="Q51" i="19"/>
  <c r="Q31" i="19"/>
  <c r="Q14" i="19"/>
  <c r="Q13" i="19"/>
  <c r="Q256" i="19"/>
  <c r="Q255" i="19"/>
  <c r="Q254" i="19"/>
  <c r="Q253" i="19"/>
  <c r="Q252" i="19"/>
  <c r="Q251" i="19"/>
  <c r="Q250" i="19"/>
  <c r="Q249" i="19"/>
  <c r="Q248" i="19"/>
  <c r="Q247" i="19"/>
  <c r="Q246" i="19"/>
  <c r="Q245" i="19"/>
  <c r="Q244" i="19"/>
  <c r="Q243" i="19"/>
  <c r="Q242" i="19"/>
  <c r="Q241" i="19"/>
  <c r="Q240" i="19"/>
  <c r="Q239" i="19"/>
  <c r="Q238" i="19"/>
  <c r="Q237" i="19"/>
  <c r="Q236" i="19"/>
  <c r="Q235" i="19"/>
  <c r="Q234" i="19"/>
  <c r="Q233" i="19"/>
  <c r="Q232" i="19"/>
  <c r="Q231" i="19"/>
  <c r="Q230" i="19"/>
  <c r="Q229" i="19"/>
  <c r="Q228" i="19"/>
  <c r="Q227" i="19"/>
  <c r="Q226" i="19"/>
  <c r="Q224" i="19"/>
  <c r="Q221" i="19"/>
  <c r="Q220" i="19"/>
  <c r="Q219" i="19"/>
  <c r="Q218" i="19"/>
  <c r="Q217" i="19"/>
  <c r="Q216" i="19"/>
  <c r="Q215" i="19"/>
  <c r="Q214" i="19"/>
  <c r="Q213" i="19"/>
  <c r="Q212" i="19"/>
  <c r="Q211" i="19"/>
  <c r="Q210" i="19"/>
  <c r="Q208" i="19"/>
  <c r="Q207" i="19"/>
  <c r="Q206" i="19"/>
  <c r="Q205" i="19"/>
  <c r="Q204" i="19"/>
  <c r="Q203" i="19"/>
  <c r="Q202" i="19"/>
  <c r="Q201" i="19"/>
  <c r="Q200" i="19"/>
  <c r="Q199" i="19"/>
  <c r="Q198" i="19"/>
  <c r="Q197" i="19"/>
  <c r="Q195" i="19"/>
  <c r="Q194" i="19"/>
  <c r="Q193" i="19"/>
  <c r="Q192" i="19"/>
  <c r="Q191" i="19"/>
  <c r="Q189" i="19"/>
  <c r="Q188" i="19"/>
  <c r="Q187" i="19"/>
  <c r="Q186" i="19"/>
  <c r="Q185" i="19"/>
  <c r="Q184" i="19"/>
  <c r="Q181" i="19"/>
  <c r="Q179" i="19"/>
  <c r="Q178" i="19"/>
  <c r="Q177" i="19"/>
  <c r="Q176" i="19"/>
  <c r="Q175" i="19"/>
  <c r="Q173" i="19"/>
  <c r="Q172" i="19"/>
  <c r="Q171" i="19"/>
  <c r="Q170" i="19"/>
  <c r="Q169" i="19"/>
  <c r="Q168" i="19"/>
  <c r="Q167" i="19"/>
  <c r="Q166" i="19"/>
  <c r="Q165" i="19"/>
  <c r="Q164" i="19"/>
  <c r="Q163" i="19"/>
  <c r="Q162" i="19"/>
  <c r="Q161" i="19"/>
  <c r="Q159" i="19"/>
  <c r="Q158" i="19"/>
  <c r="Q157" i="19"/>
  <c r="Q156" i="19"/>
  <c r="Q155" i="19"/>
  <c r="Q154" i="19"/>
  <c r="Q153" i="19"/>
  <c r="Q152" i="19"/>
  <c r="Q151" i="19"/>
  <c r="Q150" i="19"/>
  <c r="Q149" i="19"/>
  <c r="Q148" i="19"/>
  <c r="Q147" i="19"/>
  <c r="Q146" i="19"/>
  <c r="Q145" i="19"/>
  <c r="Q144" i="19"/>
  <c r="Q143" i="19"/>
  <c r="Q142" i="19"/>
  <c r="Q141" i="19"/>
  <c r="Q139" i="19"/>
  <c r="Q138" i="19"/>
  <c r="Q137" i="19"/>
  <c r="Q135" i="19"/>
  <c r="Q134" i="19"/>
  <c r="Q133" i="19"/>
  <c r="Q132" i="19"/>
  <c r="Q131" i="19"/>
  <c r="Q130" i="19"/>
  <c r="Q129" i="19"/>
  <c r="Q128" i="19"/>
  <c r="Q127" i="19"/>
  <c r="Q126" i="19"/>
  <c r="Q125" i="19"/>
  <c r="Q124" i="19"/>
  <c r="Q123" i="19"/>
  <c r="Q121" i="19"/>
  <c r="Q120" i="19"/>
  <c r="Q119" i="19"/>
  <c r="Q118" i="19"/>
  <c r="Q117" i="19"/>
  <c r="Q115" i="19"/>
  <c r="Q114" i="19"/>
  <c r="Q113" i="19"/>
  <c r="Q112" i="19"/>
  <c r="Q110" i="19"/>
  <c r="Q109" i="19"/>
  <c r="Q108" i="19"/>
  <c r="Q107" i="19"/>
  <c r="Q106" i="19"/>
  <c r="Q105" i="19"/>
  <c r="Q104" i="19"/>
  <c r="Q103" i="19"/>
  <c r="Q102" i="19"/>
  <c r="Q101" i="19"/>
  <c r="Q98" i="19"/>
  <c r="Q97" i="19"/>
  <c r="Q96" i="19"/>
  <c r="Q95" i="19"/>
  <c r="Q94" i="19"/>
  <c r="Q93" i="19"/>
  <c r="Q92" i="19"/>
  <c r="Q91" i="19"/>
  <c r="Q90" i="19"/>
  <c r="Q88" i="19"/>
  <c r="Q87" i="19"/>
  <c r="Q86" i="19"/>
  <c r="Q85" i="19"/>
  <c r="Q83" i="19"/>
  <c r="Q82" i="19"/>
  <c r="Q81" i="19"/>
  <c r="Q80" i="19"/>
  <c r="Q79" i="19"/>
  <c r="Q78" i="19"/>
  <c r="Q77" i="19"/>
  <c r="Q76" i="19"/>
  <c r="Q75" i="19"/>
  <c r="Q74" i="19"/>
  <c r="Q72" i="19"/>
  <c r="Q71" i="19"/>
  <c r="Q70" i="19"/>
  <c r="Q69" i="19"/>
  <c r="Q68" i="19"/>
  <c r="Q67" i="19"/>
  <c r="Q64" i="19"/>
  <c r="Q63" i="19"/>
  <c r="Q61" i="19"/>
  <c r="Q60" i="19"/>
  <c r="Q58" i="19"/>
  <c r="Q57" i="19"/>
  <c r="Q56" i="19"/>
  <c r="Q55" i="19"/>
  <c r="Q54" i="19"/>
  <c r="Q53" i="19"/>
  <c r="Q52" i="19"/>
  <c r="Q50" i="19"/>
  <c r="Q49" i="19"/>
  <c r="Q48" i="19"/>
  <c r="Q47" i="19"/>
  <c r="Q46" i="19"/>
  <c r="Q45" i="19"/>
  <c r="Q43" i="19"/>
  <c r="Q42" i="19"/>
  <c r="Q41" i="19"/>
  <c r="Q40" i="19"/>
  <c r="Q39" i="19"/>
  <c r="Q38" i="19"/>
  <c r="Q37" i="19"/>
  <c r="Q36" i="19"/>
  <c r="Q35" i="19"/>
  <c r="Q34" i="19"/>
  <c r="Q33" i="19"/>
  <c r="Q32" i="19"/>
  <c r="Q30" i="19"/>
  <c r="Q29" i="19"/>
  <c r="Q28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2" i="19"/>
  <c r="Q11" i="19"/>
  <c r="Q10" i="19"/>
  <c r="N27" i="19"/>
  <c r="L237" i="19"/>
  <c r="I27" i="19"/>
  <c r="H237" i="19"/>
  <c r="G237" i="19"/>
  <c r="F27" i="19"/>
  <c r="N257" i="19"/>
  <c r="M257" i="19"/>
  <c r="L257" i="19"/>
  <c r="K257" i="19"/>
  <c r="J257" i="19"/>
  <c r="I257" i="19"/>
  <c r="H257" i="19"/>
  <c r="G257" i="19"/>
  <c r="F257" i="19"/>
  <c r="N155" i="19"/>
  <c r="L155" i="19"/>
  <c r="I155" i="19"/>
  <c r="H155" i="19"/>
  <c r="G155" i="19"/>
  <c r="F155" i="19"/>
  <c r="N134" i="19"/>
  <c r="L134" i="19"/>
  <c r="I134" i="19"/>
  <c r="H134" i="19"/>
  <c r="G134" i="19"/>
  <c r="F134" i="19"/>
  <c r="N100" i="19"/>
  <c r="L100" i="19"/>
  <c r="I100" i="19"/>
  <c r="H100" i="19"/>
  <c r="G100" i="19"/>
  <c r="F100" i="19"/>
  <c r="N203" i="19"/>
  <c r="L203" i="19"/>
  <c r="I203" i="19"/>
  <c r="H203" i="19"/>
  <c r="G203" i="19"/>
  <c r="F203" i="19"/>
  <c r="N8" i="19"/>
  <c r="N258" i="19" s="1"/>
  <c r="G8" i="19"/>
  <c r="G258" i="19" s="1"/>
  <c r="F8" i="19"/>
  <c r="F258" i="19" s="1"/>
  <c r="N65" i="19"/>
  <c r="L65" i="19"/>
  <c r="I65" i="19"/>
  <c r="H65" i="19"/>
  <c r="G65" i="19"/>
  <c r="F65" i="19"/>
  <c r="N187" i="19"/>
  <c r="L187" i="19"/>
  <c r="I187" i="19"/>
  <c r="H187" i="19"/>
  <c r="G187" i="19"/>
  <c r="F187" i="19"/>
  <c r="N83" i="19"/>
  <c r="L83" i="19"/>
  <c r="I83" i="19"/>
  <c r="H83" i="19"/>
  <c r="G83" i="19"/>
  <c r="F83" i="19"/>
  <c r="N175" i="19"/>
  <c r="L175" i="19"/>
  <c r="I175" i="19"/>
  <c r="H175" i="19"/>
  <c r="G175" i="19"/>
  <c r="F175" i="19"/>
  <c r="N44" i="19"/>
  <c r="L44" i="19"/>
  <c r="I44" i="19"/>
  <c r="H44" i="19"/>
  <c r="G44" i="19"/>
  <c r="F44" i="19"/>
  <c r="N115" i="19"/>
  <c r="L115" i="19"/>
  <c r="I115" i="19"/>
  <c r="H115" i="19"/>
  <c r="G115" i="19"/>
  <c r="F115" i="19"/>
  <c r="N217" i="19"/>
  <c r="L217" i="19"/>
  <c r="I217" i="19"/>
  <c r="H217" i="19"/>
  <c r="G217" i="19"/>
  <c r="F217" i="19"/>
  <c r="N237" i="19"/>
  <c r="G27" i="19"/>
  <c r="F237" i="19"/>
  <c r="I237" i="19"/>
  <c r="H27" i="19"/>
  <c r="L27" i="19"/>
  <c r="K44" i="19"/>
  <c r="J27" i="19"/>
  <c r="J44" i="19"/>
  <c r="J203" i="19"/>
  <c r="I8" i="19"/>
  <c r="I258" i="19" s="1"/>
  <c r="K100" i="19"/>
  <c r="K134" i="19"/>
  <c r="K83" i="19"/>
  <c r="K155" i="19"/>
  <c r="K187" i="19"/>
  <c r="K217" i="19"/>
  <c r="J100" i="19"/>
  <c r="J115" i="19"/>
  <c r="J175" i="19"/>
  <c r="K65" i="19"/>
  <c r="J187" i="19"/>
  <c r="K115" i="19"/>
  <c r="K175" i="19"/>
  <c r="J217" i="19"/>
  <c r="J83" i="19"/>
  <c r="K237" i="19"/>
  <c r="K203" i="19"/>
  <c r="L8" i="19"/>
  <c r="L258" i="19" s="1"/>
  <c r="J155" i="19"/>
  <c r="J134" i="19"/>
  <c r="J8" i="19"/>
  <c r="J258" i="19" s="1"/>
  <c r="H8" i="19"/>
  <c r="H258" i="19" s="1"/>
  <c r="J237" i="19"/>
  <c r="K27" i="19"/>
  <c r="J65" i="19"/>
  <c r="K8" i="19"/>
  <c r="K258" i="19" s="1"/>
  <c r="D717" i="35" l="1"/>
  <c r="F718" i="35"/>
  <c r="F13" i="35"/>
  <c r="F22" i="35"/>
  <c r="R187" i="19"/>
  <c r="C17" i="20" s="1"/>
  <c r="M187" i="19"/>
  <c r="R217" i="19"/>
  <c r="C12" i="20" s="1"/>
  <c r="M155" i="19"/>
  <c r="M217" i="19"/>
  <c r="M175" i="19"/>
  <c r="M203" i="19"/>
  <c r="M134" i="19"/>
  <c r="M100" i="19"/>
  <c r="M27" i="19"/>
  <c r="R237" i="19"/>
  <c r="C8" i="20" s="1"/>
  <c r="R65" i="19"/>
  <c r="C18" i="20" s="1"/>
  <c r="M8" i="19"/>
  <c r="R134" i="19"/>
  <c r="C14" i="20" s="1"/>
  <c r="M44" i="19"/>
  <c r="Q84" i="19"/>
  <c r="R83" i="19" s="1"/>
  <c r="C9" i="20" s="1"/>
  <c r="M83" i="19"/>
  <c r="R155" i="19"/>
  <c r="C6" i="20" s="1"/>
  <c r="Q116" i="19"/>
  <c r="R115" i="19" s="1"/>
  <c r="C11" i="20" s="1"/>
  <c r="M115" i="19"/>
  <c r="M65" i="19"/>
  <c r="Q9" i="19"/>
  <c r="R8" i="19" s="1"/>
  <c r="Q27" i="19"/>
  <c r="R27" i="19" s="1"/>
  <c r="C10" i="20" s="1"/>
  <c r="Q44" i="19"/>
  <c r="R44" i="19" s="1"/>
  <c r="C13" i="20" s="1"/>
  <c r="R203" i="19"/>
  <c r="C16" i="20" s="1"/>
  <c r="R175" i="19"/>
  <c r="C7" i="20" s="1"/>
  <c r="R100" i="19"/>
  <c r="C19" i="20" s="1"/>
  <c r="M237" i="19"/>
  <c r="D718" i="35" l="1"/>
  <c r="F719" i="35"/>
  <c r="F23" i="35"/>
  <c r="F14" i="35"/>
  <c r="M258" i="19"/>
  <c r="R258" i="19"/>
  <c r="C15" i="20"/>
  <c r="C21" i="20" s="1"/>
  <c r="Q258" i="19"/>
  <c r="D719" i="35" l="1"/>
  <c r="F720" i="35"/>
  <c r="F15" i="35"/>
  <c r="F25" i="35"/>
  <c r="D720" i="35" l="1"/>
  <c r="F721" i="35"/>
  <c r="F16" i="35"/>
  <c r="F27" i="35"/>
  <c r="D721" i="35" l="1"/>
  <c r="F722" i="35"/>
  <c r="F43" i="35"/>
  <c r="F28" i="35"/>
  <c r="F17" i="35"/>
  <c r="D722" i="35" l="1"/>
  <c r="F723" i="35"/>
  <c r="F44" i="35"/>
  <c r="F18" i="35"/>
  <c r="F29" i="35"/>
  <c r="D723" i="35" l="1"/>
  <c r="F724" i="35"/>
  <c r="F45" i="35"/>
  <c r="F30" i="35"/>
  <c r="F20" i="35"/>
  <c r="F19" i="35"/>
  <c r="D724" i="35" l="1"/>
  <c r="F725" i="35"/>
  <c r="F46" i="35"/>
  <c r="F31" i="35"/>
  <c r="D725" i="35" l="1"/>
  <c r="F726" i="35"/>
  <c r="F33" i="35"/>
  <c r="D726" i="35" l="1"/>
  <c r="F727" i="35"/>
  <c r="F37" i="35"/>
  <c r="D727" i="35" l="1"/>
  <c r="F728" i="35"/>
  <c r="F39" i="35"/>
  <c r="D728" i="35" l="1"/>
  <c r="F729" i="35"/>
  <c r="F42" i="35"/>
  <c r="F40" i="35"/>
  <c r="D729" i="35" l="1"/>
  <c r="F730" i="35"/>
  <c r="D730" i="35" l="1"/>
  <c r="F731" i="35"/>
  <c r="D731" i="35" l="1"/>
  <c r="F732" i="35"/>
  <c r="D732" i="35" l="1"/>
  <c r="F733" i="35"/>
  <c r="D733" i="35" l="1"/>
  <c r="F734" i="35"/>
  <c r="D734" i="35" l="1"/>
  <c r="F735" i="35"/>
  <c r="D735" i="35" l="1"/>
  <c r="F736" i="35"/>
  <c r="D736" i="35" l="1"/>
  <c r="F737" i="35"/>
  <c r="D737" i="35" l="1"/>
  <c r="F738" i="35"/>
  <c r="D738" i="35" l="1"/>
  <c r="F739" i="35"/>
  <c r="D739" i="35" l="1"/>
  <c r="F740" i="35"/>
  <c r="D740" i="35" l="1"/>
  <c r="F741" i="35"/>
  <c r="D741" i="35" l="1"/>
  <c r="F742" i="35"/>
  <c r="D742" i="35" l="1"/>
  <c r="F743" i="35"/>
  <c r="D743" i="35" l="1"/>
  <c r="F744" i="35"/>
  <c r="D744" i="35" l="1"/>
  <c r="F745" i="35"/>
  <c r="D745" i="35" l="1"/>
  <c r="F746" i="35"/>
  <c r="D746" i="35" l="1"/>
  <c r="F747" i="35"/>
  <c r="D747" i="35" l="1"/>
  <c r="F748" i="35"/>
  <c r="D748" i="35" l="1"/>
  <c r="F749" i="35"/>
  <c r="D749" i="35" l="1"/>
  <c r="F750" i="35"/>
  <c r="D750" i="35" l="1"/>
  <c r="F751" i="35"/>
  <c r="D751" i="35" l="1"/>
  <c r="F752" i="35"/>
  <c r="D752" i="35" l="1"/>
  <c r="F753" i="35"/>
  <c r="D753" i="35" l="1"/>
  <c r="F754" i="35"/>
  <c r="D754" i="35" l="1"/>
  <c r="F755" i="35"/>
  <c r="D755" i="35" l="1"/>
  <c r="F756" i="35"/>
  <c r="D756" i="35" l="1"/>
  <c r="F757" i="35"/>
  <c r="D757" i="35" l="1"/>
  <c r="F758" i="35"/>
  <c r="D758" i="35" l="1"/>
  <c r="F759" i="35"/>
  <c r="D759" i="35" l="1"/>
  <c r="F760" i="35"/>
  <c r="D760" i="35" l="1"/>
  <c r="F761" i="35"/>
  <c r="D761" i="35" l="1"/>
  <c r="F762" i="35"/>
  <c r="D762" i="35" l="1"/>
  <c r="F763" i="35"/>
  <c r="D763" i="35" l="1"/>
  <c r="F764" i="35"/>
  <c r="D764" i="35" l="1"/>
  <c r="F765" i="35"/>
  <c r="D765" i="35" l="1"/>
  <c r="F766" i="35"/>
  <c r="D766" i="35" l="1"/>
  <c r="F767" i="35"/>
  <c r="D767" i="35" l="1"/>
  <c r="F768" i="35"/>
  <c r="D768" i="35" l="1"/>
  <c r="F769" i="35"/>
  <c r="D769" i="35" l="1"/>
  <c r="F770" i="35"/>
  <c r="D770" i="35" l="1"/>
  <c r="F771" i="35"/>
  <c r="D771" i="35" l="1"/>
  <c r="F772" i="35"/>
  <c r="D772" i="35" l="1"/>
  <c r="F773" i="35"/>
  <c r="D773" i="35" l="1"/>
  <c r="F774" i="35"/>
  <c r="D774" i="35" l="1"/>
  <c r="F775" i="35"/>
  <c r="D775" i="35" l="1"/>
  <c r="F776" i="35"/>
  <c r="D776" i="35" l="1"/>
  <c r="F777" i="35"/>
  <c r="D777" i="35" l="1"/>
  <c r="F778" i="35"/>
  <c r="D778" i="35" l="1"/>
  <c r="F779" i="35"/>
  <c r="D779" i="35" l="1"/>
  <c r="F780" i="35"/>
  <c r="F781" i="35" s="1"/>
  <c r="F782" i="35" s="1"/>
  <c r="D782" i="35" l="1"/>
  <c r="F783" i="35"/>
  <c r="D780" i="35"/>
  <c r="D781" i="35"/>
  <c r="D783" i="35" l="1"/>
  <c r="F784" i="35"/>
  <c r="D784" i="35" l="1"/>
  <c r="F785" i="35"/>
  <c r="D785" i="35" l="1"/>
  <c r="F786" i="35"/>
  <c r="D786" i="35" l="1"/>
  <c r="F787" i="35"/>
  <c r="D787" i="35" l="1"/>
  <c r="F788" i="35"/>
  <c r="D788" i="35" l="1"/>
  <c r="F789" i="35"/>
  <c r="D789" i="35" l="1"/>
  <c r="F790" i="35"/>
  <c r="D790" i="35" l="1"/>
  <c r="F791" i="35"/>
  <c r="D791" i="35" l="1"/>
  <c r="F792" i="35"/>
  <c r="D792" i="35" l="1"/>
  <c r="F793" i="35"/>
  <c r="D793" i="35" l="1"/>
  <c r="F794" i="35"/>
  <c r="D794" i="35" l="1"/>
  <c r="F795" i="35"/>
  <c r="D795" i="35" l="1"/>
  <c r="F796" i="35"/>
  <c r="D796" i="35" l="1"/>
  <c r="F797" i="35"/>
  <c r="D797" i="35" l="1"/>
  <c r="F798" i="35"/>
  <c r="D798" i="35" l="1"/>
  <c r="F799" i="35"/>
  <c r="D799" i="35" l="1"/>
  <c r="F800" i="35"/>
  <c r="D800" i="35" l="1"/>
  <c r="F801" i="35"/>
  <c r="D801" i="35" l="1"/>
  <c r="F802" i="35"/>
  <c r="D802" i="35" l="1"/>
  <c r="F803" i="35"/>
  <c r="D803" i="35" l="1"/>
  <c r="F804" i="35"/>
  <c r="D804" i="35" l="1"/>
  <c r="F805" i="35"/>
  <c r="D805" i="35" l="1"/>
  <c r="F806" i="35"/>
  <c r="D806" i="35" l="1"/>
  <c r="F807" i="35"/>
  <c r="D807" i="35" l="1"/>
  <c r="F808" i="35"/>
  <c r="D808" i="35" l="1"/>
  <c r="F809" i="35"/>
  <c r="D809" i="35" l="1"/>
  <c r="F810" i="35"/>
  <c r="D810" i="35" l="1"/>
  <c r="F811" i="35"/>
  <c r="F812" i="35" s="1"/>
  <c r="D812" i="35" l="1"/>
  <c r="F813" i="35"/>
  <c r="D811" i="35"/>
  <c r="D813" i="35" l="1"/>
  <c r="F814" i="35"/>
  <c r="D814" i="35" l="1"/>
  <c r="F815" i="35"/>
  <c r="D815" i="35" l="1"/>
  <c r="F816" i="35"/>
  <c r="D816" i="35" l="1"/>
  <c r="F817" i="35"/>
  <c r="D817" i="35" l="1"/>
  <c r="F818" i="35"/>
  <c r="D818" i="35" l="1"/>
  <c r="F819" i="35"/>
  <c r="D819" i="35" l="1"/>
  <c r="F820" i="35"/>
  <c r="D820" i="35" l="1"/>
  <c r="F821" i="35"/>
  <c r="D821" i="35" l="1"/>
  <c r="F822" i="35"/>
  <c r="D822" i="35" l="1"/>
  <c r="F823" i="35"/>
  <c r="D823" i="35" l="1"/>
  <c r="F824" i="35"/>
  <c r="D824" i="35" l="1"/>
  <c r="F825" i="35"/>
  <c r="D825" i="35" l="1"/>
  <c r="F826" i="35"/>
  <c r="D826" i="35" l="1"/>
  <c r="F827" i="35"/>
  <c r="D827" i="35" l="1"/>
  <c r="F828" i="35"/>
  <c r="D828" i="35" l="1"/>
  <c r="F829" i="35"/>
  <c r="D829" i="35" l="1"/>
  <c r="F830" i="35"/>
  <c r="D830" i="35" l="1"/>
  <c r="F831" i="35"/>
  <c r="D831" i="35" l="1"/>
  <c r="F832" i="35"/>
  <c r="D832" i="35" l="1"/>
  <c r="F833" i="35"/>
  <c r="D833" i="35" l="1"/>
  <c r="F834" i="35"/>
  <c r="D834" i="35" l="1"/>
  <c r="F835" i="35"/>
  <c r="D835" i="35" l="1"/>
  <c r="F836" i="35"/>
  <c r="D836" i="35" l="1"/>
  <c r="F837" i="35"/>
  <c r="D837" i="35" l="1"/>
  <c r="F838" i="35"/>
  <c r="D838" i="35" l="1"/>
  <c r="F839" i="35"/>
  <c r="D839" i="35" l="1"/>
  <c r="F840" i="35"/>
  <c r="D840" i="35" l="1"/>
  <c r="F841" i="35"/>
  <c r="D841" i="35" l="1"/>
  <c r="F842" i="35"/>
  <c r="D842" i="35" l="1"/>
  <c r="F843" i="35"/>
  <c r="D843" i="35" l="1"/>
  <c r="F844" i="35"/>
  <c r="D844" i="35" l="1"/>
  <c r="F845" i="35"/>
  <c r="D845" i="35" l="1"/>
  <c r="F846" i="35"/>
  <c r="D846" i="35" l="1"/>
  <c r="F847" i="35"/>
  <c r="D847" i="35" l="1"/>
  <c r="F848" i="35"/>
  <c r="D848" i="35" l="1"/>
  <c r="F849" i="35"/>
  <c r="D849" i="35" l="1"/>
  <c r="F850" i="35"/>
  <c r="D850" i="35" l="1"/>
  <c r="F851" i="35"/>
  <c r="D851" i="35" l="1"/>
  <c r="F852" i="35"/>
  <c r="D852" i="35" l="1"/>
  <c r="F853" i="35"/>
  <c r="D853" i="35" l="1"/>
  <c r="F854" i="35"/>
  <c r="D854" i="35" l="1"/>
  <c r="F855" i="35"/>
  <c r="D855" i="35" l="1"/>
  <c r="F856" i="35"/>
  <c r="D856" i="35" l="1"/>
  <c r="F857" i="35"/>
  <c r="D857" i="35" l="1"/>
  <c r="F858" i="35"/>
  <c r="D858" i="35" l="1"/>
  <c r="F859" i="35"/>
  <c r="D859" i="35" l="1"/>
  <c r="F860" i="35"/>
  <c r="D860" i="35" l="1"/>
  <c r="F861" i="35"/>
  <c r="D861" i="35" l="1"/>
  <c r="F862" i="35"/>
  <c r="D862" i="35" l="1"/>
  <c r="F863" i="35"/>
  <c r="D863" i="35" l="1"/>
  <c r="F864" i="35"/>
  <c r="D864" i="35" l="1"/>
  <c r="F865" i="35"/>
  <c r="D865" i="35" l="1"/>
  <c r="F866" i="35"/>
  <c r="D866" i="35" l="1"/>
  <c r="F867" i="35"/>
  <c r="D867" i="35" l="1"/>
  <c r="F868" i="35"/>
  <c r="D868" i="35" l="1"/>
  <c r="F869" i="35"/>
  <c r="D869" i="35" l="1"/>
  <c r="F870" i="35"/>
  <c r="D870" i="35" l="1"/>
  <c r="F871" i="35"/>
  <c r="D871" i="35" l="1"/>
  <c r="F872" i="35"/>
  <c r="D872" i="35" l="1"/>
  <c r="F873" i="35"/>
  <c r="D873" i="35" l="1"/>
  <c r="F874" i="35"/>
  <c r="D874" i="35" l="1"/>
  <c r="F875" i="35"/>
  <c r="D875" i="35" l="1"/>
  <c r="F876" i="35"/>
  <c r="D876" i="35" l="1"/>
  <c r="F877" i="35"/>
  <c r="D877" i="35" l="1"/>
  <c r="F878" i="35"/>
  <c r="D878" i="35" l="1"/>
  <c r="F879" i="35"/>
  <c r="D879" i="35" l="1"/>
  <c r="F880" i="35"/>
  <c r="D880" i="35" l="1"/>
  <c r="F881" i="35"/>
  <c r="D881" i="35" l="1"/>
  <c r="F882" i="35"/>
  <c r="D882" i="35" l="1"/>
  <c r="F883" i="35"/>
  <c r="D883" i="35" l="1"/>
  <c r="F884" i="35"/>
  <c r="F885" i="35" s="1"/>
  <c r="D885" i="35" l="1"/>
  <c r="F886" i="35"/>
  <c r="D884" i="35"/>
  <c r="D886" i="35" l="1"/>
  <c r="F887" i="35"/>
  <c r="D887" i="35" l="1"/>
  <c r="F888" i="35"/>
  <c r="D888" i="35" l="1"/>
  <c r="F889" i="35"/>
  <c r="D889" i="35" l="1"/>
  <c r="F890" i="35"/>
  <c r="D890" i="35" l="1"/>
  <c r="F891" i="35"/>
  <c r="D891" i="35" l="1"/>
  <c r="F892" i="35"/>
  <c r="D892" i="35" l="1"/>
  <c r="F893" i="35"/>
  <c r="D893" i="35" l="1"/>
  <c r="F894" i="35"/>
  <c r="F895" i="35" s="1"/>
  <c r="F896" i="35" s="1"/>
  <c r="D896" i="35" l="1"/>
  <c r="F897" i="35"/>
  <c r="F898" i="35" s="1"/>
  <c r="F899" i="35" s="1"/>
  <c r="D894" i="35"/>
  <c r="D895" i="35"/>
  <c r="D899" i="35" l="1"/>
  <c r="F900" i="35"/>
  <c r="F901" i="35" s="1"/>
  <c r="F902" i="35" s="1"/>
  <c r="D897" i="35"/>
  <c r="D898" i="35"/>
  <c r="D902" i="35" l="1"/>
  <c r="F903" i="35"/>
  <c r="D900" i="35"/>
  <c r="D901" i="35"/>
  <c r="D903" i="35" l="1"/>
  <c r="F904" i="35"/>
  <c r="D904" i="35" l="1"/>
  <c r="F905" i="35"/>
  <c r="D905" i="35" l="1"/>
  <c r="F906" i="35"/>
  <c r="D906" i="35" l="1"/>
  <c r="F907" i="35"/>
  <c r="D907" i="35" l="1"/>
  <c r="F908" i="35"/>
  <c r="D908" i="35" l="1"/>
  <c r="F909" i="35"/>
  <c r="D909" i="35" l="1"/>
  <c r="F910" i="35"/>
  <c r="D910" i="35" l="1"/>
  <c r="F911" i="35"/>
  <c r="D911" i="35" l="1"/>
  <c r="F912" i="35"/>
  <c r="D912" i="35" l="1"/>
  <c r="F913" i="35"/>
  <c r="D913" i="35" l="1"/>
  <c r="F914" i="35"/>
  <c r="D914" i="35" l="1"/>
  <c r="F915" i="35"/>
  <c r="D915" i="35" l="1"/>
  <c r="F916" i="35"/>
  <c r="D916" i="35" l="1"/>
  <c r="F917" i="35"/>
  <c r="D917" i="35" l="1"/>
  <c r="F918" i="35"/>
  <c r="D918" i="35" l="1"/>
  <c r="F919" i="35"/>
  <c r="D919" i="35" l="1"/>
  <c r="F920" i="35"/>
  <c r="D920" i="35" l="1"/>
  <c r="F921" i="35"/>
  <c r="D921" i="35" l="1"/>
  <c r="F922" i="35"/>
  <c r="D922" i="35" l="1"/>
  <c r="F923" i="35"/>
  <c r="D923" i="35" l="1"/>
  <c r="F924" i="35"/>
  <c r="D924" i="35" l="1"/>
  <c r="F925" i="35"/>
  <c r="D925" i="35" l="1"/>
  <c r="F926" i="35"/>
  <c r="D926" i="35" l="1"/>
  <c r="F927" i="35"/>
  <c r="D927" i="35" l="1"/>
  <c r="F928" i="35"/>
  <c r="D928" i="35" l="1"/>
  <c r="F929" i="35"/>
  <c r="D929" i="35" l="1"/>
  <c r="F930" i="35"/>
  <c r="D930" i="35" l="1"/>
  <c r="F931" i="35"/>
  <c r="D931" i="35" l="1"/>
  <c r="F932" i="35"/>
  <c r="D932" i="35" l="1"/>
  <c r="F933" i="35"/>
  <c r="D933" i="35" l="1"/>
  <c r="F934" i="35"/>
  <c r="D934" i="35" l="1"/>
  <c r="F935" i="35"/>
  <c r="D935" i="35" l="1"/>
  <c r="F936" i="35"/>
  <c r="D936" i="35" l="1"/>
  <c r="F937" i="35"/>
  <c r="D937" i="35" l="1"/>
  <c r="F938" i="35"/>
  <c r="D938" i="35" l="1"/>
  <c r="F939" i="35"/>
  <c r="D939" i="35" l="1"/>
  <c r="F940" i="35"/>
  <c r="D940" i="35" l="1"/>
  <c r="F941" i="35"/>
  <c r="D941" i="35" l="1"/>
  <c r="F942" i="35"/>
  <c r="D942" i="35" l="1"/>
  <c r="F943" i="35"/>
  <c r="D943" i="35" l="1"/>
  <c r="F944" i="35"/>
  <c r="D944" i="35" l="1"/>
  <c r="F945" i="35"/>
  <c r="D945" i="35" l="1"/>
  <c r="F946" i="35"/>
  <c r="D946" i="35" l="1"/>
  <c r="F947" i="35"/>
  <c r="D947" i="35" l="1"/>
  <c r="F948" i="35"/>
  <c r="D948" i="35" l="1"/>
  <c r="F949" i="35"/>
  <c r="D949" i="35" l="1"/>
  <c r="F950" i="35"/>
  <c r="D950" i="35" l="1"/>
  <c r="F951" i="35"/>
  <c r="D951" i="35" l="1"/>
  <c r="F952" i="35"/>
  <c r="D952" i="35" l="1"/>
  <c r="F953" i="35"/>
  <c r="D953" i="35" l="1"/>
  <c r="F954" i="35"/>
  <c r="D954" i="35" l="1"/>
  <c r="F955" i="35"/>
  <c r="D955" i="35" l="1"/>
  <c r="F956" i="35"/>
  <c r="D956" i="35" l="1"/>
  <c r="F957" i="35"/>
  <c r="D957" i="35" l="1"/>
  <c r="F958" i="35"/>
  <c r="D958" i="35" l="1"/>
  <c r="F959" i="35"/>
  <c r="D959" i="35" l="1"/>
  <c r="F960" i="35"/>
  <c r="D960" i="35" s="1"/>
</calcChain>
</file>

<file path=xl/sharedStrings.xml><?xml version="1.0" encoding="utf-8"?>
<sst xmlns="http://schemas.openxmlformats.org/spreadsheetml/2006/main" count="4233" uniqueCount="923">
  <si>
    <t>KARANGTENGAH</t>
  </si>
  <si>
    <t>NO</t>
  </si>
  <si>
    <t>KECAMATAN</t>
  </si>
  <si>
    <t xml:space="preserve"> DESA</t>
  </si>
  <si>
    <t>Mranggen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</si>
  <si>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</si>
  <si>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</si>
  <si>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</si>
  <si>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</si>
  <si>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</si>
  <si>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</si>
  <si>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</si>
  <si>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</si>
  <si>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</si>
  <si>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</si>
  <si>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</si>
  <si>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</si>
  <si>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</si>
  <si>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</si>
  <si>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</si>
  <si>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</si>
  <si>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</si>
  <si>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</si>
  <si>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</si>
  <si>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</si>
  <si>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</si>
  <si>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</si>
  <si>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</si>
  <si>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</si>
  <si>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</si>
  <si>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</si>
  <si>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</si>
  <si>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</si>
  <si>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</si>
  <si>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</si>
  <si>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</si>
  <si>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</si>
  <si>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</si>
  <si>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</si>
  <si>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</si>
  <si>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</si>
  <si>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</si>
  <si>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</si>
  <si>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</si>
  <si>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</si>
  <si>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</si>
  <si>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</si>
  <si>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</si>
  <si>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</si>
  <si>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</si>
  <si>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</si>
  <si>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</si>
  <si>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</si>
  <si>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</si>
  <si>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</si>
  <si>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</si>
  <si>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</si>
  <si>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</si>
  <si>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</si>
  <si>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</si>
  <si>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</si>
  <si>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</si>
  <si>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</si>
  <si>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</si>
  <si>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</si>
  <si>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</si>
  <si>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</si>
  <si>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</si>
  <si>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</si>
  <si>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</si>
  <si>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</si>
  <si>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</si>
  <si>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</si>
  <si>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</si>
  <si>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</si>
  <si>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</si>
  <si>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</si>
  <si>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</si>
  <si>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</si>
  <si>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</si>
  <si>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</si>
  <si>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</si>
  <si>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</si>
  <si>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</si>
  <si>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</si>
  <si>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</si>
  <si>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</si>
  <si>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</si>
  <si>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</si>
  <si>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</si>
  <si>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</si>
  <si>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</si>
  <si>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</si>
  <si>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</si>
  <si>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</si>
  <si>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</si>
  <si>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</si>
  <si>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</si>
  <si>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</si>
  <si>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</si>
  <si>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</si>
  <si>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</si>
  <si>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</si>
  <si>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</si>
  <si>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</si>
  <si>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</si>
  <si>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</si>
  <si>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</si>
  <si>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</si>
  <si>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</si>
  <si>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</si>
  <si>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</si>
  <si>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</si>
  <si>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</si>
  <si>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</si>
  <si>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</si>
  <si>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</si>
  <si>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</si>
  <si>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</si>
  <si>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</si>
  <si>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</si>
  <si>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</si>
  <si>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</si>
  <si>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</si>
  <si>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</si>
  <si>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</si>
  <si>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</si>
  <si>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</si>
  <si>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</si>
  <si>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</si>
  <si>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</si>
  <si>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</si>
  <si>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</si>
  <si>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</si>
  <si>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</si>
  <si>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</si>
  <si>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</si>
  <si>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</si>
  <si>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</si>
  <si>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</si>
  <si>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</si>
  <si>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</si>
  <si>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</si>
  <si>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</si>
  <si>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</si>
  <si>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</si>
  <si>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</si>
  <si>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</si>
  <si>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</si>
  <si>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</si>
  <si>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</si>
  <si>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</si>
  <si>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</si>
  <si>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</si>
  <si>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</si>
  <si>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</si>
  <si>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</si>
  <si>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</si>
  <si>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</si>
  <si>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</si>
  <si>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</si>
  <si>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</si>
  <si>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</si>
  <si>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</si>
  <si>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</si>
  <si>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</si>
  <si>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</si>
  <si>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</si>
  <si>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</si>
  <si>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</si>
  <si>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</si>
  <si>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</si>
  <si>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</si>
  <si>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</si>
  <si>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</si>
  <si>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</si>
  <si>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</si>
  <si>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</si>
  <si>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</si>
  <si>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</si>
  <si>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</si>
  <si>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</si>
  <si>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</si>
  <si>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</si>
  <si>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</si>
  <si>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</si>
  <si>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</si>
  <si>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</si>
  <si>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</si>
  <si>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</si>
  <si>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</si>
  <si>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</si>
  <si>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</si>
  <si>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</si>
  <si>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</si>
  <si>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</si>
  <si>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</si>
  <si>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</si>
  <si>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</si>
  <si>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</si>
  <si>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</si>
  <si>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</si>
  <si>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</si>
  <si>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</si>
  <si>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</si>
  <si>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</si>
  <si>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</si>
  <si>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</si>
  <si>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</si>
  <si>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</si>
  <si>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</si>
  <si>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</si>
  <si>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</si>
  <si>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</si>
  <si>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</si>
  <si>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</si>
  <si>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</si>
  <si>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</si>
  <si>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</si>
  <si>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</si>
  <si>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</si>
  <si>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</si>
  <si>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</si>
  <si>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</si>
  <si>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</si>
  <si>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</si>
  <si>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</si>
  <si>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</si>
  <si>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</si>
  <si>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</si>
  <si>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</si>
  <si>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</si>
  <si>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</si>
  <si>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</si>
  <si>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</si>
  <si>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</si>
  <si>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</si>
  <si>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</si>
  <si>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</si>
  <si>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</si>
  <si>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</si>
  <si>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</si>
  <si>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</si>
  <si>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</si>
  <si>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</si>
  <si>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</si>
  <si>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</si>
  <si>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</si>
  <si>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</si>
  <si>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</si>
  <si>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</si>
  <si>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</si>
  <si>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</si>
  <si>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</si>
  <si>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</si>
  <si>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</si>
  <si>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</si>
  <si>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</si>
  <si>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</si>
  <si>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</si>
  <si>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</si>
  <si>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</si>
  <si>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</si>
  <si>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</si>
  <si>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</si>
  <si>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</si>
  <si>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</si>
  <si>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</si>
  <si>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</si>
  <si>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</si>
  <si>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</si>
  <si>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</si>
  <si>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</si>
  <si>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</si>
  <si>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</si>
  <si>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</si>
  <si>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</si>
  <si>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</si>
  <si>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</si>
  <si>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</si>
  <si>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</si>
  <si>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</si>
  <si>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</si>
  <si>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</si>
  <si>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</si>
  <si>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</si>
  <si>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</si>
  <si>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</si>
  <si>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</si>
  <si>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</si>
  <si>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</si>
  <si>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</si>
  <si>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</si>
  <si>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LUAR WILAYAH</t>
  </si>
  <si>
    <t>Kotakan</t>
  </si>
  <si>
    <t>MENINGGAL</t>
  </si>
  <si>
    <t>TERKONFIRMASI YANG DI RAWAT DI LUAR DEMAK</t>
  </si>
  <si>
    <t>TGL :</t>
  </si>
  <si>
    <t>KONFIRMASI  YANG DI TEMUKAN DI DEMAK</t>
  </si>
  <si>
    <t>KONFIRMASI YANG DI RARAT D DEMAK</t>
  </si>
  <si>
    <t>,</t>
  </si>
  <si>
    <t>OTG</t>
  </si>
  <si>
    <t>SEMBUH LUAR DAERAH</t>
  </si>
  <si>
    <t>SEMBUH DALAM DAERAH</t>
  </si>
  <si>
    <t>L</t>
  </si>
  <si>
    <t>RSUD Sunan Kalijaga Demak</t>
  </si>
  <si>
    <t>P</t>
  </si>
  <si>
    <t>-</t>
  </si>
  <si>
    <t>MRANGGEN</t>
  </si>
  <si>
    <t>ISOLASI MANDIRI</t>
  </si>
  <si>
    <t>demak</t>
  </si>
  <si>
    <t>RSUD K.R.M.T Wongsonegoro Semarang</t>
  </si>
  <si>
    <t>SULASTRI</t>
  </si>
  <si>
    <t>DARMAN</t>
  </si>
  <si>
    <t>0813-2545-0942</t>
  </si>
  <si>
    <t>ABDUL AZIZ</t>
  </si>
  <si>
    <t>REJOSARI RT05/01</t>
  </si>
  <si>
    <t>COVID Isolasi Mandiri</t>
  </si>
  <si>
    <t>SUYANTO, TN</t>
  </si>
  <si>
    <t>RS Nasional Diponegoro</t>
  </si>
  <si>
    <t>WRINGIN JAJAR RT -8/03 KEL. WRINGIN JAJAR, KEC. MRANGGEN</t>
  </si>
  <si>
    <t>Demam,Batuk</t>
  </si>
  <si>
    <t>Kedungmutih 01/02 wedung demak</t>
  </si>
  <si>
    <t>0821-3664-1181</t>
  </si>
  <si>
    <t>Sesak Napas</t>
  </si>
  <si>
    <t>Rumah</t>
  </si>
  <si>
    <t>YULI SUGIHARTI</t>
  </si>
  <si>
    <t>Demam</t>
  </si>
  <si>
    <t>0813-8349-4033</t>
  </si>
  <si>
    <t>Lain - Lain</t>
  </si>
  <si>
    <t>JAMBARI, TN</t>
  </si>
  <si>
    <t>M. ZUHRI</t>
  </si>
  <si>
    <t>0812-2953-7707</t>
  </si>
  <si>
    <t>Lemas</t>
  </si>
  <si>
    <t>SUMARTO</t>
  </si>
  <si>
    <t>0884-2711-4922</t>
  </si>
  <si>
    <t>SRI WAHYUNI</t>
  </si>
  <si>
    <t>KALISARI</t>
  </si>
  <si>
    <t>SUMBEREJO</t>
  </si>
  <si>
    <t>PURWOSARI</t>
  </si>
  <si>
    <t>SIDOGEMAH</t>
  </si>
  <si>
    <t>GEMULAK</t>
  </si>
  <si>
    <t>SRIWULAN</t>
  </si>
  <si>
    <t>DONOREJO</t>
  </si>
  <si>
    <t>REJOSARI</t>
  </si>
  <si>
    <t>BATURSARI</t>
  </si>
  <si>
    <t>MENUR</t>
  </si>
  <si>
    <t>WRINGINJAJAR</t>
  </si>
  <si>
    <t>SIDOREJO</t>
  </si>
  <si>
    <t>Dinkes Demak</t>
  </si>
  <si>
    <t>KEMBANGARUM</t>
  </si>
  <si>
    <t>jateng</t>
  </si>
  <si>
    <t>LOIRENG</t>
  </si>
  <si>
    <t>KEDUNGMUTIH</t>
  </si>
  <si>
    <t>ISOLASI MANDIRI LUAR</t>
  </si>
  <si>
    <t>BAMBANG SUJATMIKO</t>
  </si>
  <si>
    <t>0821-3262-6204-5</t>
  </si>
  <si>
    <t>KANGKUNG</t>
  </si>
  <si>
    <t>PONO</t>
  </si>
  <si>
    <t>JRAGUNG RT02/17</t>
  </si>
  <si>
    <t>Mual</t>
  </si>
  <si>
    <t>MAHARANI PUSPITASARI</t>
  </si>
  <si>
    <t>SYAFIUDIN</t>
  </si>
  <si>
    <t>SUMBEREJO RT02/08</t>
  </si>
  <si>
    <t>0813-2760-7087</t>
  </si>
  <si>
    <t>Sakit Perut,Sesak Napas</t>
  </si>
  <si>
    <t>SRIWULAN RT08/01</t>
  </si>
  <si>
    <t>0857-4362-6762</t>
  </si>
  <si>
    <t>Demam,Batuk,Sakit Tenggorokan,Pilek</t>
  </si>
  <si>
    <t>JRAGUNG</t>
  </si>
  <si>
    <t>JETAKSARI</t>
  </si>
  <si>
    <t>M. RUMAJI</t>
  </si>
  <si>
    <t>KEMBANGARUM RT11/12</t>
  </si>
  <si>
    <t>0823-2577-3548</t>
  </si>
  <si>
    <t>2020-06-21 00:00:00</t>
  </si>
  <si>
    <t>2020-06-22 00:00:00</t>
  </si>
  <si>
    <t>2020-06-17 00:00:00</t>
  </si>
  <si>
    <t>SUGIYARTI</t>
  </si>
  <si>
    <t>0858-4292-4931</t>
  </si>
  <si>
    <t>2020-06-12 00:00:00</t>
  </si>
  <si>
    <t>TELUK</t>
  </si>
  <si>
    <t>TELUK KAJAR RT03/05</t>
  </si>
  <si>
    <t>0896-3890-847</t>
  </si>
  <si>
    <t>Mual,Demam</t>
  </si>
  <si>
    <t>2020-06-16 00:00:00</t>
  </si>
  <si>
    <t>MIR`AH</t>
  </si>
  <si>
    <t>SIDOREJO RT02/04</t>
  </si>
  <si>
    <t>0823-0604-2525</t>
  </si>
  <si>
    <t>2020-06-15 00:00:00</t>
  </si>
  <si>
    <t>MUHAMAD TOPIK HIDAYAT</t>
  </si>
  <si>
    <t>PRIGI RT05/06</t>
  </si>
  <si>
    <t>2020-06-26 00:00:00</t>
  </si>
  <si>
    <t>COVID Sembuh</t>
  </si>
  <si>
    <t>Kembangarum</t>
  </si>
  <si>
    <t>CABEAN</t>
  </si>
  <si>
    <t>PRAMPELAN</t>
  </si>
  <si>
    <t>TRENGGULI</t>
  </si>
  <si>
    <t>Kedungori</t>
  </si>
  <si>
    <t>2020-06-03 00:00:00</t>
  </si>
  <si>
    <t xml:space="preserve">MRANGGEN </t>
  </si>
  <si>
    <t>TOTAL</t>
  </si>
  <si>
    <t>Betty Diah Novita</t>
  </si>
  <si>
    <t>3374016611730001</t>
  </si>
  <si>
    <t>Bukit seroja 2 no.178  4/2 Semarang</t>
  </si>
  <si>
    <t>0818828017733</t>
  </si>
  <si>
    <t>MONDOKERTO RT05/03</t>
  </si>
  <si>
    <t>2020-06-09 00:00:00</t>
  </si>
  <si>
    <t>0895-3840-0274-3</t>
  </si>
  <si>
    <t>2020-06-07 00:00:00</t>
  </si>
  <si>
    <t>Trengguli RT 03 RW 03 Wonosalam Demak</t>
  </si>
  <si>
    <t>2020-06-08 00:00:00</t>
  </si>
  <si>
    <t>KARANG RT04/05</t>
  </si>
  <si>
    <t>Lemas,Sakit Perut,Sesak Napas,Batuk,Demam</t>
  </si>
  <si>
    <t>0821-6053-0951</t>
  </si>
  <si>
    <t>KAYON RT03/01</t>
  </si>
  <si>
    <t>Batuk,Sesak Napas,Mual,Demam,Lemas</t>
  </si>
  <si>
    <t>Demam,Mual</t>
  </si>
  <si>
    <t>JL KH ABURROHMAN RT04/01</t>
  </si>
  <si>
    <t>Batuk,Sakit Tenggorokan</t>
  </si>
  <si>
    <t>LENGKONG RT02/05</t>
  </si>
  <si>
    <t>2020-06-02 00:00:00</t>
  </si>
  <si>
    <t>Demam,Batuk,Sesak Napas,Mual,Lemas,Sakit Kepala</t>
  </si>
  <si>
    <t>PUCANG GEDE RAYA NO 19 RT11/13</t>
  </si>
  <si>
    <t>2020-06-13 00:00:00</t>
  </si>
  <si>
    <t>Sesak Napas,Batuk,Sakit Kepala,Mual,Demam,Lemas</t>
  </si>
  <si>
    <t>0856-4059-2750</t>
  </si>
  <si>
    <t>Sakit Kepala,Demam</t>
  </si>
  <si>
    <t>RT.03 RW.06, Kel/Desa Cabean Kec. Demak</t>
  </si>
  <si>
    <t>SAWI</t>
  </si>
  <si>
    <t>DINKES PONTIANAK</t>
  </si>
  <si>
    <t>REKAPITULASI DATA SUSPECT DAN KONTAK ERAT</t>
  </si>
  <si>
    <t>NAMA</t>
  </si>
  <si>
    <t>KABUPATEN</t>
  </si>
  <si>
    <t>KELURAHAN</t>
  </si>
  <si>
    <t>ALAMAT</t>
  </si>
  <si>
    <t>UMUR</t>
  </si>
  <si>
    <t>JENIS KELAMIN</t>
  </si>
  <si>
    <t>NO. TELP</t>
  </si>
  <si>
    <t>STATUS</t>
  </si>
  <si>
    <t>TOTAL KECAMATAN</t>
  </si>
  <si>
    <t>REKAPITULASI DATA KONTAK ERAT</t>
  </si>
  <si>
    <t xml:space="preserve">TANGGAL </t>
  </si>
  <si>
    <t>NIK</t>
  </si>
  <si>
    <t>PEKERJAAN</t>
  </si>
  <si>
    <t>TEMPAT PEKERJAAN</t>
  </si>
  <si>
    <t>KONDISI UMUM</t>
  </si>
  <si>
    <t>PERSINGGAHAN</t>
  </si>
  <si>
    <t>RIWAYAT MEDIS</t>
  </si>
  <si>
    <t>FAKTOR RESIKO</t>
  </si>
  <si>
    <t>GEJALA</t>
  </si>
  <si>
    <t>TGL MULAI GEJALA</t>
  </si>
  <si>
    <t>RUMAH SAKIT</t>
  </si>
  <si>
    <t>TGL MASUK RS</t>
  </si>
  <si>
    <t>TGL KELUAR RS</t>
  </si>
  <si>
    <t>JUMLAH KONTAK</t>
  </si>
  <si>
    <t>TGL UPDATE</t>
  </si>
  <si>
    <t>TGL LAPOR SISTEM</t>
  </si>
  <si>
    <t>Kontak Erat Isolasi</t>
  </si>
  <si>
    <t>CAMPURAN ODP,OTG DAN KONTAK ERAT</t>
  </si>
  <si>
    <t>KONTAK ERAT</t>
  </si>
  <si>
    <t>PROVINSI</t>
  </si>
  <si>
    <t xml:space="preserve"> </t>
  </si>
  <si>
    <t>RT</t>
  </si>
  <si>
    <t>RW</t>
  </si>
  <si>
    <t>no</t>
  </si>
  <si>
    <t>PERSON ID</t>
  </si>
  <si>
    <t>KODE SAMPEL</t>
  </si>
  <si>
    <t>HASIL PEMERIKSAAN</t>
  </si>
  <si>
    <t>TANGGAL PEMERIKSAAN</t>
  </si>
  <si>
    <t>TGL INJECT NAR</t>
  </si>
  <si>
    <t>Bantengmati</t>
  </si>
  <si>
    <t>Kontak Erat Discard</t>
  </si>
  <si>
    <t>MASUK</t>
  </si>
  <si>
    <t>KELUAR</t>
  </si>
  <si>
    <t>TOTAL KONTAK ERAT</t>
  </si>
  <si>
    <t>KEBONBATUR</t>
  </si>
  <si>
    <t>KEDONDONG</t>
  </si>
  <si>
    <t>GEDANGALAS</t>
  </si>
  <si>
    <t>MULYOREJO</t>
  </si>
  <si>
    <t>SEDO</t>
  </si>
  <si>
    <t>BOGOSARI</t>
  </si>
  <si>
    <t>PAMONGAN</t>
  </si>
  <si>
    <t>TUGU</t>
  </si>
  <si>
    <t>BETOKAN</t>
  </si>
  <si>
    <t>BABALAN</t>
  </si>
  <si>
    <t>TANGKIS</t>
  </si>
  <si>
    <t>KARANGSARI</t>
  </si>
  <si>
    <t>BOLO</t>
  </si>
  <si>
    <t>BANGO</t>
  </si>
  <si>
    <t>BRUMBUNG</t>
  </si>
  <si>
    <t>BANDUNGREJO</t>
  </si>
  <si>
    <t>KUNIR</t>
  </si>
  <si>
    <t>NGELO KULON</t>
  </si>
  <si>
    <t>MANGUNJIWAN</t>
  </si>
  <si>
    <t>BLERONG</t>
  </si>
  <si>
    <t>GEBANGARUM</t>
  </si>
  <si>
    <t>JOGOLOYO</t>
  </si>
  <si>
    <t>JUNGPASIR</t>
  </si>
  <si>
    <t>MUTIH WETAN</t>
  </si>
  <si>
    <t>TLOGOWERU</t>
  </si>
  <si>
    <t>KEDUNGORI</t>
  </si>
  <si>
    <t>BANJARSARI</t>
  </si>
  <si>
    <t>RAJI</t>
  </si>
  <si>
    <t>BINTORO</t>
  </si>
  <si>
    <t>HARJOWINANGUN</t>
  </si>
  <si>
    <t>KUNCIR</t>
  </si>
  <si>
    <t>BOYOLALI</t>
  </si>
  <si>
    <t>BULUSARI</t>
  </si>
  <si>
    <t>SUKODONO</t>
  </si>
  <si>
    <t>PONCOHARJO</t>
  </si>
  <si>
    <t>BERAHAN KULON</t>
  </si>
  <si>
    <t>MOJOSIMO</t>
  </si>
  <si>
    <t>SERANGAN</t>
  </si>
  <si>
    <t>NGEMPLIK WETAN</t>
  </si>
  <si>
    <t>NGELO WETAN</t>
  </si>
  <si>
    <t>KATONSARI</t>
  </si>
  <si>
    <t>JERUKGULUNG</t>
  </si>
  <si>
    <t>KETANJUNG</t>
  </si>
  <si>
    <t>BUMIREJO</t>
  </si>
  <si>
    <t>BONANGREJO</t>
  </si>
  <si>
    <t>JETAK</t>
  </si>
  <si>
    <t>KENDUREN</t>
  </si>
  <si>
    <t>SARIMULYO</t>
  </si>
  <si>
    <t>WONOSEKAR</t>
  </si>
  <si>
    <t>BALEREJO</t>
  </si>
  <si>
    <t>PECUK</t>
  </si>
  <si>
    <t>TEMUROSO</t>
  </si>
  <si>
    <t>PULOSARI</t>
  </si>
  <si>
    <t>BAKUNG</t>
  </si>
  <si>
    <t>JUNGSEMI</t>
  </si>
  <si>
    <t>CANDISARI</t>
  </si>
  <si>
    <t>JLEPER</t>
  </si>
  <si>
    <t>BANYUMENENG</t>
  </si>
  <si>
    <t>BUMIHARJO</t>
  </si>
  <si>
    <t>JATIROGO</t>
  </si>
  <si>
    <t>TEDUNAN</t>
  </si>
  <si>
    <t>WILALUNG</t>
  </si>
  <si>
    <t>JATISONO</t>
  </si>
  <si>
    <t>BABAT</t>
  </si>
  <si>
    <t>SOKOKIDUL</t>
  </si>
  <si>
    <t>PURWOREJO</t>
  </si>
  <si>
    <t>SARI</t>
  </si>
  <si>
    <t>KLAMPOK LOR</t>
  </si>
  <si>
    <t>CANGKRING B</t>
  </si>
  <si>
    <t>MORODEMAK</t>
  </si>
  <si>
    <t>KALICILIK</t>
  </si>
  <si>
    <t>SURODADI</t>
  </si>
  <si>
    <t>PILANGSARI</t>
  </si>
  <si>
    <t>TLOGOREJO</t>
  </si>
  <si>
    <t>BRAKAS</t>
  </si>
  <si>
    <t>BETAHWALANG</t>
  </si>
  <si>
    <t>TLOGOBOYO</t>
  </si>
  <si>
    <t>KALIKONDANG</t>
  </si>
  <si>
    <t>BOTOREJO</t>
  </si>
  <si>
    <t>KALIANYAR</t>
  </si>
  <si>
    <t>TEGALARUM</t>
  </si>
  <si>
    <t>BEDONO</t>
  </si>
  <si>
    <t>JATIMULYO</t>
  </si>
  <si>
    <t>KRAJANBOGO</t>
  </si>
  <si>
    <t>WEDING</t>
  </si>
  <si>
    <t>BERAHAN WETAN</t>
  </si>
  <si>
    <t>KEDUNGWARU LOR</t>
  </si>
  <si>
    <t>KENDALDOYONG</t>
  </si>
  <si>
    <t>Row Labels</t>
  </si>
  <si>
    <t>(blank)</t>
  </si>
  <si>
    <t>Grand Total</t>
  </si>
  <si>
    <t>PILANG WETAN</t>
  </si>
  <si>
    <t>Count of KELURAHAN</t>
  </si>
  <si>
    <t>JAWA TENGAH</t>
  </si>
  <si>
    <t>BAIK</t>
  </si>
  <si>
    <t>0800</t>
  </si>
  <si>
    <t>NEGATIF</t>
  </si>
  <si>
    <t>baik</t>
  </si>
  <si>
    <t>Puskesmas Sayung 1</t>
  </si>
  <si>
    <t>Puskesmas Gajah 2</t>
  </si>
  <si>
    <t>'3321045407690002</t>
  </si>
  <si>
    <t>NIKEN ISTUTI SULISTYORINI</t>
  </si>
  <si>
    <t>P.R.PATAH BLOK X 5</t>
  </si>
  <si>
    <t>0857-9974-8840</t>
  </si>
  <si>
    <t>'3321041611900004</t>
  </si>
  <si>
    <t>DEVISTA PRAMUDYA NANDA</t>
  </si>
  <si>
    <t>'3321041602960002</t>
  </si>
  <si>
    <t>TRIHANGGA RAMA DEWA</t>
  </si>
  <si>
    <t>0857-2698-8857</t>
  </si>
  <si>
    <t>'3321047003420001</t>
  </si>
  <si>
    <t>ISTINI SUDARTO</t>
  </si>
  <si>
    <t>'3321040302880012</t>
  </si>
  <si>
    <t>RADITYA WISNU MURTI</t>
  </si>
  <si>
    <t>'3321044705660003</t>
  </si>
  <si>
    <t>SUWARSI</t>
  </si>
  <si>
    <t>PR PATAH II BLOK Y - 20</t>
  </si>
  <si>
    <t>'3321045201900002</t>
  </si>
  <si>
    <t>TANIA ENDANH SARI AYUNINGTYAS</t>
  </si>
  <si>
    <t>'3321040108930005</t>
  </si>
  <si>
    <t>ANDIKA RAHMAT AZIZ KUSUMA</t>
  </si>
  <si>
    <t>PRP II BLOK Y/20</t>
  </si>
  <si>
    <t>'1103073112600006</t>
  </si>
  <si>
    <t>NYOTO WIDODO</t>
  </si>
  <si>
    <t>sriwulan</t>
  </si>
  <si>
    <t>'1103074502570002</t>
  </si>
  <si>
    <t>PROBONDARI</t>
  </si>
  <si>
    <t>'1103072102970003</t>
  </si>
  <si>
    <t>FEBRIANI WAHYU WIDURI</t>
  </si>
  <si>
    <t>'1103075002030002</t>
  </si>
  <si>
    <t>TENIA FEBRIANTI</t>
  </si>
  <si>
    <t>'3321046106130003</t>
  </si>
  <si>
    <t>NATHANIA SHAFIRA</t>
  </si>
  <si>
    <t>ONDOK RADEN PATAH II BLOK. Y. 17</t>
  </si>
  <si>
    <t>'3321040212070003</t>
  </si>
  <si>
    <t>NABIL HANDIKA PRATAMA</t>
  </si>
  <si>
    <t>PONDOK RADEN PATAH II BLOK. Y. 17</t>
  </si>
  <si>
    <t>Pelajar / Mahasiswa</t>
  </si>
  <si>
    <t>- TIDAK TAHU</t>
  </si>
  <si>
    <t>'3321040302710001</t>
  </si>
  <si>
    <t>ROFII</t>
  </si>
  <si>
    <t>sidorejo</t>
  </si>
  <si>
    <t>'3321112701120002</t>
  </si>
  <si>
    <t>MUHAMMAD CHOIRUL MUJTABA</t>
  </si>
  <si>
    <t>'3321040203630001</t>
  </si>
  <si>
    <t>KHADZIK</t>
  </si>
  <si>
    <t>PATAR</t>
  </si>
  <si>
    <t>'3321045901670001</t>
  </si>
  <si>
    <t>SUMIYATUN</t>
  </si>
  <si>
    <t>'3321044604020001</t>
  </si>
  <si>
    <t>NAFISATUT TOYYIBAH</t>
  </si>
  <si>
    <t>'3321044911770001</t>
  </si>
  <si>
    <t>MUNAFIROH</t>
  </si>
  <si>
    <t>patar</t>
  </si>
  <si>
    <t>'3321045912070002</t>
  </si>
  <si>
    <t>NUR ARIFAH</t>
  </si>
  <si>
    <t>'3321040505670002</t>
  </si>
  <si>
    <t>ABDUL KHARIS</t>
  </si>
  <si>
    <t>'3321040905510001</t>
  </si>
  <si>
    <t>JONDAN TOHAR</t>
  </si>
  <si>
    <t>'3321044808560001</t>
  </si>
  <si>
    <t>MUDRIKAH</t>
  </si>
  <si>
    <t>'3321042310990006</t>
  </si>
  <si>
    <t>KHOIRUL MUTTAQIN</t>
  </si>
  <si>
    <t>'3321046210840001</t>
  </si>
  <si>
    <t>SULIMAH</t>
  </si>
  <si>
    <t>'3321042803110002</t>
  </si>
  <si>
    <t>MUHAMMAD ARDAN FALIQUNNAJA ADDLUHRI</t>
  </si>
  <si>
    <t>'3321040106820002</t>
  </si>
  <si>
    <t>ABDUL KHOIR</t>
  </si>
  <si>
    <t>'3321041501190005</t>
  </si>
  <si>
    <t>AHMAD FAIZAL ISA</t>
  </si>
  <si>
    <t>DOPANG</t>
  </si>
  <si>
    <t>'3321044909500002</t>
  </si>
  <si>
    <t>MUSYAFI'AH</t>
  </si>
  <si>
    <t>'3321040903660001</t>
  </si>
  <si>
    <t>KARMUJI</t>
  </si>
  <si>
    <t>KARANGWARU</t>
  </si>
  <si>
    <t>'3321045306140001</t>
  </si>
  <si>
    <t>UMAMAH</t>
  </si>
  <si>
    <t>'3321042612850003</t>
  </si>
  <si>
    <t>SUJITO</t>
  </si>
  <si>
    <t>'3321040306690003</t>
  </si>
  <si>
    <t>SLAMET SUPRIJONO</t>
  </si>
  <si>
    <t>'3321046705740001</t>
  </si>
  <si>
    <t>SUMINI</t>
  </si>
  <si>
    <t>'3321046501020001</t>
  </si>
  <si>
    <t>AZUN AFWAH</t>
  </si>
  <si>
    <t>'3321041010610003</t>
  </si>
  <si>
    <t>SALIM</t>
  </si>
  <si>
    <t>'3321045409660001</t>
  </si>
  <si>
    <t>NURSIYAH</t>
  </si>
  <si>
    <t>'3321041702850006</t>
  </si>
  <si>
    <t>EKO ZULIYANTO</t>
  </si>
  <si>
    <t>'3321041205170001</t>
  </si>
  <si>
    <t>MUHAMMAD RAFFASYA ADITIYA</t>
  </si>
  <si>
    <t>'3374114907880007</t>
  </si>
  <si>
    <t>AYU QURNIATI</t>
  </si>
  <si>
    <t>'3321040704100002</t>
  </si>
  <si>
    <t>ARSHAVIN APRIANSYAH</t>
  </si>
  <si>
    <t>'3321041505670002</t>
  </si>
  <si>
    <t>BESAR</t>
  </si>
  <si>
    <t>TAMBAKSARI BARU</t>
  </si>
  <si>
    <t>'3321040511780003</t>
  </si>
  <si>
    <t>SUGIONO</t>
  </si>
  <si>
    <t>TIMBULSLOKO</t>
  </si>
  <si>
    <t>'3321045608000003</t>
  </si>
  <si>
    <t>MAWADATUR ROFIAH</t>
  </si>
  <si>
    <t>'3321046012030006</t>
  </si>
  <si>
    <t>ALIFATUL MAR'AH</t>
  </si>
  <si>
    <t>'3321042612110003</t>
  </si>
  <si>
    <t>MUHAMMAD ZIDAN FAUZI</t>
  </si>
  <si>
    <t>'3321041204790005</t>
  </si>
  <si>
    <t>ACHMAD MUZER</t>
  </si>
  <si>
    <t>'3321045508850003</t>
  </si>
  <si>
    <t>KHAFIDHOH</t>
  </si>
  <si>
    <t>'3321042205030003</t>
  </si>
  <si>
    <t>MOHAMMAD WAHYU HIDAYAT</t>
  </si>
  <si>
    <t>'3321041404120005</t>
  </si>
  <si>
    <t>RAFI AHMAD</t>
  </si>
  <si>
    <t>TANGGUL</t>
  </si>
  <si>
    <t>tanggul</t>
  </si>
  <si>
    <t>Puskesmas Mijen 1</t>
  </si>
  <si>
    <t>'3321044809180005</t>
  </si>
  <si>
    <t>SYIFA'UL KHOIRIYAH</t>
  </si>
  <si>
    <t>'3321106301790003</t>
  </si>
  <si>
    <t>SITI SOFIYATUN</t>
  </si>
  <si>
    <t>0857-2786-6638-0</t>
  </si>
  <si>
    <t>AG.1031959.1004103</t>
  </si>
  <si>
    <t>'3321040809180004</t>
  </si>
  <si>
    <t>SYAFA'UL KHOIRIYAN</t>
  </si>
  <si>
    <t>'3321046708810003</t>
  </si>
  <si>
    <t>SUNARTI</t>
  </si>
  <si>
    <t>'3321041912050002</t>
  </si>
  <si>
    <t>REZA WAFIK HIDAYAT</t>
  </si>
  <si>
    <t>'3321041712950002</t>
  </si>
  <si>
    <t>ABDUL GHONI</t>
  </si>
  <si>
    <t>GEMPOLSONGO</t>
  </si>
  <si>
    <t>gempolsongo</t>
  </si>
  <si>
    <t>0800-0000-00</t>
  </si>
  <si>
    <t>'3321105803800002</t>
  </si>
  <si>
    <t>WINARNI</t>
  </si>
  <si>
    <t>AG.1031959.1004105</t>
  </si>
  <si>
    <t>'3321086006790001</t>
  </si>
  <si>
    <t>IIN SUWITRI</t>
  </si>
  <si>
    <t>MLATIHARJO</t>
  </si>
  <si>
    <t>MLATIHARJO, RT 1 RW 1</t>
  </si>
  <si>
    <t>0858-6698-8784</t>
  </si>
  <si>
    <t>AG.1031956.1003767</t>
  </si>
  <si>
    <t>'3321082910140004</t>
  </si>
  <si>
    <t>MOHAMMAD RAIHAN ALDIANO</t>
  </si>
  <si>
    <t>AG.1031956.1003768</t>
  </si>
  <si>
    <t>'3321080507990001</t>
  </si>
  <si>
    <t>ALDILA NUR CAHYADI</t>
  </si>
  <si>
    <t>AG.1031956.1003769</t>
  </si>
  <si>
    <t>'3321086409030001</t>
  </si>
  <si>
    <t>FIRDA AMALIA IRFANI</t>
  </si>
  <si>
    <t>AG.1031956.1003770</t>
  </si>
  <si>
    <t>'3321084203590001</t>
  </si>
  <si>
    <t>MASITAH</t>
  </si>
  <si>
    <t>AG.1031956.1003771</t>
  </si>
  <si>
    <t>'3321082301850005</t>
  </si>
  <si>
    <t>MUHAMAD SUBANDI</t>
  </si>
  <si>
    <t>AG.1031956.1003772</t>
  </si>
  <si>
    <t>'2171040510910002</t>
  </si>
  <si>
    <t>UMBARWANTO</t>
  </si>
  <si>
    <t>AG.1031956.1003773</t>
  </si>
  <si>
    <t>'2171076604869007</t>
  </si>
  <si>
    <t>APRI YANI</t>
  </si>
  <si>
    <t>AG.1031956.1003774</t>
  </si>
  <si>
    <t>'2171075702170001</t>
  </si>
  <si>
    <t>AYANA LATHISA AQUINA</t>
  </si>
  <si>
    <t>AG.1031956.1003775</t>
  </si>
  <si>
    <t>'3321081108690001</t>
  </si>
  <si>
    <t>KUSMIN</t>
  </si>
  <si>
    <t>AG.1031956.1003776</t>
  </si>
  <si>
    <t>'3321084512780001</t>
  </si>
  <si>
    <t>SUKARTINAH</t>
  </si>
  <si>
    <t>AG.1031956.1003777</t>
  </si>
  <si>
    <t>'3321085601030001</t>
  </si>
  <si>
    <t>DWI SAFITRI</t>
  </si>
  <si>
    <t>AG.1031956.1003778</t>
  </si>
  <si>
    <t>'3321086101980001</t>
  </si>
  <si>
    <t>SITI PUJIANTI</t>
  </si>
  <si>
    <t>AG.1031956.1003779</t>
  </si>
  <si>
    <t>'3321120107930018</t>
  </si>
  <si>
    <t>JONI SUSANTO</t>
  </si>
  <si>
    <t>serangan</t>
  </si>
  <si>
    <t>0888-88</t>
  </si>
  <si>
    <t>Puskesmas Bonang 2</t>
  </si>
  <si>
    <t>'3321121011620005</t>
  </si>
  <si>
    <t>SUKARMAN</t>
  </si>
  <si>
    <t>'3321125207420001</t>
  </si>
  <si>
    <t>SARIPAH</t>
  </si>
  <si>
    <t>'3321120501520001</t>
  </si>
  <si>
    <t>JAYUS</t>
  </si>
  <si>
    <t>'3321122104900001</t>
  </si>
  <si>
    <t>KHAMDUN</t>
  </si>
  <si>
    <t>'3321121903920003</t>
  </si>
  <si>
    <t>WAKHID</t>
  </si>
  <si>
    <t>'3321124107700012</t>
  </si>
  <si>
    <t>SUPIAH</t>
  </si>
  <si>
    <t>'3321121706870006</t>
  </si>
  <si>
    <t>MANSUR</t>
  </si>
  <si>
    <t>'3329026509870001</t>
  </si>
  <si>
    <t>SEPTIKA DEWI</t>
  </si>
  <si>
    <t>'3321122004860002</t>
  </si>
  <si>
    <t>AHMAD SYARIFUDIN</t>
  </si>
  <si>
    <t>'3321124503170001</t>
  </si>
  <si>
    <t>NAYAKA HAYUNING PAMBAYUN</t>
  </si>
  <si>
    <t>'3321121011650004</t>
  </si>
  <si>
    <t>MURI</t>
  </si>
  <si>
    <t>'3321121808000006</t>
  </si>
  <si>
    <t>AGUS FADLOLI</t>
  </si>
  <si>
    <t>betahwalang</t>
  </si>
  <si>
    <t>'3321125412040002</t>
  </si>
  <si>
    <t>NIKMATUL KHOIROH</t>
  </si>
  <si>
    <t>'3321125703560001</t>
  </si>
  <si>
    <t>TURIYAH</t>
  </si>
  <si>
    <t>'3321126407110003</t>
  </si>
  <si>
    <t>USWATUN KHASANAH</t>
  </si>
  <si>
    <t>'3321121003790002</t>
  </si>
  <si>
    <t>SURATMAN</t>
  </si>
  <si>
    <t>'3321121808000005</t>
  </si>
  <si>
    <t>AGUS FAHMI</t>
  </si>
  <si>
    <t>NGALURAN</t>
  </si>
  <si>
    <t>0888-8888-88</t>
  </si>
  <si>
    <t>Puskesmas Karanganyar 2</t>
  </si>
  <si>
    <t>Sehat</t>
  </si>
  <si>
    <t>SAEFUL HADI</t>
  </si>
  <si>
    <t>'3321114301050001</t>
  </si>
  <si>
    <t>NAZZALA BINTANG HAKIKI</t>
  </si>
  <si>
    <t>TEMPURAN</t>
  </si>
  <si>
    <t>0896-1644-5050</t>
  </si>
  <si>
    <t>Puskesmas Demak 3</t>
  </si>
  <si>
    <t>'3321110101770003</t>
  </si>
  <si>
    <t>SUPRIYATNO</t>
  </si>
  <si>
    <t>'3315196911930001</t>
  </si>
  <si>
    <t>MAS'ULA</t>
  </si>
  <si>
    <t>GEBANGARUM 3/1</t>
  </si>
  <si>
    <t>0000-</t>
  </si>
  <si>
    <t>Puskesmas Bonang 1</t>
  </si>
  <si>
    <t>'3321120212920004</t>
  </si>
  <si>
    <t>AHMAD MUNIR</t>
  </si>
  <si>
    <t>AG.1031946.1004388</t>
  </si>
  <si>
    <t>'3321120705820001</t>
  </si>
  <si>
    <t>RIZAL MUBAROH</t>
  </si>
  <si>
    <t>GEBANGARUM 1/1</t>
  </si>
  <si>
    <t>AG.1031946.1004389</t>
  </si>
  <si>
    <t>'3321125701870003</t>
  </si>
  <si>
    <t>UMI DUROTUNNISAK</t>
  </si>
  <si>
    <t>AG.1031946.1004390</t>
  </si>
  <si>
    <t>'3321122501530001</t>
  </si>
  <si>
    <t>MOHAMAD AMIN</t>
  </si>
  <si>
    <t>GEBANGARUM 2/3</t>
  </si>
  <si>
    <t>AG.1031946.1004393</t>
  </si>
  <si>
    <t>'3321124507620002</t>
  </si>
  <si>
    <t>SITI ROFIAH</t>
  </si>
  <si>
    <t>AG.1031946.1004394</t>
  </si>
  <si>
    <t>'3316152203820001</t>
  </si>
  <si>
    <t>DIDIK ARDIFA</t>
  </si>
  <si>
    <t>GEBANGARUM 1/6</t>
  </si>
  <si>
    <t>0000-0</t>
  </si>
  <si>
    <t>AG.1031946.1004399</t>
  </si>
  <si>
    <t>'3321124301870002</t>
  </si>
  <si>
    <t>MUTHOHAROH</t>
  </si>
  <si>
    <t>AG.1031946.1004400</t>
  </si>
  <si>
    <t>'3321122008850005</t>
  </si>
  <si>
    <t>ULIL ALBAB</t>
  </si>
  <si>
    <t>GEBANGARUM 1/5</t>
  </si>
  <si>
    <t>AG.1031946.1004401</t>
  </si>
  <si>
    <t>'3321122606630001</t>
  </si>
  <si>
    <t>GEBANGARUM 2/4</t>
  </si>
  <si>
    <t>AG.1031946.1004402</t>
  </si>
  <si>
    <t>'3321124212640003</t>
  </si>
  <si>
    <t>ROMZATUN</t>
  </si>
  <si>
    <t>AG.1031946.1004403</t>
  </si>
  <si>
    <t>'3321032209970003</t>
  </si>
  <si>
    <t>MUHAMMAD HADI MUGHSON</t>
  </si>
  <si>
    <t>NGALURAN 3/1</t>
  </si>
  <si>
    <t>'3321096206990001</t>
  </si>
  <si>
    <t>SHOFIYATUL MAULIDA</t>
  </si>
  <si>
    <t>'3321097008790001</t>
  </si>
  <si>
    <t>ARYANTI</t>
  </si>
  <si>
    <t>'3321096903690001</t>
  </si>
  <si>
    <t>RUSMISIH</t>
  </si>
  <si>
    <t>KARANGANYAR 1/3</t>
  </si>
  <si>
    <t>0856</t>
  </si>
  <si>
    <t>Puskesmas Karang Anyar 1</t>
  </si>
  <si>
    <t>'3321096607780002</t>
  </si>
  <si>
    <t>RUSMIATUN</t>
  </si>
  <si>
    <t>'3321104908780002</t>
  </si>
  <si>
    <t>NOR KHOIRIYAH</t>
  </si>
  <si>
    <t>NGELOWETAN RT 01 RW 03</t>
  </si>
  <si>
    <t>0823-2431-1411</t>
  </si>
  <si>
    <t>AG.1031959.1004349</t>
  </si>
  <si>
    <t>'3321011005770007</t>
  </si>
  <si>
    <t>SHOLIHUN</t>
  </si>
  <si>
    <t>kangkung</t>
  </si>
  <si>
    <t>0840-0000</t>
  </si>
  <si>
    <t>Puskesmas Mranggen 1</t>
  </si>
  <si>
    <t>AG.1031936.1004353</t>
  </si>
  <si>
    <t>'3321013003090003</t>
  </si>
  <si>
    <t>MUHAMMAD IQBAL ALDIANSYAH</t>
  </si>
  <si>
    <t>0800-000</t>
  </si>
  <si>
    <t>AG.1031936.1004354</t>
  </si>
  <si>
    <t>'3321013103130002</t>
  </si>
  <si>
    <t>M SULTANSYAH RIZAL</t>
  </si>
  <si>
    <t>AG.1031936.1004355</t>
  </si>
  <si>
    <t>'3321110108520002</t>
  </si>
  <si>
    <t>SOEMAR</t>
  </si>
  <si>
    <t>KADILANGU</t>
  </si>
  <si>
    <t>duwet</t>
  </si>
  <si>
    <t>Puskesmas Demak 1</t>
  </si>
  <si>
    <t>'3321115612560001</t>
  </si>
  <si>
    <t>NGASIRAH</t>
  </si>
  <si>
    <t>'3321116501010003</t>
  </si>
  <si>
    <t>MARDIYAH</t>
  </si>
  <si>
    <t>'3321110805700005</t>
  </si>
  <si>
    <t>MUHAMMAD NABIL ATHARAUF</t>
  </si>
  <si>
    <t>'3321115106000003</t>
  </si>
  <si>
    <t>SUBIRAH</t>
  </si>
  <si>
    <t>'3321111706070004</t>
  </si>
  <si>
    <t>PUJA BAGUS IRAWAN</t>
  </si>
  <si>
    <t>'3321114712090001</t>
  </si>
  <si>
    <t>WULAN DESY AMELIA</t>
  </si>
  <si>
    <t>11 NOVEMBER 2022</t>
  </si>
  <si>
    <t>'3321111803170006</t>
  </si>
  <si>
    <t>MUHAMMAD ARIL KURNIA FARDHANI</t>
  </si>
  <si>
    <t>'3321111112720002</t>
  </si>
  <si>
    <t>R.ARIF SETEJO DARMONO</t>
  </si>
  <si>
    <t>'3321111708980009</t>
  </si>
  <si>
    <t>R.ANGGI WIBOWO</t>
  </si>
  <si>
    <t>'3321112805750004</t>
  </si>
  <si>
    <t>DWI RAKHMAD HIDAYAT</t>
  </si>
  <si>
    <t>'3321116505770001</t>
  </si>
  <si>
    <t>SRI WURAGIL</t>
  </si>
  <si>
    <t>'3321115702060002</t>
  </si>
  <si>
    <t>FEBRIANTY EKA AYUNINGTYAS</t>
  </si>
  <si>
    <t>'3321114502160002</t>
  </si>
  <si>
    <t>FEBRIANA DWI KUSUMANINGRUM</t>
  </si>
  <si>
    <t>'3315137112880057</t>
  </si>
  <si>
    <t>ENDANG RUSMIYATININGSIH</t>
  </si>
  <si>
    <t>'3201011701650005</t>
  </si>
  <si>
    <t>URIP TARSIDIN</t>
  </si>
  <si>
    <t>'3201016209690008</t>
  </si>
  <si>
    <t>SRI HARYUNI</t>
  </si>
  <si>
    <t>'3201011411900019</t>
  </si>
  <si>
    <t>EDO BIMO ANGGORO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</si>
</sst>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[$-F800]dddd\,\ mmmm\ dd\,\ yyyy"/>
    <numFmt numFmtId="165" formatCode="s\t\r"/>
    <numFmt numFmtId="166" formatCode="d/m/yy\ h:mm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5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41" fontId="2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9" fontId="10" fillId="0" borderId="0" applyFont="0" applyFill="0" applyBorder="0" applyAlignment="0" applyProtection="0"/>
    <xf numFmtId="0" fontId="20" fillId="0" borderId="0"/>
  </cellStyleXfs>
  <cellXfs count="114">
    <xf numFmtId="0" fontId="0" fillId="0" borderId="0" xfId="0"/>
    <xf numFmtId="0" fontId="9" fillId="0" borderId="0" xfId="0" applyFont="1"/>
    <xf numFmtId="0" fontId="0" fillId="0" borderId="6" xfId="0" applyBorder="1" applyAlignment="1">
      <alignment horizontal="left" vertical="justify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0" fillId="2" borderId="0" xfId="0" applyFill="1"/>
    <xf numFmtId="0" fontId="0" fillId="0" borderId="11" xfId="0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left" wrapText="1"/>
    </xf>
    <xf numFmtId="15" fontId="0" fillId="2" borderId="5" xfId="0" applyNumberForma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41" fontId="0" fillId="0" borderId="0" xfId="0" applyNumberFormat="1"/>
    <xf numFmtId="0" fontId="0" fillId="0" borderId="7" xfId="0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49" fontId="0" fillId="0" borderId="8" xfId="0" applyNumberFormat="1" applyBorder="1"/>
    <xf numFmtId="0" fontId="0" fillId="0" borderId="6" xfId="0" applyBorder="1"/>
    <xf numFmtId="0" fontId="0" fillId="0" borderId="5" xfId="0" applyBorder="1" applyAlignment="1">
      <alignment horizontal="center" vertical="justify" wrapText="1"/>
    </xf>
    <xf numFmtId="0" fontId="0" fillId="0" borderId="5" xfId="0" applyBorder="1" applyAlignment="1">
      <alignment horizontal="left" vertical="justify"/>
    </xf>
    <xf numFmtId="0" fontId="0" fillId="0" borderId="5" xfId="0" applyBorder="1" applyAlignment="1">
      <alignment horizontal="left" vertical="center"/>
    </xf>
    <xf numFmtId="0" fontId="10" fillId="0" borderId="5" xfId="0" applyFont="1" applyBorder="1"/>
    <xf numFmtId="0" fontId="10" fillId="2" borderId="5" xfId="0" applyFont="1" applyFill="1" applyBorder="1"/>
    <xf numFmtId="0" fontId="0" fillId="2" borderId="5" xfId="0" applyFill="1" applyBorder="1"/>
    <xf numFmtId="16" fontId="0" fillId="2" borderId="5" xfId="0" applyNumberForma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4" fontId="0" fillId="0" borderId="0" xfId="0" applyNumberFormat="1"/>
    <xf numFmtId="1" fontId="0" fillId="0" borderId="0" xfId="0" applyNumberFormat="1"/>
    <xf numFmtId="0" fontId="16" fillId="0" borderId="0" xfId="0" applyFont="1"/>
    <xf numFmtId="0" fontId="16" fillId="0" borderId="0" xfId="0" applyFont="1" applyAlignment="1">
      <alignment vertical="center" wrapText="1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center"/>
    </xf>
    <xf numFmtId="14" fontId="16" fillId="0" borderId="5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6" fillId="5" borderId="5" xfId="0" applyFont="1" applyFill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4" fillId="0" borderId="0" xfId="7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 applyProtection="1">
      <alignment horizontal="center" vertical="center"/>
      <protection locked="0"/>
    </xf>
    <xf numFmtId="14" fontId="16" fillId="6" borderId="5" xfId="0" applyNumberFormat="1" applyFont="1" applyFill="1" applyBorder="1" applyAlignment="1" applyProtection="1">
      <alignment horizontal="center"/>
      <protection locked="0"/>
    </xf>
    <xf numFmtId="0" fontId="16" fillId="6" borderId="5" xfId="0" applyFont="1" applyFill="1" applyBorder="1" applyAlignment="1">
      <alignment horizontal="center"/>
    </xf>
    <xf numFmtId="0" fontId="16" fillId="6" borderId="0" xfId="0" applyFont="1" applyFill="1"/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pivotButton="1"/>
    <xf numFmtId="0" fontId="16" fillId="0" borderId="0" xfId="0" pivotButton="1" applyFont="1"/>
    <xf numFmtId="0" fontId="19" fillId="0" borderId="5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/>
    <xf numFmtId="0" fontId="0" fillId="0" borderId="22" xfId="0" applyBorder="1" applyAlignment="1">
      <alignment horizontal="left"/>
    </xf>
    <xf numFmtId="0" fontId="0" fillId="0" borderId="23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justify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0" fillId="0" borderId="8" xfId="0" applyNumberFormat="1" applyBorder="1" applyAlignment="1">
      <alignment horizontal="left"/>
    </xf>
    <xf numFmtId="0" fontId="15" fillId="0" borderId="0" xfId="0" applyFont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41" fontId="0" fillId="0" borderId="5" xfId="0" applyNumberFormat="1" applyBorder="1"/>
  </cellXfs>
  <cellStyles count="15">
    <cellStyle name="Comma [0] 2" xfId="6"/>
    <cellStyle name="Normal" xfId="0" builtinId="0"/>
    <cellStyle name="Normal 10" xfId="8"/>
    <cellStyle name="Normal 13" xfId="9"/>
    <cellStyle name="Normal 2" xfId="4"/>
    <cellStyle name="Normal 3" xfId="7"/>
    <cellStyle name="Normal 4" xfId="10"/>
    <cellStyle name="Normal 5" xfId="2"/>
    <cellStyle name="Normal 6" xfId="1"/>
    <cellStyle name="Normal 6 2" xfId="3"/>
    <cellStyle name="Normal 6 3" xfId="5"/>
    <cellStyle name="Normal 7" xfId="11"/>
    <cellStyle name="Normal 8" xfId="12"/>
    <cellStyle name="Normal 9" xfId="14"/>
    <cellStyle name="Percent 2" xfId="13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159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254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17</xdr:col>
      <xdr:colOff>88773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629150" y="512159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17</xdr:col>
      <xdr:colOff>88773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629150" y="510254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17</xdr:col>
      <xdr:colOff>88773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631531" y="512206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17</xdr:col>
      <xdr:colOff>88773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631531" y="510301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4610.507403124997" createdVersion="6" refreshedVersion="6" minRefreshableVersion="3" recordCount="1465">
  <cacheSource type="worksheet">
    <worksheetSource ref="F1:F1048576" sheet="TOTAL KONTAK ERAT"/>
  </cacheSource>
  <cacheFields count="1">
    <cacheField name="KELURAHAN" numFmtId="0">
      <sharedItems containsBlank="1" count="114">
        <s v="BABALAN"/>
        <s v="BABAT"/>
        <s v="BAKUNG"/>
        <s v="BALEREJO"/>
        <s v="BANDUNGREJO"/>
        <s v="BANGO"/>
        <s v="BANJARSARI"/>
        <s v="BANYUMENENG"/>
        <s v="BATURSARI"/>
        <s v="BEDONO"/>
        <s v="BERAHAN KULON"/>
        <s v="BERAHAN WETAN"/>
        <s v="BETAHWALANG"/>
        <s v="BETOKAN"/>
        <s v="BINTORO"/>
        <s v="BLERONG"/>
        <s v="BOGOSARI"/>
        <s v="BOLO"/>
        <s v="BONANGREJO"/>
        <s v="BOTOREJO"/>
        <s v="BOYOLALI"/>
        <s v="BRAKAS"/>
        <s v="BRUMBUNG"/>
        <s v="BULUSARI"/>
        <s v="BUMIHARJO"/>
        <s v="BUMIREJO"/>
        <s v="CABEAN"/>
        <s v="CANDISARI"/>
        <s v="CANGKRING B"/>
        <s v="DEMPET"/>
        <s v="GAJAH"/>
        <s v="GEBANGARUM"/>
        <s v="GEDANGALAS"/>
        <s v="GEMULAK"/>
        <s v="GUNTUR"/>
        <s v="HARJOWINANGUN"/>
        <s v="JATIMULYO"/>
        <s v="JATIROGO"/>
        <s v="JATISONO"/>
        <s v="JERUKGULUNG"/>
        <s v="JETAK"/>
        <s v="JETAKSARI"/>
        <s v="JLEPER"/>
        <s v="JOGOLOYO"/>
        <s v="JUNGPASIR"/>
        <s v="JUNGSEMI"/>
        <s v="KALIANYAR"/>
        <s v="KALICILIK"/>
        <s v="KALIKONDANG"/>
        <s v="KALISARI"/>
        <s v="KANGKUNG"/>
        <s v="KARANGANYAR"/>
        <s v="KARANGSARI"/>
        <s v="KATONSARI"/>
        <s v="KEBONAGUNG"/>
        <s v="KEBONBATUR"/>
        <s v="KEDONDONG"/>
        <s v="KEDUNGMUTIH"/>
        <s v="KEDUNGORI"/>
        <s v="KEDUNGWARU LOR"/>
        <s v="KEMBANGARUM"/>
        <s v="KENDALDOYONG"/>
        <s v="KENDUREN"/>
        <s v="KETANJUNG"/>
        <s v="KLAMPOK LOR"/>
        <s v="KRAJANBOGO"/>
        <s v="KUNCIR"/>
        <s v="KUNIR"/>
        <s v="MANGUNJIWAN"/>
        <s v="MIJEN"/>
        <s v="MOJOSIMO"/>
        <s v="MORODEMAK"/>
        <s v="MRANGGEN"/>
        <s v="MULYOREJO"/>
        <s v="MUTIH WETAN"/>
        <s v="NGELO KULON"/>
        <s v="NGELO WETAN"/>
        <s v="NGEMPLIK WETAN"/>
        <s v="PAMONGAN"/>
        <s v="PECUK"/>
        <s v="PILANGSARI"/>
        <s v="PILANG WETAN"/>
        <s v="PONCOHARJO"/>
        <s v="PRAMPELAN"/>
        <s v="PULOSARI"/>
        <s v="PURWOREJO"/>
        <s v="PURWOSARI"/>
        <s v="RAJI"/>
        <s v="REJOSARI"/>
        <s v="SARI"/>
        <s v="SARIMULYO"/>
        <s v="SAYUNG"/>
        <s v="SEDO"/>
        <s v="SERANGAN"/>
        <s v="SIDOGEMAH"/>
        <s v="SOKOKIDUL"/>
        <s v="SRIWULAN"/>
        <s v="SUKODONO"/>
        <s v="SUMBEREJO"/>
        <s v="SURODADI"/>
        <s v="TANGKIS"/>
        <s v="TEDUNAN"/>
        <s v="TEGALARUM"/>
        <s v="TEMUROSO"/>
        <s v="TLOGOBOYO"/>
        <s v="TLOGOREJO"/>
        <s v="TLOGOWERU"/>
        <s v="TUGU"/>
        <s v="WEDING"/>
        <s v="WEDUNG"/>
        <s v="WILALUNG"/>
        <s v="WONOSEKAR"/>
        <s v="WRINGINJAJA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5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3"/>
  </r>
  <r>
    <x v="4"/>
  </r>
  <r>
    <x v="4"/>
  </r>
  <r>
    <x v="4"/>
  </r>
  <r>
    <x v="4"/>
  </r>
  <r>
    <x v="4"/>
  </r>
  <r>
    <x v="4"/>
  </r>
  <r>
    <x v="4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4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8"/>
  </r>
  <r>
    <x v="19"/>
  </r>
  <r>
    <x v="20"/>
  </r>
  <r>
    <x v="21"/>
  </r>
  <r>
    <x v="22"/>
  </r>
  <r>
    <x v="22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4"/>
  </r>
  <r>
    <x v="25"/>
  </r>
  <r>
    <x v="25"/>
  </r>
  <r>
    <x v="25"/>
  </r>
  <r>
    <x v="25"/>
  </r>
  <r>
    <x v="25"/>
  </r>
  <r>
    <x v="26"/>
  </r>
  <r>
    <x v="27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1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4"/>
  </r>
  <r>
    <x v="34"/>
  </r>
  <r>
    <x v="35"/>
  </r>
  <r>
    <x v="36"/>
  </r>
  <r>
    <x v="36"/>
  </r>
  <r>
    <x v="36"/>
  </r>
  <r>
    <x v="36"/>
  </r>
  <r>
    <x v="36"/>
  </r>
  <r>
    <x v="36"/>
  </r>
  <r>
    <x v="36"/>
  </r>
  <r>
    <x v="36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1"/>
  </r>
  <r>
    <x v="41"/>
  </r>
  <r>
    <x v="41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3"/>
  </r>
  <r>
    <x v="43"/>
  </r>
  <r>
    <x v="43"/>
  </r>
  <r>
    <x v="43"/>
  </r>
  <r>
    <x v="43"/>
  </r>
  <r>
    <x v="43"/>
  </r>
  <r>
    <x v="43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6"/>
  </r>
  <r>
    <x v="46"/>
  </r>
  <r>
    <x v="46"/>
  </r>
  <r>
    <x v="46"/>
  </r>
  <r>
    <x v="46"/>
  </r>
  <r>
    <x v="47"/>
  </r>
  <r>
    <x v="48"/>
  </r>
  <r>
    <x v="48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50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3"/>
  </r>
  <r>
    <x v="53"/>
  </r>
  <r>
    <x v="53"/>
  </r>
  <r>
    <x v="54"/>
  </r>
  <r>
    <x v="54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7"/>
  </r>
  <r>
    <x v="57"/>
  </r>
  <r>
    <x v="57"/>
  </r>
  <r>
    <x v="58"/>
  </r>
  <r>
    <x v="58"/>
  </r>
  <r>
    <x v="58"/>
  </r>
  <r>
    <x v="58"/>
  </r>
  <r>
    <x v="58"/>
  </r>
  <r>
    <x v="58"/>
  </r>
  <r>
    <x v="58"/>
  </r>
  <r>
    <x v="58"/>
  </r>
  <r>
    <x v="59"/>
  </r>
  <r>
    <x v="60"/>
  </r>
  <r>
    <x v="60"/>
  </r>
  <r>
    <x v="60"/>
  </r>
  <r>
    <x v="61"/>
  </r>
  <r>
    <x v="61"/>
  </r>
  <r>
    <x v="61"/>
  </r>
  <r>
    <x v="62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4"/>
  </r>
  <r>
    <x v="64"/>
  </r>
  <r>
    <x v="64"/>
  </r>
  <r>
    <x v="64"/>
  </r>
  <r>
    <x v="64"/>
  </r>
  <r>
    <x v="64"/>
  </r>
  <r>
    <x v="65"/>
  </r>
  <r>
    <x v="65"/>
  </r>
  <r>
    <x v="65"/>
  </r>
  <r>
    <x v="66"/>
  </r>
  <r>
    <x v="67"/>
  </r>
  <r>
    <x v="67"/>
  </r>
  <r>
    <x v="67"/>
  </r>
  <r>
    <x v="67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9"/>
  </r>
  <r>
    <x v="69"/>
  </r>
  <r>
    <x v="69"/>
  </r>
  <r>
    <x v="69"/>
  </r>
  <r>
    <x v="69"/>
  </r>
  <r>
    <x v="69"/>
  </r>
  <r>
    <x v="70"/>
  </r>
  <r>
    <x v="71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3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5"/>
  </r>
  <r>
    <x v="75"/>
  </r>
  <r>
    <x v="75"/>
  </r>
  <r>
    <x v="76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8"/>
  </r>
  <r>
    <x v="78"/>
  </r>
  <r>
    <x v="79"/>
  </r>
  <r>
    <x v="79"/>
  </r>
  <r>
    <x v="80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3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5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7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90"/>
  </r>
  <r>
    <x v="90"/>
  </r>
  <r>
    <x v="90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2"/>
  </r>
  <r>
    <x v="92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5"/>
  </r>
  <r>
    <x v="95"/>
  </r>
  <r>
    <x v="95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7"/>
  </r>
  <r>
    <x v="98"/>
  </r>
  <r>
    <x v="98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100"/>
  </r>
  <r>
    <x v="100"/>
  </r>
  <r>
    <x v="100"/>
  </r>
  <r>
    <x v="100"/>
  </r>
  <r>
    <x v="100"/>
  </r>
  <r>
    <x v="100"/>
  </r>
  <r>
    <x v="100"/>
  </r>
  <r>
    <x v="100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2"/>
  </r>
  <r>
    <x v="102"/>
  </r>
  <r>
    <x v="102"/>
  </r>
  <r>
    <x v="102"/>
  </r>
  <r>
    <x v="102"/>
  </r>
  <r>
    <x v="103"/>
  </r>
  <r>
    <x v="104"/>
  </r>
  <r>
    <x v="105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8"/>
  </r>
  <r>
    <x v="108"/>
  </r>
  <r>
    <x v="108"/>
  </r>
  <r>
    <x v="108"/>
  </r>
  <r>
    <x v="108"/>
  </r>
  <r>
    <x v="109"/>
  </r>
  <r>
    <x v="109"/>
  </r>
  <r>
    <x v="109"/>
  </r>
  <r>
    <x v="109"/>
  </r>
  <r>
    <x v="109"/>
  </r>
  <r>
    <x v="110"/>
  </r>
  <r>
    <x v="111"/>
  </r>
  <r>
    <x v="111"/>
  </r>
  <r>
    <x v="111"/>
  </r>
  <r>
    <x v="111"/>
  </r>
  <r>
    <x v="111"/>
  </r>
  <r>
    <x v="111"/>
  </r>
  <r>
    <x v="111"/>
  </r>
  <r>
    <x v="112"/>
  </r>
  <r>
    <x v="112"/>
  </r>
  <r>
    <x v="113"/>
  </r>
  <r>
    <x v="1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18" firstHeaderRow="1" firstDataRow="1" firstDataCol="1"/>
  <pivotFields count="1">
    <pivotField axis="axisRow" dataField="1" showAll="0">
      <items count="1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t="default"/>
      </items>
    </pivotField>
  </pivotFields>
  <rowFields count="1">
    <field x="0"/>
  </rowFields>
  <rowItems count="1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 t="grand">
      <x/>
    </i>
  </rowItems>
  <colItems count="1">
    <i/>
  </colItems>
  <dataFields count="1">
    <dataField name="Count of KELURAHA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8"/>
  <sheetViews>
    <sheetView topLeftCell="A91" workbookViewId="0">
      <selection activeCell="E8" sqref="E8"/>
    </sheetView>
  </sheetViews>
  <sheetFormatPr defaultRowHeight="15" x14ac:dyDescent="0.25"/>
  <cols>
    <col min="1" max="1" width="18.140625" bestFit="1" customWidth="1"/>
    <col min="2" max="2" width="20.140625" bestFit="1" customWidth="1"/>
  </cols>
  <sheetData>
    <row r="3" spans="1:2" x14ac:dyDescent="0.25">
      <c r="A3" s="81" t="s">
        <v>563</v>
      </c>
      <c r="B3" t="s">
        <v>567</v>
      </c>
    </row>
    <row r="4" spans="1:2" x14ac:dyDescent="0.25">
      <c r="A4" s="80" t="s">
        <v>484</v>
      </c>
      <c r="B4">
        <v>18</v>
      </c>
    </row>
    <row r="5" spans="1:2" x14ac:dyDescent="0.25">
      <c r="A5" s="80" t="s">
        <v>538</v>
      </c>
      <c r="B5">
        <v>15</v>
      </c>
    </row>
    <row r="6" spans="1:2" x14ac:dyDescent="0.25">
      <c r="A6" s="80" t="s">
        <v>528</v>
      </c>
      <c r="B6">
        <v>1</v>
      </c>
    </row>
    <row r="7" spans="1:2" x14ac:dyDescent="0.25">
      <c r="A7" s="80" t="s">
        <v>524</v>
      </c>
      <c r="B7">
        <v>1</v>
      </c>
    </row>
    <row r="8" spans="1:2" x14ac:dyDescent="0.25">
      <c r="A8" s="80" t="s">
        <v>490</v>
      </c>
      <c r="B8">
        <v>7</v>
      </c>
    </row>
    <row r="9" spans="1:2" x14ac:dyDescent="0.25">
      <c r="A9" s="80" t="s">
        <v>488</v>
      </c>
      <c r="B9">
        <v>2</v>
      </c>
    </row>
    <row r="10" spans="1:2" x14ac:dyDescent="0.25">
      <c r="A10" s="80" t="s">
        <v>501</v>
      </c>
      <c r="B10">
        <v>21</v>
      </c>
    </row>
    <row r="11" spans="1:2" x14ac:dyDescent="0.25">
      <c r="A11" s="80" t="s">
        <v>532</v>
      </c>
      <c r="B11">
        <v>4</v>
      </c>
    </row>
    <row r="12" spans="1:2" x14ac:dyDescent="0.25">
      <c r="A12" s="80" t="s">
        <v>345</v>
      </c>
      <c r="B12">
        <v>56</v>
      </c>
    </row>
    <row r="13" spans="1:2" x14ac:dyDescent="0.25">
      <c r="A13" s="80" t="s">
        <v>556</v>
      </c>
      <c r="B13">
        <v>10</v>
      </c>
    </row>
    <row r="14" spans="1:2" x14ac:dyDescent="0.25">
      <c r="A14" s="80" t="s">
        <v>510</v>
      </c>
      <c r="B14">
        <v>1</v>
      </c>
    </row>
    <row r="15" spans="1:2" x14ac:dyDescent="0.25">
      <c r="A15" s="80" t="s">
        <v>560</v>
      </c>
      <c r="B15">
        <v>13</v>
      </c>
    </row>
    <row r="16" spans="1:2" x14ac:dyDescent="0.25">
      <c r="A16" s="80" t="s">
        <v>550</v>
      </c>
      <c r="B16">
        <v>10</v>
      </c>
    </row>
    <row r="17" spans="1:2" x14ac:dyDescent="0.25">
      <c r="A17" s="80" t="s">
        <v>483</v>
      </c>
      <c r="B17">
        <v>1</v>
      </c>
    </row>
    <row r="18" spans="1:2" x14ac:dyDescent="0.25">
      <c r="A18" s="80" t="s">
        <v>503</v>
      </c>
      <c r="B18">
        <v>6</v>
      </c>
    </row>
    <row r="19" spans="1:2" x14ac:dyDescent="0.25">
      <c r="A19" s="80" t="s">
        <v>494</v>
      </c>
      <c r="B19">
        <v>11</v>
      </c>
    </row>
    <row r="20" spans="1:2" x14ac:dyDescent="0.25">
      <c r="A20" s="80" t="s">
        <v>480</v>
      </c>
      <c r="B20">
        <v>23</v>
      </c>
    </row>
    <row r="21" spans="1:2" x14ac:dyDescent="0.25">
      <c r="A21" s="80" t="s">
        <v>487</v>
      </c>
      <c r="B21">
        <v>10</v>
      </c>
    </row>
    <row r="22" spans="1:2" x14ac:dyDescent="0.25">
      <c r="A22" s="80" t="s">
        <v>519</v>
      </c>
      <c r="B22">
        <v>1</v>
      </c>
    </row>
    <row r="23" spans="1:2" x14ac:dyDescent="0.25">
      <c r="A23" s="80" t="s">
        <v>553</v>
      </c>
      <c r="B23">
        <v>1</v>
      </c>
    </row>
    <row r="24" spans="1:2" x14ac:dyDescent="0.25">
      <c r="A24" s="80" t="s">
        <v>506</v>
      </c>
      <c r="B24">
        <v>1</v>
      </c>
    </row>
    <row r="25" spans="1:2" x14ac:dyDescent="0.25">
      <c r="A25" s="80" t="s">
        <v>549</v>
      </c>
      <c r="B25">
        <v>1</v>
      </c>
    </row>
    <row r="26" spans="1:2" x14ac:dyDescent="0.25">
      <c r="A26" s="80" t="s">
        <v>489</v>
      </c>
      <c r="B26">
        <v>2</v>
      </c>
    </row>
    <row r="27" spans="1:2" x14ac:dyDescent="0.25">
      <c r="A27" s="80" t="s">
        <v>507</v>
      </c>
      <c r="B27">
        <v>59</v>
      </c>
    </row>
    <row r="28" spans="1:2" x14ac:dyDescent="0.25">
      <c r="A28" s="80" t="s">
        <v>533</v>
      </c>
      <c r="B28">
        <v>1</v>
      </c>
    </row>
    <row r="29" spans="1:2" x14ac:dyDescent="0.25">
      <c r="A29" s="80" t="s">
        <v>518</v>
      </c>
      <c r="B29">
        <v>5</v>
      </c>
    </row>
    <row r="30" spans="1:2" x14ac:dyDescent="0.25">
      <c r="A30" s="80" t="s">
        <v>394</v>
      </c>
      <c r="B30">
        <v>1</v>
      </c>
    </row>
    <row r="31" spans="1:2" x14ac:dyDescent="0.25">
      <c r="A31" s="80" t="s">
        <v>530</v>
      </c>
      <c r="B31">
        <v>1</v>
      </c>
    </row>
    <row r="32" spans="1:2" x14ac:dyDescent="0.25">
      <c r="A32" s="80" t="s">
        <v>543</v>
      </c>
      <c r="B32">
        <v>17</v>
      </c>
    </row>
    <row r="33" spans="1:2" x14ac:dyDescent="0.25">
      <c r="A33" s="80" t="s">
        <v>287</v>
      </c>
      <c r="B33">
        <v>12</v>
      </c>
    </row>
    <row r="34" spans="1:2" x14ac:dyDescent="0.25">
      <c r="A34" s="80" t="s">
        <v>288</v>
      </c>
      <c r="B34">
        <v>28</v>
      </c>
    </row>
    <row r="35" spans="1:2" x14ac:dyDescent="0.25">
      <c r="A35" s="80" t="s">
        <v>495</v>
      </c>
      <c r="B35">
        <v>1</v>
      </c>
    </row>
    <row r="36" spans="1:2" x14ac:dyDescent="0.25">
      <c r="A36" s="80" t="s">
        <v>477</v>
      </c>
      <c r="B36">
        <v>55</v>
      </c>
    </row>
    <row r="37" spans="1:2" x14ac:dyDescent="0.25">
      <c r="A37" s="80" t="s">
        <v>341</v>
      </c>
      <c r="B37">
        <v>11</v>
      </c>
    </row>
    <row r="38" spans="1:2" x14ac:dyDescent="0.25">
      <c r="A38" s="80" t="s">
        <v>283</v>
      </c>
      <c r="B38">
        <v>2</v>
      </c>
    </row>
    <row r="39" spans="1:2" x14ac:dyDescent="0.25">
      <c r="A39" s="80" t="s">
        <v>504</v>
      </c>
      <c r="B39">
        <v>1</v>
      </c>
    </row>
    <row r="40" spans="1:2" x14ac:dyDescent="0.25">
      <c r="A40" s="80" t="s">
        <v>557</v>
      </c>
      <c r="B40">
        <v>8</v>
      </c>
    </row>
    <row r="41" spans="1:2" x14ac:dyDescent="0.25">
      <c r="A41" s="80" t="s">
        <v>534</v>
      </c>
      <c r="B41">
        <v>16</v>
      </c>
    </row>
    <row r="42" spans="1:2" x14ac:dyDescent="0.25">
      <c r="A42" s="80" t="s">
        <v>537</v>
      </c>
      <c r="B42">
        <v>13</v>
      </c>
    </row>
    <row r="43" spans="1:2" x14ac:dyDescent="0.25">
      <c r="A43" s="80" t="s">
        <v>516</v>
      </c>
      <c r="B43">
        <v>13</v>
      </c>
    </row>
    <row r="44" spans="1:2" x14ac:dyDescent="0.25">
      <c r="A44" s="80" t="s">
        <v>520</v>
      </c>
      <c r="B44">
        <v>21</v>
      </c>
    </row>
    <row r="45" spans="1:2" x14ac:dyDescent="0.25">
      <c r="A45" s="80" t="s">
        <v>370</v>
      </c>
      <c r="B45">
        <v>3</v>
      </c>
    </row>
    <row r="46" spans="1:2" x14ac:dyDescent="0.25">
      <c r="A46" s="80" t="s">
        <v>531</v>
      </c>
      <c r="B46">
        <v>16</v>
      </c>
    </row>
    <row r="47" spans="1:2" x14ac:dyDescent="0.25">
      <c r="A47" s="80" t="s">
        <v>496</v>
      </c>
      <c r="B47">
        <v>7</v>
      </c>
    </row>
    <row r="48" spans="1:2" x14ac:dyDescent="0.25">
      <c r="A48" s="80" t="s">
        <v>497</v>
      </c>
      <c r="B48">
        <v>24</v>
      </c>
    </row>
    <row r="49" spans="1:2" x14ac:dyDescent="0.25">
      <c r="A49" s="80" t="s">
        <v>529</v>
      </c>
      <c r="B49">
        <v>9</v>
      </c>
    </row>
    <row r="50" spans="1:2" x14ac:dyDescent="0.25">
      <c r="A50" s="80" t="s">
        <v>554</v>
      </c>
      <c r="B50">
        <v>5</v>
      </c>
    </row>
    <row r="51" spans="1:2" x14ac:dyDescent="0.25">
      <c r="A51" s="80" t="s">
        <v>545</v>
      </c>
      <c r="B51">
        <v>1</v>
      </c>
    </row>
    <row r="52" spans="1:2" x14ac:dyDescent="0.25">
      <c r="A52" s="80" t="s">
        <v>552</v>
      </c>
      <c r="B52">
        <v>2</v>
      </c>
    </row>
    <row r="53" spans="1:2" x14ac:dyDescent="0.25">
      <c r="A53" s="80" t="s">
        <v>337</v>
      </c>
      <c r="B53">
        <v>83</v>
      </c>
    </row>
    <row r="54" spans="1:2" x14ac:dyDescent="0.25">
      <c r="A54" s="80" t="s">
        <v>357</v>
      </c>
      <c r="B54">
        <v>1</v>
      </c>
    </row>
    <row r="55" spans="1:2" x14ac:dyDescent="0.25">
      <c r="A55" s="80" t="s">
        <v>290</v>
      </c>
      <c r="B55">
        <v>90</v>
      </c>
    </row>
    <row r="56" spans="1:2" x14ac:dyDescent="0.25">
      <c r="A56" s="80" t="s">
        <v>486</v>
      </c>
      <c r="B56">
        <v>14</v>
      </c>
    </row>
    <row r="57" spans="1:2" x14ac:dyDescent="0.25">
      <c r="A57" s="80" t="s">
        <v>515</v>
      </c>
      <c r="B57">
        <v>3</v>
      </c>
    </row>
    <row r="58" spans="1:2" x14ac:dyDescent="0.25">
      <c r="A58" s="80" t="s">
        <v>286</v>
      </c>
      <c r="B58">
        <v>2</v>
      </c>
    </row>
    <row r="59" spans="1:2" x14ac:dyDescent="0.25">
      <c r="A59" s="80" t="s">
        <v>475</v>
      </c>
      <c r="B59">
        <v>39</v>
      </c>
    </row>
    <row r="60" spans="1:2" x14ac:dyDescent="0.25">
      <c r="A60" s="80" t="s">
        <v>476</v>
      </c>
      <c r="B60">
        <v>96</v>
      </c>
    </row>
    <row r="61" spans="1:2" x14ac:dyDescent="0.25">
      <c r="A61" s="80" t="s">
        <v>353</v>
      </c>
      <c r="B61">
        <v>3</v>
      </c>
    </row>
    <row r="62" spans="1:2" x14ac:dyDescent="0.25">
      <c r="A62" s="80" t="s">
        <v>500</v>
      </c>
      <c r="B62">
        <v>8</v>
      </c>
    </row>
    <row r="63" spans="1:2" x14ac:dyDescent="0.25">
      <c r="A63" s="80" t="s">
        <v>561</v>
      </c>
      <c r="B63">
        <v>1</v>
      </c>
    </row>
    <row r="64" spans="1:2" x14ac:dyDescent="0.25">
      <c r="A64" s="80" t="s">
        <v>350</v>
      </c>
      <c r="B64">
        <v>3</v>
      </c>
    </row>
    <row r="65" spans="1:2" x14ac:dyDescent="0.25">
      <c r="A65" s="80" t="s">
        <v>562</v>
      </c>
      <c r="B65">
        <v>3</v>
      </c>
    </row>
    <row r="66" spans="1:2" x14ac:dyDescent="0.25">
      <c r="A66" s="80" t="s">
        <v>521</v>
      </c>
      <c r="B66">
        <v>1</v>
      </c>
    </row>
    <row r="67" spans="1:2" x14ac:dyDescent="0.25">
      <c r="A67" s="80" t="s">
        <v>517</v>
      </c>
      <c r="B67">
        <v>12</v>
      </c>
    </row>
    <row r="68" spans="1:2" x14ac:dyDescent="0.25">
      <c r="A68" s="80" t="s">
        <v>542</v>
      </c>
      <c r="B68">
        <v>6</v>
      </c>
    </row>
    <row r="69" spans="1:2" x14ac:dyDescent="0.25">
      <c r="A69" s="80" t="s">
        <v>558</v>
      </c>
      <c r="B69">
        <v>3</v>
      </c>
    </row>
    <row r="70" spans="1:2" x14ac:dyDescent="0.25">
      <c r="A70" s="80" t="s">
        <v>505</v>
      </c>
      <c r="B70">
        <v>1</v>
      </c>
    </row>
    <row r="71" spans="1:2" x14ac:dyDescent="0.25">
      <c r="A71" s="80" t="s">
        <v>491</v>
      </c>
      <c r="B71">
        <v>4</v>
      </c>
    </row>
    <row r="72" spans="1:2" x14ac:dyDescent="0.25">
      <c r="A72" s="80" t="s">
        <v>493</v>
      </c>
      <c r="B72">
        <v>61</v>
      </c>
    </row>
    <row r="73" spans="1:2" x14ac:dyDescent="0.25">
      <c r="A73" s="80" t="s">
        <v>289</v>
      </c>
      <c r="B73">
        <v>6</v>
      </c>
    </row>
    <row r="74" spans="1:2" x14ac:dyDescent="0.25">
      <c r="A74" s="80" t="s">
        <v>511</v>
      </c>
      <c r="B74">
        <v>1</v>
      </c>
    </row>
    <row r="75" spans="1:2" x14ac:dyDescent="0.25">
      <c r="A75" s="80" t="s">
        <v>544</v>
      </c>
      <c r="B75">
        <v>1</v>
      </c>
    </row>
    <row r="76" spans="1:2" x14ac:dyDescent="0.25">
      <c r="A76" s="80" t="s">
        <v>308</v>
      </c>
      <c r="B76">
        <v>16</v>
      </c>
    </row>
    <row r="77" spans="1:2" x14ac:dyDescent="0.25">
      <c r="A77" s="80" t="s">
        <v>478</v>
      </c>
      <c r="B77">
        <v>1</v>
      </c>
    </row>
    <row r="78" spans="1:2" x14ac:dyDescent="0.25">
      <c r="A78" s="80" t="s">
        <v>498</v>
      </c>
      <c r="B78">
        <v>14</v>
      </c>
    </row>
    <row r="79" spans="1:2" x14ac:dyDescent="0.25">
      <c r="A79" s="80" t="s">
        <v>492</v>
      </c>
      <c r="B79">
        <v>3</v>
      </c>
    </row>
    <row r="80" spans="1:2" x14ac:dyDescent="0.25">
      <c r="A80" s="80" t="s">
        <v>514</v>
      </c>
      <c r="B80">
        <v>1</v>
      </c>
    </row>
    <row r="81" spans="1:2" x14ac:dyDescent="0.25">
      <c r="A81" s="80" t="s">
        <v>513</v>
      </c>
      <c r="B81">
        <v>25</v>
      </c>
    </row>
    <row r="82" spans="1:2" x14ac:dyDescent="0.25">
      <c r="A82" s="80" t="s">
        <v>481</v>
      </c>
      <c r="B82">
        <v>2</v>
      </c>
    </row>
    <row r="83" spans="1:2" x14ac:dyDescent="0.25">
      <c r="A83" s="80" t="s">
        <v>525</v>
      </c>
      <c r="B83">
        <v>2</v>
      </c>
    </row>
    <row r="84" spans="1:2" x14ac:dyDescent="0.25">
      <c r="A84" s="80" t="s">
        <v>566</v>
      </c>
      <c r="B84">
        <v>15</v>
      </c>
    </row>
    <row r="85" spans="1:2" x14ac:dyDescent="0.25">
      <c r="A85" s="80" t="s">
        <v>547</v>
      </c>
      <c r="B85">
        <v>1</v>
      </c>
    </row>
    <row r="86" spans="1:2" x14ac:dyDescent="0.25">
      <c r="A86" s="80" t="s">
        <v>509</v>
      </c>
      <c r="B86">
        <v>13</v>
      </c>
    </row>
    <row r="87" spans="1:2" x14ac:dyDescent="0.25">
      <c r="A87" s="80" t="s">
        <v>395</v>
      </c>
      <c r="B87">
        <v>1</v>
      </c>
    </row>
    <row r="88" spans="1:2" x14ac:dyDescent="0.25">
      <c r="A88" s="80" t="s">
        <v>527</v>
      </c>
      <c r="B88">
        <v>27</v>
      </c>
    </row>
    <row r="89" spans="1:2" x14ac:dyDescent="0.25">
      <c r="A89" s="80" t="s">
        <v>540</v>
      </c>
      <c r="B89">
        <v>1</v>
      </c>
    </row>
    <row r="90" spans="1:2" x14ac:dyDescent="0.25">
      <c r="A90" s="80" t="s">
        <v>339</v>
      </c>
      <c r="B90">
        <v>77</v>
      </c>
    </row>
    <row r="91" spans="1:2" x14ac:dyDescent="0.25">
      <c r="A91" s="80" t="s">
        <v>502</v>
      </c>
      <c r="B91">
        <v>1</v>
      </c>
    </row>
    <row r="92" spans="1:2" x14ac:dyDescent="0.25">
      <c r="A92" s="80" t="s">
        <v>344</v>
      </c>
      <c r="B92">
        <v>29</v>
      </c>
    </row>
    <row r="93" spans="1:2" x14ac:dyDescent="0.25">
      <c r="A93" s="80" t="s">
        <v>541</v>
      </c>
      <c r="B93">
        <v>14</v>
      </c>
    </row>
    <row r="94" spans="1:2" x14ac:dyDescent="0.25">
      <c r="A94" s="80" t="s">
        <v>522</v>
      </c>
      <c r="B94">
        <v>3</v>
      </c>
    </row>
    <row r="95" spans="1:2" x14ac:dyDescent="0.25">
      <c r="A95" s="80" t="s">
        <v>284</v>
      </c>
      <c r="B95">
        <v>43</v>
      </c>
    </row>
    <row r="96" spans="1:2" x14ac:dyDescent="0.25">
      <c r="A96" s="80" t="s">
        <v>479</v>
      </c>
      <c r="B96">
        <v>2</v>
      </c>
    </row>
    <row r="97" spans="1:2" x14ac:dyDescent="0.25">
      <c r="A97" s="80" t="s">
        <v>512</v>
      </c>
      <c r="B97">
        <v>14</v>
      </c>
    </row>
    <row r="98" spans="1:2" x14ac:dyDescent="0.25">
      <c r="A98" s="80" t="s">
        <v>340</v>
      </c>
      <c r="B98">
        <v>14</v>
      </c>
    </row>
    <row r="99" spans="1:2" x14ac:dyDescent="0.25">
      <c r="A99" s="80" t="s">
        <v>539</v>
      </c>
      <c r="B99">
        <v>3</v>
      </c>
    </row>
    <row r="100" spans="1:2" x14ac:dyDescent="0.25">
      <c r="A100" s="80" t="s">
        <v>342</v>
      </c>
      <c r="B100">
        <v>35</v>
      </c>
    </row>
    <row r="101" spans="1:2" x14ac:dyDescent="0.25">
      <c r="A101" s="80" t="s">
        <v>508</v>
      </c>
      <c r="B101">
        <v>1</v>
      </c>
    </row>
    <row r="102" spans="1:2" x14ac:dyDescent="0.25">
      <c r="A102" s="80" t="s">
        <v>338</v>
      </c>
      <c r="B102">
        <v>2</v>
      </c>
    </row>
    <row r="103" spans="1:2" x14ac:dyDescent="0.25">
      <c r="A103" s="80" t="s">
        <v>546</v>
      </c>
      <c r="B103">
        <v>16</v>
      </c>
    </row>
    <row r="104" spans="1:2" x14ac:dyDescent="0.25">
      <c r="A104" s="80" t="s">
        <v>485</v>
      </c>
      <c r="B104">
        <v>8</v>
      </c>
    </row>
    <row r="105" spans="1:2" x14ac:dyDescent="0.25">
      <c r="A105" s="80" t="s">
        <v>535</v>
      </c>
      <c r="B105">
        <v>24</v>
      </c>
    </row>
    <row r="106" spans="1:2" x14ac:dyDescent="0.25">
      <c r="A106" s="80" t="s">
        <v>555</v>
      </c>
      <c r="B106">
        <v>5</v>
      </c>
    </row>
    <row r="107" spans="1:2" x14ac:dyDescent="0.25">
      <c r="A107" s="80" t="s">
        <v>526</v>
      </c>
      <c r="B107">
        <v>1</v>
      </c>
    </row>
    <row r="108" spans="1:2" x14ac:dyDescent="0.25">
      <c r="A108" s="80" t="s">
        <v>551</v>
      </c>
      <c r="B108">
        <v>1</v>
      </c>
    </row>
    <row r="109" spans="1:2" x14ac:dyDescent="0.25">
      <c r="A109" s="80" t="s">
        <v>548</v>
      </c>
      <c r="B109">
        <v>1</v>
      </c>
    </row>
    <row r="110" spans="1:2" x14ac:dyDescent="0.25">
      <c r="A110" s="80" t="s">
        <v>499</v>
      </c>
      <c r="B110">
        <v>14</v>
      </c>
    </row>
    <row r="111" spans="1:2" x14ac:dyDescent="0.25">
      <c r="A111" s="80" t="s">
        <v>482</v>
      </c>
      <c r="B111">
        <v>23</v>
      </c>
    </row>
    <row r="112" spans="1:2" x14ac:dyDescent="0.25">
      <c r="A112" s="80" t="s">
        <v>559</v>
      </c>
      <c r="B112">
        <v>5</v>
      </c>
    </row>
    <row r="113" spans="1:2" x14ac:dyDescent="0.25">
      <c r="A113" s="80" t="s">
        <v>292</v>
      </c>
      <c r="B113">
        <v>5</v>
      </c>
    </row>
    <row r="114" spans="1:2" x14ac:dyDescent="0.25">
      <c r="A114" s="80" t="s">
        <v>536</v>
      </c>
      <c r="B114">
        <v>1</v>
      </c>
    </row>
    <row r="115" spans="1:2" x14ac:dyDescent="0.25">
      <c r="A115" s="80" t="s">
        <v>523</v>
      </c>
      <c r="B115">
        <v>7</v>
      </c>
    </row>
    <row r="116" spans="1:2" x14ac:dyDescent="0.25">
      <c r="A116" s="80" t="s">
        <v>347</v>
      </c>
      <c r="B116">
        <v>2</v>
      </c>
    </row>
    <row r="117" spans="1:2" x14ac:dyDescent="0.25">
      <c r="A117" s="80" t="s">
        <v>564</v>
      </c>
    </row>
    <row r="118" spans="1:2" x14ac:dyDescent="0.25">
      <c r="A118" s="80" t="s">
        <v>565</v>
      </c>
      <c r="B118">
        <v>1463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0"/>
  <sheetViews>
    <sheetView topLeftCell="A940" zoomScale="90" zoomScaleNormal="90" workbookViewId="0">
      <selection activeCell="I949" sqref="I949"/>
    </sheetView>
  </sheetViews>
  <sheetFormatPr defaultColWidth="9.140625" defaultRowHeight="15" x14ac:dyDescent="0.2"/>
  <cols>
    <col min="1" max="1" width="9.140625" style="56"/>
    <col min="2" max="2" width="16.5703125" style="56" customWidth="1"/>
    <col min="3" max="3" width="14.28515625" style="56" customWidth="1"/>
    <col min="4" max="5" width="18" style="56" customWidth="1"/>
    <col min="6" max="6" width="14.140625" style="56" customWidth="1"/>
    <col min="7" max="7" width="14.5703125" style="56" customWidth="1"/>
    <col min="8" max="8" width="9.140625" style="56"/>
    <col min="9" max="9" width="21.28515625" style="56" customWidth="1"/>
    <col min="10" max="10" width="20.140625" style="56" customWidth="1"/>
    <col min="11" max="11" width="14.140625" style="56" customWidth="1"/>
    <col min="12" max="12" width="18.5703125" style="56" customWidth="1"/>
    <col min="13" max="16384" width="9.140625" style="56"/>
  </cols>
  <sheetData>
    <row r="1" spans="1:7" ht="15.75" customHeight="1" x14ac:dyDescent="0.2">
      <c r="A1" s="111" t="s">
        <v>458</v>
      </c>
      <c r="B1" s="111"/>
      <c r="C1" s="111"/>
      <c r="D1" s="111"/>
      <c r="E1" s="111"/>
      <c r="F1" s="111"/>
      <c r="G1" s="111"/>
    </row>
    <row r="2" spans="1:7" x14ac:dyDescent="0.2">
      <c r="A2" s="112"/>
      <c r="B2" s="112"/>
      <c r="C2" s="112"/>
      <c r="D2" s="79"/>
    </row>
    <row r="3" spans="1:7" s="57" customFormat="1" ht="64.5" customHeight="1" x14ac:dyDescent="0.25">
      <c r="A3" s="63" t="s">
        <v>1</v>
      </c>
      <c r="B3" s="63" t="s">
        <v>441</v>
      </c>
      <c r="C3" s="69" t="s">
        <v>472</v>
      </c>
      <c r="D3" s="69" t="s">
        <v>474</v>
      </c>
      <c r="E3" s="70" t="s">
        <v>473</v>
      </c>
      <c r="F3" s="70" t="s">
        <v>457</v>
      </c>
      <c r="G3" s="64" t="s">
        <v>471</v>
      </c>
    </row>
    <row r="4" spans="1:7" x14ac:dyDescent="0.2">
      <c r="A4" s="58">
        <v>1</v>
      </c>
      <c r="B4" s="60">
        <v>43920</v>
      </c>
      <c r="C4" s="61">
        <v>8</v>
      </c>
      <c r="D4" s="61">
        <v>8</v>
      </c>
      <c r="E4" s="59">
        <v>0</v>
      </c>
      <c r="F4" s="59">
        <f>D4-E4</f>
        <v>8</v>
      </c>
      <c r="G4" s="59">
        <v>0</v>
      </c>
    </row>
    <row r="5" spans="1:7" x14ac:dyDescent="0.2">
      <c r="A5" s="58">
        <v>2</v>
      </c>
      <c r="B5" s="60">
        <v>43921</v>
      </c>
      <c r="C5" s="61">
        <v>0</v>
      </c>
      <c r="D5" s="61">
        <v>8</v>
      </c>
      <c r="E5" s="59">
        <v>0</v>
      </c>
      <c r="F5" s="59">
        <v>8</v>
      </c>
      <c r="G5" s="59">
        <v>0</v>
      </c>
    </row>
    <row r="6" spans="1:7" x14ac:dyDescent="0.2">
      <c r="A6" s="58">
        <v>3</v>
      </c>
      <c r="B6" s="60">
        <v>43922</v>
      </c>
      <c r="C6" s="61">
        <v>0</v>
      </c>
      <c r="D6" s="61">
        <v>8</v>
      </c>
      <c r="E6" s="59">
        <v>0</v>
      </c>
      <c r="F6" s="59">
        <v>8</v>
      </c>
      <c r="G6" s="59">
        <v>0</v>
      </c>
    </row>
    <row r="7" spans="1:7" x14ac:dyDescent="0.2">
      <c r="A7" s="58">
        <v>4</v>
      </c>
      <c r="B7" s="60">
        <v>43923</v>
      </c>
      <c r="C7" s="61">
        <v>1</v>
      </c>
      <c r="D7" s="61">
        <f>D4+C7</f>
        <v>9</v>
      </c>
      <c r="E7" s="59">
        <v>0</v>
      </c>
      <c r="F7" s="59">
        <f t="shared" ref="F7:F45" si="0">D7-E7</f>
        <v>9</v>
      </c>
      <c r="G7" s="59">
        <v>0</v>
      </c>
    </row>
    <row r="8" spans="1:7" x14ac:dyDescent="0.2">
      <c r="A8" s="58">
        <v>5</v>
      </c>
      <c r="B8" s="60">
        <v>43924</v>
      </c>
      <c r="C8" s="61">
        <v>0</v>
      </c>
      <c r="D8" s="61">
        <v>9</v>
      </c>
      <c r="E8" s="59">
        <v>0</v>
      </c>
      <c r="F8" s="59">
        <v>9</v>
      </c>
      <c r="G8" s="59">
        <v>0</v>
      </c>
    </row>
    <row r="9" spans="1:7" x14ac:dyDescent="0.2">
      <c r="A9" s="58">
        <v>6</v>
      </c>
      <c r="B9" s="60">
        <v>43925</v>
      </c>
      <c r="C9" s="61">
        <v>3</v>
      </c>
      <c r="D9" s="61">
        <f>D7+C9</f>
        <v>12</v>
      </c>
      <c r="E9" s="59">
        <v>0</v>
      </c>
      <c r="F9" s="59">
        <f t="shared" si="0"/>
        <v>12</v>
      </c>
      <c r="G9" s="59">
        <v>0</v>
      </c>
    </row>
    <row r="10" spans="1:7" x14ac:dyDescent="0.2">
      <c r="A10" s="58">
        <v>7</v>
      </c>
      <c r="B10" s="60">
        <v>43926</v>
      </c>
      <c r="C10" s="61">
        <v>2</v>
      </c>
      <c r="D10" s="61">
        <f t="shared" ref="D10:D40" si="1">D9+C10</f>
        <v>14</v>
      </c>
      <c r="E10" s="59">
        <v>0</v>
      </c>
      <c r="F10" s="59">
        <f t="shared" si="0"/>
        <v>14</v>
      </c>
      <c r="G10" s="59">
        <v>0</v>
      </c>
    </row>
    <row r="11" spans="1:7" x14ac:dyDescent="0.2">
      <c r="A11" s="58">
        <v>8</v>
      </c>
      <c r="B11" s="60">
        <v>43927</v>
      </c>
      <c r="C11" s="61">
        <v>10</v>
      </c>
      <c r="D11" s="61">
        <f t="shared" si="1"/>
        <v>24</v>
      </c>
      <c r="E11" s="59">
        <v>0</v>
      </c>
      <c r="F11" s="59">
        <f t="shared" si="0"/>
        <v>24</v>
      </c>
      <c r="G11" s="59">
        <v>0</v>
      </c>
    </row>
    <row r="12" spans="1:7" x14ac:dyDescent="0.2">
      <c r="A12" s="58">
        <v>9</v>
      </c>
      <c r="B12" s="60">
        <v>43928</v>
      </c>
      <c r="C12" s="61">
        <v>0</v>
      </c>
      <c r="D12" s="61">
        <f t="shared" si="1"/>
        <v>24</v>
      </c>
      <c r="E12" s="59">
        <v>0</v>
      </c>
      <c r="F12" s="59">
        <f t="shared" si="0"/>
        <v>24</v>
      </c>
      <c r="G12" s="59">
        <v>1</v>
      </c>
    </row>
    <row r="13" spans="1:7" x14ac:dyDescent="0.2">
      <c r="A13" s="58">
        <v>10</v>
      </c>
      <c r="B13" s="60">
        <v>43929</v>
      </c>
      <c r="C13" s="61">
        <v>0</v>
      </c>
      <c r="D13" s="61">
        <f t="shared" si="1"/>
        <v>24</v>
      </c>
      <c r="E13" s="59">
        <v>0</v>
      </c>
      <c r="F13" s="59">
        <f t="shared" si="0"/>
        <v>24</v>
      </c>
      <c r="G13" s="59">
        <v>2</v>
      </c>
    </row>
    <row r="14" spans="1:7" x14ac:dyDescent="0.2">
      <c r="A14" s="58">
        <v>11</v>
      </c>
      <c r="B14" s="60">
        <v>43930</v>
      </c>
      <c r="C14" s="61">
        <v>0</v>
      </c>
      <c r="D14" s="61">
        <f t="shared" si="1"/>
        <v>24</v>
      </c>
      <c r="E14" s="59">
        <v>0</v>
      </c>
      <c r="F14" s="59">
        <f t="shared" si="0"/>
        <v>24</v>
      </c>
      <c r="G14" s="59">
        <v>3</v>
      </c>
    </row>
    <row r="15" spans="1:7" x14ac:dyDescent="0.2">
      <c r="A15" s="58">
        <v>12</v>
      </c>
      <c r="B15" s="60">
        <v>43931</v>
      </c>
      <c r="C15" s="61">
        <v>0</v>
      </c>
      <c r="D15" s="61">
        <f t="shared" si="1"/>
        <v>24</v>
      </c>
      <c r="E15" s="59">
        <v>0</v>
      </c>
      <c r="F15" s="59">
        <f t="shared" si="0"/>
        <v>24</v>
      </c>
      <c r="G15" s="59">
        <v>4</v>
      </c>
    </row>
    <row r="16" spans="1:7" x14ac:dyDescent="0.2">
      <c r="A16" s="58">
        <v>13</v>
      </c>
      <c r="B16" s="60">
        <v>43932</v>
      </c>
      <c r="C16" s="61">
        <v>0</v>
      </c>
      <c r="D16" s="61">
        <f>D15+C16</f>
        <v>24</v>
      </c>
      <c r="E16" s="59">
        <v>0</v>
      </c>
      <c r="F16" s="59">
        <f>D16-E16</f>
        <v>24</v>
      </c>
      <c r="G16" s="59">
        <v>5</v>
      </c>
    </row>
    <row r="17" spans="1:7" x14ac:dyDescent="0.2">
      <c r="A17" s="58">
        <v>14</v>
      </c>
      <c r="B17" s="60">
        <v>43933</v>
      </c>
      <c r="C17" s="61">
        <v>0</v>
      </c>
      <c r="D17" s="61">
        <f>D16+C17</f>
        <v>24</v>
      </c>
      <c r="E17" s="59">
        <v>0</v>
      </c>
      <c r="F17" s="59">
        <f>D17-E17</f>
        <v>24</v>
      </c>
      <c r="G17" s="59">
        <v>6</v>
      </c>
    </row>
    <row r="18" spans="1:7" x14ac:dyDescent="0.2">
      <c r="A18" s="58">
        <v>15</v>
      </c>
      <c r="B18" s="60">
        <v>43934</v>
      </c>
      <c r="C18" s="61">
        <v>0</v>
      </c>
      <c r="D18" s="61">
        <f t="shared" ref="D18:D20" si="2">D17+C18</f>
        <v>24</v>
      </c>
      <c r="E18" s="59">
        <v>0</v>
      </c>
      <c r="F18" s="59">
        <f t="shared" si="0"/>
        <v>24</v>
      </c>
      <c r="G18" s="59">
        <v>7</v>
      </c>
    </row>
    <row r="19" spans="1:7" x14ac:dyDescent="0.2">
      <c r="A19" s="58">
        <v>16</v>
      </c>
      <c r="B19" s="60">
        <v>43935</v>
      </c>
      <c r="C19" s="61">
        <v>0</v>
      </c>
      <c r="D19" s="61">
        <f t="shared" si="2"/>
        <v>24</v>
      </c>
      <c r="E19" s="59">
        <v>0</v>
      </c>
      <c r="F19" s="59">
        <f>D19-E19</f>
        <v>24</v>
      </c>
      <c r="G19" s="59">
        <v>0</v>
      </c>
    </row>
    <row r="20" spans="1:7" x14ac:dyDescent="0.2">
      <c r="A20" s="58">
        <v>17</v>
      </c>
      <c r="B20" s="60">
        <v>43936</v>
      </c>
      <c r="C20" s="61">
        <v>0</v>
      </c>
      <c r="D20" s="61">
        <f t="shared" si="2"/>
        <v>24</v>
      </c>
      <c r="E20" s="59">
        <v>0</v>
      </c>
      <c r="F20" s="59">
        <f>D20-E20</f>
        <v>24</v>
      </c>
      <c r="G20" s="59">
        <v>0</v>
      </c>
    </row>
    <row r="21" spans="1:7" x14ac:dyDescent="0.2">
      <c r="A21" s="58">
        <v>18</v>
      </c>
      <c r="B21" s="60">
        <v>43937</v>
      </c>
      <c r="C21" s="61">
        <v>37</v>
      </c>
      <c r="D21" s="61">
        <f>D11+C21</f>
        <v>61</v>
      </c>
      <c r="E21" s="59">
        <v>0</v>
      </c>
      <c r="F21" s="59">
        <f t="shared" si="0"/>
        <v>61</v>
      </c>
      <c r="G21" s="59">
        <v>0</v>
      </c>
    </row>
    <row r="22" spans="1:7" x14ac:dyDescent="0.2">
      <c r="A22" s="58">
        <v>19</v>
      </c>
      <c r="B22" s="60">
        <v>43938</v>
      </c>
      <c r="C22" s="61">
        <v>18</v>
      </c>
      <c r="D22" s="61">
        <f t="shared" si="1"/>
        <v>79</v>
      </c>
      <c r="E22" s="59">
        <v>0</v>
      </c>
      <c r="F22" s="59">
        <f t="shared" si="0"/>
        <v>79</v>
      </c>
      <c r="G22" s="59">
        <v>0</v>
      </c>
    </row>
    <row r="23" spans="1:7" x14ac:dyDescent="0.2">
      <c r="A23" s="58">
        <v>20</v>
      </c>
      <c r="B23" s="60">
        <v>43939</v>
      </c>
      <c r="C23" s="61">
        <v>16</v>
      </c>
      <c r="D23" s="61">
        <f t="shared" si="1"/>
        <v>95</v>
      </c>
      <c r="E23" s="59">
        <v>0</v>
      </c>
      <c r="F23" s="59">
        <f t="shared" si="0"/>
        <v>95</v>
      </c>
      <c r="G23" s="59">
        <v>0</v>
      </c>
    </row>
    <row r="24" spans="1:7" x14ac:dyDescent="0.2">
      <c r="A24" s="58">
        <v>21</v>
      </c>
      <c r="B24" s="60">
        <v>43940</v>
      </c>
      <c r="C24" s="61">
        <v>16</v>
      </c>
      <c r="D24" s="61">
        <v>95</v>
      </c>
      <c r="E24" s="59">
        <v>0</v>
      </c>
      <c r="F24" s="59">
        <v>95</v>
      </c>
      <c r="G24" s="59">
        <v>0</v>
      </c>
    </row>
    <row r="25" spans="1:7" x14ac:dyDescent="0.2">
      <c r="A25" s="58">
        <v>22</v>
      </c>
      <c r="B25" s="60">
        <v>43941</v>
      </c>
      <c r="C25" s="61">
        <v>2</v>
      </c>
      <c r="D25" s="61">
        <f>D23+C25</f>
        <v>97</v>
      </c>
      <c r="E25" s="59">
        <v>0</v>
      </c>
      <c r="F25" s="59">
        <f t="shared" si="0"/>
        <v>97</v>
      </c>
      <c r="G25" s="59">
        <v>0</v>
      </c>
    </row>
    <row r="26" spans="1:7" x14ac:dyDescent="0.2">
      <c r="A26" s="58">
        <v>23</v>
      </c>
      <c r="B26" s="60">
        <v>43942</v>
      </c>
      <c r="C26" s="61">
        <v>2</v>
      </c>
      <c r="D26" s="61">
        <v>97</v>
      </c>
      <c r="E26" s="59">
        <v>0</v>
      </c>
      <c r="F26" s="59">
        <v>97</v>
      </c>
      <c r="G26" s="59">
        <v>0</v>
      </c>
    </row>
    <row r="27" spans="1:7" x14ac:dyDescent="0.2">
      <c r="A27" s="58">
        <v>24</v>
      </c>
      <c r="B27" s="60">
        <v>43943</v>
      </c>
      <c r="C27" s="61">
        <v>17</v>
      </c>
      <c r="D27" s="61">
        <f>D25+C27</f>
        <v>114</v>
      </c>
      <c r="E27" s="59">
        <v>0</v>
      </c>
      <c r="F27" s="59">
        <f t="shared" si="0"/>
        <v>114</v>
      </c>
      <c r="G27" s="59">
        <v>0</v>
      </c>
    </row>
    <row r="28" spans="1:7" x14ac:dyDescent="0.2">
      <c r="A28" s="58">
        <v>25</v>
      </c>
      <c r="B28" s="60">
        <v>43944</v>
      </c>
      <c r="C28" s="61">
        <v>12</v>
      </c>
      <c r="D28" s="61">
        <f t="shared" si="1"/>
        <v>126</v>
      </c>
      <c r="E28" s="59">
        <v>0</v>
      </c>
      <c r="F28" s="59">
        <f t="shared" si="0"/>
        <v>126</v>
      </c>
      <c r="G28" s="59">
        <v>0</v>
      </c>
    </row>
    <row r="29" spans="1:7" x14ac:dyDescent="0.2">
      <c r="A29" s="58">
        <v>26</v>
      </c>
      <c r="B29" s="60">
        <v>43945</v>
      </c>
      <c r="C29" s="61">
        <v>4</v>
      </c>
      <c r="D29" s="61">
        <f t="shared" si="1"/>
        <v>130</v>
      </c>
      <c r="E29" s="59">
        <v>0</v>
      </c>
      <c r="F29" s="59">
        <f t="shared" si="0"/>
        <v>130</v>
      </c>
      <c r="G29" s="59">
        <v>0</v>
      </c>
    </row>
    <row r="30" spans="1:7" x14ac:dyDescent="0.2">
      <c r="A30" s="58">
        <v>27</v>
      </c>
      <c r="B30" s="60">
        <v>43946</v>
      </c>
      <c r="C30" s="61">
        <v>35</v>
      </c>
      <c r="D30" s="61">
        <f t="shared" si="1"/>
        <v>165</v>
      </c>
      <c r="E30" s="59">
        <v>0</v>
      </c>
      <c r="F30" s="59">
        <f t="shared" si="0"/>
        <v>165</v>
      </c>
      <c r="G30" s="59">
        <v>0</v>
      </c>
    </row>
    <row r="31" spans="1:7" x14ac:dyDescent="0.2">
      <c r="A31" s="58">
        <v>28</v>
      </c>
      <c r="B31" s="60">
        <v>43947</v>
      </c>
      <c r="C31" s="61">
        <v>4</v>
      </c>
      <c r="D31" s="61">
        <f t="shared" si="1"/>
        <v>169</v>
      </c>
      <c r="E31" s="59">
        <v>0</v>
      </c>
      <c r="F31" s="59">
        <f t="shared" si="0"/>
        <v>169</v>
      </c>
      <c r="G31" s="59">
        <v>0</v>
      </c>
    </row>
    <row r="32" spans="1:7" x14ac:dyDescent="0.2">
      <c r="A32" s="58">
        <v>29</v>
      </c>
      <c r="B32" s="60">
        <v>43948</v>
      </c>
      <c r="C32" s="61">
        <v>0</v>
      </c>
      <c r="D32" s="61">
        <v>169</v>
      </c>
      <c r="E32" s="59">
        <v>0</v>
      </c>
      <c r="F32" s="59">
        <v>169</v>
      </c>
      <c r="G32" s="59">
        <v>0</v>
      </c>
    </row>
    <row r="33" spans="1:7" x14ac:dyDescent="0.2">
      <c r="A33" s="58">
        <v>30</v>
      </c>
      <c r="B33" s="60">
        <v>43949</v>
      </c>
      <c r="C33" s="61">
        <v>17</v>
      </c>
      <c r="D33" s="61">
        <f>D31+C33</f>
        <v>186</v>
      </c>
      <c r="E33" s="59">
        <v>0</v>
      </c>
      <c r="F33" s="59">
        <f t="shared" si="0"/>
        <v>186</v>
      </c>
      <c r="G33" s="59">
        <v>0</v>
      </c>
    </row>
    <row r="34" spans="1:7" x14ac:dyDescent="0.2">
      <c r="A34" s="58">
        <v>31</v>
      </c>
      <c r="B34" s="60">
        <v>43950</v>
      </c>
      <c r="C34" s="61">
        <v>0</v>
      </c>
      <c r="D34" s="61">
        <v>186</v>
      </c>
      <c r="E34" s="59">
        <v>0</v>
      </c>
      <c r="F34" s="59">
        <v>186</v>
      </c>
      <c r="G34" s="59">
        <v>0</v>
      </c>
    </row>
    <row r="35" spans="1:7" x14ac:dyDescent="0.2">
      <c r="A35" s="58">
        <v>32</v>
      </c>
      <c r="B35" s="60">
        <v>43951</v>
      </c>
      <c r="C35" s="61">
        <v>0</v>
      </c>
      <c r="D35" s="61">
        <v>186</v>
      </c>
      <c r="E35" s="59">
        <v>0</v>
      </c>
      <c r="F35" s="59">
        <v>186</v>
      </c>
      <c r="G35" s="59">
        <v>0</v>
      </c>
    </row>
    <row r="36" spans="1:7" x14ac:dyDescent="0.2">
      <c r="A36" s="58">
        <v>33</v>
      </c>
      <c r="B36" s="60">
        <v>43952</v>
      </c>
      <c r="C36" s="61">
        <v>0</v>
      </c>
      <c r="D36" s="61">
        <v>186</v>
      </c>
      <c r="E36" s="59">
        <v>0</v>
      </c>
      <c r="F36" s="59">
        <v>187</v>
      </c>
      <c r="G36" s="59">
        <v>0</v>
      </c>
    </row>
    <row r="37" spans="1:7" x14ac:dyDescent="0.2">
      <c r="A37" s="58">
        <v>34</v>
      </c>
      <c r="B37" s="60">
        <v>43953</v>
      </c>
      <c r="C37" s="61">
        <v>11</v>
      </c>
      <c r="D37" s="61">
        <f>D33+C37</f>
        <v>197</v>
      </c>
      <c r="E37" s="59">
        <v>0</v>
      </c>
      <c r="F37" s="59">
        <f t="shared" si="0"/>
        <v>197</v>
      </c>
      <c r="G37" s="59">
        <v>0</v>
      </c>
    </row>
    <row r="38" spans="1:7" x14ac:dyDescent="0.2">
      <c r="A38" s="58">
        <v>35</v>
      </c>
      <c r="B38" s="60">
        <v>43954</v>
      </c>
      <c r="C38" s="61">
        <v>0</v>
      </c>
      <c r="D38" s="61">
        <v>197</v>
      </c>
      <c r="E38" s="59">
        <v>0</v>
      </c>
      <c r="F38" s="59">
        <v>197</v>
      </c>
      <c r="G38" s="59">
        <v>0</v>
      </c>
    </row>
    <row r="39" spans="1:7" x14ac:dyDescent="0.2">
      <c r="A39" s="58">
        <v>36</v>
      </c>
      <c r="B39" s="60">
        <v>43955</v>
      </c>
      <c r="C39" s="61">
        <v>7</v>
      </c>
      <c r="D39" s="61">
        <f>D37+C39</f>
        <v>204</v>
      </c>
      <c r="E39" s="59">
        <v>0</v>
      </c>
      <c r="F39" s="59">
        <f t="shared" si="0"/>
        <v>204</v>
      </c>
      <c r="G39" s="59">
        <v>0</v>
      </c>
    </row>
    <row r="40" spans="1:7" x14ac:dyDescent="0.2">
      <c r="A40" s="58">
        <v>37</v>
      </c>
      <c r="B40" s="60">
        <v>43956</v>
      </c>
      <c r="C40" s="61">
        <v>17</v>
      </c>
      <c r="D40" s="61">
        <f t="shared" si="1"/>
        <v>221</v>
      </c>
      <c r="E40" s="59">
        <v>0</v>
      </c>
      <c r="F40" s="59">
        <f t="shared" si="0"/>
        <v>221</v>
      </c>
      <c r="G40" s="59">
        <v>0</v>
      </c>
    </row>
    <row r="41" spans="1:7" x14ac:dyDescent="0.2">
      <c r="A41" s="58">
        <v>38</v>
      </c>
      <c r="B41" s="60">
        <v>43957</v>
      </c>
      <c r="C41" s="61">
        <v>0</v>
      </c>
      <c r="D41" s="61">
        <v>221</v>
      </c>
      <c r="E41" s="59">
        <v>0</v>
      </c>
      <c r="F41" s="59">
        <v>221</v>
      </c>
      <c r="G41" s="59">
        <v>0</v>
      </c>
    </row>
    <row r="42" spans="1:7" x14ac:dyDescent="0.2">
      <c r="A42" s="58">
        <v>39</v>
      </c>
      <c r="B42" s="60">
        <v>43958</v>
      </c>
      <c r="C42" s="61">
        <v>9</v>
      </c>
      <c r="D42" s="61">
        <f>D40+C42</f>
        <v>230</v>
      </c>
      <c r="E42" s="59">
        <v>0</v>
      </c>
      <c r="F42" s="59">
        <f t="shared" si="0"/>
        <v>230</v>
      </c>
      <c r="G42" s="59">
        <v>0</v>
      </c>
    </row>
    <row r="43" spans="1:7" x14ac:dyDescent="0.2">
      <c r="A43" s="58">
        <v>40</v>
      </c>
      <c r="B43" s="60">
        <v>43959</v>
      </c>
      <c r="C43" s="61">
        <v>0</v>
      </c>
      <c r="D43" s="61">
        <v>230</v>
      </c>
      <c r="E43" s="59">
        <v>0</v>
      </c>
      <c r="F43" s="59">
        <f t="shared" si="0"/>
        <v>230</v>
      </c>
      <c r="G43" s="59">
        <v>0</v>
      </c>
    </row>
    <row r="44" spans="1:7" x14ac:dyDescent="0.2">
      <c r="A44" s="58">
        <v>41</v>
      </c>
      <c r="B44" s="60">
        <v>43960</v>
      </c>
      <c r="C44" s="61">
        <v>26</v>
      </c>
      <c r="D44" s="61">
        <v>230</v>
      </c>
      <c r="E44" s="59">
        <v>0</v>
      </c>
      <c r="F44" s="59">
        <f t="shared" si="0"/>
        <v>230</v>
      </c>
      <c r="G44" s="59">
        <v>0</v>
      </c>
    </row>
    <row r="45" spans="1:7" x14ac:dyDescent="0.2">
      <c r="A45" s="58">
        <v>42</v>
      </c>
      <c r="B45" s="60">
        <v>43961</v>
      </c>
      <c r="C45" s="61">
        <v>0</v>
      </c>
      <c r="D45" s="61">
        <v>256</v>
      </c>
      <c r="E45" s="59">
        <v>0</v>
      </c>
      <c r="F45" s="59">
        <f t="shared" si="0"/>
        <v>256</v>
      </c>
      <c r="G45" s="59">
        <v>0</v>
      </c>
    </row>
    <row r="46" spans="1:7" x14ac:dyDescent="0.2">
      <c r="A46" s="58">
        <v>43</v>
      </c>
      <c r="B46" s="60">
        <v>43962</v>
      </c>
      <c r="C46" s="61">
        <v>0</v>
      </c>
      <c r="D46" s="61">
        <f>SUM(C4:C46)</f>
        <v>274</v>
      </c>
      <c r="E46" s="59">
        <v>67</v>
      </c>
      <c r="F46" s="59">
        <f>D46-E46</f>
        <v>207</v>
      </c>
      <c r="G46" s="59">
        <v>0</v>
      </c>
    </row>
    <row r="47" spans="1:7" x14ac:dyDescent="0.2">
      <c r="A47" s="58">
        <v>44</v>
      </c>
      <c r="B47" s="60">
        <v>43963</v>
      </c>
      <c r="C47" s="61">
        <v>0</v>
      </c>
      <c r="D47" s="61">
        <v>256</v>
      </c>
      <c r="E47" s="59">
        <v>67</v>
      </c>
      <c r="F47" s="59">
        <v>189</v>
      </c>
      <c r="G47" s="59">
        <v>0</v>
      </c>
    </row>
    <row r="48" spans="1:7" x14ac:dyDescent="0.2">
      <c r="A48" s="58">
        <v>45</v>
      </c>
      <c r="B48" s="60">
        <v>43964</v>
      </c>
      <c r="C48" s="62">
        <v>8</v>
      </c>
      <c r="D48" s="62">
        <v>264</v>
      </c>
      <c r="E48" s="59">
        <v>34</v>
      </c>
      <c r="F48" s="59">
        <v>163</v>
      </c>
      <c r="G48" s="59">
        <v>0</v>
      </c>
    </row>
    <row r="49" spans="1:7" x14ac:dyDescent="0.2">
      <c r="A49" s="58">
        <v>46</v>
      </c>
      <c r="B49" s="60">
        <v>43965</v>
      </c>
      <c r="C49" s="62">
        <v>0</v>
      </c>
      <c r="D49" s="62">
        <v>264</v>
      </c>
      <c r="E49" s="59">
        <v>9</v>
      </c>
      <c r="F49" s="59">
        <v>154</v>
      </c>
      <c r="G49" s="59">
        <v>110</v>
      </c>
    </row>
    <row r="50" spans="1:7" x14ac:dyDescent="0.2">
      <c r="A50" s="58">
        <v>47</v>
      </c>
      <c r="B50" s="60">
        <v>43966</v>
      </c>
      <c r="C50" s="62">
        <v>12</v>
      </c>
      <c r="D50" s="62">
        <v>276</v>
      </c>
      <c r="E50" s="59">
        <v>0</v>
      </c>
      <c r="F50" s="59">
        <f>F49+C50</f>
        <v>166</v>
      </c>
      <c r="G50" s="59">
        <v>110</v>
      </c>
    </row>
    <row r="51" spans="1:7" x14ac:dyDescent="0.2">
      <c r="A51" s="58">
        <v>48</v>
      </c>
      <c r="B51" s="60">
        <v>43967</v>
      </c>
      <c r="C51" s="62">
        <v>2</v>
      </c>
      <c r="D51" s="62">
        <v>278</v>
      </c>
      <c r="E51" s="59">
        <v>9</v>
      </c>
      <c r="F51" s="59">
        <v>159</v>
      </c>
      <c r="G51" s="59">
        <v>119</v>
      </c>
    </row>
    <row r="52" spans="1:7" x14ac:dyDescent="0.2">
      <c r="A52" s="58">
        <v>49</v>
      </c>
      <c r="B52" s="60">
        <v>43968</v>
      </c>
      <c r="C52" s="62">
        <v>0</v>
      </c>
      <c r="D52" s="62">
        <v>278</v>
      </c>
      <c r="E52" s="59">
        <v>0</v>
      </c>
      <c r="F52" s="59">
        <v>159</v>
      </c>
      <c r="G52" s="59">
        <v>119</v>
      </c>
    </row>
    <row r="53" spans="1:7" x14ac:dyDescent="0.2">
      <c r="A53" s="58">
        <v>50</v>
      </c>
      <c r="B53" s="60">
        <v>43969</v>
      </c>
      <c r="C53" s="62">
        <v>0</v>
      </c>
      <c r="D53" s="62">
        <v>278</v>
      </c>
      <c r="E53" s="59">
        <v>5</v>
      </c>
      <c r="F53" s="59">
        <v>154</v>
      </c>
      <c r="G53" s="59">
        <v>124</v>
      </c>
    </row>
    <row r="54" spans="1:7" x14ac:dyDescent="0.2">
      <c r="A54" s="58">
        <v>51</v>
      </c>
      <c r="B54" s="60">
        <v>43970</v>
      </c>
      <c r="C54" s="62">
        <v>20</v>
      </c>
      <c r="D54" s="62">
        <v>298</v>
      </c>
      <c r="E54" s="59">
        <v>22</v>
      </c>
      <c r="F54" s="59">
        <v>152</v>
      </c>
      <c r="G54" s="59">
        <v>146</v>
      </c>
    </row>
    <row r="55" spans="1:7" x14ac:dyDescent="0.2">
      <c r="A55" s="58">
        <v>52</v>
      </c>
      <c r="B55" s="60">
        <v>43971</v>
      </c>
      <c r="C55" s="62">
        <v>41</v>
      </c>
      <c r="D55" s="62">
        <f>D54+C55</f>
        <v>339</v>
      </c>
      <c r="E55" s="59">
        <v>16</v>
      </c>
      <c r="F55" s="59">
        <v>177</v>
      </c>
      <c r="G55" s="59">
        <f>G54+E55</f>
        <v>162</v>
      </c>
    </row>
    <row r="56" spans="1:7" x14ac:dyDescent="0.2">
      <c r="A56" s="58">
        <v>53</v>
      </c>
      <c r="B56" s="60">
        <v>43972</v>
      </c>
      <c r="C56" s="62">
        <v>0</v>
      </c>
      <c r="D56" s="62">
        <f>D55+C56</f>
        <v>339</v>
      </c>
      <c r="E56" s="59">
        <v>6</v>
      </c>
      <c r="F56" s="59">
        <v>171</v>
      </c>
      <c r="G56" s="59">
        <v>168</v>
      </c>
    </row>
    <row r="57" spans="1:7" x14ac:dyDescent="0.2">
      <c r="A57" s="58">
        <v>54</v>
      </c>
      <c r="B57" s="60">
        <v>43973</v>
      </c>
      <c r="C57" s="62">
        <v>55</v>
      </c>
      <c r="D57" s="62">
        <f t="shared" ref="D57" si="3">D56+C57</f>
        <v>394</v>
      </c>
      <c r="E57" s="59">
        <v>2</v>
      </c>
      <c r="F57" s="59">
        <v>224</v>
      </c>
      <c r="G57" s="59">
        <v>170</v>
      </c>
    </row>
    <row r="58" spans="1:7" x14ac:dyDescent="0.2">
      <c r="A58" s="58">
        <v>55</v>
      </c>
      <c r="B58" s="60">
        <v>43974</v>
      </c>
      <c r="C58" s="62">
        <v>76</v>
      </c>
      <c r="D58" s="62">
        <v>670</v>
      </c>
      <c r="E58" s="59">
        <v>0</v>
      </c>
      <c r="F58" s="59">
        <v>500</v>
      </c>
      <c r="G58" s="59">
        <v>170</v>
      </c>
    </row>
    <row r="59" spans="1:7" x14ac:dyDescent="0.2">
      <c r="A59" s="58">
        <v>56</v>
      </c>
      <c r="B59" s="60">
        <v>43975</v>
      </c>
      <c r="C59" s="62">
        <v>87</v>
      </c>
      <c r="D59" s="62">
        <v>757</v>
      </c>
      <c r="E59" s="59">
        <v>0</v>
      </c>
      <c r="F59" s="59">
        <v>587</v>
      </c>
      <c r="G59" s="59">
        <v>170</v>
      </c>
    </row>
    <row r="60" spans="1:7" x14ac:dyDescent="0.2">
      <c r="A60" s="58">
        <v>57</v>
      </c>
      <c r="B60" s="60">
        <v>43976</v>
      </c>
      <c r="C60" s="62">
        <v>0</v>
      </c>
      <c r="D60" s="62">
        <v>757</v>
      </c>
      <c r="E60" s="59">
        <v>25</v>
      </c>
      <c r="F60" s="59">
        <v>562</v>
      </c>
      <c r="G60" s="59">
        <v>195</v>
      </c>
    </row>
    <row r="61" spans="1:7" x14ac:dyDescent="0.2">
      <c r="A61" s="58">
        <v>58</v>
      </c>
      <c r="B61" s="60">
        <v>43977</v>
      </c>
      <c r="C61" s="62">
        <v>0</v>
      </c>
      <c r="D61" s="62">
        <v>757</v>
      </c>
      <c r="E61" s="59">
        <v>283</v>
      </c>
      <c r="F61" s="59">
        <v>279</v>
      </c>
      <c r="G61" s="59">
        <v>478</v>
      </c>
    </row>
    <row r="62" spans="1:7" x14ac:dyDescent="0.2">
      <c r="A62" s="58">
        <v>59</v>
      </c>
      <c r="B62" s="60">
        <v>43978</v>
      </c>
      <c r="C62" s="62">
        <v>17</v>
      </c>
      <c r="D62" s="62">
        <f>D61+C62</f>
        <v>774</v>
      </c>
      <c r="E62" s="59">
        <v>2</v>
      </c>
      <c r="F62" s="59">
        <f t="shared" ref="F62:F120" si="4">F61+C62-E62</f>
        <v>294</v>
      </c>
      <c r="G62" s="59">
        <f>G61+E62</f>
        <v>480</v>
      </c>
    </row>
    <row r="63" spans="1:7" x14ac:dyDescent="0.2">
      <c r="A63" s="58">
        <v>60</v>
      </c>
      <c r="B63" s="60">
        <v>43979</v>
      </c>
      <c r="C63" s="62">
        <v>6</v>
      </c>
      <c r="D63" s="62">
        <f>D62+C63</f>
        <v>780</v>
      </c>
      <c r="E63" s="59">
        <v>5</v>
      </c>
      <c r="F63" s="59">
        <f>F62+C63-E63</f>
        <v>295</v>
      </c>
      <c r="G63" s="59">
        <v>485</v>
      </c>
    </row>
    <row r="64" spans="1:7" x14ac:dyDescent="0.2">
      <c r="A64" s="58">
        <v>61</v>
      </c>
      <c r="B64" s="60">
        <v>43980</v>
      </c>
      <c r="C64" s="62">
        <v>1</v>
      </c>
      <c r="D64" s="62">
        <v>781</v>
      </c>
      <c r="E64" s="59">
        <v>7</v>
      </c>
      <c r="F64" s="59">
        <f t="shared" si="4"/>
        <v>289</v>
      </c>
      <c r="G64" s="59">
        <f t="shared" ref="G64:G120" si="5">G63+E64</f>
        <v>492</v>
      </c>
    </row>
    <row r="65" spans="1:7" x14ac:dyDescent="0.2">
      <c r="A65" s="58">
        <v>62</v>
      </c>
      <c r="B65" s="60">
        <v>43981</v>
      </c>
      <c r="C65" s="59">
        <v>31</v>
      </c>
      <c r="D65" s="59">
        <f t="shared" ref="D65:D120" si="6">D64+C65</f>
        <v>812</v>
      </c>
      <c r="E65" s="59">
        <v>39</v>
      </c>
      <c r="F65" s="59">
        <f t="shared" si="4"/>
        <v>281</v>
      </c>
      <c r="G65" s="59">
        <f t="shared" si="5"/>
        <v>531</v>
      </c>
    </row>
    <row r="66" spans="1:7" x14ac:dyDescent="0.2">
      <c r="A66" s="58">
        <v>63</v>
      </c>
      <c r="B66" s="60">
        <v>43982</v>
      </c>
      <c r="C66" s="59">
        <v>6</v>
      </c>
      <c r="D66" s="59">
        <f t="shared" si="6"/>
        <v>818</v>
      </c>
      <c r="E66" s="59">
        <v>0</v>
      </c>
      <c r="F66" s="59">
        <f t="shared" si="4"/>
        <v>287</v>
      </c>
      <c r="G66" s="59">
        <f t="shared" si="5"/>
        <v>531</v>
      </c>
    </row>
    <row r="67" spans="1:7" x14ac:dyDescent="0.2">
      <c r="A67" s="58">
        <v>64</v>
      </c>
      <c r="B67" s="60">
        <v>43983</v>
      </c>
      <c r="C67" s="59">
        <v>0</v>
      </c>
      <c r="D67" s="59">
        <f t="shared" si="6"/>
        <v>818</v>
      </c>
      <c r="E67" s="59">
        <v>4</v>
      </c>
      <c r="F67" s="59">
        <f t="shared" si="4"/>
        <v>283</v>
      </c>
      <c r="G67" s="59">
        <f t="shared" si="5"/>
        <v>535</v>
      </c>
    </row>
    <row r="68" spans="1:7" x14ac:dyDescent="0.2">
      <c r="A68" s="58">
        <v>65</v>
      </c>
      <c r="B68" s="60">
        <v>43984</v>
      </c>
      <c r="C68" s="59">
        <v>3</v>
      </c>
      <c r="D68" s="59">
        <f t="shared" si="6"/>
        <v>821</v>
      </c>
      <c r="E68" s="59">
        <v>1</v>
      </c>
      <c r="F68" s="59">
        <f t="shared" si="4"/>
        <v>285</v>
      </c>
      <c r="G68" s="59">
        <f t="shared" si="5"/>
        <v>536</v>
      </c>
    </row>
    <row r="69" spans="1:7" x14ac:dyDescent="0.2">
      <c r="A69" s="58">
        <v>66</v>
      </c>
      <c r="B69" s="60">
        <v>43985</v>
      </c>
      <c r="C69" s="59">
        <v>0</v>
      </c>
      <c r="D69" s="59">
        <f t="shared" si="6"/>
        <v>821</v>
      </c>
      <c r="E69" s="59">
        <v>0</v>
      </c>
      <c r="F69" s="59">
        <f t="shared" si="4"/>
        <v>285</v>
      </c>
      <c r="G69" s="59">
        <f t="shared" si="5"/>
        <v>536</v>
      </c>
    </row>
    <row r="70" spans="1:7" x14ac:dyDescent="0.2">
      <c r="A70" s="58">
        <v>67</v>
      </c>
      <c r="B70" s="60">
        <v>43986</v>
      </c>
      <c r="C70" s="59">
        <v>18</v>
      </c>
      <c r="D70" s="59">
        <f t="shared" si="6"/>
        <v>839</v>
      </c>
      <c r="E70" s="59">
        <v>0</v>
      </c>
      <c r="F70" s="59">
        <f t="shared" si="4"/>
        <v>303</v>
      </c>
      <c r="G70" s="59">
        <f t="shared" si="5"/>
        <v>536</v>
      </c>
    </row>
    <row r="71" spans="1:7" x14ac:dyDescent="0.2">
      <c r="A71" s="58">
        <v>68</v>
      </c>
      <c r="B71" s="60">
        <v>43987</v>
      </c>
      <c r="C71" s="59">
        <v>0</v>
      </c>
      <c r="D71" s="59">
        <f t="shared" si="6"/>
        <v>839</v>
      </c>
      <c r="E71" s="59">
        <v>0</v>
      </c>
      <c r="F71" s="59">
        <f t="shared" si="4"/>
        <v>303</v>
      </c>
      <c r="G71" s="59">
        <f t="shared" si="5"/>
        <v>536</v>
      </c>
    </row>
    <row r="72" spans="1:7" x14ac:dyDescent="0.2">
      <c r="A72" s="58">
        <v>69</v>
      </c>
      <c r="B72" s="60">
        <v>43988</v>
      </c>
      <c r="C72" s="59">
        <v>0</v>
      </c>
      <c r="D72" s="59">
        <f t="shared" si="6"/>
        <v>839</v>
      </c>
      <c r="E72" s="59">
        <v>5</v>
      </c>
      <c r="F72" s="59">
        <f t="shared" si="4"/>
        <v>298</v>
      </c>
      <c r="G72" s="59">
        <f t="shared" si="5"/>
        <v>541</v>
      </c>
    </row>
    <row r="73" spans="1:7" x14ac:dyDescent="0.2">
      <c r="A73" s="58">
        <v>70</v>
      </c>
      <c r="B73" s="60">
        <v>43989</v>
      </c>
      <c r="C73" s="59">
        <v>0</v>
      </c>
      <c r="D73" s="59">
        <f t="shared" si="6"/>
        <v>839</v>
      </c>
      <c r="E73" s="59">
        <v>4</v>
      </c>
      <c r="F73" s="59">
        <f t="shared" si="4"/>
        <v>294</v>
      </c>
      <c r="G73" s="59">
        <f t="shared" si="5"/>
        <v>545</v>
      </c>
    </row>
    <row r="74" spans="1:7" x14ac:dyDescent="0.2">
      <c r="A74" s="58">
        <v>71</v>
      </c>
      <c r="B74" s="60">
        <v>43990</v>
      </c>
      <c r="C74" s="59">
        <v>0</v>
      </c>
      <c r="D74" s="59">
        <f t="shared" si="6"/>
        <v>839</v>
      </c>
      <c r="E74" s="59">
        <v>0</v>
      </c>
      <c r="F74" s="59">
        <f t="shared" si="4"/>
        <v>294</v>
      </c>
      <c r="G74" s="59">
        <f t="shared" si="5"/>
        <v>545</v>
      </c>
    </row>
    <row r="75" spans="1:7" x14ac:dyDescent="0.2">
      <c r="A75" s="58">
        <v>72</v>
      </c>
      <c r="B75" s="60">
        <v>43991</v>
      </c>
      <c r="C75" s="59">
        <v>0</v>
      </c>
      <c r="D75" s="59">
        <f t="shared" si="6"/>
        <v>839</v>
      </c>
      <c r="E75" s="59">
        <v>12</v>
      </c>
      <c r="F75" s="59">
        <f t="shared" si="4"/>
        <v>282</v>
      </c>
      <c r="G75" s="59">
        <f t="shared" si="5"/>
        <v>557</v>
      </c>
    </row>
    <row r="76" spans="1:7" x14ac:dyDescent="0.2">
      <c r="A76" s="58">
        <v>73</v>
      </c>
      <c r="B76" s="60">
        <v>43992</v>
      </c>
      <c r="C76" s="59">
        <v>0</v>
      </c>
      <c r="D76" s="59">
        <f t="shared" si="6"/>
        <v>839</v>
      </c>
      <c r="E76" s="59">
        <v>0</v>
      </c>
      <c r="F76" s="59">
        <f t="shared" si="4"/>
        <v>282</v>
      </c>
      <c r="G76" s="59">
        <f t="shared" si="5"/>
        <v>557</v>
      </c>
    </row>
    <row r="77" spans="1:7" x14ac:dyDescent="0.2">
      <c r="A77" s="58">
        <v>74</v>
      </c>
      <c r="B77" s="60">
        <v>43993</v>
      </c>
      <c r="C77" s="59">
        <v>0</v>
      </c>
      <c r="D77" s="59">
        <f t="shared" si="6"/>
        <v>839</v>
      </c>
      <c r="E77" s="59">
        <v>0</v>
      </c>
      <c r="F77" s="59">
        <f t="shared" si="4"/>
        <v>282</v>
      </c>
      <c r="G77" s="59">
        <f t="shared" si="5"/>
        <v>557</v>
      </c>
    </row>
    <row r="78" spans="1:7" x14ac:dyDescent="0.2">
      <c r="A78" s="58">
        <v>75</v>
      </c>
      <c r="B78" s="60">
        <v>43994</v>
      </c>
      <c r="C78" s="59">
        <v>0</v>
      </c>
      <c r="D78" s="59">
        <f t="shared" si="6"/>
        <v>839</v>
      </c>
      <c r="E78" s="59">
        <v>2</v>
      </c>
      <c r="F78" s="59">
        <f t="shared" si="4"/>
        <v>280</v>
      </c>
      <c r="G78" s="59">
        <f t="shared" si="5"/>
        <v>559</v>
      </c>
    </row>
    <row r="79" spans="1:7" x14ac:dyDescent="0.2">
      <c r="A79" s="58">
        <v>76</v>
      </c>
      <c r="B79" s="60">
        <v>43995</v>
      </c>
      <c r="C79" s="59">
        <v>0</v>
      </c>
      <c r="D79" s="59">
        <f t="shared" si="6"/>
        <v>839</v>
      </c>
      <c r="E79" s="59">
        <v>0</v>
      </c>
      <c r="F79" s="59">
        <f t="shared" si="4"/>
        <v>280</v>
      </c>
      <c r="G79" s="59">
        <f t="shared" si="5"/>
        <v>559</v>
      </c>
    </row>
    <row r="80" spans="1:7" x14ac:dyDescent="0.2">
      <c r="A80" s="58">
        <v>77</v>
      </c>
      <c r="B80" s="60">
        <v>43996</v>
      </c>
      <c r="C80" s="59">
        <v>0</v>
      </c>
      <c r="D80" s="59">
        <f t="shared" si="6"/>
        <v>839</v>
      </c>
      <c r="E80" s="59">
        <v>6</v>
      </c>
      <c r="F80" s="59">
        <f t="shared" si="4"/>
        <v>274</v>
      </c>
      <c r="G80" s="59">
        <f t="shared" si="5"/>
        <v>565</v>
      </c>
    </row>
    <row r="81" spans="1:7" x14ac:dyDescent="0.2">
      <c r="A81" s="58">
        <v>78</v>
      </c>
      <c r="B81" s="60">
        <v>43997</v>
      </c>
      <c r="C81" s="59">
        <v>0</v>
      </c>
      <c r="D81" s="59">
        <f t="shared" si="6"/>
        <v>839</v>
      </c>
      <c r="E81" s="59">
        <v>0</v>
      </c>
      <c r="F81" s="59">
        <f t="shared" si="4"/>
        <v>274</v>
      </c>
      <c r="G81" s="59">
        <f t="shared" si="5"/>
        <v>565</v>
      </c>
    </row>
    <row r="82" spans="1:7" x14ac:dyDescent="0.2">
      <c r="A82" s="58">
        <v>79</v>
      </c>
      <c r="B82" s="60">
        <v>43998</v>
      </c>
      <c r="C82" s="59">
        <v>0</v>
      </c>
      <c r="D82" s="59">
        <f t="shared" si="6"/>
        <v>839</v>
      </c>
      <c r="E82" s="59">
        <v>0</v>
      </c>
      <c r="F82" s="59">
        <f t="shared" si="4"/>
        <v>274</v>
      </c>
      <c r="G82" s="59">
        <f t="shared" si="5"/>
        <v>565</v>
      </c>
    </row>
    <row r="83" spans="1:7" x14ac:dyDescent="0.2">
      <c r="A83" s="58">
        <v>80</v>
      </c>
      <c r="B83" s="60">
        <v>43999</v>
      </c>
      <c r="C83" s="59">
        <v>10</v>
      </c>
      <c r="D83" s="59">
        <f t="shared" si="6"/>
        <v>849</v>
      </c>
      <c r="E83" s="59">
        <v>0</v>
      </c>
      <c r="F83" s="59">
        <f t="shared" si="4"/>
        <v>284</v>
      </c>
      <c r="G83" s="59">
        <f t="shared" si="5"/>
        <v>565</v>
      </c>
    </row>
    <row r="84" spans="1:7" x14ac:dyDescent="0.2">
      <c r="A84" s="58">
        <v>81</v>
      </c>
      <c r="B84" s="60">
        <v>44000</v>
      </c>
      <c r="C84" s="59">
        <v>20</v>
      </c>
      <c r="D84" s="59">
        <f t="shared" si="6"/>
        <v>869</v>
      </c>
      <c r="E84" s="59">
        <v>0</v>
      </c>
      <c r="F84" s="59">
        <f t="shared" si="4"/>
        <v>304</v>
      </c>
      <c r="G84" s="59">
        <f t="shared" si="5"/>
        <v>565</v>
      </c>
    </row>
    <row r="85" spans="1:7" x14ac:dyDescent="0.2">
      <c r="A85" s="58">
        <v>82</v>
      </c>
      <c r="B85" s="60">
        <v>44001</v>
      </c>
      <c r="C85" s="59">
        <v>0</v>
      </c>
      <c r="D85" s="59">
        <f t="shared" si="6"/>
        <v>869</v>
      </c>
      <c r="E85" s="59">
        <v>0</v>
      </c>
      <c r="F85" s="59">
        <f t="shared" si="4"/>
        <v>304</v>
      </c>
      <c r="G85" s="59">
        <f t="shared" si="5"/>
        <v>565</v>
      </c>
    </row>
    <row r="86" spans="1:7" x14ac:dyDescent="0.2">
      <c r="A86" s="58">
        <v>83</v>
      </c>
      <c r="B86" s="60">
        <v>44002</v>
      </c>
      <c r="C86" s="59">
        <v>0</v>
      </c>
      <c r="D86" s="59">
        <f t="shared" si="6"/>
        <v>869</v>
      </c>
      <c r="E86" s="59">
        <v>0</v>
      </c>
      <c r="F86" s="59">
        <f t="shared" si="4"/>
        <v>304</v>
      </c>
      <c r="G86" s="59">
        <f t="shared" si="5"/>
        <v>565</v>
      </c>
    </row>
    <row r="87" spans="1:7" x14ac:dyDescent="0.2">
      <c r="A87" s="58">
        <v>84</v>
      </c>
      <c r="B87" s="60">
        <v>44003</v>
      </c>
      <c r="C87" s="59">
        <v>18</v>
      </c>
      <c r="D87" s="59">
        <f t="shared" si="6"/>
        <v>887</v>
      </c>
      <c r="E87" s="59">
        <v>0</v>
      </c>
      <c r="F87" s="59">
        <f t="shared" si="4"/>
        <v>322</v>
      </c>
      <c r="G87" s="59">
        <f t="shared" si="5"/>
        <v>565</v>
      </c>
    </row>
    <row r="88" spans="1:7" x14ac:dyDescent="0.2">
      <c r="A88" s="58">
        <v>85</v>
      </c>
      <c r="B88" s="60">
        <v>44004</v>
      </c>
      <c r="C88" s="59">
        <v>19</v>
      </c>
      <c r="D88" s="59">
        <f t="shared" si="6"/>
        <v>906</v>
      </c>
      <c r="E88" s="59">
        <v>0</v>
      </c>
      <c r="F88" s="59">
        <f t="shared" si="4"/>
        <v>341</v>
      </c>
      <c r="G88" s="59">
        <f t="shared" si="5"/>
        <v>565</v>
      </c>
    </row>
    <row r="89" spans="1:7" x14ac:dyDescent="0.2">
      <c r="A89" s="58">
        <v>86</v>
      </c>
      <c r="B89" s="60">
        <v>44005</v>
      </c>
      <c r="C89" s="59">
        <v>5</v>
      </c>
      <c r="D89" s="59">
        <f t="shared" si="6"/>
        <v>911</v>
      </c>
      <c r="E89" s="59">
        <v>0</v>
      </c>
      <c r="F89" s="59">
        <f t="shared" si="4"/>
        <v>346</v>
      </c>
      <c r="G89" s="59">
        <f t="shared" si="5"/>
        <v>565</v>
      </c>
    </row>
    <row r="90" spans="1:7" x14ac:dyDescent="0.2">
      <c r="A90" s="58">
        <v>87</v>
      </c>
      <c r="B90" s="60">
        <v>44006</v>
      </c>
      <c r="C90" s="59">
        <v>7</v>
      </c>
      <c r="D90" s="59">
        <f t="shared" si="6"/>
        <v>918</v>
      </c>
      <c r="E90" s="59">
        <v>0</v>
      </c>
      <c r="F90" s="59">
        <f t="shared" si="4"/>
        <v>353</v>
      </c>
      <c r="G90" s="59">
        <f t="shared" si="5"/>
        <v>565</v>
      </c>
    </row>
    <row r="91" spans="1:7" x14ac:dyDescent="0.2">
      <c r="A91" s="58">
        <v>88</v>
      </c>
      <c r="B91" s="60">
        <v>44007</v>
      </c>
      <c r="C91" s="59">
        <v>0</v>
      </c>
      <c r="D91" s="59">
        <f t="shared" si="6"/>
        <v>918</v>
      </c>
      <c r="E91" s="59">
        <v>0</v>
      </c>
      <c r="F91" s="59">
        <f t="shared" si="4"/>
        <v>353</v>
      </c>
      <c r="G91" s="59">
        <f t="shared" si="5"/>
        <v>565</v>
      </c>
    </row>
    <row r="92" spans="1:7" x14ac:dyDescent="0.2">
      <c r="A92" s="58">
        <v>89</v>
      </c>
      <c r="B92" s="60">
        <v>44008</v>
      </c>
      <c r="C92" s="59">
        <v>8</v>
      </c>
      <c r="D92" s="59">
        <f t="shared" si="6"/>
        <v>926</v>
      </c>
      <c r="E92" s="59">
        <v>0</v>
      </c>
      <c r="F92" s="59">
        <f t="shared" si="4"/>
        <v>361</v>
      </c>
      <c r="G92" s="59">
        <f t="shared" si="5"/>
        <v>565</v>
      </c>
    </row>
    <row r="93" spans="1:7" x14ac:dyDescent="0.2">
      <c r="A93" s="58">
        <v>90</v>
      </c>
      <c r="B93" s="60">
        <v>44009</v>
      </c>
      <c r="C93" s="59">
        <v>0</v>
      </c>
      <c r="D93" s="59">
        <f t="shared" si="6"/>
        <v>926</v>
      </c>
      <c r="E93" s="59">
        <v>21</v>
      </c>
      <c r="F93" s="59">
        <f t="shared" si="4"/>
        <v>340</v>
      </c>
      <c r="G93" s="59">
        <f t="shared" si="5"/>
        <v>586</v>
      </c>
    </row>
    <row r="94" spans="1:7" x14ac:dyDescent="0.2">
      <c r="A94" s="58">
        <v>91</v>
      </c>
      <c r="B94" s="60">
        <v>44010</v>
      </c>
      <c r="C94" s="59">
        <v>9</v>
      </c>
      <c r="D94" s="59">
        <f t="shared" si="6"/>
        <v>935</v>
      </c>
      <c r="E94" s="59">
        <v>0</v>
      </c>
      <c r="F94" s="59">
        <f t="shared" si="4"/>
        <v>349</v>
      </c>
      <c r="G94" s="59">
        <f t="shared" si="5"/>
        <v>586</v>
      </c>
    </row>
    <row r="95" spans="1:7" x14ac:dyDescent="0.2">
      <c r="A95" s="58">
        <v>92</v>
      </c>
      <c r="B95" s="60">
        <v>44011</v>
      </c>
      <c r="C95" s="59">
        <v>0</v>
      </c>
      <c r="D95" s="59">
        <f t="shared" si="6"/>
        <v>935</v>
      </c>
      <c r="E95" s="59">
        <v>0</v>
      </c>
      <c r="F95" s="59">
        <f t="shared" si="4"/>
        <v>349</v>
      </c>
      <c r="G95" s="59">
        <f t="shared" si="5"/>
        <v>586</v>
      </c>
    </row>
    <row r="96" spans="1:7" x14ac:dyDescent="0.2">
      <c r="A96" s="58">
        <v>93</v>
      </c>
      <c r="B96" s="60">
        <v>44012</v>
      </c>
      <c r="C96" s="59">
        <v>6</v>
      </c>
      <c r="D96" s="59">
        <f t="shared" si="6"/>
        <v>941</v>
      </c>
      <c r="E96" s="59">
        <v>0</v>
      </c>
      <c r="F96" s="59">
        <f t="shared" si="4"/>
        <v>355</v>
      </c>
      <c r="G96" s="59">
        <f t="shared" si="5"/>
        <v>586</v>
      </c>
    </row>
    <row r="97" spans="1:7" x14ac:dyDescent="0.2">
      <c r="A97" s="58">
        <v>94</v>
      </c>
      <c r="B97" s="60">
        <v>44013</v>
      </c>
      <c r="C97" s="59">
        <v>18</v>
      </c>
      <c r="D97" s="59">
        <f t="shared" si="6"/>
        <v>959</v>
      </c>
      <c r="E97" s="59">
        <v>0</v>
      </c>
      <c r="F97" s="59">
        <f t="shared" si="4"/>
        <v>373</v>
      </c>
      <c r="G97" s="59">
        <f t="shared" si="5"/>
        <v>586</v>
      </c>
    </row>
    <row r="98" spans="1:7" x14ac:dyDescent="0.2">
      <c r="A98" s="58">
        <v>95</v>
      </c>
      <c r="B98" s="60">
        <v>44014</v>
      </c>
      <c r="C98" s="59">
        <v>14</v>
      </c>
      <c r="D98" s="59">
        <f t="shared" si="6"/>
        <v>973</v>
      </c>
      <c r="E98" s="59">
        <v>0</v>
      </c>
      <c r="F98" s="59">
        <f t="shared" si="4"/>
        <v>387</v>
      </c>
      <c r="G98" s="59">
        <f t="shared" si="5"/>
        <v>586</v>
      </c>
    </row>
    <row r="99" spans="1:7" x14ac:dyDescent="0.2">
      <c r="A99" s="58">
        <v>96</v>
      </c>
      <c r="B99" s="60">
        <v>44015</v>
      </c>
      <c r="C99" s="59">
        <v>9</v>
      </c>
      <c r="D99" s="59">
        <f t="shared" si="6"/>
        <v>982</v>
      </c>
      <c r="E99" s="59">
        <v>0</v>
      </c>
      <c r="F99" s="59">
        <f t="shared" si="4"/>
        <v>396</v>
      </c>
      <c r="G99" s="59">
        <f t="shared" si="5"/>
        <v>586</v>
      </c>
    </row>
    <row r="100" spans="1:7" x14ac:dyDescent="0.2">
      <c r="A100" s="58">
        <v>97</v>
      </c>
      <c r="B100" s="60">
        <v>44016</v>
      </c>
      <c r="C100" s="59">
        <v>6</v>
      </c>
      <c r="D100" s="59">
        <f t="shared" si="6"/>
        <v>988</v>
      </c>
      <c r="E100" s="59">
        <v>18</v>
      </c>
      <c r="F100" s="59">
        <f t="shared" si="4"/>
        <v>384</v>
      </c>
      <c r="G100" s="59">
        <f t="shared" si="5"/>
        <v>604</v>
      </c>
    </row>
    <row r="101" spans="1:7" x14ac:dyDescent="0.2">
      <c r="A101" s="58">
        <v>98</v>
      </c>
      <c r="B101" s="60">
        <v>44017</v>
      </c>
      <c r="C101" s="59">
        <v>0</v>
      </c>
      <c r="D101" s="59">
        <f t="shared" si="6"/>
        <v>988</v>
      </c>
      <c r="E101" s="59">
        <v>0</v>
      </c>
      <c r="F101" s="59">
        <f t="shared" si="4"/>
        <v>384</v>
      </c>
      <c r="G101" s="59">
        <f t="shared" si="5"/>
        <v>604</v>
      </c>
    </row>
    <row r="102" spans="1:7" x14ac:dyDescent="0.2">
      <c r="A102" s="58">
        <v>99</v>
      </c>
      <c r="B102" s="60">
        <v>44018</v>
      </c>
      <c r="C102" s="59">
        <v>10</v>
      </c>
      <c r="D102" s="59">
        <f t="shared" si="6"/>
        <v>998</v>
      </c>
      <c r="E102" s="59">
        <v>0</v>
      </c>
      <c r="F102" s="59">
        <f t="shared" si="4"/>
        <v>394</v>
      </c>
      <c r="G102" s="59">
        <f t="shared" si="5"/>
        <v>604</v>
      </c>
    </row>
    <row r="103" spans="1:7" x14ac:dyDescent="0.2">
      <c r="A103" s="58">
        <v>100</v>
      </c>
      <c r="B103" s="60">
        <v>44019</v>
      </c>
      <c r="C103" s="59">
        <v>19</v>
      </c>
      <c r="D103" s="59">
        <f t="shared" si="6"/>
        <v>1017</v>
      </c>
      <c r="E103" s="59">
        <v>0</v>
      </c>
      <c r="F103" s="59">
        <f t="shared" si="4"/>
        <v>413</v>
      </c>
      <c r="G103" s="59">
        <f t="shared" si="5"/>
        <v>604</v>
      </c>
    </row>
    <row r="104" spans="1:7" x14ac:dyDescent="0.2">
      <c r="A104" s="58">
        <v>101</v>
      </c>
      <c r="B104" s="60">
        <v>44020</v>
      </c>
      <c r="C104" s="59">
        <v>0</v>
      </c>
      <c r="D104" s="59">
        <f t="shared" si="6"/>
        <v>1017</v>
      </c>
      <c r="E104" s="59">
        <v>9</v>
      </c>
      <c r="F104" s="59">
        <f t="shared" si="4"/>
        <v>404</v>
      </c>
      <c r="G104" s="59">
        <f t="shared" si="5"/>
        <v>613</v>
      </c>
    </row>
    <row r="105" spans="1:7" x14ac:dyDescent="0.2">
      <c r="A105" s="58">
        <v>102</v>
      </c>
      <c r="B105" s="60">
        <v>44021</v>
      </c>
      <c r="C105" s="59">
        <v>0</v>
      </c>
      <c r="D105" s="59">
        <f t="shared" si="6"/>
        <v>1017</v>
      </c>
      <c r="E105" s="59">
        <v>7</v>
      </c>
      <c r="F105" s="59">
        <f t="shared" si="4"/>
        <v>397</v>
      </c>
      <c r="G105" s="59">
        <f t="shared" si="5"/>
        <v>620</v>
      </c>
    </row>
    <row r="106" spans="1:7" x14ac:dyDescent="0.2">
      <c r="A106" s="58">
        <v>103</v>
      </c>
      <c r="B106" s="60">
        <v>44022</v>
      </c>
      <c r="C106" s="59">
        <v>0</v>
      </c>
      <c r="D106" s="59">
        <f t="shared" si="6"/>
        <v>1017</v>
      </c>
      <c r="E106" s="59">
        <v>8</v>
      </c>
      <c r="F106" s="59">
        <f t="shared" si="4"/>
        <v>389</v>
      </c>
      <c r="G106" s="59">
        <f t="shared" si="5"/>
        <v>628</v>
      </c>
    </row>
    <row r="107" spans="1:7" x14ac:dyDescent="0.2">
      <c r="A107" s="58">
        <v>104</v>
      </c>
      <c r="B107" s="60">
        <v>44023</v>
      </c>
      <c r="C107" s="59">
        <v>0</v>
      </c>
      <c r="D107" s="59">
        <f t="shared" si="6"/>
        <v>1017</v>
      </c>
      <c r="E107" s="59">
        <v>9</v>
      </c>
      <c r="F107" s="59">
        <f t="shared" si="4"/>
        <v>380</v>
      </c>
      <c r="G107" s="59">
        <f t="shared" si="5"/>
        <v>637</v>
      </c>
    </row>
    <row r="108" spans="1:7" x14ac:dyDescent="0.2">
      <c r="A108" s="58">
        <v>105</v>
      </c>
      <c r="B108" s="60">
        <v>44024</v>
      </c>
      <c r="C108" s="59">
        <v>0</v>
      </c>
      <c r="D108" s="59">
        <f t="shared" si="6"/>
        <v>1017</v>
      </c>
      <c r="E108" s="59">
        <v>6</v>
      </c>
      <c r="F108" s="59">
        <f t="shared" si="4"/>
        <v>374</v>
      </c>
      <c r="G108" s="59">
        <f t="shared" si="5"/>
        <v>643</v>
      </c>
    </row>
    <row r="109" spans="1:7" x14ac:dyDescent="0.2">
      <c r="A109" s="58">
        <v>106</v>
      </c>
      <c r="B109" s="60">
        <v>44025</v>
      </c>
      <c r="C109" s="59">
        <v>0</v>
      </c>
      <c r="D109" s="59">
        <f t="shared" si="6"/>
        <v>1017</v>
      </c>
      <c r="E109" s="59">
        <v>0</v>
      </c>
      <c r="F109" s="59">
        <f t="shared" si="4"/>
        <v>374</v>
      </c>
      <c r="G109" s="59">
        <f t="shared" si="5"/>
        <v>643</v>
      </c>
    </row>
    <row r="110" spans="1:7" x14ac:dyDescent="0.2">
      <c r="A110" s="58">
        <v>107</v>
      </c>
      <c r="B110" s="60">
        <v>44026</v>
      </c>
      <c r="C110" s="59">
        <v>0</v>
      </c>
      <c r="D110" s="59">
        <f t="shared" si="6"/>
        <v>1017</v>
      </c>
      <c r="E110" s="59">
        <v>4</v>
      </c>
      <c r="F110" s="59">
        <f t="shared" si="4"/>
        <v>370</v>
      </c>
      <c r="G110" s="59">
        <f t="shared" si="5"/>
        <v>647</v>
      </c>
    </row>
    <row r="111" spans="1:7" x14ac:dyDescent="0.2">
      <c r="A111" s="58">
        <v>108</v>
      </c>
      <c r="B111" s="60">
        <v>44027</v>
      </c>
      <c r="C111" s="59">
        <v>0</v>
      </c>
      <c r="D111" s="59">
        <f t="shared" si="6"/>
        <v>1017</v>
      </c>
      <c r="E111" s="59">
        <v>0</v>
      </c>
      <c r="F111" s="59">
        <f t="shared" si="4"/>
        <v>370</v>
      </c>
      <c r="G111" s="59">
        <f t="shared" si="5"/>
        <v>647</v>
      </c>
    </row>
    <row r="112" spans="1:7" x14ac:dyDescent="0.2">
      <c r="A112" s="58">
        <v>109</v>
      </c>
      <c r="B112" s="60">
        <v>44028</v>
      </c>
      <c r="C112" s="59">
        <v>0</v>
      </c>
      <c r="D112" s="59">
        <f t="shared" si="6"/>
        <v>1017</v>
      </c>
      <c r="E112" s="59">
        <v>42</v>
      </c>
      <c r="F112" s="59">
        <f t="shared" si="4"/>
        <v>328</v>
      </c>
      <c r="G112" s="59">
        <f t="shared" si="5"/>
        <v>689</v>
      </c>
    </row>
    <row r="113" spans="1:7" x14ac:dyDescent="0.2">
      <c r="A113" s="58">
        <v>110</v>
      </c>
      <c r="B113" s="60">
        <v>44029</v>
      </c>
      <c r="C113" s="59">
        <v>0</v>
      </c>
      <c r="D113" s="59">
        <f t="shared" si="6"/>
        <v>1017</v>
      </c>
      <c r="E113" s="59">
        <v>0</v>
      </c>
      <c r="F113" s="59">
        <f t="shared" si="4"/>
        <v>328</v>
      </c>
      <c r="G113" s="59">
        <f t="shared" si="5"/>
        <v>689</v>
      </c>
    </row>
    <row r="114" spans="1:7" x14ac:dyDescent="0.2">
      <c r="A114" s="58">
        <v>111</v>
      </c>
      <c r="B114" s="60">
        <v>44030</v>
      </c>
      <c r="C114" s="59">
        <v>0</v>
      </c>
      <c r="D114" s="59">
        <f t="shared" si="6"/>
        <v>1017</v>
      </c>
      <c r="E114" s="59">
        <v>12</v>
      </c>
      <c r="F114" s="59">
        <f t="shared" si="4"/>
        <v>316</v>
      </c>
      <c r="G114" s="59">
        <f t="shared" si="5"/>
        <v>701</v>
      </c>
    </row>
    <row r="115" spans="1:7" x14ac:dyDescent="0.2">
      <c r="A115" s="58">
        <v>112</v>
      </c>
      <c r="B115" s="60">
        <v>44031</v>
      </c>
      <c r="C115" s="59">
        <v>0</v>
      </c>
      <c r="D115" s="59">
        <f t="shared" si="6"/>
        <v>1017</v>
      </c>
      <c r="E115" s="59">
        <v>0</v>
      </c>
      <c r="F115" s="59">
        <f t="shared" si="4"/>
        <v>316</v>
      </c>
      <c r="G115" s="59">
        <f t="shared" si="5"/>
        <v>701</v>
      </c>
    </row>
    <row r="116" spans="1:7" x14ac:dyDescent="0.2">
      <c r="A116" s="58">
        <v>113</v>
      </c>
      <c r="B116" s="60">
        <v>44032</v>
      </c>
      <c r="C116" s="59">
        <v>0</v>
      </c>
      <c r="D116" s="59">
        <f t="shared" si="6"/>
        <v>1017</v>
      </c>
      <c r="E116" s="59">
        <v>7</v>
      </c>
      <c r="F116" s="59">
        <f t="shared" si="4"/>
        <v>309</v>
      </c>
      <c r="G116" s="59">
        <f t="shared" si="5"/>
        <v>708</v>
      </c>
    </row>
    <row r="117" spans="1:7" x14ac:dyDescent="0.2">
      <c r="A117" s="58">
        <v>114</v>
      </c>
      <c r="B117" s="60">
        <v>44033</v>
      </c>
      <c r="C117" s="59">
        <v>0</v>
      </c>
      <c r="D117" s="59">
        <f t="shared" si="6"/>
        <v>1017</v>
      </c>
      <c r="E117" s="59">
        <v>6</v>
      </c>
      <c r="F117" s="59">
        <f t="shared" si="4"/>
        <v>303</v>
      </c>
      <c r="G117" s="59">
        <f t="shared" si="5"/>
        <v>714</v>
      </c>
    </row>
    <row r="118" spans="1:7" x14ac:dyDescent="0.2">
      <c r="A118" s="58">
        <v>115</v>
      </c>
      <c r="B118" s="60">
        <v>44034</v>
      </c>
      <c r="C118" s="59">
        <v>0</v>
      </c>
      <c r="D118" s="59">
        <f t="shared" si="6"/>
        <v>1017</v>
      </c>
      <c r="E118" s="59">
        <v>11</v>
      </c>
      <c r="F118" s="59">
        <f t="shared" si="4"/>
        <v>292</v>
      </c>
      <c r="G118" s="59">
        <f t="shared" si="5"/>
        <v>725</v>
      </c>
    </row>
    <row r="119" spans="1:7" x14ac:dyDescent="0.2">
      <c r="A119" s="58">
        <v>116</v>
      </c>
      <c r="B119" s="60">
        <v>44035</v>
      </c>
      <c r="C119" s="59">
        <v>0</v>
      </c>
      <c r="D119" s="59">
        <f t="shared" si="6"/>
        <v>1017</v>
      </c>
      <c r="E119" s="59">
        <v>6</v>
      </c>
      <c r="F119" s="59">
        <f t="shared" si="4"/>
        <v>286</v>
      </c>
      <c r="G119" s="59">
        <f t="shared" si="5"/>
        <v>731</v>
      </c>
    </row>
    <row r="120" spans="1:7" x14ac:dyDescent="0.2">
      <c r="A120" s="58">
        <v>117</v>
      </c>
      <c r="B120" s="60">
        <v>44036</v>
      </c>
      <c r="C120" s="59">
        <v>0</v>
      </c>
      <c r="D120" s="59">
        <f t="shared" si="6"/>
        <v>1017</v>
      </c>
      <c r="E120" s="59">
        <v>9</v>
      </c>
      <c r="F120" s="59">
        <f t="shared" si="4"/>
        <v>277</v>
      </c>
      <c r="G120" s="59">
        <f t="shared" si="5"/>
        <v>740</v>
      </c>
    </row>
    <row r="121" spans="1:7" x14ac:dyDescent="0.2">
      <c r="A121" s="58">
        <v>118</v>
      </c>
      <c r="B121" s="60">
        <v>44037</v>
      </c>
      <c r="C121" s="59">
        <v>0</v>
      </c>
      <c r="D121" s="59">
        <f>D120+C121</f>
        <v>1017</v>
      </c>
      <c r="E121" s="59">
        <v>9</v>
      </c>
      <c r="F121" s="59">
        <f>F120+C121-E121</f>
        <v>268</v>
      </c>
      <c r="G121" s="59">
        <f>G120+E121</f>
        <v>749</v>
      </c>
    </row>
    <row r="122" spans="1:7" x14ac:dyDescent="0.2">
      <c r="A122" s="58">
        <v>119</v>
      </c>
      <c r="B122" s="60">
        <v>44038</v>
      </c>
      <c r="C122" s="59">
        <v>0</v>
      </c>
      <c r="D122" s="59">
        <f t="shared" ref="D122:D185" si="7">D121+C122</f>
        <v>1017</v>
      </c>
      <c r="E122" s="59">
        <v>0</v>
      </c>
      <c r="F122" s="59">
        <f t="shared" ref="F122:F185" si="8">F121+C122-E122</f>
        <v>268</v>
      </c>
      <c r="G122" s="59">
        <f t="shared" ref="G122:G185" si="9">G121+E122</f>
        <v>749</v>
      </c>
    </row>
    <row r="123" spans="1:7" x14ac:dyDescent="0.2">
      <c r="A123" s="58">
        <v>120</v>
      </c>
      <c r="B123" s="60">
        <v>44039</v>
      </c>
      <c r="C123" s="59">
        <v>0</v>
      </c>
      <c r="D123" s="59">
        <f t="shared" si="7"/>
        <v>1017</v>
      </c>
      <c r="E123" s="59">
        <v>4</v>
      </c>
      <c r="F123" s="59">
        <f t="shared" si="8"/>
        <v>264</v>
      </c>
      <c r="G123" s="59">
        <f t="shared" si="9"/>
        <v>753</v>
      </c>
    </row>
    <row r="124" spans="1:7" x14ac:dyDescent="0.2">
      <c r="A124" s="58">
        <v>121</v>
      </c>
      <c r="B124" s="60">
        <v>44040</v>
      </c>
      <c r="C124" s="59">
        <v>0</v>
      </c>
      <c r="D124" s="59">
        <f t="shared" si="7"/>
        <v>1017</v>
      </c>
      <c r="E124" s="59">
        <v>14</v>
      </c>
      <c r="F124" s="59">
        <f t="shared" si="8"/>
        <v>250</v>
      </c>
      <c r="G124" s="59">
        <f t="shared" si="9"/>
        <v>767</v>
      </c>
    </row>
    <row r="125" spans="1:7" x14ac:dyDescent="0.2">
      <c r="A125" s="58">
        <v>122</v>
      </c>
      <c r="B125" s="60">
        <v>44041</v>
      </c>
      <c r="C125" s="59">
        <v>0</v>
      </c>
      <c r="D125" s="59">
        <f t="shared" si="7"/>
        <v>1017</v>
      </c>
      <c r="E125" s="59">
        <v>11</v>
      </c>
      <c r="F125" s="59">
        <f t="shared" si="8"/>
        <v>239</v>
      </c>
      <c r="G125" s="59">
        <f t="shared" si="9"/>
        <v>778</v>
      </c>
    </row>
    <row r="126" spans="1:7" x14ac:dyDescent="0.2">
      <c r="A126" s="58">
        <v>123</v>
      </c>
      <c r="B126" s="60">
        <v>44042</v>
      </c>
      <c r="C126" s="59">
        <v>0</v>
      </c>
      <c r="D126" s="59">
        <f t="shared" si="7"/>
        <v>1017</v>
      </c>
      <c r="E126" s="59">
        <v>9</v>
      </c>
      <c r="F126" s="59">
        <f t="shared" si="8"/>
        <v>230</v>
      </c>
      <c r="G126" s="59">
        <f t="shared" si="9"/>
        <v>787</v>
      </c>
    </row>
    <row r="127" spans="1:7" x14ac:dyDescent="0.2">
      <c r="A127" s="58">
        <v>124</v>
      </c>
      <c r="B127" s="60">
        <v>44043</v>
      </c>
      <c r="C127" s="59">
        <v>0</v>
      </c>
      <c r="D127" s="59">
        <f t="shared" si="7"/>
        <v>1017</v>
      </c>
      <c r="E127" s="59">
        <v>7</v>
      </c>
      <c r="F127" s="59">
        <f t="shared" si="8"/>
        <v>223</v>
      </c>
      <c r="G127" s="59">
        <f t="shared" si="9"/>
        <v>794</v>
      </c>
    </row>
    <row r="128" spans="1:7" x14ac:dyDescent="0.2">
      <c r="A128" s="58">
        <v>125</v>
      </c>
      <c r="B128" s="60">
        <v>44044</v>
      </c>
      <c r="C128" s="59">
        <v>0</v>
      </c>
      <c r="D128" s="59">
        <f t="shared" si="7"/>
        <v>1017</v>
      </c>
      <c r="E128" s="59">
        <v>0</v>
      </c>
      <c r="F128" s="59">
        <f t="shared" si="8"/>
        <v>223</v>
      </c>
      <c r="G128" s="59">
        <f t="shared" si="9"/>
        <v>794</v>
      </c>
    </row>
    <row r="129" spans="1:7" x14ac:dyDescent="0.2">
      <c r="A129" s="58">
        <v>126</v>
      </c>
      <c r="B129" s="60">
        <v>44045</v>
      </c>
      <c r="C129" s="59">
        <v>0</v>
      </c>
      <c r="D129" s="59">
        <f t="shared" si="7"/>
        <v>1017</v>
      </c>
      <c r="E129" s="59">
        <v>5</v>
      </c>
      <c r="F129" s="59">
        <f t="shared" si="8"/>
        <v>218</v>
      </c>
      <c r="G129" s="59">
        <f t="shared" si="9"/>
        <v>799</v>
      </c>
    </row>
    <row r="130" spans="1:7" x14ac:dyDescent="0.2">
      <c r="A130" s="58">
        <v>127</v>
      </c>
      <c r="B130" s="60">
        <v>44046</v>
      </c>
      <c r="C130" s="59">
        <v>0</v>
      </c>
      <c r="D130" s="59">
        <f t="shared" si="7"/>
        <v>1017</v>
      </c>
      <c r="E130" s="59">
        <v>5</v>
      </c>
      <c r="F130" s="59">
        <f t="shared" si="8"/>
        <v>213</v>
      </c>
      <c r="G130" s="59">
        <f t="shared" si="9"/>
        <v>804</v>
      </c>
    </row>
    <row r="131" spans="1:7" x14ac:dyDescent="0.2">
      <c r="A131" s="58">
        <v>128</v>
      </c>
      <c r="B131" s="60">
        <v>44047</v>
      </c>
      <c r="C131" s="59">
        <v>0</v>
      </c>
      <c r="D131" s="59">
        <f t="shared" si="7"/>
        <v>1017</v>
      </c>
      <c r="E131" s="59">
        <v>0</v>
      </c>
      <c r="F131" s="59">
        <f t="shared" si="8"/>
        <v>213</v>
      </c>
      <c r="G131" s="59">
        <f t="shared" si="9"/>
        <v>804</v>
      </c>
    </row>
    <row r="132" spans="1:7" x14ac:dyDescent="0.2">
      <c r="A132" s="58">
        <v>129</v>
      </c>
      <c r="B132" s="60">
        <v>44048</v>
      </c>
      <c r="C132" s="59">
        <v>0</v>
      </c>
      <c r="D132" s="59">
        <f t="shared" si="7"/>
        <v>1017</v>
      </c>
      <c r="E132" s="59">
        <v>7</v>
      </c>
      <c r="F132" s="59">
        <f t="shared" si="8"/>
        <v>206</v>
      </c>
      <c r="G132" s="59">
        <f t="shared" si="9"/>
        <v>811</v>
      </c>
    </row>
    <row r="133" spans="1:7" x14ac:dyDescent="0.2">
      <c r="A133" s="58">
        <v>130</v>
      </c>
      <c r="B133" s="60">
        <v>44049</v>
      </c>
      <c r="C133" s="59">
        <v>0</v>
      </c>
      <c r="D133" s="59">
        <f t="shared" si="7"/>
        <v>1017</v>
      </c>
      <c r="E133" s="59">
        <v>9</v>
      </c>
      <c r="F133" s="59">
        <f t="shared" si="8"/>
        <v>197</v>
      </c>
      <c r="G133" s="59">
        <f t="shared" si="9"/>
        <v>820</v>
      </c>
    </row>
    <row r="134" spans="1:7" x14ac:dyDescent="0.2">
      <c r="A134" s="58">
        <v>131</v>
      </c>
      <c r="B134" s="60">
        <v>44050</v>
      </c>
      <c r="C134" s="59">
        <v>0</v>
      </c>
      <c r="D134" s="59">
        <f t="shared" si="7"/>
        <v>1017</v>
      </c>
      <c r="E134" s="59">
        <v>0</v>
      </c>
      <c r="F134" s="59">
        <f t="shared" si="8"/>
        <v>197</v>
      </c>
      <c r="G134" s="59">
        <f t="shared" si="9"/>
        <v>820</v>
      </c>
    </row>
    <row r="135" spans="1:7" x14ac:dyDescent="0.2">
      <c r="A135" s="58">
        <v>132</v>
      </c>
      <c r="B135" s="60">
        <v>44051</v>
      </c>
      <c r="C135" s="59">
        <v>0</v>
      </c>
      <c r="D135" s="59">
        <f t="shared" si="7"/>
        <v>1017</v>
      </c>
      <c r="E135" s="59">
        <v>4</v>
      </c>
      <c r="F135" s="59">
        <f t="shared" si="8"/>
        <v>193</v>
      </c>
      <c r="G135" s="59">
        <f t="shared" si="9"/>
        <v>824</v>
      </c>
    </row>
    <row r="136" spans="1:7" x14ac:dyDescent="0.2">
      <c r="A136" s="58">
        <v>133</v>
      </c>
      <c r="B136" s="60">
        <v>44052</v>
      </c>
      <c r="C136" s="59">
        <v>0</v>
      </c>
      <c r="D136" s="59">
        <f t="shared" si="7"/>
        <v>1017</v>
      </c>
      <c r="E136" s="59">
        <v>0</v>
      </c>
      <c r="F136" s="59">
        <f t="shared" si="8"/>
        <v>193</v>
      </c>
      <c r="G136" s="59">
        <f t="shared" si="9"/>
        <v>824</v>
      </c>
    </row>
    <row r="137" spans="1:7" x14ac:dyDescent="0.2">
      <c r="A137" s="58">
        <v>134</v>
      </c>
      <c r="B137" s="60">
        <v>44053</v>
      </c>
      <c r="C137" s="59">
        <v>0</v>
      </c>
      <c r="D137" s="59">
        <f t="shared" si="7"/>
        <v>1017</v>
      </c>
      <c r="E137" s="59">
        <v>3</v>
      </c>
      <c r="F137" s="59">
        <f t="shared" si="8"/>
        <v>190</v>
      </c>
      <c r="G137" s="59">
        <f t="shared" si="9"/>
        <v>827</v>
      </c>
    </row>
    <row r="138" spans="1:7" x14ac:dyDescent="0.2">
      <c r="A138" s="58">
        <v>135</v>
      </c>
      <c r="B138" s="60">
        <v>44054</v>
      </c>
      <c r="C138" s="59">
        <v>0</v>
      </c>
      <c r="D138" s="59">
        <f t="shared" si="7"/>
        <v>1017</v>
      </c>
      <c r="E138" s="59">
        <v>9</v>
      </c>
      <c r="F138" s="59">
        <f t="shared" si="8"/>
        <v>181</v>
      </c>
      <c r="G138" s="59">
        <f t="shared" si="9"/>
        <v>836</v>
      </c>
    </row>
    <row r="139" spans="1:7" x14ac:dyDescent="0.2">
      <c r="A139" s="58">
        <v>136</v>
      </c>
      <c r="B139" s="60">
        <v>44055</v>
      </c>
      <c r="C139" s="59">
        <v>0</v>
      </c>
      <c r="D139" s="59">
        <f t="shared" si="7"/>
        <v>1017</v>
      </c>
      <c r="E139" s="59">
        <v>0</v>
      </c>
      <c r="F139" s="59">
        <f t="shared" si="8"/>
        <v>181</v>
      </c>
      <c r="G139" s="59">
        <f t="shared" si="9"/>
        <v>836</v>
      </c>
    </row>
    <row r="140" spans="1:7" x14ac:dyDescent="0.2">
      <c r="A140" s="58">
        <v>137</v>
      </c>
      <c r="B140" s="60">
        <v>44056</v>
      </c>
      <c r="C140" s="59">
        <v>0</v>
      </c>
      <c r="D140" s="59">
        <f t="shared" si="7"/>
        <v>1017</v>
      </c>
      <c r="E140" s="59">
        <v>0</v>
      </c>
      <c r="F140" s="59">
        <f t="shared" si="8"/>
        <v>181</v>
      </c>
      <c r="G140" s="59">
        <f t="shared" si="9"/>
        <v>836</v>
      </c>
    </row>
    <row r="141" spans="1:7" x14ac:dyDescent="0.2">
      <c r="A141" s="58">
        <v>138</v>
      </c>
      <c r="B141" s="60">
        <v>44057</v>
      </c>
      <c r="C141" s="59">
        <v>0</v>
      </c>
      <c r="D141" s="59">
        <f t="shared" si="7"/>
        <v>1017</v>
      </c>
      <c r="E141" s="59">
        <v>4</v>
      </c>
      <c r="F141" s="59">
        <f t="shared" si="8"/>
        <v>177</v>
      </c>
      <c r="G141" s="59">
        <f t="shared" si="9"/>
        <v>840</v>
      </c>
    </row>
    <row r="142" spans="1:7" x14ac:dyDescent="0.2">
      <c r="A142" s="58">
        <v>139</v>
      </c>
      <c r="B142" s="60">
        <v>44058</v>
      </c>
      <c r="C142" s="59">
        <v>0</v>
      </c>
      <c r="D142" s="59">
        <f t="shared" si="7"/>
        <v>1017</v>
      </c>
      <c r="E142" s="59">
        <v>7</v>
      </c>
      <c r="F142" s="59">
        <f t="shared" si="8"/>
        <v>170</v>
      </c>
      <c r="G142" s="59">
        <f t="shared" si="9"/>
        <v>847</v>
      </c>
    </row>
    <row r="143" spans="1:7" x14ac:dyDescent="0.2">
      <c r="A143" s="58">
        <v>140</v>
      </c>
      <c r="B143" s="60">
        <v>44059</v>
      </c>
      <c r="C143" s="59">
        <v>0</v>
      </c>
      <c r="D143" s="59">
        <f t="shared" si="7"/>
        <v>1017</v>
      </c>
      <c r="E143" s="59">
        <v>0</v>
      </c>
      <c r="F143" s="59">
        <f t="shared" si="8"/>
        <v>170</v>
      </c>
      <c r="G143" s="59">
        <f t="shared" si="9"/>
        <v>847</v>
      </c>
    </row>
    <row r="144" spans="1:7" x14ac:dyDescent="0.2">
      <c r="A144" s="58">
        <v>141</v>
      </c>
      <c r="B144" s="60">
        <v>44060</v>
      </c>
      <c r="C144" s="59">
        <v>0</v>
      </c>
      <c r="D144" s="59">
        <f t="shared" si="7"/>
        <v>1017</v>
      </c>
      <c r="E144" s="59">
        <v>6</v>
      </c>
      <c r="F144" s="59">
        <f t="shared" si="8"/>
        <v>164</v>
      </c>
      <c r="G144" s="59">
        <f t="shared" si="9"/>
        <v>853</v>
      </c>
    </row>
    <row r="145" spans="1:7" x14ac:dyDescent="0.2">
      <c r="A145" s="58">
        <v>142</v>
      </c>
      <c r="B145" s="60">
        <v>44061</v>
      </c>
      <c r="C145" s="59">
        <v>0</v>
      </c>
      <c r="D145" s="59">
        <f t="shared" si="7"/>
        <v>1017</v>
      </c>
      <c r="E145" s="59">
        <v>0</v>
      </c>
      <c r="F145" s="59">
        <f t="shared" si="8"/>
        <v>164</v>
      </c>
      <c r="G145" s="59">
        <f t="shared" si="9"/>
        <v>853</v>
      </c>
    </row>
    <row r="146" spans="1:7" x14ac:dyDescent="0.2">
      <c r="A146" s="58">
        <v>143</v>
      </c>
      <c r="B146" s="60">
        <v>44062</v>
      </c>
      <c r="C146" s="59">
        <v>0</v>
      </c>
      <c r="D146" s="59">
        <f t="shared" si="7"/>
        <v>1017</v>
      </c>
      <c r="E146" s="59">
        <v>4</v>
      </c>
      <c r="F146" s="59">
        <f t="shared" si="8"/>
        <v>160</v>
      </c>
      <c r="G146" s="59">
        <f t="shared" si="9"/>
        <v>857</v>
      </c>
    </row>
    <row r="147" spans="1:7" x14ac:dyDescent="0.2">
      <c r="A147" s="58">
        <v>144</v>
      </c>
      <c r="B147" s="60">
        <v>44063</v>
      </c>
      <c r="C147" s="59">
        <v>0</v>
      </c>
      <c r="D147" s="59">
        <f t="shared" si="7"/>
        <v>1017</v>
      </c>
      <c r="E147" s="59">
        <v>0</v>
      </c>
      <c r="F147" s="59">
        <f t="shared" si="8"/>
        <v>160</v>
      </c>
      <c r="G147" s="59">
        <f t="shared" si="9"/>
        <v>857</v>
      </c>
    </row>
    <row r="148" spans="1:7" x14ac:dyDescent="0.2">
      <c r="A148" s="58">
        <v>145</v>
      </c>
      <c r="B148" s="60">
        <v>44064</v>
      </c>
      <c r="C148" s="59">
        <v>0</v>
      </c>
      <c r="D148" s="59">
        <f t="shared" si="7"/>
        <v>1017</v>
      </c>
      <c r="E148" s="59">
        <v>3</v>
      </c>
      <c r="F148" s="59">
        <f t="shared" si="8"/>
        <v>157</v>
      </c>
      <c r="G148" s="59">
        <f t="shared" si="9"/>
        <v>860</v>
      </c>
    </row>
    <row r="149" spans="1:7" x14ac:dyDescent="0.2">
      <c r="A149" s="58">
        <v>146</v>
      </c>
      <c r="B149" s="60">
        <v>44065</v>
      </c>
      <c r="C149" s="59">
        <v>0</v>
      </c>
      <c r="D149" s="59">
        <f t="shared" si="7"/>
        <v>1017</v>
      </c>
      <c r="E149" s="59">
        <v>1</v>
      </c>
      <c r="F149" s="59">
        <f t="shared" si="8"/>
        <v>156</v>
      </c>
      <c r="G149" s="59">
        <f t="shared" si="9"/>
        <v>861</v>
      </c>
    </row>
    <row r="150" spans="1:7" x14ac:dyDescent="0.2">
      <c r="A150" s="58">
        <v>147</v>
      </c>
      <c r="B150" s="60">
        <v>44066</v>
      </c>
      <c r="C150" s="59">
        <v>0</v>
      </c>
      <c r="D150" s="59">
        <f t="shared" si="7"/>
        <v>1017</v>
      </c>
      <c r="E150" s="59">
        <v>3</v>
      </c>
      <c r="F150" s="59">
        <f t="shared" si="8"/>
        <v>153</v>
      </c>
      <c r="G150" s="59">
        <f t="shared" si="9"/>
        <v>864</v>
      </c>
    </row>
    <row r="151" spans="1:7" x14ac:dyDescent="0.2">
      <c r="A151" s="58">
        <v>148</v>
      </c>
      <c r="B151" s="60">
        <v>44067</v>
      </c>
      <c r="C151" s="59">
        <v>0</v>
      </c>
      <c r="D151" s="59">
        <f t="shared" si="7"/>
        <v>1017</v>
      </c>
      <c r="E151" s="59">
        <v>0</v>
      </c>
      <c r="F151" s="59">
        <f t="shared" si="8"/>
        <v>153</v>
      </c>
      <c r="G151" s="59">
        <f t="shared" si="9"/>
        <v>864</v>
      </c>
    </row>
    <row r="152" spans="1:7" x14ac:dyDescent="0.2">
      <c r="A152" s="58">
        <v>149</v>
      </c>
      <c r="B152" s="60">
        <v>44068</v>
      </c>
      <c r="C152" s="59">
        <v>0</v>
      </c>
      <c r="D152" s="59">
        <f t="shared" si="7"/>
        <v>1017</v>
      </c>
      <c r="E152" s="59">
        <v>3</v>
      </c>
      <c r="F152" s="59">
        <f t="shared" si="8"/>
        <v>150</v>
      </c>
      <c r="G152" s="59">
        <f t="shared" si="9"/>
        <v>867</v>
      </c>
    </row>
    <row r="153" spans="1:7" x14ac:dyDescent="0.2">
      <c r="A153" s="58">
        <v>150</v>
      </c>
      <c r="B153" s="60">
        <v>44069</v>
      </c>
      <c r="C153" s="59">
        <v>116</v>
      </c>
      <c r="D153" s="59">
        <f t="shared" si="7"/>
        <v>1133</v>
      </c>
      <c r="E153" s="59">
        <v>33</v>
      </c>
      <c r="F153" s="59">
        <f t="shared" si="8"/>
        <v>233</v>
      </c>
      <c r="G153" s="59">
        <f t="shared" si="9"/>
        <v>900</v>
      </c>
    </row>
    <row r="154" spans="1:7" x14ac:dyDescent="0.2">
      <c r="A154" s="58">
        <v>151</v>
      </c>
      <c r="B154" s="60">
        <v>44070</v>
      </c>
      <c r="C154" s="59">
        <v>106</v>
      </c>
      <c r="D154" s="59">
        <f t="shared" si="7"/>
        <v>1239</v>
      </c>
      <c r="E154" s="59">
        <v>59</v>
      </c>
      <c r="F154" s="59">
        <f t="shared" si="8"/>
        <v>280</v>
      </c>
      <c r="G154" s="59">
        <f t="shared" si="9"/>
        <v>959</v>
      </c>
    </row>
    <row r="155" spans="1:7" x14ac:dyDescent="0.2">
      <c r="A155" s="58">
        <v>152</v>
      </c>
      <c r="B155" s="60">
        <v>44071</v>
      </c>
      <c r="C155" s="59">
        <v>114</v>
      </c>
      <c r="D155" s="59">
        <f t="shared" si="7"/>
        <v>1353</v>
      </c>
      <c r="E155" s="59">
        <v>50</v>
      </c>
      <c r="F155" s="59">
        <f t="shared" si="8"/>
        <v>344</v>
      </c>
      <c r="G155" s="59">
        <f t="shared" si="9"/>
        <v>1009</v>
      </c>
    </row>
    <row r="156" spans="1:7" x14ac:dyDescent="0.2">
      <c r="A156" s="58">
        <v>153</v>
      </c>
      <c r="B156" s="60">
        <v>44072</v>
      </c>
      <c r="C156" s="59">
        <v>149</v>
      </c>
      <c r="D156" s="59">
        <f t="shared" si="7"/>
        <v>1502</v>
      </c>
      <c r="E156" s="59">
        <v>124</v>
      </c>
      <c r="F156" s="59">
        <f t="shared" si="8"/>
        <v>369</v>
      </c>
      <c r="G156" s="59">
        <f t="shared" si="9"/>
        <v>1133</v>
      </c>
    </row>
    <row r="157" spans="1:7" x14ac:dyDescent="0.2">
      <c r="A157" s="58">
        <v>154</v>
      </c>
      <c r="B157" s="60">
        <v>44073</v>
      </c>
      <c r="C157" s="59">
        <v>149</v>
      </c>
      <c r="D157" s="59">
        <f t="shared" si="7"/>
        <v>1651</v>
      </c>
      <c r="E157" s="59">
        <v>123</v>
      </c>
      <c r="F157" s="59">
        <f t="shared" si="8"/>
        <v>395</v>
      </c>
      <c r="G157" s="59">
        <f t="shared" si="9"/>
        <v>1256</v>
      </c>
    </row>
    <row r="158" spans="1:7" s="74" customFormat="1" x14ac:dyDescent="0.2">
      <c r="A158" s="71">
        <v>155</v>
      </c>
      <c r="B158" s="72">
        <v>44074</v>
      </c>
      <c r="C158" s="73">
        <v>190</v>
      </c>
      <c r="D158" s="73">
        <f t="shared" si="7"/>
        <v>1841</v>
      </c>
      <c r="E158" s="73">
        <v>354</v>
      </c>
      <c r="F158" s="73">
        <f t="shared" si="8"/>
        <v>231</v>
      </c>
      <c r="G158" s="73">
        <f t="shared" si="9"/>
        <v>1610</v>
      </c>
    </row>
    <row r="159" spans="1:7" x14ac:dyDescent="0.2">
      <c r="A159" s="58">
        <v>156</v>
      </c>
      <c r="B159" s="60">
        <v>44075</v>
      </c>
      <c r="C159" s="59">
        <v>235</v>
      </c>
      <c r="D159" s="59">
        <f t="shared" si="7"/>
        <v>2076</v>
      </c>
      <c r="E159" s="59">
        <v>135</v>
      </c>
      <c r="F159" s="59">
        <f t="shared" si="8"/>
        <v>331</v>
      </c>
      <c r="G159" s="59">
        <f t="shared" si="9"/>
        <v>1745</v>
      </c>
    </row>
    <row r="160" spans="1:7" x14ac:dyDescent="0.2">
      <c r="A160" s="58">
        <v>157</v>
      </c>
      <c r="B160" s="60">
        <v>44076</v>
      </c>
      <c r="C160" s="59">
        <v>178</v>
      </c>
      <c r="D160" s="59">
        <f t="shared" si="7"/>
        <v>2254</v>
      </c>
      <c r="E160" s="59">
        <v>147</v>
      </c>
      <c r="F160" s="59">
        <f t="shared" si="8"/>
        <v>362</v>
      </c>
      <c r="G160" s="59">
        <f t="shared" si="9"/>
        <v>1892</v>
      </c>
    </row>
    <row r="161" spans="1:7" x14ac:dyDescent="0.2">
      <c r="A161" s="58">
        <v>158</v>
      </c>
      <c r="B161" s="60">
        <v>44077</v>
      </c>
      <c r="C161" s="59">
        <v>141</v>
      </c>
      <c r="D161" s="59">
        <f t="shared" si="7"/>
        <v>2395</v>
      </c>
      <c r="E161" s="59">
        <v>184</v>
      </c>
      <c r="F161" s="59">
        <f t="shared" si="8"/>
        <v>319</v>
      </c>
      <c r="G161" s="59">
        <f t="shared" si="9"/>
        <v>2076</v>
      </c>
    </row>
    <row r="162" spans="1:7" x14ac:dyDescent="0.2">
      <c r="A162" s="58">
        <v>159</v>
      </c>
      <c r="B162" s="60">
        <v>44078</v>
      </c>
      <c r="C162" s="59">
        <v>367</v>
      </c>
      <c r="D162" s="59">
        <f t="shared" si="7"/>
        <v>2762</v>
      </c>
      <c r="E162" s="59">
        <v>257</v>
      </c>
      <c r="F162" s="59">
        <f t="shared" si="8"/>
        <v>429</v>
      </c>
      <c r="G162" s="59">
        <f t="shared" si="9"/>
        <v>2333</v>
      </c>
    </row>
    <row r="163" spans="1:7" x14ac:dyDescent="0.2">
      <c r="A163" s="58">
        <v>160</v>
      </c>
      <c r="B163" s="60">
        <v>44079</v>
      </c>
      <c r="C163" s="59">
        <v>195</v>
      </c>
      <c r="D163" s="59">
        <f t="shared" si="7"/>
        <v>2957</v>
      </c>
      <c r="E163" s="59">
        <v>289</v>
      </c>
      <c r="F163" s="59">
        <f t="shared" si="8"/>
        <v>335</v>
      </c>
      <c r="G163" s="59">
        <f t="shared" si="9"/>
        <v>2622</v>
      </c>
    </row>
    <row r="164" spans="1:7" x14ac:dyDescent="0.2">
      <c r="A164" s="58">
        <v>161</v>
      </c>
      <c r="B164" s="60">
        <v>44080</v>
      </c>
      <c r="C164" s="59">
        <v>194</v>
      </c>
      <c r="D164" s="59">
        <f t="shared" si="7"/>
        <v>3151</v>
      </c>
      <c r="E164" s="59">
        <v>128</v>
      </c>
      <c r="F164" s="59">
        <f t="shared" si="8"/>
        <v>401</v>
      </c>
      <c r="G164" s="59">
        <f t="shared" si="9"/>
        <v>2750</v>
      </c>
    </row>
    <row r="165" spans="1:7" x14ac:dyDescent="0.2">
      <c r="A165" s="58">
        <v>162</v>
      </c>
      <c r="B165" s="60">
        <v>44081</v>
      </c>
      <c r="C165" s="59">
        <v>78</v>
      </c>
      <c r="D165" s="59">
        <f t="shared" si="7"/>
        <v>3229</v>
      </c>
      <c r="E165" s="59">
        <v>250</v>
      </c>
      <c r="F165" s="59">
        <f t="shared" si="8"/>
        <v>229</v>
      </c>
      <c r="G165" s="59">
        <f t="shared" si="9"/>
        <v>3000</v>
      </c>
    </row>
    <row r="166" spans="1:7" x14ac:dyDescent="0.2">
      <c r="A166" s="58">
        <v>163</v>
      </c>
      <c r="B166" s="60">
        <v>44082</v>
      </c>
      <c r="C166" s="59">
        <v>232</v>
      </c>
      <c r="D166" s="59">
        <f t="shared" si="7"/>
        <v>3461</v>
      </c>
      <c r="E166" s="59">
        <v>151</v>
      </c>
      <c r="F166" s="59">
        <f t="shared" si="8"/>
        <v>310</v>
      </c>
      <c r="G166" s="59">
        <f t="shared" si="9"/>
        <v>3151</v>
      </c>
    </row>
    <row r="167" spans="1:7" x14ac:dyDescent="0.2">
      <c r="A167" s="58">
        <v>164</v>
      </c>
      <c r="B167" s="60">
        <v>44083</v>
      </c>
      <c r="C167" s="59">
        <v>150</v>
      </c>
      <c r="D167" s="59">
        <f t="shared" si="7"/>
        <v>3611</v>
      </c>
      <c r="E167" s="59">
        <v>99</v>
      </c>
      <c r="F167" s="59">
        <f t="shared" si="8"/>
        <v>361</v>
      </c>
      <c r="G167" s="59">
        <f t="shared" si="9"/>
        <v>3250</v>
      </c>
    </row>
    <row r="168" spans="1:7" x14ac:dyDescent="0.2">
      <c r="A168" s="58">
        <v>165</v>
      </c>
      <c r="B168" s="60">
        <v>44084</v>
      </c>
      <c r="C168" s="59">
        <v>150</v>
      </c>
      <c r="D168" s="59">
        <f t="shared" si="7"/>
        <v>3761</v>
      </c>
      <c r="E168" s="59">
        <v>129</v>
      </c>
      <c r="F168" s="59">
        <f t="shared" si="8"/>
        <v>382</v>
      </c>
      <c r="G168" s="59">
        <f t="shared" si="9"/>
        <v>3379</v>
      </c>
    </row>
    <row r="169" spans="1:7" x14ac:dyDescent="0.2">
      <c r="A169" s="58">
        <v>166</v>
      </c>
      <c r="B169" s="60">
        <v>44085</v>
      </c>
      <c r="C169" s="59">
        <v>126</v>
      </c>
      <c r="D169" s="59">
        <f t="shared" si="7"/>
        <v>3887</v>
      </c>
      <c r="E169" s="59">
        <v>232</v>
      </c>
      <c r="F169" s="59">
        <f t="shared" si="8"/>
        <v>276</v>
      </c>
      <c r="G169" s="59">
        <f t="shared" si="9"/>
        <v>3611</v>
      </c>
    </row>
    <row r="170" spans="1:7" x14ac:dyDescent="0.2">
      <c r="A170" s="58">
        <v>167</v>
      </c>
      <c r="B170" s="60">
        <v>44086</v>
      </c>
      <c r="C170" s="59">
        <v>97</v>
      </c>
      <c r="D170" s="59">
        <f t="shared" si="7"/>
        <v>3984</v>
      </c>
      <c r="E170" s="59">
        <v>150</v>
      </c>
      <c r="F170" s="59">
        <f t="shared" si="8"/>
        <v>223</v>
      </c>
      <c r="G170" s="59">
        <f t="shared" si="9"/>
        <v>3761</v>
      </c>
    </row>
    <row r="171" spans="1:7" x14ac:dyDescent="0.2">
      <c r="A171" s="58">
        <v>168</v>
      </c>
      <c r="B171" s="60">
        <v>44087</v>
      </c>
      <c r="C171" s="59">
        <v>86</v>
      </c>
      <c r="D171" s="59">
        <f t="shared" si="7"/>
        <v>4070</v>
      </c>
      <c r="E171" s="59">
        <v>82</v>
      </c>
      <c r="F171" s="59">
        <f t="shared" si="8"/>
        <v>227</v>
      </c>
      <c r="G171" s="59">
        <f t="shared" si="9"/>
        <v>3843</v>
      </c>
    </row>
    <row r="172" spans="1:7" x14ac:dyDescent="0.2">
      <c r="A172" s="58">
        <v>169</v>
      </c>
      <c r="B172" s="60">
        <v>44088</v>
      </c>
      <c r="C172" s="59">
        <v>85</v>
      </c>
      <c r="D172" s="59">
        <f t="shared" si="7"/>
        <v>4155</v>
      </c>
      <c r="E172" s="59">
        <v>134</v>
      </c>
      <c r="F172" s="59">
        <f t="shared" si="8"/>
        <v>178</v>
      </c>
      <c r="G172" s="59">
        <f t="shared" si="9"/>
        <v>3977</v>
      </c>
    </row>
    <row r="173" spans="1:7" x14ac:dyDescent="0.2">
      <c r="A173" s="58">
        <v>170</v>
      </c>
      <c r="B173" s="60">
        <v>44089</v>
      </c>
      <c r="C173" s="59">
        <v>305</v>
      </c>
      <c r="D173" s="59">
        <f t="shared" si="7"/>
        <v>4460</v>
      </c>
      <c r="E173" s="59">
        <v>93</v>
      </c>
      <c r="F173" s="59">
        <f t="shared" si="8"/>
        <v>390</v>
      </c>
      <c r="G173" s="59">
        <f t="shared" si="9"/>
        <v>4070</v>
      </c>
    </row>
    <row r="174" spans="1:7" x14ac:dyDescent="0.2">
      <c r="A174" s="58">
        <v>171</v>
      </c>
      <c r="B174" s="60">
        <v>44090</v>
      </c>
      <c r="C174" s="59">
        <v>71</v>
      </c>
      <c r="D174" s="59">
        <f t="shared" si="7"/>
        <v>4531</v>
      </c>
      <c r="E174" s="59">
        <v>203</v>
      </c>
      <c r="F174" s="59">
        <f t="shared" si="8"/>
        <v>258</v>
      </c>
      <c r="G174" s="59">
        <f t="shared" si="9"/>
        <v>4273</v>
      </c>
    </row>
    <row r="175" spans="1:7" x14ac:dyDescent="0.2">
      <c r="A175" s="58">
        <v>172</v>
      </c>
      <c r="B175" s="60">
        <v>44091</v>
      </c>
      <c r="C175" s="59">
        <v>257</v>
      </c>
      <c r="D175" s="59">
        <f t="shared" si="7"/>
        <v>4788</v>
      </c>
      <c r="E175" s="59">
        <v>247</v>
      </c>
      <c r="F175" s="59">
        <f t="shared" si="8"/>
        <v>268</v>
      </c>
      <c r="G175" s="59">
        <f t="shared" si="9"/>
        <v>4520</v>
      </c>
    </row>
    <row r="176" spans="1:7" x14ac:dyDescent="0.2">
      <c r="A176" s="58">
        <v>173</v>
      </c>
      <c r="B176" s="60">
        <v>44092</v>
      </c>
      <c r="C176" s="59">
        <v>150</v>
      </c>
      <c r="D176" s="59">
        <f t="shared" si="7"/>
        <v>4938</v>
      </c>
      <c r="E176" s="59">
        <v>180</v>
      </c>
      <c r="F176" s="59">
        <f t="shared" si="8"/>
        <v>238</v>
      </c>
      <c r="G176" s="59">
        <f t="shared" si="9"/>
        <v>4700</v>
      </c>
    </row>
    <row r="177" spans="1:7" x14ac:dyDescent="0.2">
      <c r="A177" s="58">
        <v>174</v>
      </c>
      <c r="B177" s="60">
        <v>44093</v>
      </c>
      <c r="C177" s="59">
        <v>247</v>
      </c>
      <c r="D177" s="59">
        <f t="shared" si="7"/>
        <v>5185</v>
      </c>
      <c r="E177" s="59">
        <v>202</v>
      </c>
      <c r="F177" s="59">
        <f t="shared" si="8"/>
        <v>283</v>
      </c>
      <c r="G177" s="59">
        <f t="shared" si="9"/>
        <v>4902</v>
      </c>
    </row>
    <row r="178" spans="1:7" x14ac:dyDescent="0.2">
      <c r="A178" s="58">
        <v>175</v>
      </c>
      <c r="B178" s="60">
        <v>44094</v>
      </c>
      <c r="C178" s="59">
        <v>112</v>
      </c>
      <c r="D178" s="59">
        <f t="shared" si="7"/>
        <v>5297</v>
      </c>
      <c r="E178" s="59">
        <v>194</v>
      </c>
      <c r="F178" s="59">
        <f t="shared" si="8"/>
        <v>201</v>
      </c>
      <c r="G178" s="59">
        <f t="shared" si="9"/>
        <v>5096</v>
      </c>
    </row>
    <row r="179" spans="1:7" x14ac:dyDescent="0.2">
      <c r="A179" s="58">
        <v>176</v>
      </c>
      <c r="B179" s="60">
        <v>44095</v>
      </c>
      <c r="C179" s="59">
        <v>115</v>
      </c>
      <c r="D179" s="59">
        <f t="shared" si="7"/>
        <v>5412</v>
      </c>
      <c r="E179" s="59">
        <v>195</v>
      </c>
      <c r="F179" s="59">
        <f t="shared" si="8"/>
        <v>121</v>
      </c>
      <c r="G179" s="59">
        <f t="shared" si="9"/>
        <v>5291</v>
      </c>
    </row>
    <row r="180" spans="1:7" x14ac:dyDescent="0.2">
      <c r="A180" s="58">
        <v>177</v>
      </c>
      <c r="B180" s="60">
        <v>44096</v>
      </c>
      <c r="C180" s="59">
        <v>421</v>
      </c>
      <c r="D180" s="59">
        <f t="shared" si="7"/>
        <v>5833</v>
      </c>
      <c r="E180" s="59">
        <v>121</v>
      </c>
      <c r="F180" s="59">
        <f t="shared" si="8"/>
        <v>421</v>
      </c>
      <c r="G180" s="59">
        <f t="shared" si="9"/>
        <v>5412</v>
      </c>
    </row>
    <row r="181" spans="1:7" x14ac:dyDescent="0.2">
      <c r="A181" s="58">
        <v>178</v>
      </c>
      <c r="B181" s="60">
        <v>44097</v>
      </c>
      <c r="C181" s="59">
        <v>245</v>
      </c>
      <c r="D181" s="59">
        <f t="shared" si="7"/>
        <v>6078</v>
      </c>
      <c r="E181" s="59">
        <v>138</v>
      </c>
      <c r="F181" s="59">
        <f t="shared" si="8"/>
        <v>528</v>
      </c>
      <c r="G181" s="59">
        <f t="shared" si="9"/>
        <v>5550</v>
      </c>
    </row>
    <row r="182" spans="1:7" x14ac:dyDescent="0.2">
      <c r="A182" s="58">
        <v>179</v>
      </c>
      <c r="B182" s="60">
        <v>44098</v>
      </c>
      <c r="C182" s="59">
        <v>168</v>
      </c>
      <c r="D182" s="59">
        <f t="shared" si="7"/>
        <v>6246</v>
      </c>
      <c r="E182" s="59">
        <v>27</v>
      </c>
      <c r="F182" s="59">
        <f t="shared" si="8"/>
        <v>669</v>
      </c>
      <c r="G182" s="59">
        <f t="shared" si="9"/>
        <v>5577</v>
      </c>
    </row>
    <row r="183" spans="1:7" x14ac:dyDescent="0.2">
      <c r="A183" s="58">
        <v>180</v>
      </c>
      <c r="B183" s="60">
        <v>44099</v>
      </c>
      <c r="C183" s="59">
        <v>259</v>
      </c>
      <c r="D183" s="59">
        <f t="shared" si="7"/>
        <v>6505</v>
      </c>
      <c r="E183" s="59">
        <v>138</v>
      </c>
      <c r="F183" s="59">
        <f t="shared" si="8"/>
        <v>790</v>
      </c>
      <c r="G183" s="59">
        <f t="shared" si="9"/>
        <v>5715</v>
      </c>
    </row>
    <row r="184" spans="1:7" x14ac:dyDescent="0.2">
      <c r="A184" s="58">
        <v>181</v>
      </c>
      <c r="B184" s="60">
        <v>44100</v>
      </c>
      <c r="C184" s="59">
        <v>305</v>
      </c>
      <c r="D184" s="59">
        <f t="shared" si="7"/>
        <v>6810</v>
      </c>
      <c r="E184" s="59">
        <v>363</v>
      </c>
      <c r="F184" s="59">
        <f t="shared" si="8"/>
        <v>732</v>
      </c>
      <c r="G184" s="59">
        <f t="shared" si="9"/>
        <v>6078</v>
      </c>
    </row>
    <row r="185" spans="1:7" x14ac:dyDescent="0.2">
      <c r="A185" s="58">
        <v>182</v>
      </c>
      <c r="B185" s="60">
        <v>44101</v>
      </c>
      <c r="C185" s="59">
        <v>92</v>
      </c>
      <c r="D185" s="59">
        <f t="shared" si="7"/>
        <v>6902</v>
      </c>
      <c r="E185" s="59">
        <v>168</v>
      </c>
      <c r="F185" s="59">
        <f t="shared" si="8"/>
        <v>656</v>
      </c>
      <c r="G185" s="59">
        <f t="shared" si="9"/>
        <v>6246</v>
      </c>
    </row>
    <row r="186" spans="1:7" x14ac:dyDescent="0.2">
      <c r="A186" s="58">
        <v>183</v>
      </c>
      <c r="B186" s="60">
        <v>44102</v>
      </c>
      <c r="C186" s="59">
        <v>23</v>
      </c>
      <c r="D186" s="59">
        <f t="shared" ref="D186:D209" si="10">D185+C186</f>
        <v>6925</v>
      </c>
      <c r="E186" s="59">
        <v>0</v>
      </c>
      <c r="F186" s="59">
        <f t="shared" ref="F186:F209" si="11">F185+C186-E186</f>
        <v>679</v>
      </c>
      <c r="G186" s="59">
        <f t="shared" ref="G186:G209" si="12">G185+E186</f>
        <v>6246</v>
      </c>
    </row>
    <row r="187" spans="1:7" x14ac:dyDescent="0.2">
      <c r="A187" s="58">
        <v>184</v>
      </c>
      <c r="B187" s="60">
        <v>44103</v>
      </c>
      <c r="C187" s="59">
        <v>82</v>
      </c>
      <c r="D187" s="59">
        <f t="shared" si="10"/>
        <v>7007</v>
      </c>
      <c r="E187" s="59">
        <v>163</v>
      </c>
      <c r="F187" s="59">
        <f t="shared" si="11"/>
        <v>598</v>
      </c>
      <c r="G187" s="59">
        <f t="shared" si="12"/>
        <v>6409</v>
      </c>
    </row>
    <row r="188" spans="1:7" x14ac:dyDescent="0.2">
      <c r="A188" s="58">
        <v>185</v>
      </c>
      <c r="B188" s="60">
        <v>44104</v>
      </c>
      <c r="C188" s="59">
        <v>270</v>
      </c>
      <c r="D188" s="59">
        <f t="shared" si="10"/>
        <v>7277</v>
      </c>
      <c r="E188" s="59">
        <v>96</v>
      </c>
      <c r="F188" s="59">
        <f t="shared" si="11"/>
        <v>772</v>
      </c>
      <c r="G188" s="59">
        <f t="shared" si="12"/>
        <v>6505</v>
      </c>
    </row>
    <row r="189" spans="1:7" x14ac:dyDescent="0.2">
      <c r="A189" s="58">
        <v>186</v>
      </c>
      <c r="B189" s="60">
        <v>44105</v>
      </c>
      <c r="C189" s="59">
        <v>62</v>
      </c>
      <c r="D189" s="59">
        <f t="shared" si="10"/>
        <v>7339</v>
      </c>
      <c r="E189" s="59">
        <v>106</v>
      </c>
      <c r="F189" s="59">
        <f t="shared" si="11"/>
        <v>728</v>
      </c>
      <c r="G189" s="59">
        <f t="shared" si="12"/>
        <v>6611</v>
      </c>
    </row>
    <row r="190" spans="1:7" x14ac:dyDescent="0.2">
      <c r="A190" s="58">
        <v>187</v>
      </c>
      <c r="B190" s="60">
        <v>44106</v>
      </c>
      <c r="C190" s="59">
        <v>106</v>
      </c>
      <c r="D190" s="59">
        <f t="shared" si="10"/>
        <v>7445</v>
      </c>
      <c r="E190" s="59">
        <v>64</v>
      </c>
      <c r="F190" s="59">
        <f t="shared" si="11"/>
        <v>770</v>
      </c>
      <c r="G190" s="59">
        <f t="shared" si="12"/>
        <v>6675</v>
      </c>
    </row>
    <row r="191" spans="1:7" x14ac:dyDescent="0.2">
      <c r="A191" s="58">
        <v>188</v>
      </c>
      <c r="B191" s="60">
        <v>44107</v>
      </c>
      <c r="C191" s="59">
        <v>39</v>
      </c>
      <c r="D191" s="59">
        <f t="shared" si="10"/>
        <v>7484</v>
      </c>
      <c r="E191" s="59">
        <v>135</v>
      </c>
      <c r="F191" s="59">
        <f t="shared" si="11"/>
        <v>674</v>
      </c>
      <c r="G191" s="59">
        <f t="shared" si="12"/>
        <v>6810</v>
      </c>
    </row>
    <row r="192" spans="1:7" x14ac:dyDescent="0.2">
      <c r="A192" s="58">
        <v>189</v>
      </c>
      <c r="B192" s="60">
        <v>44108</v>
      </c>
      <c r="C192" s="59">
        <v>0</v>
      </c>
      <c r="D192" s="59">
        <f t="shared" si="10"/>
        <v>7484</v>
      </c>
      <c r="E192" s="59">
        <v>17</v>
      </c>
      <c r="F192" s="59">
        <f t="shared" si="11"/>
        <v>657</v>
      </c>
      <c r="G192" s="59">
        <f t="shared" si="12"/>
        <v>6827</v>
      </c>
    </row>
    <row r="193" spans="1:7" x14ac:dyDescent="0.2">
      <c r="A193" s="58">
        <v>190</v>
      </c>
      <c r="B193" s="60">
        <v>44109</v>
      </c>
      <c r="C193" s="59">
        <v>101</v>
      </c>
      <c r="D193" s="59">
        <f t="shared" si="10"/>
        <v>7585</v>
      </c>
      <c r="E193" s="59">
        <v>75</v>
      </c>
      <c r="F193" s="59">
        <f t="shared" si="11"/>
        <v>683</v>
      </c>
      <c r="G193" s="59">
        <f t="shared" si="12"/>
        <v>6902</v>
      </c>
    </row>
    <row r="194" spans="1:7" x14ac:dyDescent="0.2">
      <c r="A194" s="58">
        <v>191</v>
      </c>
      <c r="B194" s="60">
        <v>44110</v>
      </c>
      <c r="C194" s="59">
        <v>27</v>
      </c>
      <c r="D194" s="59">
        <f t="shared" si="10"/>
        <v>7612</v>
      </c>
      <c r="E194" s="59">
        <v>211</v>
      </c>
      <c r="F194" s="59">
        <f t="shared" si="11"/>
        <v>499</v>
      </c>
      <c r="G194" s="59">
        <f t="shared" si="12"/>
        <v>7113</v>
      </c>
    </row>
    <row r="195" spans="1:7" x14ac:dyDescent="0.2">
      <c r="A195" s="58">
        <v>192</v>
      </c>
      <c r="B195" s="60">
        <v>44111</v>
      </c>
      <c r="C195" s="59">
        <v>25</v>
      </c>
      <c r="D195" s="59">
        <f t="shared" si="10"/>
        <v>7637</v>
      </c>
      <c r="E195" s="59">
        <v>105</v>
      </c>
      <c r="F195" s="59">
        <f t="shared" si="11"/>
        <v>419</v>
      </c>
      <c r="G195" s="59">
        <f t="shared" si="12"/>
        <v>7218</v>
      </c>
    </row>
    <row r="196" spans="1:7" x14ac:dyDescent="0.2">
      <c r="A196" s="58">
        <v>193</v>
      </c>
      <c r="B196" s="60">
        <v>44112</v>
      </c>
      <c r="C196" s="59">
        <v>23</v>
      </c>
      <c r="D196" s="59">
        <f t="shared" si="10"/>
        <v>7660</v>
      </c>
      <c r="E196" s="59">
        <v>111</v>
      </c>
      <c r="F196" s="59">
        <f t="shared" si="11"/>
        <v>331</v>
      </c>
      <c r="G196" s="59">
        <f t="shared" si="12"/>
        <v>7329</v>
      </c>
    </row>
    <row r="197" spans="1:7" x14ac:dyDescent="0.2">
      <c r="A197" s="58">
        <v>194</v>
      </c>
      <c r="B197" s="60">
        <v>44113</v>
      </c>
      <c r="C197" s="59">
        <v>17</v>
      </c>
      <c r="D197" s="59">
        <f t="shared" si="10"/>
        <v>7677</v>
      </c>
      <c r="E197" s="59">
        <v>28</v>
      </c>
      <c r="F197" s="59">
        <f t="shared" si="11"/>
        <v>320</v>
      </c>
      <c r="G197" s="59">
        <f t="shared" si="12"/>
        <v>7357</v>
      </c>
    </row>
    <row r="198" spans="1:7" x14ac:dyDescent="0.2">
      <c r="A198" s="58">
        <v>195</v>
      </c>
      <c r="B198" s="60">
        <v>44114</v>
      </c>
      <c r="C198" s="59">
        <v>43</v>
      </c>
      <c r="D198" s="59">
        <f t="shared" si="10"/>
        <v>7720</v>
      </c>
      <c r="E198" s="59">
        <v>103</v>
      </c>
      <c r="F198" s="59">
        <f t="shared" si="11"/>
        <v>260</v>
      </c>
      <c r="G198" s="59">
        <f t="shared" si="12"/>
        <v>7460</v>
      </c>
    </row>
    <row r="199" spans="1:7" x14ac:dyDescent="0.2">
      <c r="A199" s="58">
        <v>196</v>
      </c>
      <c r="B199" s="60">
        <v>44115</v>
      </c>
      <c r="C199" s="59">
        <v>60</v>
      </c>
      <c r="D199" s="59">
        <f t="shared" si="10"/>
        <v>7780</v>
      </c>
      <c r="E199" s="59">
        <v>3</v>
      </c>
      <c r="F199" s="59">
        <f t="shared" si="11"/>
        <v>317</v>
      </c>
      <c r="G199" s="59">
        <f t="shared" si="12"/>
        <v>7463</v>
      </c>
    </row>
    <row r="200" spans="1:7" x14ac:dyDescent="0.2">
      <c r="A200" s="58">
        <v>197</v>
      </c>
      <c r="B200" s="60">
        <v>44116</v>
      </c>
      <c r="C200" s="59">
        <v>104</v>
      </c>
      <c r="D200" s="59">
        <f t="shared" si="10"/>
        <v>7884</v>
      </c>
      <c r="E200" s="59">
        <v>62</v>
      </c>
      <c r="F200" s="59">
        <f t="shared" si="11"/>
        <v>359</v>
      </c>
      <c r="G200" s="59">
        <f t="shared" si="12"/>
        <v>7525</v>
      </c>
    </row>
    <row r="201" spans="1:7" x14ac:dyDescent="0.2">
      <c r="A201" s="58">
        <v>198</v>
      </c>
      <c r="B201" s="60">
        <v>44117</v>
      </c>
      <c r="C201" s="59">
        <v>41</v>
      </c>
      <c r="D201" s="59">
        <f t="shared" si="10"/>
        <v>7925</v>
      </c>
      <c r="E201" s="59">
        <v>82</v>
      </c>
      <c r="F201" s="59">
        <f t="shared" si="11"/>
        <v>318</v>
      </c>
      <c r="G201" s="59">
        <f t="shared" si="12"/>
        <v>7607</v>
      </c>
    </row>
    <row r="202" spans="1:7" x14ac:dyDescent="0.2">
      <c r="A202" s="58">
        <v>199</v>
      </c>
      <c r="B202" s="60">
        <v>44118</v>
      </c>
      <c r="C202" s="59">
        <v>25</v>
      </c>
      <c r="D202" s="59">
        <f t="shared" si="10"/>
        <v>7950</v>
      </c>
      <c r="E202" s="59">
        <v>70</v>
      </c>
      <c r="F202" s="59">
        <f t="shared" si="11"/>
        <v>273</v>
      </c>
      <c r="G202" s="59">
        <f t="shared" si="12"/>
        <v>7677</v>
      </c>
    </row>
    <row r="203" spans="1:7" x14ac:dyDescent="0.2">
      <c r="A203" s="58">
        <v>200</v>
      </c>
      <c r="B203" s="60">
        <v>44119</v>
      </c>
      <c r="C203" s="59">
        <v>36</v>
      </c>
      <c r="D203" s="59">
        <f t="shared" si="10"/>
        <v>7986</v>
      </c>
      <c r="E203" s="59">
        <v>162</v>
      </c>
      <c r="F203" s="59">
        <f t="shared" si="11"/>
        <v>147</v>
      </c>
      <c r="G203" s="59">
        <f t="shared" si="12"/>
        <v>7839</v>
      </c>
    </row>
    <row r="204" spans="1:7" x14ac:dyDescent="0.2">
      <c r="A204" s="58">
        <v>201</v>
      </c>
      <c r="B204" s="60">
        <v>44120</v>
      </c>
      <c r="C204" s="59">
        <v>17</v>
      </c>
      <c r="D204" s="59">
        <f t="shared" si="10"/>
        <v>8003</v>
      </c>
      <c r="E204" s="59">
        <v>106</v>
      </c>
      <c r="F204" s="59">
        <f t="shared" si="11"/>
        <v>58</v>
      </c>
      <c r="G204" s="59">
        <f t="shared" si="12"/>
        <v>7945</v>
      </c>
    </row>
    <row r="205" spans="1:7" x14ac:dyDescent="0.2">
      <c r="A205" s="58">
        <v>202</v>
      </c>
      <c r="B205" s="60">
        <v>44121</v>
      </c>
      <c r="C205" s="59">
        <v>138</v>
      </c>
      <c r="D205" s="59">
        <f t="shared" si="10"/>
        <v>8141</v>
      </c>
      <c r="E205" s="59">
        <v>39</v>
      </c>
      <c r="F205" s="59">
        <f t="shared" si="11"/>
        <v>157</v>
      </c>
      <c r="G205" s="59">
        <f t="shared" si="12"/>
        <v>7984</v>
      </c>
    </row>
    <row r="206" spans="1:7" x14ac:dyDescent="0.2">
      <c r="A206" s="58">
        <v>203</v>
      </c>
      <c r="B206" s="60">
        <v>44122</v>
      </c>
      <c r="C206" s="59">
        <v>23</v>
      </c>
      <c r="D206" s="59">
        <f t="shared" si="10"/>
        <v>8164</v>
      </c>
      <c r="E206" s="59">
        <v>0</v>
      </c>
      <c r="F206" s="59">
        <f t="shared" si="11"/>
        <v>180</v>
      </c>
      <c r="G206" s="59">
        <f t="shared" si="12"/>
        <v>7984</v>
      </c>
    </row>
    <row r="207" spans="1:7" x14ac:dyDescent="0.2">
      <c r="A207" s="58">
        <v>204</v>
      </c>
      <c r="B207" s="60">
        <v>44123</v>
      </c>
      <c r="C207" s="59">
        <v>70</v>
      </c>
      <c r="D207" s="59">
        <f t="shared" si="10"/>
        <v>8234</v>
      </c>
      <c r="E207" s="59">
        <v>101</v>
      </c>
      <c r="F207" s="59">
        <f t="shared" si="11"/>
        <v>149</v>
      </c>
      <c r="G207" s="59">
        <f t="shared" si="12"/>
        <v>8085</v>
      </c>
    </row>
    <row r="208" spans="1:7" x14ac:dyDescent="0.2">
      <c r="A208" s="58">
        <v>205</v>
      </c>
      <c r="B208" s="60">
        <v>44124</v>
      </c>
      <c r="C208" s="59">
        <v>68</v>
      </c>
      <c r="D208" s="59">
        <f t="shared" si="10"/>
        <v>8302</v>
      </c>
      <c r="E208" s="59">
        <v>27</v>
      </c>
      <c r="F208" s="59">
        <f t="shared" si="11"/>
        <v>190</v>
      </c>
      <c r="G208" s="59">
        <f t="shared" si="12"/>
        <v>8112</v>
      </c>
    </row>
    <row r="209" spans="1:7" x14ac:dyDescent="0.2">
      <c r="A209" s="58">
        <v>206</v>
      </c>
      <c r="B209" s="60">
        <v>44125</v>
      </c>
      <c r="C209" s="59">
        <v>88</v>
      </c>
      <c r="D209" s="59">
        <f t="shared" si="10"/>
        <v>8390</v>
      </c>
      <c r="E209" s="59">
        <v>25</v>
      </c>
      <c r="F209" s="59">
        <f t="shared" si="11"/>
        <v>253</v>
      </c>
      <c r="G209" s="59">
        <f t="shared" si="12"/>
        <v>8137</v>
      </c>
    </row>
    <row r="210" spans="1:7" x14ac:dyDescent="0.2">
      <c r="A210" s="58">
        <v>207</v>
      </c>
      <c r="B210" s="60">
        <v>44126</v>
      </c>
      <c r="C210" s="59">
        <v>54</v>
      </c>
      <c r="D210" s="59">
        <f>D209+C210</f>
        <v>8444</v>
      </c>
      <c r="E210" s="59">
        <v>23</v>
      </c>
      <c r="F210" s="59">
        <f>F209+C210-E210</f>
        <v>284</v>
      </c>
      <c r="G210" s="59">
        <f>G209+E210</f>
        <v>8160</v>
      </c>
    </row>
    <row r="211" spans="1:7" x14ac:dyDescent="0.2">
      <c r="A211" s="58">
        <v>208</v>
      </c>
      <c r="B211" s="60">
        <v>44127</v>
      </c>
      <c r="C211" s="59">
        <v>41</v>
      </c>
      <c r="D211" s="59">
        <f t="shared" ref="D211:D274" si="13">D210+C211</f>
        <v>8485</v>
      </c>
      <c r="E211" s="59">
        <v>17</v>
      </c>
      <c r="F211" s="59">
        <f t="shared" ref="F211:F274" si="14">F210+C211-E211</f>
        <v>308</v>
      </c>
      <c r="G211" s="59">
        <f t="shared" ref="G211:G274" si="15">G210+E211</f>
        <v>8177</v>
      </c>
    </row>
    <row r="212" spans="1:7" x14ac:dyDescent="0.2">
      <c r="A212" s="58">
        <v>209</v>
      </c>
      <c r="B212" s="60">
        <v>44128</v>
      </c>
      <c r="C212" s="59">
        <v>21</v>
      </c>
      <c r="D212" s="59">
        <f t="shared" si="13"/>
        <v>8506</v>
      </c>
      <c r="E212" s="59">
        <v>65</v>
      </c>
      <c r="F212" s="59">
        <f t="shared" si="14"/>
        <v>264</v>
      </c>
      <c r="G212" s="59">
        <f t="shared" si="15"/>
        <v>8242</v>
      </c>
    </row>
    <row r="213" spans="1:7" x14ac:dyDescent="0.2">
      <c r="A213" s="58">
        <v>210</v>
      </c>
      <c r="B213" s="60">
        <v>44129</v>
      </c>
      <c r="C213" s="59">
        <v>12</v>
      </c>
      <c r="D213" s="59">
        <f t="shared" si="13"/>
        <v>8518</v>
      </c>
      <c r="E213" s="59">
        <v>56</v>
      </c>
      <c r="F213" s="59">
        <f t="shared" si="14"/>
        <v>220</v>
      </c>
      <c r="G213" s="59">
        <f t="shared" si="15"/>
        <v>8298</v>
      </c>
    </row>
    <row r="214" spans="1:7" x14ac:dyDescent="0.2">
      <c r="A214" s="58">
        <v>211</v>
      </c>
      <c r="B214" s="60">
        <v>44130</v>
      </c>
      <c r="C214" s="59">
        <v>150</v>
      </c>
      <c r="D214" s="59">
        <f t="shared" si="13"/>
        <v>8668</v>
      </c>
      <c r="E214" s="59">
        <v>103</v>
      </c>
      <c r="F214" s="59">
        <f t="shared" si="14"/>
        <v>267</v>
      </c>
      <c r="G214" s="59">
        <f t="shared" si="15"/>
        <v>8401</v>
      </c>
    </row>
    <row r="215" spans="1:7" x14ac:dyDescent="0.2">
      <c r="A215" s="58">
        <v>212</v>
      </c>
      <c r="B215" s="60">
        <v>44131</v>
      </c>
      <c r="C215" s="59">
        <v>84</v>
      </c>
      <c r="D215" s="59">
        <f t="shared" si="13"/>
        <v>8752</v>
      </c>
      <c r="E215" s="59">
        <v>24</v>
      </c>
      <c r="F215" s="59">
        <f t="shared" si="14"/>
        <v>327</v>
      </c>
      <c r="G215" s="59">
        <f t="shared" si="15"/>
        <v>8425</v>
      </c>
    </row>
    <row r="216" spans="1:7" x14ac:dyDescent="0.2">
      <c r="A216" s="58">
        <v>213</v>
      </c>
      <c r="B216" s="60">
        <v>44132</v>
      </c>
      <c r="C216" s="59">
        <v>30</v>
      </c>
      <c r="D216" s="59">
        <f t="shared" si="13"/>
        <v>8782</v>
      </c>
      <c r="E216" s="59">
        <v>26</v>
      </c>
      <c r="F216" s="59">
        <f t="shared" si="14"/>
        <v>331</v>
      </c>
      <c r="G216" s="59">
        <f t="shared" si="15"/>
        <v>8451</v>
      </c>
    </row>
    <row r="217" spans="1:7" x14ac:dyDescent="0.2">
      <c r="A217" s="58">
        <v>214</v>
      </c>
      <c r="B217" s="60">
        <v>44133</v>
      </c>
      <c r="C217" s="59">
        <v>51</v>
      </c>
      <c r="D217" s="59">
        <f t="shared" si="13"/>
        <v>8833</v>
      </c>
      <c r="E217" s="59">
        <v>67</v>
      </c>
      <c r="F217" s="59">
        <f t="shared" si="14"/>
        <v>315</v>
      </c>
      <c r="G217" s="59">
        <f t="shared" si="15"/>
        <v>8518</v>
      </c>
    </row>
    <row r="218" spans="1:7" x14ac:dyDescent="0.2">
      <c r="A218" s="58">
        <v>215</v>
      </c>
      <c r="B218" s="60">
        <v>44134</v>
      </c>
      <c r="C218" s="59">
        <v>85</v>
      </c>
      <c r="D218" s="59">
        <f t="shared" si="13"/>
        <v>8918</v>
      </c>
      <c r="E218" s="59">
        <v>347</v>
      </c>
      <c r="F218" s="59">
        <f t="shared" si="14"/>
        <v>53</v>
      </c>
      <c r="G218" s="59">
        <f t="shared" si="15"/>
        <v>8865</v>
      </c>
    </row>
    <row r="219" spans="1:7" x14ac:dyDescent="0.2">
      <c r="A219" s="58">
        <v>216</v>
      </c>
      <c r="B219" s="60">
        <v>44135</v>
      </c>
      <c r="C219" s="59">
        <v>172</v>
      </c>
      <c r="D219" s="59">
        <f t="shared" si="13"/>
        <v>9090</v>
      </c>
      <c r="E219" s="59">
        <v>98</v>
      </c>
      <c r="F219" s="59">
        <f t="shared" si="14"/>
        <v>127</v>
      </c>
      <c r="G219" s="59">
        <f t="shared" si="15"/>
        <v>8963</v>
      </c>
    </row>
    <row r="220" spans="1:7" x14ac:dyDescent="0.2">
      <c r="A220" s="58">
        <v>217</v>
      </c>
      <c r="B220" s="60">
        <v>44136</v>
      </c>
      <c r="C220" s="59">
        <v>38</v>
      </c>
      <c r="D220" s="59">
        <f t="shared" si="13"/>
        <v>9128</v>
      </c>
      <c r="E220" s="59">
        <v>8</v>
      </c>
      <c r="F220" s="59">
        <f t="shared" si="14"/>
        <v>157</v>
      </c>
      <c r="G220" s="59">
        <f t="shared" si="15"/>
        <v>8971</v>
      </c>
    </row>
    <row r="221" spans="1:7" x14ac:dyDescent="0.2">
      <c r="A221" s="58">
        <v>218</v>
      </c>
      <c r="B221" s="60">
        <v>44137</v>
      </c>
      <c r="C221" s="59">
        <v>40</v>
      </c>
      <c r="D221" s="59">
        <f t="shared" si="13"/>
        <v>9168</v>
      </c>
      <c r="E221" s="59">
        <v>78</v>
      </c>
      <c r="F221" s="59">
        <f t="shared" si="14"/>
        <v>119</v>
      </c>
      <c r="G221" s="59">
        <f t="shared" si="15"/>
        <v>9049</v>
      </c>
    </row>
    <row r="222" spans="1:7" x14ac:dyDescent="0.2">
      <c r="A222" s="58">
        <v>219</v>
      </c>
      <c r="B222" s="60">
        <v>44138</v>
      </c>
      <c r="C222" s="59">
        <v>97</v>
      </c>
      <c r="D222" s="59">
        <f t="shared" si="13"/>
        <v>9265</v>
      </c>
      <c r="E222" s="59">
        <v>169</v>
      </c>
      <c r="F222" s="59">
        <f t="shared" si="14"/>
        <v>47</v>
      </c>
      <c r="G222" s="59">
        <f t="shared" si="15"/>
        <v>9218</v>
      </c>
    </row>
    <row r="223" spans="1:7" x14ac:dyDescent="0.2">
      <c r="A223" s="58">
        <v>220</v>
      </c>
      <c r="B223" s="60">
        <v>44139</v>
      </c>
      <c r="C223" s="59">
        <v>189</v>
      </c>
      <c r="D223" s="59">
        <f t="shared" si="13"/>
        <v>9454</v>
      </c>
      <c r="E223" s="59">
        <v>80</v>
      </c>
      <c r="F223" s="59">
        <f t="shared" si="14"/>
        <v>156</v>
      </c>
      <c r="G223" s="59">
        <f t="shared" si="15"/>
        <v>9298</v>
      </c>
    </row>
    <row r="224" spans="1:7" x14ac:dyDescent="0.2">
      <c r="A224" s="58">
        <v>221</v>
      </c>
      <c r="B224" s="60">
        <v>44140</v>
      </c>
      <c r="C224" s="59">
        <v>14</v>
      </c>
      <c r="D224" s="59">
        <f t="shared" si="13"/>
        <v>9468</v>
      </c>
      <c r="E224" s="59">
        <v>54</v>
      </c>
      <c r="F224" s="59">
        <f t="shared" si="14"/>
        <v>116</v>
      </c>
      <c r="G224" s="59">
        <f t="shared" si="15"/>
        <v>9352</v>
      </c>
    </row>
    <row r="225" spans="1:7" x14ac:dyDescent="0.2">
      <c r="A225" s="58">
        <v>222</v>
      </c>
      <c r="B225" s="60">
        <v>44141</v>
      </c>
      <c r="C225" s="59">
        <v>133</v>
      </c>
      <c r="D225" s="59">
        <f t="shared" si="13"/>
        <v>9601</v>
      </c>
      <c r="E225" s="59">
        <v>37</v>
      </c>
      <c r="F225" s="59">
        <f t="shared" si="14"/>
        <v>212</v>
      </c>
      <c r="G225" s="59">
        <f t="shared" si="15"/>
        <v>9389</v>
      </c>
    </row>
    <row r="226" spans="1:7" x14ac:dyDescent="0.2">
      <c r="A226" s="58">
        <v>223</v>
      </c>
      <c r="B226" s="60">
        <v>44142</v>
      </c>
      <c r="C226" s="59">
        <v>53</v>
      </c>
      <c r="D226" s="59">
        <f t="shared" si="13"/>
        <v>9654</v>
      </c>
      <c r="E226" s="59">
        <v>29</v>
      </c>
      <c r="F226" s="59">
        <f t="shared" si="14"/>
        <v>236</v>
      </c>
      <c r="G226" s="59">
        <f t="shared" si="15"/>
        <v>9418</v>
      </c>
    </row>
    <row r="227" spans="1:7" x14ac:dyDescent="0.2">
      <c r="A227" s="58">
        <v>224</v>
      </c>
      <c r="B227" s="60">
        <v>44143</v>
      </c>
      <c r="C227" s="59">
        <v>0</v>
      </c>
      <c r="D227" s="59">
        <f t="shared" si="13"/>
        <v>9654</v>
      </c>
      <c r="E227" s="59">
        <v>1</v>
      </c>
      <c r="F227" s="59">
        <f t="shared" si="14"/>
        <v>235</v>
      </c>
      <c r="G227" s="59">
        <f t="shared" si="15"/>
        <v>9419</v>
      </c>
    </row>
    <row r="228" spans="1:7" x14ac:dyDescent="0.2">
      <c r="A228" s="58">
        <v>225</v>
      </c>
      <c r="B228" s="60">
        <v>44144</v>
      </c>
      <c r="C228" s="59">
        <v>29</v>
      </c>
      <c r="D228" s="59">
        <f t="shared" si="13"/>
        <v>9683</v>
      </c>
      <c r="E228" s="59">
        <v>191</v>
      </c>
      <c r="F228" s="59">
        <f t="shared" si="14"/>
        <v>73</v>
      </c>
      <c r="G228" s="59">
        <f t="shared" si="15"/>
        <v>9610</v>
      </c>
    </row>
    <row r="229" spans="1:7" x14ac:dyDescent="0.2">
      <c r="A229" s="58">
        <v>226</v>
      </c>
      <c r="B229" s="60">
        <v>44145</v>
      </c>
      <c r="C229" s="59">
        <v>81</v>
      </c>
      <c r="D229" s="59">
        <f t="shared" si="13"/>
        <v>9764</v>
      </c>
      <c r="E229" s="59">
        <v>46</v>
      </c>
      <c r="F229" s="59">
        <f t="shared" si="14"/>
        <v>108</v>
      </c>
      <c r="G229" s="59">
        <f t="shared" si="15"/>
        <v>9656</v>
      </c>
    </row>
    <row r="230" spans="1:7" x14ac:dyDescent="0.2">
      <c r="A230" s="58">
        <v>227</v>
      </c>
      <c r="B230" s="60">
        <v>44146</v>
      </c>
      <c r="C230" s="59">
        <v>86</v>
      </c>
      <c r="D230" s="59">
        <f t="shared" si="13"/>
        <v>9850</v>
      </c>
      <c r="E230" s="59">
        <v>26</v>
      </c>
      <c r="F230" s="59">
        <f t="shared" si="14"/>
        <v>168</v>
      </c>
      <c r="G230" s="59">
        <f t="shared" si="15"/>
        <v>9682</v>
      </c>
    </row>
    <row r="231" spans="1:7" x14ac:dyDescent="0.2">
      <c r="A231" s="58">
        <v>228</v>
      </c>
      <c r="B231" s="60">
        <v>44147</v>
      </c>
      <c r="C231" s="59">
        <v>34</v>
      </c>
      <c r="D231" s="59">
        <f t="shared" si="13"/>
        <v>9884</v>
      </c>
      <c r="E231" s="59">
        <v>129</v>
      </c>
      <c r="F231" s="59">
        <f t="shared" si="14"/>
        <v>73</v>
      </c>
      <c r="G231" s="59">
        <f t="shared" si="15"/>
        <v>9811</v>
      </c>
    </row>
    <row r="232" spans="1:7" x14ac:dyDescent="0.2">
      <c r="A232" s="58">
        <v>229</v>
      </c>
      <c r="B232" s="60">
        <v>44148</v>
      </c>
      <c r="C232" s="59">
        <v>7</v>
      </c>
      <c r="D232" s="59">
        <f t="shared" si="13"/>
        <v>9891</v>
      </c>
      <c r="E232" s="59">
        <v>80</v>
      </c>
      <c r="F232" s="59">
        <f t="shared" si="14"/>
        <v>0</v>
      </c>
      <c r="G232" s="59">
        <f t="shared" si="15"/>
        <v>9891</v>
      </c>
    </row>
    <row r="233" spans="1:7" x14ac:dyDescent="0.2">
      <c r="A233" s="58">
        <v>230</v>
      </c>
      <c r="B233" s="60">
        <v>44149</v>
      </c>
      <c r="C233" s="59">
        <v>55</v>
      </c>
      <c r="D233" s="59">
        <f t="shared" si="13"/>
        <v>9946</v>
      </c>
      <c r="E233" s="59">
        <v>50</v>
      </c>
      <c r="F233" s="59">
        <f t="shared" si="14"/>
        <v>5</v>
      </c>
      <c r="G233" s="59">
        <f t="shared" si="15"/>
        <v>9941</v>
      </c>
    </row>
    <row r="234" spans="1:7" x14ac:dyDescent="0.2">
      <c r="A234" s="58">
        <v>231</v>
      </c>
      <c r="B234" s="60">
        <v>44150</v>
      </c>
      <c r="C234" s="59">
        <v>21</v>
      </c>
      <c r="D234" s="59">
        <f t="shared" si="13"/>
        <v>9967</v>
      </c>
      <c r="E234" s="59">
        <v>20</v>
      </c>
      <c r="F234" s="59">
        <f t="shared" si="14"/>
        <v>6</v>
      </c>
      <c r="G234" s="59">
        <f t="shared" si="15"/>
        <v>9961</v>
      </c>
    </row>
    <row r="235" spans="1:7" x14ac:dyDescent="0.2">
      <c r="A235" s="58">
        <v>232</v>
      </c>
      <c r="B235" s="60">
        <v>44151</v>
      </c>
      <c r="C235" s="59">
        <v>131</v>
      </c>
      <c r="D235" s="59">
        <f t="shared" si="13"/>
        <v>10098</v>
      </c>
      <c r="E235" s="59">
        <v>108</v>
      </c>
      <c r="F235" s="59">
        <f t="shared" si="14"/>
        <v>29</v>
      </c>
      <c r="G235" s="59">
        <f t="shared" si="15"/>
        <v>10069</v>
      </c>
    </row>
    <row r="236" spans="1:7" x14ac:dyDescent="0.2">
      <c r="A236" s="58">
        <v>233</v>
      </c>
      <c r="B236" s="60">
        <v>44152</v>
      </c>
      <c r="C236" s="59">
        <v>52</v>
      </c>
      <c r="D236" s="59">
        <f t="shared" si="13"/>
        <v>10150</v>
      </c>
      <c r="E236" s="59">
        <v>50</v>
      </c>
      <c r="F236" s="59">
        <f t="shared" si="14"/>
        <v>31</v>
      </c>
      <c r="G236" s="59">
        <f t="shared" si="15"/>
        <v>10119</v>
      </c>
    </row>
    <row r="237" spans="1:7" x14ac:dyDescent="0.2">
      <c r="A237" s="58">
        <v>234</v>
      </c>
      <c r="B237" s="60">
        <v>44153</v>
      </c>
      <c r="C237" s="59">
        <v>101</v>
      </c>
      <c r="D237" s="59">
        <f t="shared" si="13"/>
        <v>10251</v>
      </c>
      <c r="E237" s="59">
        <v>92</v>
      </c>
      <c r="F237" s="59">
        <f t="shared" si="14"/>
        <v>40</v>
      </c>
      <c r="G237" s="59">
        <f t="shared" si="15"/>
        <v>10211</v>
      </c>
    </row>
    <row r="238" spans="1:7" x14ac:dyDescent="0.2">
      <c r="A238" s="58">
        <v>235</v>
      </c>
      <c r="B238" s="60">
        <v>44154</v>
      </c>
      <c r="C238" s="59">
        <v>161</v>
      </c>
      <c r="D238" s="59">
        <f t="shared" si="13"/>
        <v>10412</v>
      </c>
      <c r="E238" s="59">
        <v>61</v>
      </c>
      <c r="F238" s="59">
        <f t="shared" si="14"/>
        <v>140</v>
      </c>
      <c r="G238" s="59">
        <f t="shared" si="15"/>
        <v>10272</v>
      </c>
    </row>
    <row r="239" spans="1:7" x14ac:dyDescent="0.2">
      <c r="A239" s="58">
        <v>236</v>
      </c>
      <c r="B239" s="60">
        <v>44155</v>
      </c>
      <c r="C239" s="59">
        <v>325</v>
      </c>
      <c r="D239" s="59">
        <f t="shared" si="13"/>
        <v>10737</v>
      </c>
      <c r="E239" s="59">
        <v>82</v>
      </c>
      <c r="F239" s="59">
        <f t="shared" si="14"/>
        <v>383</v>
      </c>
      <c r="G239" s="59">
        <f t="shared" si="15"/>
        <v>10354</v>
      </c>
    </row>
    <row r="240" spans="1:7" x14ac:dyDescent="0.2">
      <c r="A240" s="58">
        <v>237</v>
      </c>
      <c r="B240" s="60">
        <v>44156</v>
      </c>
      <c r="C240" s="59">
        <v>192</v>
      </c>
      <c r="D240" s="59">
        <f t="shared" si="13"/>
        <v>10929</v>
      </c>
      <c r="E240" s="59">
        <v>51</v>
      </c>
      <c r="F240" s="59">
        <f t="shared" si="14"/>
        <v>524</v>
      </c>
      <c r="G240" s="59">
        <f t="shared" si="15"/>
        <v>10405</v>
      </c>
    </row>
    <row r="241" spans="1:7" x14ac:dyDescent="0.2">
      <c r="A241" s="58">
        <v>238</v>
      </c>
      <c r="B241" s="60">
        <v>44157</v>
      </c>
      <c r="C241" s="59">
        <v>74</v>
      </c>
      <c r="D241" s="59">
        <f t="shared" si="13"/>
        <v>11003</v>
      </c>
      <c r="E241" s="59">
        <v>2</v>
      </c>
      <c r="F241" s="59">
        <f t="shared" si="14"/>
        <v>596</v>
      </c>
      <c r="G241" s="59">
        <f t="shared" si="15"/>
        <v>10407</v>
      </c>
    </row>
    <row r="242" spans="1:7" x14ac:dyDescent="0.2">
      <c r="A242" s="58">
        <v>239</v>
      </c>
      <c r="B242" s="60">
        <v>44158</v>
      </c>
      <c r="C242" s="59">
        <v>231</v>
      </c>
      <c r="D242" s="59">
        <f t="shared" si="13"/>
        <v>11234</v>
      </c>
      <c r="E242" s="59">
        <v>28</v>
      </c>
      <c r="F242" s="59">
        <f t="shared" si="14"/>
        <v>799</v>
      </c>
      <c r="G242" s="59">
        <f t="shared" si="15"/>
        <v>10435</v>
      </c>
    </row>
    <row r="243" spans="1:7" x14ac:dyDescent="0.2">
      <c r="A243" s="58">
        <v>240</v>
      </c>
      <c r="B243" s="60">
        <v>44159</v>
      </c>
      <c r="C243" s="59">
        <v>29</v>
      </c>
      <c r="D243" s="59">
        <f t="shared" si="13"/>
        <v>11263</v>
      </c>
      <c r="E243" s="59">
        <v>143</v>
      </c>
      <c r="F243" s="59">
        <f t="shared" si="14"/>
        <v>685</v>
      </c>
      <c r="G243" s="59">
        <f t="shared" si="15"/>
        <v>10578</v>
      </c>
    </row>
    <row r="244" spans="1:7" x14ac:dyDescent="0.2">
      <c r="A244" s="58">
        <v>241</v>
      </c>
      <c r="B244" s="60">
        <v>44160</v>
      </c>
      <c r="C244" s="59">
        <v>187</v>
      </c>
      <c r="D244" s="59">
        <f t="shared" si="13"/>
        <v>11450</v>
      </c>
      <c r="E244" s="59">
        <v>30</v>
      </c>
      <c r="F244" s="59">
        <f t="shared" si="14"/>
        <v>842</v>
      </c>
      <c r="G244" s="59">
        <f t="shared" si="15"/>
        <v>10608</v>
      </c>
    </row>
    <row r="245" spans="1:7" x14ac:dyDescent="0.2">
      <c r="A245" s="58">
        <v>242</v>
      </c>
      <c r="B245" s="60">
        <v>44161</v>
      </c>
      <c r="C245" s="59">
        <v>116</v>
      </c>
      <c r="D245" s="59">
        <f t="shared" si="13"/>
        <v>11566</v>
      </c>
      <c r="E245" s="59">
        <v>28</v>
      </c>
      <c r="F245" s="59">
        <f t="shared" si="14"/>
        <v>930</v>
      </c>
      <c r="G245" s="59">
        <f t="shared" si="15"/>
        <v>10636</v>
      </c>
    </row>
    <row r="246" spans="1:7" x14ac:dyDescent="0.2">
      <c r="A246" s="58">
        <v>243</v>
      </c>
      <c r="B246" s="60">
        <v>44162</v>
      </c>
      <c r="C246" s="59">
        <v>88</v>
      </c>
      <c r="D246" s="59">
        <f t="shared" si="13"/>
        <v>11654</v>
      </c>
      <c r="E246" s="59">
        <v>14</v>
      </c>
      <c r="F246" s="59">
        <f t="shared" si="14"/>
        <v>1004</v>
      </c>
      <c r="G246" s="59">
        <f t="shared" si="15"/>
        <v>10650</v>
      </c>
    </row>
    <row r="247" spans="1:7" x14ac:dyDescent="0.2">
      <c r="A247" s="58">
        <v>244</v>
      </c>
      <c r="B247" s="60">
        <v>44163</v>
      </c>
      <c r="C247" s="59">
        <v>245</v>
      </c>
      <c r="D247" s="59">
        <f t="shared" si="13"/>
        <v>11899</v>
      </c>
      <c r="E247" s="59">
        <v>68</v>
      </c>
      <c r="F247" s="59">
        <f t="shared" si="14"/>
        <v>1181</v>
      </c>
      <c r="G247" s="59">
        <f t="shared" si="15"/>
        <v>10718</v>
      </c>
    </row>
    <row r="248" spans="1:7" x14ac:dyDescent="0.2">
      <c r="A248" s="58">
        <v>245</v>
      </c>
      <c r="B248" s="60">
        <v>44164</v>
      </c>
      <c r="C248" s="59">
        <v>31</v>
      </c>
      <c r="D248" s="59">
        <f t="shared" si="13"/>
        <v>11930</v>
      </c>
      <c r="E248" s="59">
        <v>0</v>
      </c>
      <c r="F248" s="59">
        <f t="shared" si="14"/>
        <v>1212</v>
      </c>
      <c r="G248" s="59">
        <f t="shared" si="15"/>
        <v>10718</v>
      </c>
    </row>
    <row r="249" spans="1:7" x14ac:dyDescent="0.2">
      <c r="A249" s="58">
        <v>246</v>
      </c>
      <c r="B249" s="60">
        <v>44165</v>
      </c>
      <c r="C249" s="59">
        <v>168</v>
      </c>
      <c r="D249" s="59">
        <f t="shared" si="13"/>
        <v>12098</v>
      </c>
      <c r="E249" s="59">
        <v>146</v>
      </c>
      <c r="F249" s="59">
        <f t="shared" si="14"/>
        <v>1234</v>
      </c>
      <c r="G249" s="59">
        <f t="shared" si="15"/>
        <v>10864</v>
      </c>
    </row>
    <row r="250" spans="1:7" x14ac:dyDescent="0.2">
      <c r="A250" s="58">
        <v>247</v>
      </c>
      <c r="B250" s="60">
        <v>44166</v>
      </c>
      <c r="C250" s="59">
        <v>229</v>
      </c>
      <c r="D250" s="59">
        <f t="shared" si="13"/>
        <v>12327</v>
      </c>
      <c r="E250" s="59">
        <v>47</v>
      </c>
      <c r="F250" s="59">
        <f t="shared" si="14"/>
        <v>1416</v>
      </c>
      <c r="G250" s="59">
        <f t="shared" si="15"/>
        <v>10911</v>
      </c>
    </row>
    <row r="251" spans="1:7" x14ac:dyDescent="0.2">
      <c r="A251" s="58">
        <v>248</v>
      </c>
      <c r="B251" s="60">
        <v>44167</v>
      </c>
      <c r="C251" s="59">
        <v>248</v>
      </c>
      <c r="D251" s="59">
        <f t="shared" si="13"/>
        <v>12575</v>
      </c>
      <c r="E251" s="59">
        <v>124</v>
      </c>
      <c r="F251" s="59">
        <f t="shared" si="14"/>
        <v>1540</v>
      </c>
      <c r="G251" s="59">
        <f t="shared" si="15"/>
        <v>11035</v>
      </c>
    </row>
    <row r="252" spans="1:7" x14ac:dyDescent="0.2">
      <c r="A252" s="58">
        <v>249</v>
      </c>
      <c r="B252" s="60">
        <v>44168</v>
      </c>
      <c r="C252" s="59">
        <v>292</v>
      </c>
      <c r="D252" s="59">
        <f t="shared" si="13"/>
        <v>12867</v>
      </c>
      <c r="E252" s="59">
        <v>200</v>
      </c>
      <c r="F252" s="59">
        <f t="shared" si="14"/>
        <v>1632</v>
      </c>
      <c r="G252" s="59">
        <f t="shared" si="15"/>
        <v>11235</v>
      </c>
    </row>
    <row r="253" spans="1:7" x14ac:dyDescent="0.2">
      <c r="A253" s="58">
        <v>250</v>
      </c>
      <c r="B253" s="60">
        <v>44169</v>
      </c>
      <c r="C253" s="59">
        <v>279</v>
      </c>
      <c r="D253" s="59">
        <f t="shared" si="13"/>
        <v>13146</v>
      </c>
      <c r="E253" s="59">
        <v>263</v>
      </c>
      <c r="F253" s="59">
        <f t="shared" si="14"/>
        <v>1648</v>
      </c>
      <c r="G253" s="59">
        <f t="shared" si="15"/>
        <v>11498</v>
      </c>
    </row>
    <row r="254" spans="1:7" x14ac:dyDescent="0.2">
      <c r="A254" s="58">
        <v>251</v>
      </c>
      <c r="B254" s="60">
        <v>44170</v>
      </c>
      <c r="C254" s="59">
        <v>336</v>
      </c>
      <c r="D254" s="59">
        <f t="shared" si="13"/>
        <v>13482</v>
      </c>
      <c r="E254" s="59">
        <v>206</v>
      </c>
      <c r="F254" s="59">
        <f t="shared" si="14"/>
        <v>1778</v>
      </c>
      <c r="G254" s="59">
        <f t="shared" si="15"/>
        <v>11704</v>
      </c>
    </row>
    <row r="255" spans="1:7" x14ac:dyDescent="0.2">
      <c r="A255" s="58">
        <v>252</v>
      </c>
      <c r="B255" s="60">
        <v>44171</v>
      </c>
      <c r="C255" s="59">
        <v>63</v>
      </c>
      <c r="D255" s="59">
        <f t="shared" si="13"/>
        <v>13545</v>
      </c>
      <c r="E255" s="59">
        <v>191</v>
      </c>
      <c r="F255" s="59">
        <f t="shared" si="14"/>
        <v>1650</v>
      </c>
      <c r="G255" s="59">
        <f t="shared" si="15"/>
        <v>11895</v>
      </c>
    </row>
    <row r="256" spans="1:7" x14ac:dyDescent="0.2">
      <c r="A256" s="58">
        <v>253</v>
      </c>
      <c r="B256" s="60">
        <v>44172</v>
      </c>
      <c r="C256" s="59">
        <v>95</v>
      </c>
      <c r="D256" s="59">
        <f t="shared" si="13"/>
        <v>13640</v>
      </c>
      <c r="E256" s="59">
        <v>247</v>
      </c>
      <c r="F256" s="59">
        <f t="shared" si="14"/>
        <v>1498</v>
      </c>
      <c r="G256" s="59">
        <f t="shared" si="15"/>
        <v>12142</v>
      </c>
    </row>
    <row r="257" spans="1:7" x14ac:dyDescent="0.2">
      <c r="A257" s="58">
        <v>254</v>
      </c>
      <c r="B257" s="60">
        <v>44173</v>
      </c>
      <c r="C257" s="59">
        <v>62</v>
      </c>
      <c r="D257" s="59">
        <f t="shared" si="13"/>
        <v>13702</v>
      </c>
      <c r="E257" s="59">
        <v>432</v>
      </c>
      <c r="F257" s="59">
        <f t="shared" si="14"/>
        <v>1128</v>
      </c>
      <c r="G257" s="59">
        <f t="shared" si="15"/>
        <v>12574</v>
      </c>
    </row>
    <row r="258" spans="1:7" x14ac:dyDescent="0.2">
      <c r="A258" s="58">
        <v>255</v>
      </c>
      <c r="B258" s="60">
        <v>44174</v>
      </c>
      <c r="C258" s="59">
        <v>21</v>
      </c>
      <c r="D258" s="59">
        <f t="shared" si="13"/>
        <v>13723</v>
      </c>
      <c r="E258" s="59">
        <v>127</v>
      </c>
      <c r="F258" s="59">
        <f t="shared" si="14"/>
        <v>1022</v>
      </c>
      <c r="G258" s="59">
        <f t="shared" si="15"/>
        <v>12701</v>
      </c>
    </row>
    <row r="259" spans="1:7" x14ac:dyDescent="0.2">
      <c r="A259" s="58">
        <v>256</v>
      </c>
      <c r="B259" s="60">
        <v>44175</v>
      </c>
      <c r="C259" s="59">
        <v>119</v>
      </c>
      <c r="D259" s="59">
        <f t="shared" si="13"/>
        <v>13842</v>
      </c>
      <c r="E259" s="59">
        <v>121</v>
      </c>
      <c r="F259" s="59">
        <f t="shared" si="14"/>
        <v>1020</v>
      </c>
      <c r="G259" s="59">
        <f t="shared" si="15"/>
        <v>12822</v>
      </c>
    </row>
    <row r="260" spans="1:7" x14ac:dyDescent="0.2">
      <c r="A260" s="58">
        <v>257</v>
      </c>
      <c r="B260" s="60">
        <v>44176</v>
      </c>
      <c r="C260" s="59">
        <v>159</v>
      </c>
      <c r="D260" s="59">
        <f t="shared" si="13"/>
        <v>14001</v>
      </c>
      <c r="E260" s="59">
        <v>213</v>
      </c>
      <c r="F260" s="59">
        <f t="shared" si="14"/>
        <v>966</v>
      </c>
      <c r="G260" s="59">
        <f t="shared" si="15"/>
        <v>13035</v>
      </c>
    </row>
    <row r="261" spans="1:7" x14ac:dyDescent="0.2">
      <c r="A261" s="58">
        <v>258</v>
      </c>
      <c r="B261" s="60">
        <v>44177</v>
      </c>
      <c r="C261" s="59">
        <v>65</v>
      </c>
      <c r="D261" s="59">
        <f t="shared" si="13"/>
        <v>14066</v>
      </c>
      <c r="E261" s="59">
        <v>146</v>
      </c>
      <c r="F261" s="59">
        <f t="shared" si="14"/>
        <v>885</v>
      </c>
      <c r="G261" s="59">
        <f t="shared" si="15"/>
        <v>13181</v>
      </c>
    </row>
    <row r="262" spans="1:7" x14ac:dyDescent="0.2">
      <c r="A262" s="58">
        <v>259</v>
      </c>
      <c r="B262" s="60">
        <v>44178</v>
      </c>
      <c r="C262" s="59">
        <v>16</v>
      </c>
      <c r="D262" s="59">
        <f t="shared" si="13"/>
        <v>14082</v>
      </c>
      <c r="E262" s="59">
        <v>49</v>
      </c>
      <c r="F262" s="59">
        <f t="shared" si="14"/>
        <v>852</v>
      </c>
      <c r="G262" s="59">
        <f t="shared" si="15"/>
        <v>13230</v>
      </c>
    </row>
    <row r="263" spans="1:7" x14ac:dyDescent="0.2">
      <c r="A263" s="58">
        <v>260</v>
      </c>
      <c r="B263" s="60">
        <v>44179</v>
      </c>
      <c r="C263" s="59">
        <v>117</v>
      </c>
      <c r="D263" s="59">
        <f t="shared" si="13"/>
        <v>14199</v>
      </c>
      <c r="E263" s="59">
        <v>147</v>
      </c>
      <c r="F263" s="59">
        <f t="shared" si="14"/>
        <v>822</v>
      </c>
      <c r="G263" s="59">
        <f t="shared" si="15"/>
        <v>13377</v>
      </c>
    </row>
    <row r="264" spans="1:7" x14ac:dyDescent="0.2">
      <c r="A264" s="58">
        <v>261</v>
      </c>
      <c r="B264" s="60">
        <v>44180</v>
      </c>
      <c r="C264" s="59">
        <v>262</v>
      </c>
      <c r="D264" s="59">
        <f t="shared" si="13"/>
        <v>14461</v>
      </c>
      <c r="E264" s="59">
        <v>292</v>
      </c>
      <c r="F264" s="59">
        <f t="shared" si="14"/>
        <v>792</v>
      </c>
      <c r="G264" s="59">
        <f t="shared" si="15"/>
        <v>13669</v>
      </c>
    </row>
    <row r="265" spans="1:7" x14ac:dyDescent="0.2">
      <c r="A265" s="58">
        <v>262</v>
      </c>
      <c r="B265" s="60">
        <v>44181</v>
      </c>
      <c r="C265" s="59">
        <v>226</v>
      </c>
      <c r="D265" s="59">
        <f t="shared" si="13"/>
        <v>14687</v>
      </c>
      <c r="E265" s="59">
        <v>261</v>
      </c>
      <c r="F265" s="59">
        <f t="shared" si="14"/>
        <v>757</v>
      </c>
      <c r="G265" s="59">
        <f t="shared" si="15"/>
        <v>13930</v>
      </c>
    </row>
    <row r="266" spans="1:7" x14ac:dyDescent="0.2">
      <c r="A266" s="58">
        <v>263</v>
      </c>
      <c r="B266" s="60">
        <v>44182</v>
      </c>
      <c r="C266" s="59">
        <v>150</v>
      </c>
      <c r="D266" s="59">
        <f t="shared" si="13"/>
        <v>14837</v>
      </c>
      <c r="E266" s="59">
        <v>235</v>
      </c>
      <c r="F266" s="59">
        <f t="shared" si="14"/>
        <v>672</v>
      </c>
      <c r="G266" s="59">
        <f t="shared" si="15"/>
        <v>14165</v>
      </c>
    </row>
    <row r="267" spans="1:7" x14ac:dyDescent="0.2">
      <c r="A267" s="58">
        <v>264</v>
      </c>
      <c r="B267" s="60">
        <v>44183</v>
      </c>
      <c r="C267" s="59">
        <v>263</v>
      </c>
      <c r="D267" s="59">
        <f t="shared" si="13"/>
        <v>15100</v>
      </c>
      <c r="E267" s="59">
        <v>285</v>
      </c>
      <c r="F267" s="59">
        <f t="shared" si="14"/>
        <v>650</v>
      </c>
      <c r="G267" s="59">
        <f t="shared" si="15"/>
        <v>14450</v>
      </c>
    </row>
    <row r="268" spans="1:7" x14ac:dyDescent="0.2">
      <c r="A268" s="58">
        <v>265</v>
      </c>
      <c r="B268" s="60">
        <v>44184</v>
      </c>
      <c r="C268" s="59">
        <v>104</v>
      </c>
      <c r="D268" s="59">
        <f t="shared" si="13"/>
        <v>15204</v>
      </c>
      <c r="E268" s="59">
        <v>296</v>
      </c>
      <c r="F268" s="59">
        <f t="shared" si="14"/>
        <v>458</v>
      </c>
      <c r="G268" s="59">
        <f t="shared" si="15"/>
        <v>14746</v>
      </c>
    </row>
    <row r="269" spans="1:7" x14ac:dyDescent="0.2">
      <c r="A269" s="58">
        <v>266</v>
      </c>
      <c r="B269" s="60">
        <v>44185</v>
      </c>
      <c r="C269" s="59">
        <v>69</v>
      </c>
      <c r="D269" s="59">
        <f t="shared" si="13"/>
        <v>15273</v>
      </c>
      <c r="E269" s="59">
        <v>66</v>
      </c>
      <c r="F269" s="59">
        <f t="shared" si="14"/>
        <v>461</v>
      </c>
      <c r="G269" s="59">
        <f t="shared" si="15"/>
        <v>14812</v>
      </c>
    </row>
    <row r="270" spans="1:7" x14ac:dyDescent="0.2">
      <c r="A270" s="58">
        <v>267</v>
      </c>
      <c r="B270" s="60">
        <v>44186</v>
      </c>
      <c r="C270" s="59">
        <v>134</v>
      </c>
      <c r="D270" s="59">
        <f t="shared" si="13"/>
        <v>15407</v>
      </c>
      <c r="E270" s="59">
        <v>87</v>
      </c>
      <c r="F270" s="59">
        <f t="shared" si="14"/>
        <v>508</v>
      </c>
      <c r="G270" s="59">
        <f t="shared" si="15"/>
        <v>14899</v>
      </c>
    </row>
    <row r="271" spans="1:7" x14ac:dyDescent="0.2">
      <c r="A271" s="58">
        <v>268</v>
      </c>
      <c r="B271" s="60">
        <v>44187</v>
      </c>
      <c r="C271" s="59">
        <v>211</v>
      </c>
      <c r="D271" s="59">
        <f t="shared" si="13"/>
        <v>15618</v>
      </c>
      <c r="E271" s="59">
        <v>61</v>
      </c>
      <c r="F271" s="59">
        <f t="shared" si="14"/>
        <v>658</v>
      </c>
      <c r="G271" s="59">
        <f t="shared" si="15"/>
        <v>14960</v>
      </c>
    </row>
    <row r="272" spans="1:7" x14ac:dyDescent="0.2">
      <c r="A272" s="58">
        <v>269</v>
      </c>
      <c r="B272" s="60">
        <v>44188</v>
      </c>
      <c r="C272" s="59">
        <v>173</v>
      </c>
      <c r="D272" s="59">
        <f t="shared" si="13"/>
        <v>15791</v>
      </c>
      <c r="E272" s="59">
        <v>18</v>
      </c>
      <c r="F272" s="59">
        <f t="shared" si="14"/>
        <v>813</v>
      </c>
      <c r="G272" s="59">
        <f t="shared" si="15"/>
        <v>14978</v>
      </c>
    </row>
    <row r="273" spans="1:7" x14ac:dyDescent="0.2">
      <c r="A273" s="58">
        <v>270</v>
      </c>
      <c r="B273" s="60">
        <v>44189</v>
      </c>
      <c r="C273" s="59">
        <v>49</v>
      </c>
      <c r="D273" s="59">
        <f t="shared" si="13"/>
        <v>15840</v>
      </c>
      <c r="E273" s="59">
        <v>142</v>
      </c>
      <c r="F273" s="59">
        <f t="shared" si="14"/>
        <v>720</v>
      </c>
      <c r="G273" s="59">
        <f t="shared" si="15"/>
        <v>15120</v>
      </c>
    </row>
    <row r="274" spans="1:7" x14ac:dyDescent="0.2">
      <c r="A274" s="58">
        <v>271</v>
      </c>
      <c r="B274" s="60">
        <v>44190</v>
      </c>
      <c r="C274" s="59">
        <v>60</v>
      </c>
      <c r="D274" s="59">
        <f t="shared" si="13"/>
        <v>15900</v>
      </c>
      <c r="E274" s="59">
        <v>137</v>
      </c>
      <c r="F274" s="59">
        <f t="shared" si="14"/>
        <v>643</v>
      </c>
      <c r="G274" s="59">
        <f t="shared" si="15"/>
        <v>15257</v>
      </c>
    </row>
    <row r="275" spans="1:7" x14ac:dyDescent="0.2">
      <c r="A275" s="58">
        <v>272</v>
      </c>
      <c r="B275" s="60">
        <v>44191</v>
      </c>
      <c r="C275" s="59">
        <v>115</v>
      </c>
      <c r="D275" s="59">
        <f t="shared" ref="D275:D338" si="16">D274+C275</f>
        <v>16015</v>
      </c>
      <c r="E275" s="59">
        <v>76</v>
      </c>
      <c r="F275" s="59">
        <f t="shared" ref="F275:F338" si="17">F274+C275-E275</f>
        <v>682</v>
      </c>
      <c r="G275" s="59">
        <f t="shared" ref="G275:G338" si="18">G274+E275</f>
        <v>15333</v>
      </c>
    </row>
    <row r="276" spans="1:7" x14ac:dyDescent="0.2">
      <c r="A276" s="58">
        <v>273</v>
      </c>
      <c r="B276" s="60">
        <v>44192</v>
      </c>
      <c r="C276" s="59">
        <v>45</v>
      </c>
      <c r="D276" s="59">
        <f t="shared" si="16"/>
        <v>16060</v>
      </c>
      <c r="E276" s="59">
        <v>23</v>
      </c>
      <c r="F276" s="59">
        <f t="shared" si="17"/>
        <v>704</v>
      </c>
      <c r="G276" s="59">
        <f t="shared" si="18"/>
        <v>15356</v>
      </c>
    </row>
    <row r="277" spans="1:7" x14ac:dyDescent="0.2">
      <c r="A277" s="58">
        <v>274</v>
      </c>
      <c r="B277" s="60">
        <v>44193</v>
      </c>
      <c r="C277" s="59">
        <v>133</v>
      </c>
      <c r="D277" s="59">
        <f t="shared" si="16"/>
        <v>16193</v>
      </c>
      <c r="E277" s="59">
        <v>130</v>
      </c>
      <c r="F277" s="59">
        <f t="shared" si="17"/>
        <v>707</v>
      </c>
      <c r="G277" s="59">
        <f t="shared" si="18"/>
        <v>15486</v>
      </c>
    </row>
    <row r="278" spans="1:7" x14ac:dyDescent="0.2">
      <c r="A278" s="58">
        <v>275</v>
      </c>
      <c r="B278" s="60">
        <v>44194</v>
      </c>
      <c r="C278" s="59">
        <v>85</v>
      </c>
      <c r="D278" s="59">
        <f t="shared" si="16"/>
        <v>16278</v>
      </c>
      <c r="E278" s="59">
        <v>331</v>
      </c>
      <c r="F278" s="59">
        <f t="shared" si="17"/>
        <v>461</v>
      </c>
      <c r="G278" s="59">
        <f t="shared" si="18"/>
        <v>15817</v>
      </c>
    </row>
    <row r="279" spans="1:7" x14ac:dyDescent="0.2">
      <c r="A279" s="58">
        <v>276</v>
      </c>
      <c r="B279" s="60">
        <v>44195</v>
      </c>
      <c r="C279" s="59">
        <v>66</v>
      </c>
      <c r="D279" s="59">
        <f t="shared" si="16"/>
        <v>16344</v>
      </c>
      <c r="E279" s="59">
        <v>133</v>
      </c>
      <c r="F279" s="59">
        <f t="shared" si="17"/>
        <v>394</v>
      </c>
      <c r="G279" s="59">
        <f t="shared" si="18"/>
        <v>15950</v>
      </c>
    </row>
    <row r="280" spans="1:7" x14ac:dyDescent="0.2">
      <c r="A280" s="58">
        <v>277</v>
      </c>
      <c r="B280" s="60">
        <v>44196</v>
      </c>
      <c r="C280" s="59">
        <v>88</v>
      </c>
      <c r="D280" s="59">
        <f t="shared" si="16"/>
        <v>16432</v>
      </c>
      <c r="E280" s="59">
        <v>226</v>
      </c>
      <c r="F280" s="59">
        <f t="shared" si="17"/>
        <v>256</v>
      </c>
      <c r="G280" s="59">
        <f t="shared" si="18"/>
        <v>16176</v>
      </c>
    </row>
    <row r="281" spans="1:7" x14ac:dyDescent="0.2">
      <c r="A281" s="58">
        <v>278</v>
      </c>
      <c r="B281" s="60">
        <v>44197</v>
      </c>
      <c r="C281" s="59">
        <v>94</v>
      </c>
      <c r="D281" s="59">
        <f t="shared" si="16"/>
        <v>16526</v>
      </c>
      <c r="E281" s="59">
        <v>199</v>
      </c>
      <c r="F281" s="59">
        <f t="shared" si="17"/>
        <v>151</v>
      </c>
      <c r="G281" s="59">
        <f t="shared" si="18"/>
        <v>16375</v>
      </c>
    </row>
    <row r="282" spans="1:7" x14ac:dyDescent="0.2">
      <c r="A282" s="58">
        <v>279</v>
      </c>
      <c r="B282" s="60">
        <v>44198</v>
      </c>
      <c r="C282" s="59">
        <v>212</v>
      </c>
      <c r="D282" s="59">
        <f t="shared" si="16"/>
        <v>16738</v>
      </c>
      <c r="E282" s="59">
        <v>113</v>
      </c>
      <c r="F282" s="59">
        <f t="shared" si="17"/>
        <v>250</v>
      </c>
      <c r="G282" s="59">
        <f t="shared" si="18"/>
        <v>16488</v>
      </c>
    </row>
    <row r="283" spans="1:7" x14ac:dyDescent="0.2">
      <c r="A283" s="58">
        <v>280</v>
      </c>
      <c r="B283" s="60">
        <v>44199</v>
      </c>
      <c r="C283" s="59">
        <v>50</v>
      </c>
      <c r="D283" s="59">
        <f t="shared" si="16"/>
        <v>16788</v>
      </c>
      <c r="E283" s="59">
        <v>60</v>
      </c>
      <c r="F283" s="59">
        <f t="shared" si="17"/>
        <v>240</v>
      </c>
      <c r="G283" s="59">
        <f t="shared" si="18"/>
        <v>16548</v>
      </c>
    </row>
    <row r="284" spans="1:7" x14ac:dyDescent="0.2">
      <c r="A284" s="58">
        <v>281</v>
      </c>
      <c r="B284" s="60">
        <v>44200</v>
      </c>
      <c r="C284" s="59">
        <v>181</v>
      </c>
      <c r="D284" s="59">
        <f t="shared" si="16"/>
        <v>16969</v>
      </c>
      <c r="E284" s="59">
        <v>118</v>
      </c>
      <c r="F284" s="59">
        <f t="shared" si="17"/>
        <v>303</v>
      </c>
      <c r="G284" s="59">
        <f t="shared" si="18"/>
        <v>16666</v>
      </c>
    </row>
    <row r="285" spans="1:7" x14ac:dyDescent="0.2">
      <c r="A285" s="58">
        <v>282</v>
      </c>
      <c r="B285" s="60">
        <v>44201</v>
      </c>
      <c r="C285" s="59">
        <v>163</v>
      </c>
      <c r="D285" s="59">
        <f t="shared" si="16"/>
        <v>17132</v>
      </c>
      <c r="E285" s="59">
        <v>226</v>
      </c>
      <c r="F285" s="59">
        <f t="shared" si="17"/>
        <v>240</v>
      </c>
      <c r="G285" s="59">
        <f t="shared" si="18"/>
        <v>16892</v>
      </c>
    </row>
    <row r="286" spans="1:7" x14ac:dyDescent="0.2">
      <c r="A286" s="58">
        <v>283</v>
      </c>
      <c r="B286" s="60">
        <v>44202</v>
      </c>
      <c r="C286" s="59">
        <v>201</v>
      </c>
      <c r="D286" s="59">
        <f t="shared" si="16"/>
        <v>17333</v>
      </c>
      <c r="E286" s="59">
        <v>166</v>
      </c>
      <c r="F286" s="59">
        <f t="shared" si="17"/>
        <v>275</v>
      </c>
      <c r="G286" s="59">
        <f t="shared" si="18"/>
        <v>17058</v>
      </c>
    </row>
    <row r="287" spans="1:7" x14ac:dyDescent="0.2">
      <c r="A287" s="58">
        <v>284</v>
      </c>
      <c r="B287" s="60">
        <v>44203</v>
      </c>
      <c r="C287" s="59">
        <v>125</v>
      </c>
      <c r="D287" s="59">
        <f t="shared" si="16"/>
        <v>17458</v>
      </c>
      <c r="E287" s="59">
        <v>79</v>
      </c>
      <c r="F287" s="59">
        <f t="shared" si="17"/>
        <v>321</v>
      </c>
      <c r="G287" s="59">
        <f t="shared" si="18"/>
        <v>17137</v>
      </c>
    </row>
    <row r="288" spans="1:7" x14ac:dyDescent="0.2">
      <c r="A288" s="58">
        <v>285</v>
      </c>
      <c r="B288" s="60">
        <v>44204</v>
      </c>
      <c r="C288" s="59">
        <v>134</v>
      </c>
      <c r="D288" s="59">
        <f t="shared" si="16"/>
        <v>17592</v>
      </c>
      <c r="E288" s="59">
        <v>15</v>
      </c>
      <c r="F288" s="59">
        <f t="shared" si="17"/>
        <v>440</v>
      </c>
      <c r="G288" s="59">
        <f t="shared" si="18"/>
        <v>17152</v>
      </c>
    </row>
    <row r="289" spans="1:7" x14ac:dyDescent="0.2">
      <c r="A289" s="58">
        <v>286</v>
      </c>
      <c r="B289" s="60">
        <v>44205</v>
      </c>
      <c r="C289" s="59">
        <v>169</v>
      </c>
      <c r="D289" s="59">
        <f t="shared" si="16"/>
        <v>17761</v>
      </c>
      <c r="E289" s="59">
        <v>130</v>
      </c>
      <c r="F289" s="59">
        <f t="shared" si="17"/>
        <v>479</v>
      </c>
      <c r="G289" s="59">
        <f t="shared" si="18"/>
        <v>17282</v>
      </c>
    </row>
    <row r="290" spans="1:7" x14ac:dyDescent="0.2">
      <c r="A290" s="58">
        <v>287</v>
      </c>
      <c r="B290" s="60">
        <v>44206</v>
      </c>
      <c r="C290" s="59">
        <v>80</v>
      </c>
      <c r="D290" s="59">
        <f t="shared" si="16"/>
        <v>17841</v>
      </c>
      <c r="E290" s="59">
        <v>32</v>
      </c>
      <c r="F290" s="59">
        <f t="shared" si="17"/>
        <v>527</v>
      </c>
      <c r="G290" s="59">
        <f t="shared" si="18"/>
        <v>17314</v>
      </c>
    </row>
    <row r="291" spans="1:7" x14ac:dyDescent="0.2">
      <c r="A291" s="58">
        <v>288</v>
      </c>
      <c r="B291" s="60">
        <v>44207</v>
      </c>
      <c r="C291" s="59">
        <v>162</v>
      </c>
      <c r="D291" s="59">
        <f t="shared" si="16"/>
        <v>18003</v>
      </c>
      <c r="E291" s="59">
        <v>173</v>
      </c>
      <c r="F291" s="59">
        <f t="shared" si="17"/>
        <v>516</v>
      </c>
      <c r="G291" s="59">
        <f t="shared" si="18"/>
        <v>17487</v>
      </c>
    </row>
    <row r="292" spans="1:7" x14ac:dyDescent="0.2">
      <c r="A292" s="58">
        <v>289</v>
      </c>
      <c r="B292" s="60">
        <v>44208</v>
      </c>
      <c r="C292" s="59">
        <v>164</v>
      </c>
      <c r="D292" s="59">
        <f t="shared" si="16"/>
        <v>18167</v>
      </c>
      <c r="E292" s="59">
        <v>89</v>
      </c>
      <c r="F292" s="59">
        <f t="shared" si="17"/>
        <v>591</v>
      </c>
      <c r="G292" s="59">
        <f t="shared" si="18"/>
        <v>17576</v>
      </c>
    </row>
    <row r="293" spans="1:7" x14ac:dyDescent="0.2">
      <c r="A293" s="58">
        <v>290</v>
      </c>
      <c r="B293" s="60">
        <v>44209</v>
      </c>
      <c r="C293" s="59">
        <v>93</v>
      </c>
      <c r="D293" s="59">
        <f t="shared" si="16"/>
        <v>18260</v>
      </c>
      <c r="E293" s="59">
        <v>393</v>
      </c>
      <c r="F293" s="59">
        <f t="shared" si="17"/>
        <v>291</v>
      </c>
      <c r="G293" s="59">
        <f t="shared" si="18"/>
        <v>17969</v>
      </c>
    </row>
    <row r="294" spans="1:7" x14ac:dyDescent="0.2">
      <c r="A294" s="58">
        <v>291</v>
      </c>
      <c r="B294" s="60">
        <v>44210</v>
      </c>
      <c r="C294" s="59">
        <v>223</v>
      </c>
      <c r="D294" s="59">
        <f t="shared" si="16"/>
        <v>18483</v>
      </c>
      <c r="E294" s="59">
        <v>176</v>
      </c>
      <c r="F294" s="59">
        <f t="shared" si="17"/>
        <v>338</v>
      </c>
      <c r="G294" s="59">
        <f t="shared" si="18"/>
        <v>18145</v>
      </c>
    </row>
    <row r="295" spans="1:7" x14ac:dyDescent="0.2">
      <c r="A295" s="58">
        <v>292</v>
      </c>
      <c r="B295" s="60">
        <v>44211</v>
      </c>
      <c r="C295" s="59">
        <v>304</v>
      </c>
      <c r="D295" s="59">
        <f t="shared" si="16"/>
        <v>18787</v>
      </c>
      <c r="E295" s="59">
        <v>96</v>
      </c>
      <c r="F295" s="59">
        <f t="shared" si="17"/>
        <v>546</v>
      </c>
      <c r="G295" s="59">
        <f t="shared" si="18"/>
        <v>18241</v>
      </c>
    </row>
    <row r="296" spans="1:7" x14ac:dyDescent="0.2">
      <c r="A296" s="58">
        <v>293</v>
      </c>
      <c r="B296" s="60">
        <v>44212</v>
      </c>
      <c r="C296" s="59">
        <v>205</v>
      </c>
      <c r="D296" s="59">
        <f t="shared" si="16"/>
        <v>18992</v>
      </c>
      <c r="E296" s="59">
        <v>170</v>
      </c>
      <c r="F296" s="59">
        <f t="shared" si="17"/>
        <v>581</v>
      </c>
      <c r="G296" s="59">
        <f t="shared" si="18"/>
        <v>18411</v>
      </c>
    </row>
    <row r="297" spans="1:7" x14ac:dyDescent="0.2">
      <c r="A297" s="58">
        <v>294</v>
      </c>
      <c r="B297" s="60">
        <v>44213</v>
      </c>
      <c r="C297" s="59">
        <v>45</v>
      </c>
      <c r="D297" s="59">
        <f t="shared" si="16"/>
        <v>19037</v>
      </c>
      <c r="E297" s="59">
        <v>120</v>
      </c>
      <c r="F297" s="59">
        <f t="shared" si="17"/>
        <v>506</v>
      </c>
      <c r="G297" s="59">
        <f t="shared" si="18"/>
        <v>18531</v>
      </c>
    </row>
    <row r="298" spans="1:7" x14ac:dyDescent="0.2">
      <c r="A298" s="58">
        <v>295</v>
      </c>
      <c r="B298" s="60">
        <v>44214</v>
      </c>
      <c r="C298" s="59">
        <v>196</v>
      </c>
      <c r="D298" s="59">
        <f t="shared" si="16"/>
        <v>19233</v>
      </c>
      <c r="E298" s="59">
        <v>128</v>
      </c>
      <c r="F298" s="59">
        <f t="shared" si="17"/>
        <v>574</v>
      </c>
      <c r="G298" s="59">
        <f t="shared" si="18"/>
        <v>18659</v>
      </c>
    </row>
    <row r="299" spans="1:7" x14ac:dyDescent="0.2">
      <c r="A299" s="58">
        <v>296</v>
      </c>
      <c r="B299" s="60">
        <v>44215</v>
      </c>
      <c r="C299" s="59">
        <v>302</v>
      </c>
      <c r="D299" s="59">
        <f t="shared" si="16"/>
        <v>19535</v>
      </c>
      <c r="E299" s="59">
        <v>217</v>
      </c>
      <c r="F299" s="59">
        <f t="shared" si="17"/>
        <v>659</v>
      </c>
      <c r="G299" s="59">
        <f t="shared" si="18"/>
        <v>18876</v>
      </c>
    </row>
    <row r="300" spans="1:7" x14ac:dyDescent="0.2">
      <c r="A300" s="58">
        <v>297</v>
      </c>
      <c r="B300" s="60">
        <v>44216</v>
      </c>
      <c r="C300" s="59">
        <v>300</v>
      </c>
      <c r="D300" s="59">
        <f t="shared" si="16"/>
        <v>19835</v>
      </c>
      <c r="E300" s="59">
        <v>137</v>
      </c>
      <c r="F300" s="59">
        <f t="shared" si="17"/>
        <v>822</v>
      </c>
      <c r="G300" s="59">
        <f t="shared" si="18"/>
        <v>19013</v>
      </c>
    </row>
    <row r="301" spans="1:7" x14ac:dyDescent="0.2">
      <c r="A301" s="58">
        <v>298</v>
      </c>
      <c r="B301" s="60">
        <v>44217</v>
      </c>
      <c r="C301" s="59">
        <v>94</v>
      </c>
      <c r="D301" s="59">
        <f t="shared" si="16"/>
        <v>19929</v>
      </c>
      <c r="E301" s="59">
        <v>121</v>
      </c>
      <c r="F301" s="59">
        <f t="shared" si="17"/>
        <v>795</v>
      </c>
      <c r="G301" s="59">
        <f t="shared" si="18"/>
        <v>19134</v>
      </c>
    </row>
    <row r="302" spans="1:7" x14ac:dyDescent="0.2">
      <c r="A302" s="58">
        <v>299</v>
      </c>
      <c r="B302" s="60">
        <v>44218</v>
      </c>
      <c r="C302" s="59">
        <v>214</v>
      </c>
      <c r="D302" s="59">
        <f t="shared" si="16"/>
        <v>20143</v>
      </c>
      <c r="E302" s="59">
        <v>197</v>
      </c>
      <c r="F302" s="59">
        <f t="shared" si="17"/>
        <v>812</v>
      </c>
      <c r="G302" s="59">
        <f t="shared" si="18"/>
        <v>19331</v>
      </c>
    </row>
    <row r="303" spans="1:7" x14ac:dyDescent="0.2">
      <c r="A303" s="58">
        <v>300</v>
      </c>
      <c r="B303" s="60">
        <v>44219</v>
      </c>
      <c r="C303" s="59">
        <v>84</v>
      </c>
      <c r="D303" s="59">
        <f t="shared" si="16"/>
        <v>20227</v>
      </c>
      <c r="E303" s="59">
        <v>135</v>
      </c>
      <c r="F303" s="59">
        <f t="shared" si="17"/>
        <v>761</v>
      </c>
      <c r="G303" s="59">
        <f t="shared" si="18"/>
        <v>19466</v>
      </c>
    </row>
    <row r="304" spans="1:7" x14ac:dyDescent="0.2">
      <c r="A304" s="58">
        <v>301</v>
      </c>
      <c r="B304" s="60">
        <v>44220</v>
      </c>
      <c r="C304" s="59">
        <v>11</v>
      </c>
      <c r="D304" s="59">
        <f t="shared" si="16"/>
        <v>20238</v>
      </c>
      <c r="E304" s="59">
        <v>39</v>
      </c>
      <c r="F304" s="59">
        <f t="shared" si="17"/>
        <v>733</v>
      </c>
      <c r="G304" s="59">
        <f t="shared" si="18"/>
        <v>19505</v>
      </c>
    </row>
    <row r="305" spans="1:7" x14ac:dyDescent="0.2">
      <c r="A305" s="58">
        <v>302</v>
      </c>
      <c r="B305" s="60">
        <v>44221</v>
      </c>
      <c r="C305" s="59">
        <v>95</v>
      </c>
      <c r="D305" s="59">
        <f t="shared" si="16"/>
        <v>20333</v>
      </c>
      <c r="E305" s="59">
        <v>241</v>
      </c>
      <c r="F305" s="59">
        <f t="shared" si="17"/>
        <v>587</v>
      </c>
      <c r="G305" s="59">
        <f t="shared" si="18"/>
        <v>19746</v>
      </c>
    </row>
    <row r="306" spans="1:7" x14ac:dyDescent="0.2">
      <c r="A306" s="58">
        <v>303</v>
      </c>
      <c r="B306" s="60">
        <v>44222</v>
      </c>
      <c r="C306" s="59">
        <v>230</v>
      </c>
      <c r="D306" s="59">
        <f t="shared" si="16"/>
        <v>20563</v>
      </c>
      <c r="E306" s="59">
        <v>79</v>
      </c>
      <c r="F306" s="59">
        <f t="shared" si="17"/>
        <v>738</v>
      </c>
      <c r="G306" s="59">
        <f t="shared" si="18"/>
        <v>19825</v>
      </c>
    </row>
    <row r="307" spans="1:7" x14ac:dyDescent="0.2">
      <c r="A307" s="58">
        <v>304</v>
      </c>
      <c r="B307" s="60">
        <v>44223</v>
      </c>
      <c r="C307" s="59">
        <v>316</v>
      </c>
      <c r="D307" s="59">
        <f t="shared" si="16"/>
        <v>20879</v>
      </c>
      <c r="E307" s="59">
        <v>114</v>
      </c>
      <c r="F307" s="59">
        <f t="shared" si="17"/>
        <v>940</v>
      </c>
      <c r="G307" s="59">
        <f t="shared" si="18"/>
        <v>19939</v>
      </c>
    </row>
    <row r="308" spans="1:7" x14ac:dyDescent="0.2">
      <c r="A308" s="58">
        <v>305</v>
      </c>
      <c r="B308" s="60">
        <v>44224</v>
      </c>
      <c r="C308" s="59">
        <v>357</v>
      </c>
      <c r="D308" s="59">
        <f t="shared" si="16"/>
        <v>21236</v>
      </c>
      <c r="E308" s="59">
        <v>66</v>
      </c>
      <c r="F308" s="59">
        <f t="shared" si="17"/>
        <v>1231</v>
      </c>
      <c r="G308" s="59">
        <f t="shared" si="18"/>
        <v>20005</v>
      </c>
    </row>
    <row r="309" spans="1:7" x14ac:dyDescent="0.2">
      <c r="A309" s="58">
        <v>306</v>
      </c>
      <c r="B309" s="60">
        <v>44225</v>
      </c>
      <c r="C309" s="59">
        <v>144</v>
      </c>
      <c r="D309" s="59">
        <f t="shared" si="16"/>
        <v>21380</v>
      </c>
      <c r="E309" s="59">
        <v>98</v>
      </c>
      <c r="F309" s="59">
        <f t="shared" si="17"/>
        <v>1277</v>
      </c>
      <c r="G309" s="59">
        <f t="shared" si="18"/>
        <v>20103</v>
      </c>
    </row>
    <row r="310" spans="1:7" x14ac:dyDescent="0.2">
      <c r="A310" s="58">
        <v>307</v>
      </c>
      <c r="B310" s="60">
        <v>44226</v>
      </c>
      <c r="C310" s="59">
        <v>210</v>
      </c>
      <c r="D310" s="59">
        <f t="shared" si="16"/>
        <v>21590</v>
      </c>
      <c r="E310" s="59">
        <v>180</v>
      </c>
      <c r="F310" s="59">
        <f t="shared" si="17"/>
        <v>1307</v>
      </c>
      <c r="G310" s="59">
        <f t="shared" si="18"/>
        <v>20283</v>
      </c>
    </row>
    <row r="311" spans="1:7" x14ac:dyDescent="0.2">
      <c r="A311" s="58">
        <v>308</v>
      </c>
      <c r="B311" s="60">
        <v>44227</v>
      </c>
      <c r="C311" s="59">
        <v>28</v>
      </c>
      <c r="D311" s="59">
        <f t="shared" si="16"/>
        <v>21618</v>
      </c>
      <c r="E311" s="59">
        <v>38</v>
      </c>
      <c r="F311" s="59">
        <f t="shared" si="17"/>
        <v>1297</v>
      </c>
      <c r="G311" s="59">
        <f t="shared" si="18"/>
        <v>20321</v>
      </c>
    </row>
    <row r="312" spans="1:7" x14ac:dyDescent="0.2">
      <c r="A312" s="58">
        <v>309</v>
      </c>
      <c r="B312" s="60">
        <v>44228</v>
      </c>
      <c r="C312" s="59">
        <v>373</v>
      </c>
      <c r="D312" s="59">
        <f t="shared" si="16"/>
        <v>21991</v>
      </c>
      <c r="E312" s="59">
        <v>305</v>
      </c>
      <c r="F312" s="59">
        <f t="shared" si="17"/>
        <v>1365</v>
      </c>
      <c r="G312" s="59">
        <f t="shared" si="18"/>
        <v>20626</v>
      </c>
    </row>
    <row r="313" spans="1:7" x14ac:dyDescent="0.2">
      <c r="A313" s="58">
        <v>310</v>
      </c>
      <c r="B313" s="60">
        <v>44229</v>
      </c>
      <c r="C313" s="59">
        <v>230</v>
      </c>
      <c r="D313" s="59">
        <f t="shared" si="16"/>
        <v>22221</v>
      </c>
      <c r="E313" s="59">
        <v>56</v>
      </c>
      <c r="F313" s="59">
        <f t="shared" si="17"/>
        <v>1539</v>
      </c>
      <c r="G313" s="59">
        <f t="shared" si="18"/>
        <v>20682</v>
      </c>
    </row>
    <row r="314" spans="1:7" x14ac:dyDescent="0.2">
      <c r="A314" s="58">
        <v>311</v>
      </c>
      <c r="B314" s="60">
        <v>44230</v>
      </c>
      <c r="C314" s="59">
        <v>269</v>
      </c>
      <c r="D314" s="59">
        <f t="shared" si="16"/>
        <v>22490</v>
      </c>
      <c r="E314" s="59">
        <v>87</v>
      </c>
      <c r="F314" s="59">
        <f t="shared" si="17"/>
        <v>1721</v>
      </c>
      <c r="G314" s="59">
        <f t="shared" si="18"/>
        <v>20769</v>
      </c>
    </row>
    <row r="315" spans="1:7" x14ac:dyDescent="0.2">
      <c r="A315" s="58">
        <v>312</v>
      </c>
      <c r="B315" s="60">
        <v>44231</v>
      </c>
      <c r="C315" s="59">
        <v>280</v>
      </c>
      <c r="D315" s="59">
        <f t="shared" si="16"/>
        <v>22770</v>
      </c>
      <c r="E315" s="59">
        <v>52</v>
      </c>
      <c r="F315" s="59">
        <f t="shared" si="17"/>
        <v>1949</v>
      </c>
      <c r="G315" s="59">
        <f t="shared" si="18"/>
        <v>20821</v>
      </c>
    </row>
    <row r="316" spans="1:7" x14ac:dyDescent="0.2">
      <c r="A316" s="58">
        <v>313</v>
      </c>
      <c r="B316" s="60">
        <v>44232</v>
      </c>
      <c r="C316" s="59">
        <v>244</v>
      </c>
      <c r="D316" s="59">
        <f t="shared" si="16"/>
        <v>23014</v>
      </c>
      <c r="E316" s="59">
        <v>192</v>
      </c>
      <c r="F316" s="59">
        <f t="shared" si="17"/>
        <v>2001</v>
      </c>
      <c r="G316" s="59">
        <f t="shared" si="18"/>
        <v>21013</v>
      </c>
    </row>
    <row r="317" spans="1:7" x14ac:dyDescent="0.2">
      <c r="A317" s="58">
        <v>314</v>
      </c>
      <c r="B317" s="60">
        <v>44233</v>
      </c>
      <c r="C317" s="59">
        <v>234</v>
      </c>
      <c r="D317" s="59">
        <f t="shared" si="16"/>
        <v>23248</v>
      </c>
      <c r="E317" s="59">
        <v>76</v>
      </c>
      <c r="F317" s="59">
        <f t="shared" si="17"/>
        <v>2159</v>
      </c>
      <c r="G317" s="59">
        <f t="shared" si="18"/>
        <v>21089</v>
      </c>
    </row>
    <row r="318" spans="1:7" x14ac:dyDescent="0.2">
      <c r="A318" s="58">
        <v>315</v>
      </c>
      <c r="B318" s="60">
        <v>44234</v>
      </c>
      <c r="C318" s="59">
        <v>63</v>
      </c>
      <c r="D318" s="59">
        <f t="shared" si="16"/>
        <v>23311</v>
      </c>
      <c r="E318" s="59">
        <v>11</v>
      </c>
      <c r="F318" s="59">
        <f t="shared" si="17"/>
        <v>2211</v>
      </c>
      <c r="G318" s="59">
        <f t="shared" si="18"/>
        <v>21100</v>
      </c>
    </row>
    <row r="319" spans="1:7" x14ac:dyDescent="0.2">
      <c r="A319" s="58">
        <v>316</v>
      </c>
      <c r="B319" s="60">
        <v>44235</v>
      </c>
      <c r="C319" s="59">
        <v>170</v>
      </c>
      <c r="D319" s="59">
        <f t="shared" si="16"/>
        <v>23481</v>
      </c>
      <c r="E319" s="59">
        <v>170</v>
      </c>
      <c r="F319" s="59">
        <f t="shared" si="17"/>
        <v>2211</v>
      </c>
      <c r="G319" s="59">
        <f t="shared" si="18"/>
        <v>21270</v>
      </c>
    </row>
    <row r="320" spans="1:7" x14ac:dyDescent="0.2">
      <c r="A320" s="58">
        <v>317</v>
      </c>
      <c r="B320" s="60">
        <v>44236</v>
      </c>
      <c r="C320" s="59">
        <v>134</v>
      </c>
      <c r="D320" s="59">
        <f t="shared" si="16"/>
        <v>23615</v>
      </c>
      <c r="E320" s="59">
        <v>35</v>
      </c>
      <c r="F320" s="59">
        <f t="shared" si="17"/>
        <v>2310</v>
      </c>
      <c r="G320" s="59">
        <f t="shared" si="18"/>
        <v>21305</v>
      </c>
    </row>
    <row r="321" spans="1:7" x14ac:dyDescent="0.2">
      <c r="A321" s="58">
        <v>318</v>
      </c>
      <c r="B321" s="60">
        <v>44237</v>
      </c>
      <c r="C321" s="59">
        <v>204</v>
      </c>
      <c r="D321" s="59">
        <f t="shared" si="16"/>
        <v>23819</v>
      </c>
      <c r="E321" s="59">
        <v>305</v>
      </c>
      <c r="F321" s="59">
        <f t="shared" si="17"/>
        <v>2209</v>
      </c>
      <c r="G321" s="59">
        <f t="shared" si="18"/>
        <v>21610</v>
      </c>
    </row>
    <row r="322" spans="1:7" x14ac:dyDescent="0.2">
      <c r="A322" s="58">
        <v>319</v>
      </c>
      <c r="B322" s="60">
        <v>44238</v>
      </c>
      <c r="C322" s="59">
        <v>156</v>
      </c>
      <c r="D322" s="59">
        <f t="shared" si="16"/>
        <v>23975</v>
      </c>
      <c r="E322" s="59">
        <v>307</v>
      </c>
      <c r="F322" s="59">
        <f t="shared" si="17"/>
        <v>2058</v>
      </c>
      <c r="G322" s="59">
        <f t="shared" si="18"/>
        <v>21917</v>
      </c>
    </row>
    <row r="323" spans="1:7" x14ac:dyDescent="0.2">
      <c r="A323" s="58">
        <v>320</v>
      </c>
      <c r="B323" s="60">
        <v>44239</v>
      </c>
      <c r="C323" s="59">
        <v>117</v>
      </c>
      <c r="D323" s="59">
        <f t="shared" si="16"/>
        <v>24092</v>
      </c>
      <c r="E323" s="59">
        <v>189</v>
      </c>
      <c r="F323" s="59">
        <f t="shared" si="17"/>
        <v>1986</v>
      </c>
      <c r="G323" s="59">
        <f t="shared" si="18"/>
        <v>22106</v>
      </c>
    </row>
    <row r="324" spans="1:7" x14ac:dyDescent="0.2">
      <c r="A324" s="58">
        <v>321</v>
      </c>
      <c r="B324" s="60">
        <v>44240</v>
      </c>
      <c r="C324" s="59">
        <v>210</v>
      </c>
      <c r="D324" s="59">
        <f t="shared" si="16"/>
        <v>24302</v>
      </c>
      <c r="E324" s="59">
        <v>142</v>
      </c>
      <c r="F324" s="59">
        <f t="shared" si="17"/>
        <v>2054</v>
      </c>
      <c r="G324" s="59">
        <f t="shared" si="18"/>
        <v>22248</v>
      </c>
    </row>
    <row r="325" spans="1:7" x14ac:dyDescent="0.2">
      <c r="A325" s="58">
        <v>322</v>
      </c>
      <c r="B325" s="60">
        <v>44241</v>
      </c>
      <c r="C325" s="59">
        <v>48</v>
      </c>
      <c r="D325" s="59">
        <f t="shared" si="16"/>
        <v>24350</v>
      </c>
      <c r="E325" s="59">
        <v>21</v>
      </c>
      <c r="F325" s="59">
        <f t="shared" si="17"/>
        <v>2081</v>
      </c>
      <c r="G325" s="59">
        <f t="shared" si="18"/>
        <v>22269</v>
      </c>
    </row>
    <row r="326" spans="1:7" x14ac:dyDescent="0.2">
      <c r="A326" s="58">
        <v>323</v>
      </c>
      <c r="B326" s="60">
        <v>44242</v>
      </c>
      <c r="C326" s="59">
        <v>130</v>
      </c>
      <c r="D326" s="59">
        <f t="shared" si="16"/>
        <v>24480</v>
      </c>
      <c r="E326" s="59">
        <v>472</v>
      </c>
      <c r="F326" s="59">
        <f t="shared" si="17"/>
        <v>1739</v>
      </c>
      <c r="G326" s="59">
        <f t="shared" si="18"/>
        <v>22741</v>
      </c>
    </row>
    <row r="327" spans="1:7" x14ac:dyDescent="0.2">
      <c r="A327" s="58">
        <v>324</v>
      </c>
      <c r="B327" s="60">
        <v>44243</v>
      </c>
      <c r="C327" s="59">
        <v>357</v>
      </c>
      <c r="D327" s="59">
        <f t="shared" si="16"/>
        <v>24837</v>
      </c>
      <c r="E327" s="59">
        <v>241</v>
      </c>
      <c r="F327" s="59">
        <f t="shared" si="17"/>
        <v>1855</v>
      </c>
      <c r="G327" s="59">
        <f t="shared" si="18"/>
        <v>22982</v>
      </c>
    </row>
    <row r="328" spans="1:7" x14ac:dyDescent="0.2">
      <c r="A328" s="58">
        <v>325</v>
      </c>
      <c r="B328" s="60">
        <v>44244</v>
      </c>
      <c r="C328" s="59">
        <v>358</v>
      </c>
      <c r="D328" s="59">
        <f t="shared" si="16"/>
        <v>25195</v>
      </c>
      <c r="E328" s="59">
        <v>215</v>
      </c>
      <c r="F328" s="59">
        <f t="shared" si="17"/>
        <v>1998</v>
      </c>
      <c r="G328" s="59">
        <f t="shared" si="18"/>
        <v>23197</v>
      </c>
    </row>
    <row r="329" spans="1:7" x14ac:dyDescent="0.2">
      <c r="A329" s="58">
        <v>326</v>
      </c>
      <c r="B329" s="60">
        <v>44245</v>
      </c>
      <c r="C329" s="59">
        <v>197</v>
      </c>
      <c r="D329" s="59">
        <f t="shared" si="16"/>
        <v>25392</v>
      </c>
      <c r="E329" s="59">
        <v>331</v>
      </c>
      <c r="F329" s="59">
        <f t="shared" si="17"/>
        <v>1864</v>
      </c>
      <c r="G329" s="59">
        <f t="shared" si="18"/>
        <v>23528</v>
      </c>
    </row>
    <row r="330" spans="1:7" x14ac:dyDescent="0.2">
      <c r="A330" s="58">
        <v>327</v>
      </c>
      <c r="B330" s="60">
        <v>44246</v>
      </c>
      <c r="C330" s="59">
        <v>176</v>
      </c>
      <c r="D330" s="59">
        <f t="shared" si="16"/>
        <v>25568</v>
      </c>
      <c r="E330" s="59">
        <v>207</v>
      </c>
      <c r="F330" s="59">
        <f t="shared" si="17"/>
        <v>1833</v>
      </c>
      <c r="G330" s="59">
        <f t="shared" si="18"/>
        <v>23735</v>
      </c>
    </row>
    <row r="331" spans="1:7" x14ac:dyDescent="0.2">
      <c r="A331" s="58">
        <v>328</v>
      </c>
      <c r="B331" s="60">
        <v>44247</v>
      </c>
      <c r="C331" s="59">
        <v>174</v>
      </c>
      <c r="D331" s="59">
        <f t="shared" si="16"/>
        <v>25742</v>
      </c>
      <c r="E331" s="59">
        <v>184</v>
      </c>
      <c r="F331" s="59">
        <f t="shared" si="17"/>
        <v>1823</v>
      </c>
      <c r="G331" s="59">
        <f t="shared" si="18"/>
        <v>23919</v>
      </c>
    </row>
    <row r="332" spans="1:7" x14ac:dyDescent="0.2">
      <c r="A332" s="58">
        <v>329</v>
      </c>
      <c r="B332" s="60">
        <v>44248</v>
      </c>
      <c r="C332" s="59">
        <v>96</v>
      </c>
      <c r="D332" s="59">
        <f t="shared" si="16"/>
        <v>25838</v>
      </c>
      <c r="E332" s="59">
        <v>60</v>
      </c>
      <c r="F332" s="59">
        <f t="shared" si="17"/>
        <v>1859</v>
      </c>
      <c r="G332" s="59">
        <f t="shared" si="18"/>
        <v>23979</v>
      </c>
    </row>
    <row r="333" spans="1:7" x14ac:dyDescent="0.2">
      <c r="A333" s="58">
        <v>330</v>
      </c>
      <c r="B333" s="60">
        <v>44249</v>
      </c>
      <c r="C333" s="59">
        <v>332</v>
      </c>
      <c r="D333" s="59">
        <f t="shared" si="16"/>
        <v>26170</v>
      </c>
      <c r="E333" s="59">
        <v>188</v>
      </c>
      <c r="F333" s="59">
        <f t="shared" si="17"/>
        <v>2003</v>
      </c>
      <c r="G333" s="59">
        <f t="shared" si="18"/>
        <v>24167</v>
      </c>
    </row>
    <row r="334" spans="1:7" x14ac:dyDescent="0.2">
      <c r="A334" s="58">
        <v>331</v>
      </c>
      <c r="B334" s="60">
        <v>44250</v>
      </c>
      <c r="C334" s="59">
        <v>353</v>
      </c>
      <c r="D334" s="59">
        <f t="shared" si="16"/>
        <v>26523</v>
      </c>
      <c r="E334" s="59">
        <v>134</v>
      </c>
      <c r="F334" s="59">
        <f t="shared" si="17"/>
        <v>2222</v>
      </c>
      <c r="G334" s="59">
        <f t="shared" si="18"/>
        <v>24301</v>
      </c>
    </row>
    <row r="335" spans="1:7" x14ac:dyDescent="0.2">
      <c r="A335" s="58">
        <v>332</v>
      </c>
      <c r="B335" s="60">
        <v>44251</v>
      </c>
      <c r="C335" s="59">
        <v>430</v>
      </c>
      <c r="D335" s="59">
        <f t="shared" si="16"/>
        <v>26953</v>
      </c>
      <c r="E335" s="59">
        <v>180</v>
      </c>
      <c r="F335" s="59">
        <f t="shared" si="17"/>
        <v>2472</v>
      </c>
      <c r="G335" s="59">
        <f t="shared" si="18"/>
        <v>24481</v>
      </c>
    </row>
    <row r="336" spans="1:7" x14ac:dyDescent="0.2">
      <c r="A336" s="58">
        <v>333</v>
      </c>
      <c r="B336" s="60">
        <v>44252</v>
      </c>
      <c r="C336" s="59">
        <v>456</v>
      </c>
      <c r="D336" s="59">
        <f t="shared" si="16"/>
        <v>27409</v>
      </c>
      <c r="E336" s="59">
        <v>228</v>
      </c>
      <c r="F336" s="59">
        <f t="shared" si="17"/>
        <v>2700</v>
      </c>
      <c r="G336" s="59">
        <f t="shared" si="18"/>
        <v>24709</v>
      </c>
    </row>
    <row r="337" spans="1:7" x14ac:dyDescent="0.2">
      <c r="A337" s="58">
        <v>334</v>
      </c>
      <c r="B337" s="60">
        <v>44253</v>
      </c>
      <c r="C337" s="59">
        <v>168</v>
      </c>
      <c r="D337" s="59">
        <f t="shared" si="16"/>
        <v>27577</v>
      </c>
      <c r="E337" s="59">
        <v>82</v>
      </c>
      <c r="F337" s="59">
        <f t="shared" si="17"/>
        <v>2786</v>
      </c>
      <c r="G337" s="59">
        <f t="shared" si="18"/>
        <v>24791</v>
      </c>
    </row>
    <row r="338" spans="1:7" x14ac:dyDescent="0.2">
      <c r="A338" s="58">
        <v>335</v>
      </c>
      <c r="B338" s="60">
        <v>44254</v>
      </c>
      <c r="C338" s="59">
        <v>233</v>
      </c>
      <c r="D338" s="59">
        <f t="shared" si="16"/>
        <v>27810</v>
      </c>
      <c r="E338" s="59">
        <v>189</v>
      </c>
      <c r="F338" s="59">
        <f t="shared" si="17"/>
        <v>2830</v>
      </c>
      <c r="G338" s="59">
        <f t="shared" si="18"/>
        <v>24980</v>
      </c>
    </row>
    <row r="339" spans="1:7" x14ac:dyDescent="0.2">
      <c r="A339" s="58">
        <v>336</v>
      </c>
      <c r="B339" s="60">
        <v>44255</v>
      </c>
      <c r="C339" s="59">
        <v>10</v>
      </c>
      <c r="D339" s="59">
        <f t="shared" ref="D339:D402" si="19">D338+C339</f>
        <v>27820</v>
      </c>
      <c r="E339" s="59">
        <v>54</v>
      </c>
      <c r="F339" s="59">
        <f t="shared" ref="F339:F402" si="20">F338+C339-E339</f>
        <v>2786</v>
      </c>
      <c r="G339" s="59">
        <f t="shared" ref="G339:G402" si="21">G338+E339</f>
        <v>25034</v>
      </c>
    </row>
    <row r="340" spans="1:7" x14ac:dyDescent="0.2">
      <c r="A340" s="58">
        <v>337</v>
      </c>
      <c r="B340" s="60">
        <v>44256</v>
      </c>
      <c r="C340" s="59">
        <v>71</v>
      </c>
      <c r="D340" s="59">
        <f t="shared" si="19"/>
        <v>27891</v>
      </c>
      <c r="E340" s="59">
        <v>144</v>
      </c>
      <c r="F340" s="59">
        <f t="shared" si="20"/>
        <v>2713</v>
      </c>
      <c r="G340" s="59">
        <f t="shared" si="21"/>
        <v>25178</v>
      </c>
    </row>
    <row r="341" spans="1:7" x14ac:dyDescent="0.2">
      <c r="A341" s="58">
        <v>338</v>
      </c>
      <c r="B341" s="60">
        <v>44257</v>
      </c>
      <c r="C341" s="59">
        <v>117</v>
      </c>
      <c r="D341" s="59">
        <f t="shared" si="19"/>
        <v>28008</v>
      </c>
      <c r="E341" s="59">
        <v>418</v>
      </c>
      <c r="F341" s="59">
        <f t="shared" si="20"/>
        <v>2412</v>
      </c>
      <c r="G341" s="59">
        <f t="shared" si="21"/>
        <v>25596</v>
      </c>
    </row>
    <row r="342" spans="1:7" x14ac:dyDescent="0.2">
      <c r="A342" s="58">
        <v>339</v>
      </c>
      <c r="B342" s="60">
        <v>44258</v>
      </c>
      <c r="C342" s="59">
        <v>133</v>
      </c>
      <c r="D342" s="59">
        <f t="shared" si="19"/>
        <v>28141</v>
      </c>
      <c r="E342" s="59">
        <v>308</v>
      </c>
      <c r="F342" s="59">
        <f t="shared" si="20"/>
        <v>2237</v>
      </c>
      <c r="G342" s="59">
        <f t="shared" si="21"/>
        <v>25904</v>
      </c>
    </row>
    <row r="343" spans="1:7" x14ac:dyDescent="0.2">
      <c r="A343" s="58">
        <v>340</v>
      </c>
      <c r="B343" s="60">
        <v>44259</v>
      </c>
      <c r="C343" s="59">
        <v>253</v>
      </c>
      <c r="D343" s="59">
        <f t="shared" si="19"/>
        <v>28394</v>
      </c>
      <c r="E343" s="59">
        <v>186</v>
      </c>
      <c r="F343" s="59">
        <f t="shared" si="20"/>
        <v>2304</v>
      </c>
      <c r="G343" s="59">
        <f t="shared" si="21"/>
        <v>26090</v>
      </c>
    </row>
    <row r="344" spans="1:7" x14ac:dyDescent="0.2">
      <c r="A344" s="58">
        <v>341</v>
      </c>
      <c r="B344" s="60">
        <v>44260</v>
      </c>
      <c r="C344" s="59">
        <v>392</v>
      </c>
      <c r="D344" s="59">
        <f t="shared" si="19"/>
        <v>28786</v>
      </c>
      <c r="E344" s="59">
        <v>156</v>
      </c>
      <c r="F344" s="59">
        <f t="shared" si="20"/>
        <v>2540</v>
      </c>
      <c r="G344" s="59">
        <f t="shared" si="21"/>
        <v>26246</v>
      </c>
    </row>
    <row r="345" spans="1:7" x14ac:dyDescent="0.2">
      <c r="A345" s="58">
        <v>342</v>
      </c>
      <c r="B345" s="60">
        <v>44261</v>
      </c>
      <c r="C345" s="59">
        <v>71</v>
      </c>
      <c r="D345" s="59">
        <f t="shared" si="19"/>
        <v>28857</v>
      </c>
      <c r="E345" s="59">
        <v>287</v>
      </c>
      <c r="F345" s="59">
        <f t="shared" si="20"/>
        <v>2324</v>
      </c>
      <c r="G345" s="59">
        <f t="shared" si="21"/>
        <v>26533</v>
      </c>
    </row>
    <row r="346" spans="1:7" x14ac:dyDescent="0.2">
      <c r="A346" s="58">
        <v>343</v>
      </c>
      <c r="B346" s="60">
        <v>44262</v>
      </c>
      <c r="C346" s="59">
        <v>32</v>
      </c>
      <c r="D346" s="59">
        <f t="shared" si="19"/>
        <v>28889</v>
      </c>
      <c r="E346" s="59">
        <v>449</v>
      </c>
      <c r="F346" s="59">
        <f t="shared" si="20"/>
        <v>1907</v>
      </c>
      <c r="G346" s="59">
        <f t="shared" si="21"/>
        <v>26982</v>
      </c>
    </row>
    <row r="347" spans="1:7" x14ac:dyDescent="0.2">
      <c r="A347" s="58">
        <v>344</v>
      </c>
      <c r="B347" s="60">
        <v>44263</v>
      </c>
      <c r="C347" s="59">
        <v>730</v>
      </c>
      <c r="D347" s="59">
        <f t="shared" si="19"/>
        <v>29619</v>
      </c>
      <c r="E347" s="59">
        <v>315</v>
      </c>
      <c r="F347" s="59">
        <f t="shared" si="20"/>
        <v>2322</v>
      </c>
      <c r="G347" s="59">
        <f t="shared" si="21"/>
        <v>27297</v>
      </c>
    </row>
    <row r="348" spans="1:7" x14ac:dyDescent="0.2">
      <c r="A348" s="58">
        <v>345</v>
      </c>
      <c r="B348" s="60">
        <v>44264</v>
      </c>
      <c r="C348" s="59">
        <v>123</v>
      </c>
      <c r="D348" s="59">
        <f t="shared" si="19"/>
        <v>29742</v>
      </c>
      <c r="E348" s="59">
        <v>55</v>
      </c>
      <c r="F348" s="59">
        <f t="shared" si="20"/>
        <v>2390</v>
      </c>
      <c r="G348" s="59">
        <f t="shared" si="21"/>
        <v>27352</v>
      </c>
    </row>
    <row r="349" spans="1:7" x14ac:dyDescent="0.2">
      <c r="A349" s="58">
        <v>346</v>
      </c>
      <c r="B349" s="60">
        <v>44265</v>
      </c>
      <c r="C349" s="59">
        <v>213</v>
      </c>
      <c r="D349" s="59">
        <f t="shared" si="19"/>
        <v>29955</v>
      </c>
      <c r="E349" s="59">
        <v>286</v>
      </c>
      <c r="F349" s="59">
        <f t="shared" si="20"/>
        <v>2317</v>
      </c>
      <c r="G349" s="59">
        <f t="shared" si="21"/>
        <v>27638</v>
      </c>
    </row>
    <row r="350" spans="1:7" x14ac:dyDescent="0.2">
      <c r="A350" s="58">
        <v>347</v>
      </c>
      <c r="B350" s="60">
        <v>44266</v>
      </c>
      <c r="C350" s="59">
        <v>156</v>
      </c>
      <c r="D350" s="59">
        <f t="shared" si="19"/>
        <v>30111</v>
      </c>
      <c r="E350" s="59">
        <v>384</v>
      </c>
      <c r="F350" s="59">
        <f t="shared" si="20"/>
        <v>2089</v>
      </c>
      <c r="G350" s="59">
        <f t="shared" si="21"/>
        <v>28022</v>
      </c>
    </row>
    <row r="351" spans="1:7" x14ac:dyDescent="0.2">
      <c r="A351" s="58">
        <v>348</v>
      </c>
      <c r="B351" s="60">
        <v>44267</v>
      </c>
      <c r="C351" s="59">
        <v>240</v>
      </c>
      <c r="D351" s="59">
        <f t="shared" si="19"/>
        <v>30351</v>
      </c>
      <c r="E351" s="59">
        <v>155</v>
      </c>
      <c r="F351" s="59">
        <f t="shared" si="20"/>
        <v>2174</v>
      </c>
      <c r="G351" s="59">
        <f t="shared" si="21"/>
        <v>28177</v>
      </c>
    </row>
    <row r="352" spans="1:7" x14ac:dyDescent="0.2">
      <c r="A352" s="58">
        <v>349</v>
      </c>
      <c r="B352" s="60">
        <v>44268</v>
      </c>
      <c r="C352" s="59">
        <v>119</v>
      </c>
      <c r="D352" s="59">
        <f t="shared" si="19"/>
        <v>30470</v>
      </c>
      <c r="E352" s="59">
        <v>244</v>
      </c>
      <c r="F352" s="59">
        <f t="shared" si="20"/>
        <v>2049</v>
      </c>
      <c r="G352" s="59">
        <f t="shared" si="21"/>
        <v>28421</v>
      </c>
    </row>
    <row r="353" spans="1:7" x14ac:dyDescent="0.2">
      <c r="A353" s="58">
        <v>350</v>
      </c>
      <c r="B353" s="60">
        <v>44269</v>
      </c>
      <c r="C353" s="59">
        <v>0</v>
      </c>
      <c r="D353" s="59">
        <f t="shared" si="19"/>
        <v>30470</v>
      </c>
      <c r="E353" s="59">
        <v>8</v>
      </c>
      <c r="F353" s="59">
        <f t="shared" si="20"/>
        <v>2041</v>
      </c>
      <c r="G353" s="59">
        <f t="shared" si="21"/>
        <v>28429</v>
      </c>
    </row>
    <row r="354" spans="1:7" x14ac:dyDescent="0.2">
      <c r="A354" s="58">
        <v>351</v>
      </c>
      <c r="B354" s="60">
        <v>44270</v>
      </c>
      <c r="C354" s="59">
        <v>220</v>
      </c>
      <c r="D354" s="59">
        <f t="shared" si="19"/>
        <v>30690</v>
      </c>
      <c r="E354" s="59">
        <v>79</v>
      </c>
      <c r="F354" s="59">
        <f t="shared" si="20"/>
        <v>2182</v>
      </c>
      <c r="G354" s="59">
        <f t="shared" si="21"/>
        <v>28508</v>
      </c>
    </row>
    <row r="355" spans="1:7" x14ac:dyDescent="0.2">
      <c r="A355" s="58">
        <v>352</v>
      </c>
      <c r="B355" s="60">
        <v>44271</v>
      </c>
      <c r="C355" s="59">
        <v>163</v>
      </c>
      <c r="D355" s="59">
        <f t="shared" si="19"/>
        <v>30853</v>
      </c>
      <c r="E355" s="59">
        <v>130</v>
      </c>
      <c r="F355" s="59">
        <f t="shared" si="20"/>
        <v>2215</v>
      </c>
      <c r="G355" s="59">
        <f t="shared" si="21"/>
        <v>28638</v>
      </c>
    </row>
    <row r="356" spans="1:7" x14ac:dyDescent="0.2">
      <c r="A356" s="58">
        <v>353</v>
      </c>
      <c r="B356" s="60">
        <v>44272</v>
      </c>
      <c r="C356" s="59">
        <v>134</v>
      </c>
      <c r="D356" s="59">
        <f t="shared" si="19"/>
        <v>30987</v>
      </c>
      <c r="E356" s="59">
        <v>195</v>
      </c>
      <c r="F356" s="59">
        <f t="shared" si="20"/>
        <v>2154</v>
      </c>
      <c r="G356" s="59">
        <f t="shared" si="21"/>
        <v>28833</v>
      </c>
    </row>
    <row r="357" spans="1:7" x14ac:dyDescent="0.2">
      <c r="A357" s="58">
        <v>354</v>
      </c>
      <c r="B357" s="60">
        <v>44273</v>
      </c>
      <c r="C357" s="59">
        <v>311</v>
      </c>
      <c r="D357" s="59">
        <f t="shared" si="19"/>
        <v>31298</v>
      </c>
      <c r="E357" s="59">
        <v>351</v>
      </c>
      <c r="F357" s="59">
        <f t="shared" si="20"/>
        <v>2114</v>
      </c>
      <c r="G357" s="59">
        <f t="shared" si="21"/>
        <v>29184</v>
      </c>
    </row>
    <row r="358" spans="1:7" x14ac:dyDescent="0.2">
      <c r="A358" s="58">
        <v>355</v>
      </c>
      <c r="B358" s="60">
        <v>44274</v>
      </c>
      <c r="C358" s="59">
        <v>163</v>
      </c>
      <c r="D358" s="59">
        <f t="shared" si="19"/>
        <v>31461</v>
      </c>
      <c r="E358" s="59">
        <v>387</v>
      </c>
      <c r="F358" s="59">
        <f t="shared" si="20"/>
        <v>1890</v>
      </c>
      <c r="G358" s="59">
        <f t="shared" si="21"/>
        <v>29571</v>
      </c>
    </row>
    <row r="359" spans="1:7" x14ac:dyDescent="0.2">
      <c r="A359" s="58">
        <v>356</v>
      </c>
      <c r="B359" s="60">
        <v>44275</v>
      </c>
      <c r="C359" s="59">
        <v>313</v>
      </c>
      <c r="D359" s="59">
        <f t="shared" si="19"/>
        <v>31774</v>
      </c>
      <c r="E359" s="59">
        <v>487</v>
      </c>
      <c r="F359" s="59">
        <f t="shared" si="20"/>
        <v>1716</v>
      </c>
      <c r="G359" s="59">
        <f t="shared" si="21"/>
        <v>30058</v>
      </c>
    </row>
    <row r="360" spans="1:7" x14ac:dyDescent="0.2">
      <c r="A360" s="58">
        <v>357</v>
      </c>
      <c r="B360" s="60">
        <v>44276</v>
      </c>
      <c r="C360" s="59">
        <v>0</v>
      </c>
      <c r="D360" s="59">
        <f t="shared" si="19"/>
        <v>31774</v>
      </c>
      <c r="E360" s="59">
        <v>160</v>
      </c>
      <c r="F360" s="59">
        <f t="shared" si="20"/>
        <v>1556</v>
      </c>
      <c r="G360" s="59">
        <f t="shared" si="21"/>
        <v>30218</v>
      </c>
    </row>
    <row r="361" spans="1:7" x14ac:dyDescent="0.2">
      <c r="A361" s="58">
        <v>358</v>
      </c>
      <c r="B361" s="60">
        <v>44277</v>
      </c>
      <c r="C361" s="59">
        <v>81</v>
      </c>
      <c r="D361" s="59">
        <f t="shared" si="19"/>
        <v>31855</v>
      </c>
      <c r="E361" s="59">
        <v>660</v>
      </c>
      <c r="F361" s="59">
        <f t="shared" si="20"/>
        <v>977</v>
      </c>
      <c r="G361" s="59">
        <f t="shared" si="21"/>
        <v>30878</v>
      </c>
    </row>
    <row r="362" spans="1:7" x14ac:dyDescent="0.2">
      <c r="A362" s="58">
        <v>359</v>
      </c>
      <c r="B362" s="60">
        <v>44278</v>
      </c>
      <c r="C362" s="59">
        <v>165</v>
      </c>
      <c r="D362" s="59">
        <f t="shared" si="19"/>
        <v>32020</v>
      </c>
      <c r="E362" s="59">
        <v>122</v>
      </c>
      <c r="F362" s="59">
        <f t="shared" si="20"/>
        <v>1020</v>
      </c>
      <c r="G362" s="59">
        <f t="shared" si="21"/>
        <v>31000</v>
      </c>
    </row>
    <row r="363" spans="1:7" x14ac:dyDescent="0.2">
      <c r="A363" s="58">
        <v>360</v>
      </c>
      <c r="B363" s="60">
        <v>44279</v>
      </c>
      <c r="C363" s="59">
        <v>128</v>
      </c>
      <c r="D363" s="59">
        <f t="shared" si="19"/>
        <v>32148</v>
      </c>
      <c r="E363" s="59">
        <v>158</v>
      </c>
      <c r="F363" s="59">
        <f t="shared" si="20"/>
        <v>990</v>
      </c>
      <c r="G363" s="59">
        <f t="shared" si="21"/>
        <v>31158</v>
      </c>
    </row>
    <row r="364" spans="1:7" x14ac:dyDescent="0.2">
      <c r="A364" s="58">
        <v>361</v>
      </c>
      <c r="B364" s="60">
        <v>44280</v>
      </c>
      <c r="C364" s="59">
        <v>250</v>
      </c>
      <c r="D364" s="59">
        <f t="shared" si="19"/>
        <v>32398</v>
      </c>
      <c r="E364" s="59">
        <v>217</v>
      </c>
      <c r="F364" s="59">
        <f t="shared" si="20"/>
        <v>1023</v>
      </c>
      <c r="G364" s="59">
        <f t="shared" si="21"/>
        <v>31375</v>
      </c>
    </row>
    <row r="365" spans="1:7" x14ac:dyDescent="0.2">
      <c r="A365" s="58">
        <v>362</v>
      </c>
      <c r="B365" s="60">
        <v>44281</v>
      </c>
      <c r="C365" s="59">
        <v>117</v>
      </c>
      <c r="D365" s="59">
        <f t="shared" si="19"/>
        <v>32515</v>
      </c>
      <c r="E365" s="59">
        <v>224</v>
      </c>
      <c r="F365" s="59">
        <f t="shared" si="20"/>
        <v>916</v>
      </c>
      <c r="G365" s="59">
        <f t="shared" si="21"/>
        <v>31599</v>
      </c>
    </row>
    <row r="366" spans="1:7" x14ac:dyDescent="0.2">
      <c r="A366" s="58">
        <v>363</v>
      </c>
      <c r="B366" s="60">
        <v>44282</v>
      </c>
      <c r="C366" s="59">
        <v>96</v>
      </c>
      <c r="D366" s="59">
        <f t="shared" si="19"/>
        <v>32611</v>
      </c>
      <c r="E366" s="59">
        <v>71</v>
      </c>
      <c r="F366" s="59">
        <f t="shared" si="20"/>
        <v>941</v>
      </c>
      <c r="G366" s="59">
        <f t="shared" si="21"/>
        <v>31670</v>
      </c>
    </row>
    <row r="367" spans="1:7" x14ac:dyDescent="0.2">
      <c r="A367" s="58">
        <v>364</v>
      </c>
      <c r="B367" s="60">
        <v>44283</v>
      </c>
      <c r="C367" s="59">
        <v>3</v>
      </c>
      <c r="D367" s="59">
        <f t="shared" si="19"/>
        <v>32614</v>
      </c>
      <c r="E367" s="59">
        <v>29</v>
      </c>
      <c r="F367" s="59">
        <f t="shared" si="20"/>
        <v>915</v>
      </c>
      <c r="G367" s="59">
        <f t="shared" si="21"/>
        <v>31699</v>
      </c>
    </row>
    <row r="368" spans="1:7" x14ac:dyDescent="0.2">
      <c r="A368" s="58">
        <v>365</v>
      </c>
      <c r="B368" s="60">
        <v>44284</v>
      </c>
      <c r="C368" s="59">
        <v>89</v>
      </c>
      <c r="D368" s="59">
        <f t="shared" si="19"/>
        <v>32703</v>
      </c>
      <c r="E368" s="59">
        <v>209</v>
      </c>
      <c r="F368" s="59">
        <f t="shared" si="20"/>
        <v>795</v>
      </c>
      <c r="G368" s="59">
        <f t="shared" si="21"/>
        <v>31908</v>
      </c>
    </row>
    <row r="369" spans="1:7" x14ac:dyDescent="0.2">
      <c r="A369" s="58">
        <v>366</v>
      </c>
      <c r="B369" s="60">
        <v>44285</v>
      </c>
      <c r="C369" s="59">
        <v>134</v>
      </c>
      <c r="D369" s="59">
        <f t="shared" si="19"/>
        <v>32837</v>
      </c>
      <c r="E369" s="59">
        <v>211</v>
      </c>
      <c r="F369" s="59">
        <f t="shared" si="20"/>
        <v>718</v>
      </c>
      <c r="G369" s="59">
        <f t="shared" si="21"/>
        <v>32119</v>
      </c>
    </row>
    <row r="370" spans="1:7" x14ac:dyDescent="0.2">
      <c r="A370" s="58">
        <v>367</v>
      </c>
      <c r="B370" s="60">
        <v>44286</v>
      </c>
      <c r="C370" s="59">
        <v>176</v>
      </c>
      <c r="D370" s="59">
        <f t="shared" si="19"/>
        <v>33013</v>
      </c>
      <c r="E370" s="59">
        <v>95</v>
      </c>
      <c r="F370" s="59">
        <f t="shared" si="20"/>
        <v>799</v>
      </c>
      <c r="G370" s="59">
        <f t="shared" si="21"/>
        <v>32214</v>
      </c>
    </row>
    <row r="371" spans="1:7" x14ac:dyDescent="0.2">
      <c r="A371" s="58">
        <v>368</v>
      </c>
      <c r="B371" s="60">
        <v>44287</v>
      </c>
      <c r="C371" s="59">
        <v>25</v>
      </c>
      <c r="D371" s="59">
        <f t="shared" si="19"/>
        <v>33038</v>
      </c>
      <c r="E371" s="59">
        <v>354</v>
      </c>
      <c r="F371" s="59">
        <f t="shared" si="20"/>
        <v>470</v>
      </c>
      <c r="G371" s="59">
        <f t="shared" si="21"/>
        <v>32568</v>
      </c>
    </row>
    <row r="372" spans="1:7" x14ac:dyDescent="0.2">
      <c r="A372" s="58">
        <v>369</v>
      </c>
      <c r="B372" s="60">
        <v>44288</v>
      </c>
      <c r="C372" s="59">
        <v>6</v>
      </c>
      <c r="D372" s="59">
        <f t="shared" si="19"/>
        <v>33044</v>
      </c>
      <c r="E372" s="59">
        <v>162</v>
      </c>
      <c r="F372" s="59">
        <f t="shared" si="20"/>
        <v>314</v>
      </c>
      <c r="G372" s="59">
        <f t="shared" si="21"/>
        <v>32730</v>
      </c>
    </row>
    <row r="373" spans="1:7" x14ac:dyDescent="0.2">
      <c r="A373" s="58">
        <v>370</v>
      </c>
      <c r="B373" s="60">
        <v>44289</v>
      </c>
      <c r="C373" s="59">
        <v>31</v>
      </c>
      <c r="D373" s="59">
        <f t="shared" si="19"/>
        <v>33075</v>
      </c>
      <c r="E373" s="59">
        <v>244</v>
      </c>
      <c r="F373" s="59">
        <f t="shared" si="20"/>
        <v>101</v>
      </c>
      <c r="G373" s="59">
        <f t="shared" si="21"/>
        <v>32974</v>
      </c>
    </row>
    <row r="374" spans="1:7" x14ac:dyDescent="0.2">
      <c r="A374" s="58">
        <v>371</v>
      </c>
      <c r="B374" s="60">
        <v>44290</v>
      </c>
      <c r="C374" s="59">
        <v>20</v>
      </c>
      <c r="D374" s="59">
        <f t="shared" si="19"/>
        <v>33095</v>
      </c>
      <c r="E374" s="59">
        <v>53</v>
      </c>
      <c r="F374" s="59">
        <f t="shared" si="20"/>
        <v>68</v>
      </c>
      <c r="G374" s="59">
        <f t="shared" si="21"/>
        <v>33027</v>
      </c>
    </row>
    <row r="375" spans="1:7" x14ac:dyDescent="0.2">
      <c r="A375" s="58">
        <v>372</v>
      </c>
      <c r="B375" s="60">
        <v>44291</v>
      </c>
      <c r="C375" s="59">
        <v>89</v>
      </c>
      <c r="D375" s="59">
        <f t="shared" si="19"/>
        <v>33184</v>
      </c>
      <c r="E375" s="59">
        <v>0</v>
      </c>
      <c r="F375" s="59">
        <f t="shared" si="20"/>
        <v>157</v>
      </c>
      <c r="G375" s="59">
        <f t="shared" si="21"/>
        <v>33027</v>
      </c>
    </row>
    <row r="376" spans="1:7" x14ac:dyDescent="0.2">
      <c r="A376" s="58">
        <v>373</v>
      </c>
      <c r="B376" s="60">
        <v>44292</v>
      </c>
      <c r="C376" s="59">
        <v>92</v>
      </c>
      <c r="D376" s="59">
        <f t="shared" si="19"/>
        <v>33276</v>
      </c>
      <c r="E376" s="59">
        <v>97</v>
      </c>
      <c r="F376" s="59">
        <f t="shared" si="20"/>
        <v>152</v>
      </c>
      <c r="G376" s="59">
        <f t="shared" si="21"/>
        <v>33124</v>
      </c>
    </row>
    <row r="377" spans="1:7" x14ac:dyDescent="0.2">
      <c r="A377" s="58">
        <v>374</v>
      </c>
      <c r="B377" s="60">
        <v>44293</v>
      </c>
      <c r="C377" s="59">
        <v>248</v>
      </c>
      <c r="D377" s="59">
        <f t="shared" si="19"/>
        <v>33524</v>
      </c>
      <c r="E377" s="59">
        <v>151</v>
      </c>
      <c r="F377" s="59">
        <f t="shared" si="20"/>
        <v>249</v>
      </c>
      <c r="G377" s="59">
        <f t="shared" si="21"/>
        <v>33275</v>
      </c>
    </row>
    <row r="378" spans="1:7" x14ac:dyDescent="0.2">
      <c r="A378" s="58">
        <v>375</v>
      </c>
      <c r="B378" s="60">
        <v>44294</v>
      </c>
      <c r="C378" s="59">
        <v>37</v>
      </c>
      <c r="D378" s="59">
        <f t="shared" si="19"/>
        <v>33561</v>
      </c>
      <c r="E378" s="59">
        <v>245</v>
      </c>
      <c r="F378" s="59">
        <f t="shared" si="20"/>
        <v>41</v>
      </c>
      <c r="G378" s="59">
        <f t="shared" si="21"/>
        <v>33520</v>
      </c>
    </row>
    <row r="379" spans="1:7" x14ac:dyDescent="0.2">
      <c r="A379" s="58">
        <v>376</v>
      </c>
      <c r="B379" s="60">
        <v>44295</v>
      </c>
      <c r="C379" s="59">
        <v>50</v>
      </c>
      <c r="D379" s="59">
        <f t="shared" si="19"/>
        <v>33611</v>
      </c>
      <c r="E379" s="59">
        <v>6</v>
      </c>
      <c r="F379" s="59">
        <f t="shared" si="20"/>
        <v>85</v>
      </c>
      <c r="G379" s="59">
        <f t="shared" si="21"/>
        <v>33526</v>
      </c>
    </row>
    <row r="380" spans="1:7" x14ac:dyDescent="0.2">
      <c r="A380" s="58">
        <v>377</v>
      </c>
      <c r="B380" s="60">
        <v>44296</v>
      </c>
      <c r="C380" s="59">
        <v>84</v>
      </c>
      <c r="D380" s="59">
        <f t="shared" si="19"/>
        <v>33695</v>
      </c>
      <c r="E380" s="59">
        <v>95</v>
      </c>
      <c r="F380" s="59">
        <f t="shared" si="20"/>
        <v>74</v>
      </c>
      <c r="G380" s="59">
        <f t="shared" si="21"/>
        <v>33621</v>
      </c>
    </row>
    <row r="381" spans="1:7" x14ac:dyDescent="0.2">
      <c r="A381" s="58">
        <v>378</v>
      </c>
      <c r="B381" s="60">
        <v>44297</v>
      </c>
      <c r="C381" s="59">
        <v>35</v>
      </c>
      <c r="D381" s="59">
        <f t="shared" si="19"/>
        <v>33730</v>
      </c>
      <c r="E381" s="59">
        <v>26</v>
      </c>
      <c r="F381" s="59">
        <f t="shared" si="20"/>
        <v>83</v>
      </c>
      <c r="G381" s="59">
        <f t="shared" si="21"/>
        <v>33647</v>
      </c>
    </row>
    <row r="382" spans="1:7" x14ac:dyDescent="0.2">
      <c r="A382" s="58">
        <v>379</v>
      </c>
      <c r="B382" s="60">
        <v>44298</v>
      </c>
      <c r="C382" s="59">
        <v>96</v>
      </c>
      <c r="D382" s="59">
        <f t="shared" si="19"/>
        <v>33826</v>
      </c>
      <c r="E382" s="59">
        <v>108</v>
      </c>
      <c r="F382" s="59">
        <f t="shared" si="20"/>
        <v>71</v>
      </c>
      <c r="G382" s="59">
        <f t="shared" si="21"/>
        <v>33755</v>
      </c>
    </row>
    <row r="383" spans="1:7" x14ac:dyDescent="0.2">
      <c r="A383" s="58">
        <v>380</v>
      </c>
      <c r="B383" s="60">
        <v>44299</v>
      </c>
      <c r="C383" s="59">
        <v>77</v>
      </c>
      <c r="D383" s="59">
        <f t="shared" si="19"/>
        <v>33903</v>
      </c>
      <c r="E383" s="59">
        <v>131</v>
      </c>
      <c r="F383" s="59">
        <f t="shared" si="20"/>
        <v>17</v>
      </c>
      <c r="G383" s="59">
        <f t="shared" si="21"/>
        <v>33886</v>
      </c>
    </row>
    <row r="384" spans="1:7" x14ac:dyDescent="0.2">
      <c r="A384" s="58">
        <v>381</v>
      </c>
      <c r="B384" s="60">
        <v>44300</v>
      </c>
      <c r="C384" s="59">
        <v>84</v>
      </c>
      <c r="D384" s="59">
        <f t="shared" si="19"/>
        <v>33987</v>
      </c>
      <c r="E384" s="59">
        <v>40</v>
      </c>
      <c r="F384" s="59">
        <f t="shared" si="20"/>
        <v>61</v>
      </c>
      <c r="G384" s="59">
        <f t="shared" si="21"/>
        <v>33926</v>
      </c>
    </row>
    <row r="385" spans="1:7" x14ac:dyDescent="0.2">
      <c r="A385" s="58">
        <v>382</v>
      </c>
      <c r="B385" s="60">
        <v>44301</v>
      </c>
      <c r="C385" s="59">
        <v>96</v>
      </c>
      <c r="D385" s="59">
        <f t="shared" si="19"/>
        <v>34083</v>
      </c>
      <c r="E385" s="59">
        <v>28</v>
      </c>
      <c r="F385" s="59">
        <f t="shared" si="20"/>
        <v>129</v>
      </c>
      <c r="G385" s="59">
        <f t="shared" si="21"/>
        <v>33954</v>
      </c>
    </row>
    <row r="386" spans="1:7" x14ac:dyDescent="0.2">
      <c r="A386" s="58">
        <v>383</v>
      </c>
      <c r="B386" s="60">
        <v>44302</v>
      </c>
      <c r="C386" s="59">
        <v>83</v>
      </c>
      <c r="D386" s="59">
        <f t="shared" si="19"/>
        <v>34166</v>
      </c>
      <c r="E386" s="59">
        <v>0</v>
      </c>
      <c r="F386" s="59">
        <f t="shared" si="20"/>
        <v>212</v>
      </c>
      <c r="G386" s="59">
        <f t="shared" si="21"/>
        <v>33954</v>
      </c>
    </row>
    <row r="387" spans="1:7" x14ac:dyDescent="0.2">
      <c r="A387" s="58">
        <v>384</v>
      </c>
      <c r="B387" s="60">
        <v>44303</v>
      </c>
      <c r="C387" s="59">
        <v>99</v>
      </c>
      <c r="D387" s="59">
        <f t="shared" si="19"/>
        <v>34265</v>
      </c>
      <c r="E387" s="59">
        <v>48</v>
      </c>
      <c r="F387" s="59">
        <f t="shared" si="20"/>
        <v>263</v>
      </c>
      <c r="G387" s="59">
        <f t="shared" si="21"/>
        <v>34002</v>
      </c>
    </row>
    <row r="388" spans="1:7" x14ac:dyDescent="0.2">
      <c r="A388" s="58">
        <v>385</v>
      </c>
      <c r="B388" s="60">
        <v>44304</v>
      </c>
      <c r="C388" s="59">
        <v>20</v>
      </c>
      <c r="D388" s="59">
        <f t="shared" si="19"/>
        <v>34285</v>
      </c>
      <c r="E388" s="59">
        <v>3</v>
      </c>
      <c r="F388" s="59">
        <f t="shared" si="20"/>
        <v>280</v>
      </c>
      <c r="G388" s="59">
        <f t="shared" si="21"/>
        <v>34005</v>
      </c>
    </row>
    <row r="389" spans="1:7" x14ac:dyDescent="0.2">
      <c r="A389" s="58">
        <v>386</v>
      </c>
      <c r="B389" s="60">
        <v>44305</v>
      </c>
      <c r="C389" s="59">
        <v>95</v>
      </c>
      <c r="D389" s="59">
        <f t="shared" si="19"/>
        <v>34380</v>
      </c>
      <c r="E389" s="59">
        <v>91</v>
      </c>
      <c r="F389" s="59">
        <f t="shared" si="20"/>
        <v>284</v>
      </c>
      <c r="G389" s="59">
        <f t="shared" si="21"/>
        <v>34096</v>
      </c>
    </row>
    <row r="390" spans="1:7" x14ac:dyDescent="0.2">
      <c r="A390" s="58">
        <v>387</v>
      </c>
      <c r="B390" s="60">
        <v>44306</v>
      </c>
      <c r="C390" s="59">
        <v>245</v>
      </c>
      <c r="D390" s="59">
        <f t="shared" si="19"/>
        <v>34625</v>
      </c>
      <c r="E390" s="59">
        <v>108</v>
      </c>
      <c r="F390" s="59">
        <f t="shared" si="20"/>
        <v>421</v>
      </c>
      <c r="G390" s="59">
        <f t="shared" si="21"/>
        <v>34204</v>
      </c>
    </row>
    <row r="391" spans="1:7" x14ac:dyDescent="0.2">
      <c r="A391" s="58">
        <v>388</v>
      </c>
      <c r="B391" s="60">
        <v>44307</v>
      </c>
      <c r="C391" s="59">
        <v>129</v>
      </c>
      <c r="D391" s="59">
        <f t="shared" si="19"/>
        <v>34754</v>
      </c>
      <c r="E391" s="59">
        <v>249</v>
      </c>
      <c r="F391" s="59">
        <f t="shared" si="20"/>
        <v>301</v>
      </c>
      <c r="G391" s="59">
        <f t="shared" si="21"/>
        <v>34453</v>
      </c>
    </row>
    <row r="392" spans="1:7" x14ac:dyDescent="0.2">
      <c r="A392" s="58">
        <v>389</v>
      </c>
      <c r="B392" s="60">
        <v>44308</v>
      </c>
      <c r="C392" s="59">
        <v>178</v>
      </c>
      <c r="D392" s="59">
        <f t="shared" si="19"/>
        <v>34932</v>
      </c>
      <c r="E392" s="59">
        <v>63</v>
      </c>
      <c r="F392" s="59">
        <f t="shared" si="20"/>
        <v>416</v>
      </c>
      <c r="G392" s="59">
        <f t="shared" si="21"/>
        <v>34516</v>
      </c>
    </row>
    <row r="393" spans="1:7" x14ac:dyDescent="0.2">
      <c r="A393" s="58">
        <v>390</v>
      </c>
      <c r="B393" s="60">
        <v>44309</v>
      </c>
      <c r="C393" s="59">
        <v>74</v>
      </c>
      <c r="D393" s="59">
        <f t="shared" si="19"/>
        <v>35006</v>
      </c>
      <c r="E393" s="59">
        <v>5</v>
      </c>
      <c r="F393" s="59">
        <f t="shared" si="20"/>
        <v>485</v>
      </c>
      <c r="G393" s="59">
        <f t="shared" si="21"/>
        <v>34521</v>
      </c>
    </row>
    <row r="394" spans="1:7" x14ac:dyDescent="0.2">
      <c r="A394" s="58">
        <v>391</v>
      </c>
      <c r="B394" s="60">
        <v>44310</v>
      </c>
      <c r="C394" s="59">
        <v>10</v>
      </c>
      <c r="D394" s="59">
        <f t="shared" si="19"/>
        <v>35016</v>
      </c>
      <c r="E394" s="59">
        <v>89</v>
      </c>
      <c r="F394" s="59">
        <f t="shared" si="20"/>
        <v>406</v>
      </c>
      <c r="G394" s="59">
        <f t="shared" si="21"/>
        <v>34610</v>
      </c>
    </row>
    <row r="395" spans="1:7" x14ac:dyDescent="0.2">
      <c r="A395" s="58">
        <v>392</v>
      </c>
      <c r="B395" s="60">
        <v>44311</v>
      </c>
      <c r="C395" s="59">
        <v>54</v>
      </c>
      <c r="D395" s="59">
        <f t="shared" si="19"/>
        <v>35070</v>
      </c>
      <c r="E395" s="59">
        <v>39</v>
      </c>
      <c r="F395" s="59">
        <f t="shared" si="20"/>
        <v>421</v>
      </c>
      <c r="G395" s="59">
        <f t="shared" si="21"/>
        <v>34649</v>
      </c>
    </row>
    <row r="396" spans="1:7" x14ac:dyDescent="0.2">
      <c r="A396" s="58">
        <v>393</v>
      </c>
      <c r="B396" s="60">
        <v>44312</v>
      </c>
      <c r="C396" s="59">
        <v>76</v>
      </c>
      <c r="D396" s="59">
        <f t="shared" si="19"/>
        <v>35146</v>
      </c>
      <c r="E396" s="59">
        <v>103</v>
      </c>
      <c r="F396" s="59">
        <f t="shared" si="20"/>
        <v>394</v>
      </c>
      <c r="G396" s="59">
        <f t="shared" si="21"/>
        <v>34752</v>
      </c>
    </row>
    <row r="397" spans="1:7" x14ac:dyDescent="0.2">
      <c r="A397" s="58">
        <v>394</v>
      </c>
      <c r="B397" s="60">
        <v>44313</v>
      </c>
      <c r="C397" s="59">
        <v>40</v>
      </c>
      <c r="D397" s="59">
        <f t="shared" si="19"/>
        <v>35186</v>
      </c>
      <c r="E397" s="59">
        <v>86</v>
      </c>
      <c r="F397" s="59">
        <f t="shared" si="20"/>
        <v>348</v>
      </c>
      <c r="G397" s="59">
        <f t="shared" si="21"/>
        <v>34838</v>
      </c>
    </row>
    <row r="398" spans="1:7" x14ac:dyDescent="0.2">
      <c r="A398" s="58">
        <v>395</v>
      </c>
      <c r="B398" s="60">
        <v>44314</v>
      </c>
      <c r="C398" s="59">
        <v>0</v>
      </c>
      <c r="D398" s="59">
        <f t="shared" si="19"/>
        <v>35186</v>
      </c>
      <c r="E398" s="59">
        <v>59</v>
      </c>
      <c r="F398" s="59">
        <f t="shared" si="20"/>
        <v>289</v>
      </c>
      <c r="G398" s="59">
        <f t="shared" si="21"/>
        <v>34897</v>
      </c>
    </row>
    <row r="399" spans="1:7" x14ac:dyDescent="0.2">
      <c r="A399" s="58">
        <v>396</v>
      </c>
      <c r="B399" s="60">
        <v>44315</v>
      </c>
      <c r="C399" s="59">
        <v>41</v>
      </c>
      <c r="D399" s="59">
        <f t="shared" si="19"/>
        <v>35227</v>
      </c>
      <c r="E399" s="59">
        <v>96</v>
      </c>
      <c r="F399" s="59">
        <f t="shared" si="20"/>
        <v>234</v>
      </c>
      <c r="G399" s="59">
        <f t="shared" si="21"/>
        <v>34993</v>
      </c>
    </row>
    <row r="400" spans="1:7" x14ac:dyDescent="0.2">
      <c r="A400" s="58">
        <v>397</v>
      </c>
      <c r="B400" s="60">
        <v>44316</v>
      </c>
      <c r="C400" s="59">
        <v>57</v>
      </c>
      <c r="D400" s="59">
        <f t="shared" si="19"/>
        <v>35284</v>
      </c>
      <c r="E400" s="59">
        <v>92</v>
      </c>
      <c r="F400" s="59">
        <f t="shared" si="20"/>
        <v>199</v>
      </c>
      <c r="G400" s="59">
        <f t="shared" si="21"/>
        <v>35085</v>
      </c>
    </row>
    <row r="401" spans="1:7" x14ac:dyDescent="0.2">
      <c r="A401" s="58">
        <v>398</v>
      </c>
      <c r="B401" s="60">
        <v>44317</v>
      </c>
      <c r="C401" s="59">
        <v>85</v>
      </c>
      <c r="D401" s="59">
        <f t="shared" si="19"/>
        <v>35369</v>
      </c>
      <c r="E401" s="59">
        <v>110</v>
      </c>
      <c r="F401" s="59">
        <f t="shared" si="20"/>
        <v>174</v>
      </c>
      <c r="G401" s="59">
        <f t="shared" si="21"/>
        <v>35195</v>
      </c>
    </row>
    <row r="402" spans="1:7" x14ac:dyDescent="0.2">
      <c r="A402" s="58">
        <v>399</v>
      </c>
      <c r="B402" s="60">
        <v>44318</v>
      </c>
      <c r="C402" s="59">
        <v>3</v>
      </c>
      <c r="D402" s="59">
        <f t="shared" si="19"/>
        <v>35372</v>
      </c>
      <c r="E402" s="59">
        <v>90</v>
      </c>
      <c r="F402" s="59">
        <f t="shared" si="20"/>
        <v>87</v>
      </c>
      <c r="G402" s="59">
        <f t="shared" si="21"/>
        <v>35285</v>
      </c>
    </row>
    <row r="403" spans="1:7" x14ac:dyDescent="0.2">
      <c r="A403" s="58">
        <v>400</v>
      </c>
      <c r="B403" s="60">
        <v>44319</v>
      </c>
      <c r="C403" s="59">
        <v>19</v>
      </c>
      <c r="D403" s="59">
        <f t="shared" ref="D403:D466" si="22">D402+C403</f>
        <v>35391</v>
      </c>
      <c r="E403" s="59">
        <v>49</v>
      </c>
      <c r="F403" s="59">
        <f t="shared" ref="F403:F466" si="23">F402+C403-E403</f>
        <v>57</v>
      </c>
      <c r="G403" s="59">
        <f t="shared" ref="G403:G466" si="24">G402+E403</f>
        <v>35334</v>
      </c>
    </row>
    <row r="404" spans="1:7" x14ac:dyDescent="0.2">
      <c r="A404" s="58">
        <v>401</v>
      </c>
      <c r="B404" s="60">
        <v>44320</v>
      </c>
      <c r="C404" s="59">
        <v>12</v>
      </c>
      <c r="D404" s="59">
        <f t="shared" si="22"/>
        <v>35403</v>
      </c>
      <c r="E404" s="59">
        <v>36</v>
      </c>
      <c r="F404" s="59">
        <f t="shared" si="23"/>
        <v>33</v>
      </c>
      <c r="G404" s="59">
        <f t="shared" si="24"/>
        <v>35370</v>
      </c>
    </row>
    <row r="405" spans="1:7" x14ac:dyDescent="0.2">
      <c r="A405" s="58">
        <v>402</v>
      </c>
      <c r="B405" s="60">
        <v>44321</v>
      </c>
      <c r="C405" s="59">
        <v>54</v>
      </c>
      <c r="D405" s="59">
        <f t="shared" si="22"/>
        <v>35457</v>
      </c>
      <c r="E405" s="59">
        <v>6</v>
      </c>
      <c r="F405" s="59">
        <f t="shared" si="23"/>
        <v>81</v>
      </c>
      <c r="G405" s="59">
        <f t="shared" si="24"/>
        <v>35376</v>
      </c>
    </row>
    <row r="406" spans="1:7" x14ac:dyDescent="0.2">
      <c r="A406" s="58">
        <v>403</v>
      </c>
      <c r="B406" s="60">
        <v>44322</v>
      </c>
      <c r="C406" s="59">
        <v>71</v>
      </c>
      <c r="D406" s="59">
        <f t="shared" si="22"/>
        <v>35528</v>
      </c>
      <c r="E406" s="59">
        <v>75</v>
      </c>
      <c r="F406" s="59">
        <f t="shared" si="23"/>
        <v>77</v>
      </c>
      <c r="G406" s="59">
        <f t="shared" si="24"/>
        <v>35451</v>
      </c>
    </row>
    <row r="407" spans="1:7" x14ac:dyDescent="0.2">
      <c r="A407" s="58">
        <v>404</v>
      </c>
      <c r="B407" s="60">
        <v>44323</v>
      </c>
      <c r="C407" s="59">
        <v>46</v>
      </c>
      <c r="D407" s="59">
        <f t="shared" si="22"/>
        <v>35574</v>
      </c>
      <c r="E407" s="59">
        <v>89</v>
      </c>
      <c r="F407" s="59">
        <f t="shared" si="23"/>
        <v>34</v>
      </c>
      <c r="G407" s="59">
        <f t="shared" si="24"/>
        <v>35540</v>
      </c>
    </row>
    <row r="408" spans="1:7" x14ac:dyDescent="0.2">
      <c r="A408" s="58">
        <v>405</v>
      </c>
      <c r="B408" s="60">
        <v>44324</v>
      </c>
      <c r="C408" s="59">
        <v>50</v>
      </c>
      <c r="D408" s="59">
        <f t="shared" si="22"/>
        <v>35624</v>
      </c>
      <c r="E408" s="59">
        <v>18</v>
      </c>
      <c r="F408" s="59">
        <f t="shared" si="23"/>
        <v>66</v>
      </c>
      <c r="G408" s="59">
        <f t="shared" si="24"/>
        <v>35558</v>
      </c>
    </row>
    <row r="409" spans="1:7" x14ac:dyDescent="0.2">
      <c r="A409" s="58">
        <v>406</v>
      </c>
      <c r="B409" s="60">
        <v>44325</v>
      </c>
      <c r="C409" s="59">
        <v>96</v>
      </c>
      <c r="D409" s="59">
        <f t="shared" si="22"/>
        <v>35720</v>
      </c>
      <c r="E409" s="59">
        <v>40</v>
      </c>
      <c r="F409" s="59">
        <f t="shared" si="23"/>
        <v>122</v>
      </c>
      <c r="G409" s="59">
        <f t="shared" si="24"/>
        <v>35598</v>
      </c>
    </row>
    <row r="410" spans="1:7" x14ac:dyDescent="0.2">
      <c r="A410" s="58">
        <v>407</v>
      </c>
      <c r="B410" s="60">
        <v>44326</v>
      </c>
      <c r="C410" s="59">
        <v>74</v>
      </c>
      <c r="D410" s="59">
        <f t="shared" si="22"/>
        <v>35794</v>
      </c>
      <c r="E410" s="59">
        <v>97</v>
      </c>
      <c r="F410" s="59">
        <f t="shared" si="23"/>
        <v>99</v>
      </c>
      <c r="G410" s="59">
        <f t="shared" si="24"/>
        <v>35695</v>
      </c>
    </row>
    <row r="411" spans="1:7" x14ac:dyDescent="0.2">
      <c r="A411" s="58">
        <v>408</v>
      </c>
      <c r="B411" s="60">
        <v>44327</v>
      </c>
      <c r="C411" s="59">
        <v>115</v>
      </c>
      <c r="D411" s="59">
        <f t="shared" si="22"/>
        <v>35909</v>
      </c>
      <c r="E411" s="59">
        <v>2</v>
      </c>
      <c r="F411" s="59">
        <f t="shared" si="23"/>
        <v>212</v>
      </c>
      <c r="G411" s="59">
        <f t="shared" si="24"/>
        <v>35697</v>
      </c>
    </row>
    <row r="412" spans="1:7" x14ac:dyDescent="0.2">
      <c r="A412" s="58">
        <v>409</v>
      </c>
      <c r="B412" s="60">
        <v>44328</v>
      </c>
      <c r="C412" s="59">
        <v>84</v>
      </c>
      <c r="D412" s="59">
        <f t="shared" si="22"/>
        <v>35993</v>
      </c>
      <c r="E412" s="59">
        <v>102</v>
      </c>
      <c r="F412" s="59">
        <f t="shared" si="23"/>
        <v>194</v>
      </c>
      <c r="G412" s="59">
        <f t="shared" si="24"/>
        <v>35799</v>
      </c>
    </row>
    <row r="413" spans="1:7" x14ac:dyDescent="0.2">
      <c r="A413" s="58">
        <v>410</v>
      </c>
      <c r="B413" s="60">
        <v>44329</v>
      </c>
      <c r="C413" s="59">
        <v>0</v>
      </c>
      <c r="D413" s="59">
        <f t="shared" si="22"/>
        <v>35993</v>
      </c>
      <c r="E413" s="59">
        <v>50</v>
      </c>
      <c r="F413" s="59">
        <f t="shared" si="23"/>
        <v>144</v>
      </c>
      <c r="G413" s="59">
        <f t="shared" si="24"/>
        <v>35849</v>
      </c>
    </row>
    <row r="414" spans="1:7" x14ac:dyDescent="0.2">
      <c r="A414" s="58">
        <v>411</v>
      </c>
      <c r="B414" s="60">
        <v>44330</v>
      </c>
      <c r="C414" s="59">
        <v>49</v>
      </c>
      <c r="D414" s="59">
        <f t="shared" si="22"/>
        <v>36042</v>
      </c>
      <c r="E414" s="59">
        <v>129</v>
      </c>
      <c r="F414" s="59">
        <f t="shared" si="23"/>
        <v>64</v>
      </c>
      <c r="G414" s="59">
        <f t="shared" si="24"/>
        <v>35978</v>
      </c>
    </row>
    <row r="415" spans="1:7" x14ac:dyDescent="0.2">
      <c r="A415" s="58">
        <v>412</v>
      </c>
      <c r="B415" s="60">
        <v>44331</v>
      </c>
      <c r="C415" s="59">
        <v>130</v>
      </c>
      <c r="D415" s="59">
        <f t="shared" si="22"/>
        <v>36172</v>
      </c>
      <c r="E415" s="59">
        <v>3</v>
      </c>
      <c r="F415" s="59">
        <f t="shared" si="23"/>
        <v>191</v>
      </c>
      <c r="G415" s="59">
        <f t="shared" si="24"/>
        <v>35981</v>
      </c>
    </row>
    <row r="416" spans="1:7" x14ac:dyDescent="0.2">
      <c r="A416" s="58">
        <v>413</v>
      </c>
      <c r="B416" s="60">
        <v>44332</v>
      </c>
      <c r="C416" s="59">
        <v>24</v>
      </c>
      <c r="D416" s="59">
        <f t="shared" si="22"/>
        <v>36196</v>
      </c>
      <c r="E416" s="59">
        <v>1</v>
      </c>
      <c r="F416" s="59">
        <f t="shared" si="23"/>
        <v>214</v>
      </c>
      <c r="G416" s="59">
        <f t="shared" si="24"/>
        <v>35982</v>
      </c>
    </row>
    <row r="417" spans="1:7" x14ac:dyDescent="0.2">
      <c r="A417" s="58">
        <v>414</v>
      </c>
      <c r="B417" s="60">
        <v>44333</v>
      </c>
      <c r="C417" s="59">
        <v>97</v>
      </c>
      <c r="D417" s="59">
        <f t="shared" si="22"/>
        <v>36293</v>
      </c>
      <c r="E417" s="59">
        <v>119</v>
      </c>
      <c r="F417" s="59">
        <f t="shared" si="23"/>
        <v>192</v>
      </c>
      <c r="G417" s="59">
        <f t="shared" si="24"/>
        <v>36101</v>
      </c>
    </row>
    <row r="418" spans="1:7" x14ac:dyDescent="0.2">
      <c r="A418" s="58">
        <v>415</v>
      </c>
      <c r="B418" s="60">
        <v>44334</v>
      </c>
      <c r="C418" s="59">
        <v>153</v>
      </c>
      <c r="D418" s="59">
        <f t="shared" si="22"/>
        <v>36446</v>
      </c>
      <c r="E418" s="59">
        <v>219</v>
      </c>
      <c r="F418" s="59">
        <f t="shared" si="23"/>
        <v>126</v>
      </c>
      <c r="G418" s="59">
        <f t="shared" si="24"/>
        <v>36320</v>
      </c>
    </row>
    <row r="419" spans="1:7" x14ac:dyDescent="0.2">
      <c r="A419" s="58">
        <v>416</v>
      </c>
      <c r="B419" s="60">
        <v>44335</v>
      </c>
      <c r="C419" s="59">
        <v>60</v>
      </c>
      <c r="D419" s="59">
        <f t="shared" si="22"/>
        <v>36506</v>
      </c>
      <c r="E419" s="59">
        <v>65</v>
      </c>
      <c r="F419" s="59">
        <f t="shared" si="23"/>
        <v>121</v>
      </c>
      <c r="G419" s="59">
        <f t="shared" si="24"/>
        <v>36385</v>
      </c>
    </row>
    <row r="420" spans="1:7" x14ac:dyDescent="0.2">
      <c r="A420" s="58">
        <v>417</v>
      </c>
      <c r="B420" s="60">
        <v>44336</v>
      </c>
      <c r="C420" s="59">
        <v>70</v>
      </c>
      <c r="D420" s="59">
        <f t="shared" si="22"/>
        <v>36576</v>
      </c>
      <c r="E420" s="59">
        <v>62</v>
      </c>
      <c r="F420" s="59">
        <f t="shared" si="23"/>
        <v>129</v>
      </c>
      <c r="G420" s="59">
        <f t="shared" si="24"/>
        <v>36447</v>
      </c>
    </row>
    <row r="421" spans="1:7" x14ac:dyDescent="0.2">
      <c r="A421" s="58">
        <v>418</v>
      </c>
      <c r="B421" s="60">
        <v>44337</v>
      </c>
      <c r="C421" s="59">
        <v>99</v>
      </c>
      <c r="D421" s="59">
        <f t="shared" si="22"/>
        <v>36675</v>
      </c>
      <c r="E421" s="59">
        <v>41</v>
      </c>
      <c r="F421" s="59">
        <f t="shared" si="23"/>
        <v>187</v>
      </c>
      <c r="G421" s="59">
        <f t="shared" si="24"/>
        <v>36488</v>
      </c>
    </row>
    <row r="422" spans="1:7" x14ac:dyDescent="0.2">
      <c r="A422" s="58">
        <v>419</v>
      </c>
      <c r="B422" s="60">
        <v>44338</v>
      </c>
      <c r="C422" s="59">
        <v>81</v>
      </c>
      <c r="D422" s="59">
        <f t="shared" si="22"/>
        <v>36756</v>
      </c>
      <c r="E422" s="59">
        <v>106</v>
      </c>
      <c r="F422" s="59">
        <f t="shared" si="23"/>
        <v>162</v>
      </c>
      <c r="G422" s="59">
        <f t="shared" si="24"/>
        <v>36594</v>
      </c>
    </row>
    <row r="423" spans="1:7" x14ac:dyDescent="0.2">
      <c r="A423" s="58">
        <v>420</v>
      </c>
      <c r="B423" s="60">
        <v>44339</v>
      </c>
      <c r="C423" s="59">
        <v>141</v>
      </c>
      <c r="D423" s="59">
        <f t="shared" si="22"/>
        <v>36897</v>
      </c>
      <c r="E423" s="59">
        <v>157</v>
      </c>
      <c r="F423" s="59">
        <f t="shared" si="23"/>
        <v>146</v>
      </c>
      <c r="G423" s="59">
        <f t="shared" si="24"/>
        <v>36751</v>
      </c>
    </row>
    <row r="424" spans="1:7" x14ac:dyDescent="0.2">
      <c r="A424" s="58">
        <v>421</v>
      </c>
      <c r="B424" s="60">
        <v>44340</v>
      </c>
      <c r="C424" s="59">
        <v>204</v>
      </c>
      <c r="D424" s="59">
        <f t="shared" si="22"/>
        <v>37101</v>
      </c>
      <c r="E424" s="59">
        <v>83</v>
      </c>
      <c r="F424" s="59">
        <f t="shared" si="23"/>
        <v>267</v>
      </c>
      <c r="G424" s="59">
        <f t="shared" si="24"/>
        <v>36834</v>
      </c>
    </row>
    <row r="425" spans="1:7" x14ac:dyDescent="0.2">
      <c r="A425" s="58">
        <v>422</v>
      </c>
      <c r="B425" s="60">
        <v>44341</v>
      </c>
      <c r="C425" s="59">
        <v>31</v>
      </c>
      <c r="D425" s="59">
        <f t="shared" si="22"/>
        <v>37132</v>
      </c>
      <c r="E425" s="59">
        <v>114</v>
      </c>
      <c r="F425" s="59">
        <f t="shared" si="23"/>
        <v>184</v>
      </c>
      <c r="G425" s="59">
        <f t="shared" si="24"/>
        <v>36948</v>
      </c>
    </row>
    <row r="426" spans="1:7" x14ac:dyDescent="0.2">
      <c r="A426" s="58">
        <v>423</v>
      </c>
      <c r="B426" s="60">
        <v>44342</v>
      </c>
      <c r="C426" s="59">
        <v>118</v>
      </c>
      <c r="D426" s="59">
        <f t="shared" si="22"/>
        <v>37250</v>
      </c>
      <c r="E426" s="59">
        <v>180</v>
      </c>
      <c r="F426" s="59">
        <f t="shared" si="23"/>
        <v>122</v>
      </c>
      <c r="G426" s="59">
        <f t="shared" si="24"/>
        <v>37128</v>
      </c>
    </row>
    <row r="427" spans="1:7" x14ac:dyDescent="0.2">
      <c r="A427" s="58">
        <v>424</v>
      </c>
      <c r="B427" s="60">
        <v>44343</v>
      </c>
      <c r="C427" s="59">
        <v>231</v>
      </c>
      <c r="D427" s="59">
        <f t="shared" si="22"/>
        <v>37481</v>
      </c>
      <c r="E427" s="59">
        <v>22</v>
      </c>
      <c r="F427" s="59">
        <f t="shared" si="23"/>
        <v>331</v>
      </c>
      <c r="G427" s="59">
        <f t="shared" si="24"/>
        <v>37150</v>
      </c>
    </row>
    <row r="428" spans="1:7" x14ac:dyDescent="0.2">
      <c r="A428" s="58">
        <v>425</v>
      </c>
      <c r="B428" s="60">
        <v>44344</v>
      </c>
      <c r="C428" s="59">
        <v>122</v>
      </c>
      <c r="D428" s="59">
        <f t="shared" si="22"/>
        <v>37603</v>
      </c>
      <c r="E428" s="59">
        <v>230</v>
      </c>
      <c r="F428" s="59">
        <f t="shared" si="23"/>
        <v>223</v>
      </c>
      <c r="G428" s="59">
        <f t="shared" si="24"/>
        <v>37380</v>
      </c>
    </row>
    <row r="429" spans="1:7" x14ac:dyDescent="0.2">
      <c r="A429" s="58">
        <v>426</v>
      </c>
      <c r="B429" s="60">
        <v>44345</v>
      </c>
      <c r="C429" s="59">
        <v>10</v>
      </c>
      <c r="D429" s="59">
        <f t="shared" si="22"/>
        <v>37613</v>
      </c>
      <c r="E429" s="59">
        <v>126</v>
      </c>
      <c r="F429" s="59">
        <f t="shared" si="23"/>
        <v>107</v>
      </c>
      <c r="G429" s="59">
        <f t="shared" si="24"/>
        <v>37506</v>
      </c>
    </row>
    <row r="430" spans="1:7" x14ac:dyDescent="0.2">
      <c r="A430" s="58">
        <v>427</v>
      </c>
      <c r="B430" s="60">
        <v>44346</v>
      </c>
      <c r="C430" s="59">
        <v>22</v>
      </c>
      <c r="D430" s="59">
        <f t="shared" si="22"/>
        <v>37635</v>
      </c>
      <c r="E430" s="59">
        <v>15</v>
      </c>
      <c r="F430" s="59">
        <f t="shared" si="23"/>
        <v>114</v>
      </c>
      <c r="G430" s="59">
        <f t="shared" si="24"/>
        <v>37521</v>
      </c>
    </row>
    <row r="431" spans="1:7" x14ac:dyDescent="0.2">
      <c r="A431" s="58">
        <v>428</v>
      </c>
      <c r="B431" s="60">
        <v>44347</v>
      </c>
      <c r="C431" s="59">
        <v>153</v>
      </c>
      <c r="D431" s="59">
        <f t="shared" si="22"/>
        <v>37788</v>
      </c>
      <c r="E431" s="59">
        <v>125</v>
      </c>
      <c r="F431" s="59">
        <f t="shared" si="23"/>
        <v>142</v>
      </c>
      <c r="G431" s="59">
        <f t="shared" si="24"/>
        <v>37646</v>
      </c>
    </row>
    <row r="432" spans="1:7" x14ac:dyDescent="0.2">
      <c r="A432" s="58">
        <v>429</v>
      </c>
      <c r="B432" s="60">
        <v>44348</v>
      </c>
      <c r="C432" s="59">
        <v>128</v>
      </c>
      <c r="D432" s="59">
        <f t="shared" si="22"/>
        <v>37916</v>
      </c>
      <c r="E432" s="59">
        <v>169</v>
      </c>
      <c r="F432" s="59">
        <f t="shared" si="23"/>
        <v>101</v>
      </c>
      <c r="G432" s="59">
        <f t="shared" si="24"/>
        <v>37815</v>
      </c>
    </row>
    <row r="433" spans="1:12" x14ac:dyDescent="0.2">
      <c r="A433" s="58">
        <v>430</v>
      </c>
      <c r="B433" s="60">
        <v>44349</v>
      </c>
      <c r="C433" s="59">
        <v>221</v>
      </c>
      <c r="D433" s="59">
        <f t="shared" si="22"/>
        <v>38137</v>
      </c>
      <c r="E433" s="59">
        <v>211</v>
      </c>
      <c r="F433" s="59">
        <f t="shared" si="23"/>
        <v>111</v>
      </c>
      <c r="G433" s="59">
        <f t="shared" si="24"/>
        <v>38026</v>
      </c>
    </row>
    <row r="434" spans="1:12" x14ac:dyDescent="0.2">
      <c r="A434" s="58">
        <v>431</v>
      </c>
      <c r="B434" s="60">
        <v>44350</v>
      </c>
      <c r="C434" s="59">
        <v>99</v>
      </c>
      <c r="D434" s="59">
        <f t="shared" si="22"/>
        <v>38236</v>
      </c>
      <c r="E434" s="59">
        <v>135</v>
      </c>
      <c r="F434" s="59">
        <f t="shared" si="23"/>
        <v>75</v>
      </c>
      <c r="G434" s="59">
        <f t="shared" si="24"/>
        <v>38161</v>
      </c>
    </row>
    <row r="435" spans="1:12" x14ac:dyDescent="0.2">
      <c r="A435" s="58">
        <v>432</v>
      </c>
      <c r="B435" s="60">
        <v>44351</v>
      </c>
      <c r="C435" s="59">
        <v>76</v>
      </c>
      <c r="D435" s="59">
        <f t="shared" si="22"/>
        <v>38312</v>
      </c>
      <c r="E435" s="59">
        <v>35</v>
      </c>
      <c r="F435" s="59">
        <f t="shared" si="23"/>
        <v>116</v>
      </c>
      <c r="G435" s="59">
        <f t="shared" si="24"/>
        <v>38196</v>
      </c>
    </row>
    <row r="436" spans="1:12" x14ac:dyDescent="0.2">
      <c r="A436" s="58">
        <v>433</v>
      </c>
      <c r="B436" s="60">
        <v>44352</v>
      </c>
      <c r="C436" s="59">
        <v>56</v>
      </c>
      <c r="D436" s="59">
        <f t="shared" si="22"/>
        <v>38368</v>
      </c>
      <c r="E436" s="59">
        <v>135</v>
      </c>
      <c r="F436" s="59">
        <f t="shared" si="23"/>
        <v>37</v>
      </c>
      <c r="G436" s="59">
        <f t="shared" si="24"/>
        <v>38331</v>
      </c>
    </row>
    <row r="437" spans="1:12" x14ac:dyDescent="0.2">
      <c r="A437" s="58">
        <v>434</v>
      </c>
      <c r="B437" s="60">
        <v>44353</v>
      </c>
      <c r="C437" s="59">
        <v>193</v>
      </c>
      <c r="D437" s="59">
        <f t="shared" si="22"/>
        <v>38561</v>
      </c>
      <c r="E437" s="59">
        <v>152</v>
      </c>
      <c r="F437" s="59">
        <f t="shared" si="23"/>
        <v>78</v>
      </c>
      <c r="G437" s="59">
        <f t="shared" si="24"/>
        <v>38483</v>
      </c>
    </row>
    <row r="438" spans="1:12" x14ac:dyDescent="0.2">
      <c r="A438" s="58">
        <v>435</v>
      </c>
      <c r="B438" s="60">
        <v>44354</v>
      </c>
      <c r="C438" s="59">
        <v>131</v>
      </c>
      <c r="D438" s="59">
        <f t="shared" si="22"/>
        <v>38692</v>
      </c>
      <c r="E438" s="59">
        <v>200</v>
      </c>
      <c r="F438" s="59">
        <f t="shared" si="23"/>
        <v>9</v>
      </c>
      <c r="G438" s="59">
        <f t="shared" si="24"/>
        <v>38683</v>
      </c>
    </row>
    <row r="439" spans="1:12" x14ac:dyDescent="0.2">
      <c r="A439" s="58">
        <v>436</v>
      </c>
      <c r="B439" s="60">
        <v>44355</v>
      </c>
      <c r="C439" s="59">
        <v>174</v>
      </c>
      <c r="D439" s="59">
        <f t="shared" si="22"/>
        <v>38866</v>
      </c>
      <c r="E439" s="59">
        <v>150</v>
      </c>
      <c r="F439" s="59">
        <f t="shared" si="23"/>
        <v>33</v>
      </c>
      <c r="G439" s="59">
        <f t="shared" si="24"/>
        <v>38833</v>
      </c>
    </row>
    <row r="440" spans="1:12" x14ac:dyDescent="0.2">
      <c r="A440" s="58">
        <v>437</v>
      </c>
      <c r="B440" s="60">
        <v>44356</v>
      </c>
      <c r="C440" s="59">
        <v>489</v>
      </c>
      <c r="D440" s="59">
        <f t="shared" si="22"/>
        <v>39355</v>
      </c>
      <c r="E440" s="59">
        <v>149</v>
      </c>
      <c r="F440" s="59">
        <f t="shared" si="23"/>
        <v>373</v>
      </c>
      <c r="G440" s="59">
        <f t="shared" si="24"/>
        <v>38982</v>
      </c>
      <c r="K440" s="56" t="s">
        <v>461</v>
      </c>
    </row>
    <row r="441" spans="1:12" x14ac:dyDescent="0.2">
      <c r="A441" s="58">
        <v>438</v>
      </c>
      <c r="B441" s="60">
        <v>44357</v>
      </c>
      <c r="C441" s="59">
        <v>253</v>
      </c>
      <c r="D441" s="59">
        <f t="shared" si="22"/>
        <v>39608</v>
      </c>
      <c r="E441" s="59">
        <v>158</v>
      </c>
      <c r="F441" s="59">
        <f t="shared" si="23"/>
        <v>468</v>
      </c>
      <c r="G441" s="59">
        <f t="shared" si="24"/>
        <v>39140</v>
      </c>
    </row>
    <row r="442" spans="1:12" x14ac:dyDescent="0.2">
      <c r="A442" s="58">
        <v>439</v>
      </c>
      <c r="B442" s="60">
        <v>44358</v>
      </c>
      <c r="C442" s="59">
        <v>352</v>
      </c>
      <c r="D442" s="59">
        <f t="shared" si="22"/>
        <v>39960</v>
      </c>
      <c r="E442" s="59">
        <v>252</v>
      </c>
      <c r="F442" s="59">
        <f t="shared" si="23"/>
        <v>568</v>
      </c>
      <c r="G442" s="59">
        <f t="shared" si="24"/>
        <v>39392</v>
      </c>
      <c r="L442" s="56">
        <v>998</v>
      </c>
    </row>
    <row r="443" spans="1:12" x14ac:dyDescent="0.2">
      <c r="A443" s="58">
        <v>440</v>
      </c>
      <c r="B443" s="60">
        <v>44359</v>
      </c>
      <c r="C443" s="59">
        <v>54</v>
      </c>
      <c r="D443" s="59">
        <f t="shared" si="22"/>
        <v>40014</v>
      </c>
      <c r="E443" s="59">
        <v>150</v>
      </c>
      <c r="F443" s="59">
        <f t="shared" si="23"/>
        <v>472</v>
      </c>
      <c r="G443" s="59">
        <f t="shared" si="24"/>
        <v>39542</v>
      </c>
    </row>
    <row r="444" spans="1:12" x14ac:dyDescent="0.2">
      <c r="A444" s="58">
        <v>441</v>
      </c>
      <c r="B444" s="60">
        <v>44360</v>
      </c>
      <c r="C444" s="59">
        <v>114</v>
      </c>
      <c r="D444" s="59">
        <f t="shared" si="22"/>
        <v>40128</v>
      </c>
      <c r="E444" s="59">
        <v>57</v>
      </c>
      <c r="F444" s="59">
        <f t="shared" si="23"/>
        <v>529</v>
      </c>
      <c r="G444" s="59">
        <f t="shared" si="24"/>
        <v>39599</v>
      </c>
    </row>
    <row r="445" spans="1:12" x14ac:dyDescent="0.2">
      <c r="A445" s="58">
        <v>442</v>
      </c>
      <c r="B445" s="60">
        <v>44361</v>
      </c>
      <c r="C445" s="59">
        <v>257</v>
      </c>
      <c r="D445" s="59">
        <f t="shared" si="22"/>
        <v>40385</v>
      </c>
      <c r="E445" s="59">
        <v>200</v>
      </c>
      <c r="F445" s="59">
        <f t="shared" si="23"/>
        <v>586</v>
      </c>
      <c r="G445" s="59">
        <f t="shared" si="24"/>
        <v>39799</v>
      </c>
    </row>
    <row r="446" spans="1:12" x14ac:dyDescent="0.2">
      <c r="A446" s="58">
        <v>443</v>
      </c>
      <c r="B446" s="60">
        <v>44362</v>
      </c>
      <c r="C446" s="59">
        <v>388</v>
      </c>
      <c r="D446" s="59">
        <f t="shared" si="22"/>
        <v>40773</v>
      </c>
      <c r="E446" s="59">
        <v>77</v>
      </c>
      <c r="F446" s="59">
        <f t="shared" si="23"/>
        <v>897</v>
      </c>
      <c r="G446" s="59">
        <f t="shared" si="24"/>
        <v>39876</v>
      </c>
    </row>
    <row r="447" spans="1:12" x14ac:dyDescent="0.2">
      <c r="A447" s="58">
        <v>444</v>
      </c>
      <c r="B447" s="60">
        <v>44363</v>
      </c>
      <c r="C447" s="59">
        <v>492</v>
      </c>
      <c r="D447" s="59">
        <f t="shared" si="22"/>
        <v>41265</v>
      </c>
      <c r="E447" s="59">
        <v>552</v>
      </c>
      <c r="F447" s="59">
        <f t="shared" si="23"/>
        <v>837</v>
      </c>
      <c r="G447" s="59">
        <f t="shared" si="24"/>
        <v>40428</v>
      </c>
    </row>
    <row r="448" spans="1:12" x14ac:dyDescent="0.2">
      <c r="A448" s="58">
        <v>445</v>
      </c>
      <c r="B448" s="60">
        <v>44364</v>
      </c>
      <c r="C448" s="59">
        <v>310</v>
      </c>
      <c r="D448" s="59">
        <f t="shared" si="22"/>
        <v>41575</v>
      </c>
      <c r="E448" s="59">
        <v>471</v>
      </c>
      <c r="F448" s="59">
        <f t="shared" si="23"/>
        <v>676</v>
      </c>
      <c r="G448" s="59">
        <f t="shared" si="24"/>
        <v>40899</v>
      </c>
    </row>
    <row r="449" spans="1:7" x14ac:dyDescent="0.2">
      <c r="A449" s="58">
        <v>446</v>
      </c>
      <c r="B449" s="60">
        <v>44365</v>
      </c>
      <c r="C449" s="59">
        <v>226</v>
      </c>
      <c r="D449" s="59">
        <f t="shared" si="22"/>
        <v>41801</v>
      </c>
      <c r="E449" s="59">
        <v>421</v>
      </c>
      <c r="F449" s="59">
        <f t="shared" si="23"/>
        <v>481</v>
      </c>
      <c r="G449" s="59">
        <f t="shared" si="24"/>
        <v>41320</v>
      </c>
    </row>
    <row r="450" spans="1:7" x14ac:dyDescent="0.2">
      <c r="A450" s="58">
        <v>447</v>
      </c>
      <c r="B450" s="60">
        <v>44366</v>
      </c>
      <c r="C450" s="59">
        <v>186</v>
      </c>
      <c r="D450" s="59">
        <f t="shared" si="22"/>
        <v>41987</v>
      </c>
      <c r="E450" s="59">
        <v>394</v>
      </c>
      <c r="F450" s="59">
        <f t="shared" si="23"/>
        <v>273</v>
      </c>
      <c r="G450" s="59">
        <f t="shared" si="24"/>
        <v>41714</v>
      </c>
    </row>
    <row r="451" spans="1:7" x14ac:dyDescent="0.2">
      <c r="A451" s="58">
        <v>448</v>
      </c>
      <c r="B451" s="60">
        <v>44367</v>
      </c>
      <c r="C451" s="59">
        <v>218</v>
      </c>
      <c r="D451" s="59">
        <f t="shared" si="22"/>
        <v>42205</v>
      </c>
      <c r="E451" s="59">
        <v>103</v>
      </c>
      <c r="F451" s="59">
        <f t="shared" si="23"/>
        <v>388</v>
      </c>
      <c r="G451" s="59">
        <f t="shared" si="24"/>
        <v>41817</v>
      </c>
    </row>
    <row r="452" spans="1:7" x14ac:dyDescent="0.2">
      <c r="A452" s="58">
        <v>449</v>
      </c>
      <c r="B452" s="60">
        <v>44368</v>
      </c>
      <c r="C452" s="59">
        <v>264</v>
      </c>
      <c r="D452" s="59">
        <f t="shared" si="22"/>
        <v>42469</v>
      </c>
      <c r="E452" s="59">
        <v>177</v>
      </c>
      <c r="F452" s="59">
        <f t="shared" si="23"/>
        <v>475</v>
      </c>
      <c r="G452" s="59">
        <f t="shared" si="24"/>
        <v>41994</v>
      </c>
    </row>
    <row r="453" spans="1:7" x14ac:dyDescent="0.2">
      <c r="A453" s="58">
        <v>450</v>
      </c>
      <c r="B453" s="60">
        <v>44369</v>
      </c>
      <c r="C453" s="59">
        <v>177</v>
      </c>
      <c r="D453" s="59">
        <f t="shared" si="22"/>
        <v>42646</v>
      </c>
      <c r="E453" s="59">
        <v>307</v>
      </c>
      <c r="F453" s="59">
        <f t="shared" si="23"/>
        <v>345</v>
      </c>
      <c r="G453" s="59">
        <f t="shared" si="24"/>
        <v>42301</v>
      </c>
    </row>
    <row r="454" spans="1:7" x14ac:dyDescent="0.2">
      <c r="A454" s="58">
        <v>451</v>
      </c>
      <c r="B454" s="60">
        <v>44370</v>
      </c>
      <c r="C454" s="59">
        <v>380</v>
      </c>
      <c r="D454" s="59">
        <f t="shared" si="22"/>
        <v>43026</v>
      </c>
      <c r="E454" s="59">
        <v>360</v>
      </c>
      <c r="F454" s="59">
        <f t="shared" si="23"/>
        <v>365</v>
      </c>
      <c r="G454" s="59">
        <f t="shared" si="24"/>
        <v>42661</v>
      </c>
    </row>
    <row r="455" spans="1:7" x14ac:dyDescent="0.2">
      <c r="A455" s="58">
        <v>452</v>
      </c>
      <c r="B455" s="60">
        <v>44371</v>
      </c>
      <c r="C455" s="59">
        <v>477</v>
      </c>
      <c r="D455" s="59">
        <f t="shared" si="22"/>
        <v>43503</v>
      </c>
      <c r="E455" s="59">
        <v>407</v>
      </c>
      <c r="F455" s="59">
        <f t="shared" si="23"/>
        <v>435</v>
      </c>
      <c r="G455" s="59">
        <f t="shared" si="24"/>
        <v>43068</v>
      </c>
    </row>
    <row r="456" spans="1:7" x14ac:dyDescent="0.2">
      <c r="A456" s="58">
        <v>453</v>
      </c>
      <c r="B456" s="60">
        <v>44372</v>
      </c>
      <c r="C456" s="59">
        <v>74</v>
      </c>
      <c r="D456" s="59">
        <f t="shared" si="22"/>
        <v>43577</v>
      </c>
      <c r="E456" s="59">
        <v>113</v>
      </c>
      <c r="F456" s="59">
        <f t="shared" si="23"/>
        <v>396</v>
      </c>
      <c r="G456" s="59">
        <f t="shared" si="24"/>
        <v>43181</v>
      </c>
    </row>
    <row r="457" spans="1:7" x14ac:dyDescent="0.2">
      <c r="A457" s="58">
        <v>454</v>
      </c>
      <c r="B457" s="60">
        <v>44373</v>
      </c>
      <c r="C457" s="59">
        <v>316</v>
      </c>
      <c r="D457" s="59">
        <f t="shared" si="22"/>
        <v>43893</v>
      </c>
      <c r="E457" s="59">
        <v>587</v>
      </c>
      <c r="F457" s="59">
        <f t="shared" si="23"/>
        <v>125</v>
      </c>
      <c r="G457" s="59">
        <f t="shared" si="24"/>
        <v>43768</v>
      </c>
    </row>
    <row r="458" spans="1:7" x14ac:dyDescent="0.2">
      <c r="A458" s="58">
        <v>455</v>
      </c>
      <c r="B458" s="60">
        <v>44374</v>
      </c>
      <c r="C458" s="59">
        <v>167</v>
      </c>
      <c r="D458" s="59">
        <f t="shared" si="22"/>
        <v>44060</v>
      </c>
      <c r="E458" s="59">
        <v>167</v>
      </c>
      <c r="F458" s="59">
        <f t="shared" si="23"/>
        <v>125</v>
      </c>
      <c r="G458" s="59">
        <f t="shared" si="24"/>
        <v>43935</v>
      </c>
    </row>
    <row r="459" spans="1:7" x14ac:dyDescent="0.2">
      <c r="A459" s="58">
        <v>456</v>
      </c>
      <c r="B459" s="60">
        <v>44375</v>
      </c>
      <c r="C459" s="59">
        <v>434</v>
      </c>
      <c r="D459" s="59">
        <f t="shared" si="22"/>
        <v>44494</v>
      </c>
      <c r="E459" s="59">
        <v>287</v>
      </c>
      <c r="F459" s="59">
        <f t="shared" si="23"/>
        <v>272</v>
      </c>
      <c r="G459" s="59">
        <f t="shared" si="24"/>
        <v>44222</v>
      </c>
    </row>
    <row r="460" spans="1:7" x14ac:dyDescent="0.2">
      <c r="A460" s="58">
        <v>457</v>
      </c>
      <c r="B460" s="60">
        <v>44376</v>
      </c>
      <c r="C460" s="59">
        <v>342</v>
      </c>
      <c r="D460" s="59">
        <f t="shared" si="22"/>
        <v>44836</v>
      </c>
      <c r="E460" s="59">
        <v>447</v>
      </c>
      <c r="F460" s="59">
        <f t="shared" si="23"/>
        <v>167</v>
      </c>
      <c r="G460" s="59">
        <f t="shared" si="24"/>
        <v>44669</v>
      </c>
    </row>
    <row r="461" spans="1:7" x14ac:dyDescent="0.2">
      <c r="A461" s="58">
        <v>458</v>
      </c>
      <c r="B461" s="60">
        <v>44377</v>
      </c>
      <c r="C461" s="59">
        <v>440</v>
      </c>
      <c r="D461" s="59">
        <f t="shared" si="22"/>
        <v>45276</v>
      </c>
      <c r="E461" s="59">
        <v>358</v>
      </c>
      <c r="F461" s="59">
        <f t="shared" si="23"/>
        <v>249</v>
      </c>
      <c r="G461" s="59">
        <f t="shared" si="24"/>
        <v>45027</v>
      </c>
    </row>
    <row r="462" spans="1:7" x14ac:dyDescent="0.2">
      <c r="A462" s="58">
        <v>459</v>
      </c>
      <c r="B462" s="60">
        <v>44378</v>
      </c>
      <c r="C462" s="59">
        <v>302</v>
      </c>
      <c r="D462" s="59">
        <f t="shared" si="22"/>
        <v>45578</v>
      </c>
      <c r="E462" s="59">
        <v>352</v>
      </c>
      <c r="F462" s="59">
        <f t="shared" si="23"/>
        <v>199</v>
      </c>
      <c r="G462" s="59">
        <f t="shared" si="24"/>
        <v>45379</v>
      </c>
    </row>
    <row r="463" spans="1:7" x14ac:dyDescent="0.2">
      <c r="A463" s="58">
        <v>460</v>
      </c>
      <c r="B463" s="60">
        <v>44379</v>
      </c>
      <c r="C463" s="59">
        <v>78</v>
      </c>
      <c r="D463" s="59">
        <f t="shared" si="22"/>
        <v>45656</v>
      </c>
      <c r="E463" s="59">
        <v>104</v>
      </c>
      <c r="F463" s="59">
        <f t="shared" si="23"/>
        <v>173</v>
      </c>
      <c r="G463" s="59">
        <f t="shared" si="24"/>
        <v>45483</v>
      </c>
    </row>
    <row r="464" spans="1:7" x14ac:dyDescent="0.2">
      <c r="A464" s="58">
        <v>461</v>
      </c>
      <c r="B464" s="60">
        <v>44380</v>
      </c>
      <c r="C464" s="59">
        <v>183</v>
      </c>
      <c r="D464" s="59">
        <f t="shared" si="22"/>
        <v>45839</v>
      </c>
      <c r="E464" s="59">
        <v>287</v>
      </c>
      <c r="F464" s="59">
        <f t="shared" si="23"/>
        <v>69</v>
      </c>
      <c r="G464" s="59">
        <f t="shared" si="24"/>
        <v>45770</v>
      </c>
    </row>
    <row r="465" spans="1:7" x14ac:dyDescent="0.2">
      <c r="A465" s="58">
        <v>462</v>
      </c>
      <c r="B465" s="60">
        <v>44381</v>
      </c>
      <c r="C465" s="59">
        <v>155</v>
      </c>
      <c r="D465" s="59">
        <f t="shared" si="22"/>
        <v>45994</v>
      </c>
      <c r="E465" s="59">
        <v>143</v>
      </c>
      <c r="F465" s="59">
        <f t="shared" si="23"/>
        <v>81</v>
      </c>
      <c r="G465" s="59">
        <f t="shared" si="24"/>
        <v>45913</v>
      </c>
    </row>
    <row r="466" spans="1:7" x14ac:dyDescent="0.2">
      <c r="A466" s="58">
        <v>463</v>
      </c>
      <c r="B466" s="60">
        <v>44382</v>
      </c>
      <c r="C466" s="59">
        <v>415</v>
      </c>
      <c r="D466" s="59">
        <f t="shared" si="22"/>
        <v>46409</v>
      </c>
      <c r="E466" s="59">
        <v>292</v>
      </c>
      <c r="F466" s="59">
        <f t="shared" si="23"/>
        <v>204</v>
      </c>
      <c r="G466" s="59">
        <f t="shared" si="24"/>
        <v>46205</v>
      </c>
    </row>
    <row r="467" spans="1:7" x14ac:dyDescent="0.2">
      <c r="A467" s="58">
        <v>464</v>
      </c>
      <c r="B467" s="60">
        <v>44383</v>
      </c>
      <c r="C467" s="59">
        <v>281</v>
      </c>
      <c r="D467" s="59">
        <f t="shared" ref="D467:D529" si="25">D466+C467</f>
        <v>46690</v>
      </c>
      <c r="E467" s="59">
        <v>221</v>
      </c>
      <c r="F467" s="59">
        <f t="shared" ref="F467:F529" si="26">F466+C467-E467</f>
        <v>264</v>
      </c>
      <c r="G467" s="59">
        <f t="shared" ref="G467:G529" si="27">G466+E467</f>
        <v>46426</v>
      </c>
    </row>
    <row r="468" spans="1:7" x14ac:dyDescent="0.2">
      <c r="A468" s="58">
        <v>465</v>
      </c>
      <c r="B468" s="60">
        <v>44384</v>
      </c>
      <c r="C468" s="59">
        <v>166</v>
      </c>
      <c r="D468" s="59">
        <f t="shared" si="25"/>
        <v>46856</v>
      </c>
      <c r="E468" s="59">
        <v>410</v>
      </c>
      <c r="F468" s="59">
        <f t="shared" si="26"/>
        <v>20</v>
      </c>
      <c r="G468" s="59">
        <f t="shared" si="27"/>
        <v>46836</v>
      </c>
    </row>
    <row r="469" spans="1:7" x14ac:dyDescent="0.2">
      <c r="A469" s="58">
        <v>466</v>
      </c>
      <c r="B469" s="60">
        <v>44385</v>
      </c>
      <c r="C469" s="59">
        <v>216</v>
      </c>
      <c r="D469" s="59">
        <f t="shared" si="25"/>
        <v>47072</v>
      </c>
      <c r="E469" s="59">
        <v>79</v>
      </c>
      <c r="F469" s="59">
        <f t="shared" si="26"/>
        <v>157</v>
      </c>
      <c r="G469" s="59">
        <f t="shared" si="27"/>
        <v>46915</v>
      </c>
    </row>
    <row r="470" spans="1:7" x14ac:dyDescent="0.2">
      <c r="A470" s="58">
        <v>467</v>
      </c>
      <c r="B470" s="60">
        <v>44386</v>
      </c>
      <c r="C470" s="59">
        <v>217</v>
      </c>
      <c r="D470" s="59">
        <f t="shared" si="25"/>
        <v>47289</v>
      </c>
      <c r="E470" s="59">
        <v>183</v>
      </c>
      <c r="F470" s="59">
        <f t="shared" si="26"/>
        <v>191</v>
      </c>
      <c r="G470" s="59">
        <f t="shared" si="27"/>
        <v>47098</v>
      </c>
    </row>
    <row r="471" spans="1:7" x14ac:dyDescent="0.2">
      <c r="A471" s="58">
        <v>468</v>
      </c>
      <c r="B471" s="60">
        <v>44387</v>
      </c>
      <c r="C471" s="59">
        <v>297</v>
      </c>
      <c r="D471" s="59">
        <f t="shared" si="25"/>
        <v>47586</v>
      </c>
      <c r="E471" s="59">
        <v>35</v>
      </c>
      <c r="F471" s="59">
        <f t="shared" si="26"/>
        <v>453</v>
      </c>
      <c r="G471" s="59">
        <f t="shared" si="27"/>
        <v>47133</v>
      </c>
    </row>
    <row r="472" spans="1:7" x14ac:dyDescent="0.2">
      <c r="A472" s="58">
        <v>469</v>
      </c>
      <c r="B472" s="60">
        <v>44388</v>
      </c>
      <c r="C472" s="59">
        <v>326</v>
      </c>
      <c r="D472" s="59">
        <f t="shared" si="25"/>
        <v>47912</v>
      </c>
      <c r="E472" s="59">
        <v>210</v>
      </c>
      <c r="F472" s="59">
        <f t="shared" si="26"/>
        <v>569</v>
      </c>
      <c r="G472" s="59">
        <f t="shared" si="27"/>
        <v>47343</v>
      </c>
    </row>
    <row r="473" spans="1:7" x14ac:dyDescent="0.2">
      <c r="A473" s="58">
        <v>470</v>
      </c>
      <c r="B473" s="60">
        <v>44389</v>
      </c>
      <c r="C473" s="59">
        <v>745</v>
      </c>
      <c r="D473" s="59">
        <f t="shared" si="25"/>
        <v>48657</v>
      </c>
      <c r="E473" s="59">
        <v>82</v>
      </c>
      <c r="F473" s="59">
        <f t="shared" si="26"/>
        <v>1232</v>
      </c>
      <c r="G473" s="59">
        <f t="shared" si="27"/>
        <v>47425</v>
      </c>
    </row>
    <row r="474" spans="1:7" x14ac:dyDescent="0.2">
      <c r="A474" s="58">
        <v>471</v>
      </c>
      <c r="B474" s="60">
        <v>44390</v>
      </c>
      <c r="C474" s="59">
        <v>261</v>
      </c>
      <c r="D474" s="59">
        <f t="shared" si="25"/>
        <v>48918</v>
      </c>
      <c r="E474" s="59">
        <v>94</v>
      </c>
      <c r="F474" s="59">
        <f t="shared" si="26"/>
        <v>1399</v>
      </c>
      <c r="G474" s="59">
        <f t="shared" si="27"/>
        <v>47519</v>
      </c>
    </row>
    <row r="475" spans="1:7" x14ac:dyDescent="0.2">
      <c r="A475" s="58">
        <v>472</v>
      </c>
      <c r="B475" s="60">
        <v>44391</v>
      </c>
      <c r="C475" s="59">
        <v>587</v>
      </c>
      <c r="D475" s="59">
        <f t="shared" si="25"/>
        <v>49505</v>
      </c>
      <c r="E475" s="59">
        <v>205</v>
      </c>
      <c r="F475" s="59">
        <f t="shared" si="26"/>
        <v>1781</v>
      </c>
      <c r="G475" s="59">
        <f t="shared" si="27"/>
        <v>47724</v>
      </c>
    </row>
    <row r="476" spans="1:7" x14ac:dyDescent="0.2">
      <c r="A476" s="58">
        <v>473</v>
      </c>
      <c r="B476" s="60">
        <v>44392</v>
      </c>
      <c r="C476" s="59">
        <v>99</v>
      </c>
      <c r="D476" s="59">
        <f t="shared" si="25"/>
        <v>49604</v>
      </c>
      <c r="E476" s="59">
        <v>158</v>
      </c>
      <c r="F476" s="59">
        <f t="shared" si="26"/>
        <v>1722</v>
      </c>
      <c r="G476" s="59">
        <f t="shared" si="27"/>
        <v>47882</v>
      </c>
    </row>
    <row r="477" spans="1:7" x14ac:dyDescent="0.2">
      <c r="A477" s="58">
        <v>474</v>
      </c>
      <c r="B477" s="60">
        <v>44393</v>
      </c>
      <c r="C477" s="59">
        <v>350</v>
      </c>
      <c r="D477" s="59">
        <f t="shared" si="25"/>
        <v>49954</v>
      </c>
      <c r="E477" s="59">
        <v>1112</v>
      </c>
      <c r="F477" s="59">
        <f t="shared" si="26"/>
        <v>960</v>
      </c>
      <c r="G477" s="59">
        <f t="shared" si="27"/>
        <v>48994</v>
      </c>
    </row>
    <row r="478" spans="1:7" x14ac:dyDescent="0.2">
      <c r="A478" s="58">
        <v>475</v>
      </c>
      <c r="B478" s="60">
        <v>44394</v>
      </c>
      <c r="C478" s="59">
        <v>242</v>
      </c>
      <c r="D478" s="59">
        <f t="shared" si="25"/>
        <v>50196</v>
      </c>
      <c r="E478" s="59">
        <v>220</v>
      </c>
      <c r="F478" s="59">
        <f t="shared" si="26"/>
        <v>982</v>
      </c>
      <c r="G478" s="59">
        <f t="shared" si="27"/>
        <v>49214</v>
      </c>
    </row>
    <row r="479" spans="1:7" x14ac:dyDescent="0.2">
      <c r="A479" s="58">
        <v>476</v>
      </c>
      <c r="B479" s="60">
        <v>44395</v>
      </c>
      <c r="C479" s="59">
        <v>104</v>
      </c>
      <c r="D479" s="59">
        <f t="shared" si="25"/>
        <v>50300</v>
      </c>
      <c r="E479" s="59">
        <v>181</v>
      </c>
      <c r="F479" s="59">
        <f t="shared" si="26"/>
        <v>905</v>
      </c>
      <c r="G479" s="59">
        <f t="shared" si="27"/>
        <v>49395</v>
      </c>
    </row>
    <row r="480" spans="1:7" x14ac:dyDescent="0.2">
      <c r="A480" s="58">
        <v>477</v>
      </c>
      <c r="B480" s="60">
        <v>44396</v>
      </c>
      <c r="C480" s="59">
        <v>804</v>
      </c>
      <c r="D480" s="59">
        <f t="shared" si="25"/>
        <v>51104</v>
      </c>
      <c r="E480" s="59">
        <v>639</v>
      </c>
      <c r="F480" s="59">
        <f t="shared" si="26"/>
        <v>1070</v>
      </c>
      <c r="G480" s="59">
        <f t="shared" si="27"/>
        <v>50034</v>
      </c>
    </row>
    <row r="481" spans="1:7" x14ac:dyDescent="0.2">
      <c r="A481" s="58">
        <v>478</v>
      </c>
      <c r="B481" s="60">
        <v>44397</v>
      </c>
      <c r="C481" s="59">
        <v>30</v>
      </c>
      <c r="D481" s="59">
        <f t="shared" si="25"/>
        <v>51134</v>
      </c>
      <c r="E481" s="59">
        <v>193</v>
      </c>
      <c r="F481" s="59">
        <f t="shared" si="26"/>
        <v>907</v>
      </c>
      <c r="G481" s="59">
        <f t="shared" si="27"/>
        <v>50227</v>
      </c>
    </row>
    <row r="482" spans="1:7" x14ac:dyDescent="0.2">
      <c r="A482" s="58">
        <v>479</v>
      </c>
      <c r="B482" s="60">
        <v>44398</v>
      </c>
      <c r="C482" s="59">
        <v>31</v>
      </c>
      <c r="D482" s="59">
        <f t="shared" si="25"/>
        <v>51165</v>
      </c>
      <c r="E482" s="59">
        <v>207</v>
      </c>
      <c r="F482" s="59">
        <f t="shared" si="26"/>
        <v>731</v>
      </c>
      <c r="G482" s="59">
        <f t="shared" si="27"/>
        <v>50434</v>
      </c>
    </row>
    <row r="483" spans="1:7" x14ac:dyDescent="0.2">
      <c r="A483" s="58">
        <v>480</v>
      </c>
      <c r="B483" s="60">
        <v>44399</v>
      </c>
      <c r="C483" s="59">
        <v>77</v>
      </c>
      <c r="D483" s="59">
        <f t="shared" si="25"/>
        <v>51242</v>
      </c>
      <c r="E483" s="59">
        <v>265</v>
      </c>
      <c r="F483" s="59">
        <f t="shared" si="26"/>
        <v>543</v>
      </c>
      <c r="G483" s="59">
        <f t="shared" si="27"/>
        <v>50699</v>
      </c>
    </row>
    <row r="484" spans="1:7" x14ac:dyDescent="0.2">
      <c r="A484" s="58">
        <v>481</v>
      </c>
      <c r="B484" s="60">
        <v>44400</v>
      </c>
      <c r="C484" s="59">
        <v>540</v>
      </c>
      <c r="D484" s="59">
        <f t="shared" si="25"/>
        <v>51782</v>
      </c>
      <c r="E484" s="59">
        <v>126</v>
      </c>
      <c r="F484" s="59">
        <f t="shared" si="26"/>
        <v>957</v>
      </c>
      <c r="G484" s="59">
        <f t="shared" si="27"/>
        <v>50825</v>
      </c>
    </row>
    <row r="485" spans="1:7" x14ac:dyDescent="0.2">
      <c r="A485" s="58">
        <v>482</v>
      </c>
      <c r="B485" s="60">
        <v>44401</v>
      </c>
      <c r="C485" s="59">
        <v>135</v>
      </c>
      <c r="D485" s="59">
        <f t="shared" si="25"/>
        <v>51917</v>
      </c>
      <c r="E485" s="59">
        <v>24</v>
      </c>
      <c r="F485" s="59">
        <f t="shared" si="26"/>
        <v>1068</v>
      </c>
      <c r="G485" s="59">
        <f t="shared" si="27"/>
        <v>50849</v>
      </c>
    </row>
    <row r="486" spans="1:7" x14ac:dyDescent="0.2">
      <c r="A486" s="58">
        <v>483</v>
      </c>
      <c r="B486" s="60">
        <v>44402</v>
      </c>
      <c r="C486" s="59">
        <v>523</v>
      </c>
      <c r="D486" s="59">
        <f t="shared" si="25"/>
        <v>52440</v>
      </c>
      <c r="E486" s="59">
        <v>95</v>
      </c>
      <c r="F486" s="59">
        <f t="shared" si="26"/>
        <v>1496</v>
      </c>
      <c r="G486" s="59">
        <f t="shared" si="27"/>
        <v>50944</v>
      </c>
    </row>
    <row r="487" spans="1:7" x14ac:dyDescent="0.2">
      <c r="A487" s="58">
        <v>484</v>
      </c>
      <c r="B487" s="60">
        <v>44403</v>
      </c>
      <c r="C487" s="59">
        <v>65</v>
      </c>
      <c r="D487" s="59">
        <f t="shared" si="25"/>
        <v>52505</v>
      </c>
      <c r="E487" s="59">
        <v>96</v>
      </c>
      <c r="F487" s="59">
        <f t="shared" si="26"/>
        <v>1465</v>
      </c>
      <c r="G487" s="59">
        <f t="shared" si="27"/>
        <v>51040</v>
      </c>
    </row>
    <row r="488" spans="1:7" x14ac:dyDescent="0.2">
      <c r="A488" s="58">
        <v>485</v>
      </c>
      <c r="B488" s="60">
        <v>44404</v>
      </c>
      <c r="C488" s="59">
        <v>267</v>
      </c>
      <c r="D488" s="59">
        <f t="shared" si="25"/>
        <v>52772</v>
      </c>
      <c r="E488" s="59">
        <v>46</v>
      </c>
      <c r="F488" s="59">
        <f t="shared" si="26"/>
        <v>1686</v>
      </c>
      <c r="G488" s="59">
        <f t="shared" si="27"/>
        <v>51086</v>
      </c>
    </row>
    <row r="489" spans="1:7" x14ac:dyDescent="0.2">
      <c r="A489" s="58">
        <v>486</v>
      </c>
      <c r="B489" s="60">
        <v>44405</v>
      </c>
      <c r="C489" s="59">
        <v>62</v>
      </c>
      <c r="D489" s="59">
        <f t="shared" si="25"/>
        <v>52834</v>
      </c>
      <c r="E489" s="59">
        <v>157</v>
      </c>
      <c r="F489" s="59">
        <f t="shared" si="26"/>
        <v>1591</v>
      </c>
      <c r="G489" s="59">
        <f t="shared" si="27"/>
        <v>51243</v>
      </c>
    </row>
    <row r="490" spans="1:7" x14ac:dyDescent="0.2">
      <c r="A490" s="58">
        <v>487</v>
      </c>
      <c r="B490" s="60">
        <v>44406</v>
      </c>
      <c r="C490" s="59">
        <v>193</v>
      </c>
      <c r="D490" s="59">
        <f t="shared" si="25"/>
        <v>53027</v>
      </c>
      <c r="E490" s="59">
        <v>39</v>
      </c>
      <c r="F490" s="59">
        <f t="shared" si="26"/>
        <v>1745</v>
      </c>
      <c r="G490" s="59">
        <f t="shared" si="27"/>
        <v>51282</v>
      </c>
    </row>
    <row r="491" spans="1:7" x14ac:dyDescent="0.2">
      <c r="A491" s="58">
        <v>488</v>
      </c>
      <c r="B491" s="60">
        <v>44407</v>
      </c>
      <c r="C491" s="59">
        <v>128</v>
      </c>
      <c r="D491" s="59">
        <f t="shared" si="25"/>
        <v>53155</v>
      </c>
      <c r="E491" s="59">
        <v>299</v>
      </c>
      <c r="F491" s="59">
        <f t="shared" si="26"/>
        <v>1574</v>
      </c>
      <c r="G491" s="59">
        <f t="shared" si="27"/>
        <v>51581</v>
      </c>
    </row>
    <row r="492" spans="1:7" x14ac:dyDescent="0.2">
      <c r="A492" s="58">
        <v>489</v>
      </c>
      <c r="B492" s="60">
        <v>44408</v>
      </c>
      <c r="C492" s="59">
        <v>138</v>
      </c>
      <c r="D492" s="59">
        <f t="shared" si="25"/>
        <v>53293</v>
      </c>
      <c r="E492" s="59">
        <v>130</v>
      </c>
      <c r="F492" s="59">
        <f t="shared" si="26"/>
        <v>1582</v>
      </c>
      <c r="G492" s="59">
        <f t="shared" si="27"/>
        <v>51711</v>
      </c>
    </row>
    <row r="493" spans="1:7" x14ac:dyDescent="0.2">
      <c r="A493" s="58">
        <v>490</v>
      </c>
      <c r="B493" s="60">
        <v>44409</v>
      </c>
      <c r="C493" s="59">
        <v>504</v>
      </c>
      <c r="D493" s="59">
        <f t="shared" si="25"/>
        <v>53797</v>
      </c>
      <c r="E493" s="59">
        <v>250</v>
      </c>
      <c r="F493" s="59">
        <f t="shared" si="26"/>
        <v>1836</v>
      </c>
      <c r="G493" s="59">
        <f t="shared" si="27"/>
        <v>51961</v>
      </c>
    </row>
    <row r="494" spans="1:7" x14ac:dyDescent="0.2">
      <c r="A494" s="58">
        <v>491</v>
      </c>
      <c r="B494" s="60">
        <v>44410</v>
      </c>
      <c r="C494" s="59">
        <v>521</v>
      </c>
      <c r="D494" s="59">
        <f t="shared" si="25"/>
        <v>54318</v>
      </c>
      <c r="E494" s="59">
        <v>65</v>
      </c>
      <c r="F494" s="59">
        <f t="shared" si="26"/>
        <v>2292</v>
      </c>
      <c r="G494" s="59">
        <f t="shared" si="27"/>
        <v>52026</v>
      </c>
    </row>
    <row r="495" spans="1:7" x14ac:dyDescent="0.2">
      <c r="A495" s="58">
        <v>492</v>
      </c>
      <c r="B495" s="60">
        <v>44411</v>
      </c>
      <c r="C495" s="59">
        <v>36</v>
      </c>
      <c r="D495" s="59">
        <f t="shared" si="25"/>
        <v>54354</v>
      </c>
      <c r="E495" s="59">
        <v>278</v>
      </c>
      <c r="F495" s="59">
        <f t="shared" si="26"/>
        <v>2050</v>
      </c>
      <c r="G495" s="59">
        <f t="shared" si="27"/>
        <v>52304</v>
      </c>
    </row>
    <row r="496" spans="1:7" x14ac:dyDescent="0.2">
      <c r="A496" s="58">
        <v>493</v>
      </c>
      <c r="B496" s="60">
        <v>44412</v>
      </c>
      <c r="C496" s="59">
        <v>365</v>
      </c>
      <c r="D496" s="59">
        <f t="shared" si="25"/>
        <v>54719</v>
      </c>
      <c r="E496" s="59">
        <v>175</v>
      </c>
      <c r="F496" s="59">
        <f t="shared" si="26"/>
        <v>2240</v>
      </c>
      <c r="G496" s="59">
        <f t="shared" si="27"/>
        <v>52479</v>
      </c>
    </row>
    <row r="497" spans="1:7" x14ac:dyDescent="0.2">
      <c r="A497" s="58">
        <v>494</v>
      </c>
      <c r="B497" s="60">
        <v>44413</v>
      </c>
      <c r="C497" s="59">
        <v>566</v>
      </c>
      <c r="D497" s="59">
        <f t="shared" si="25"/>
        <v>55285</v>
      </c>
      <c r="E497" s="59">
        <v>11</v>
      </c>
      <c r="F497" s="59">
        <f t="shared" si="26"/>
        <v>2795</v>
      </c>
      <c r="G497" s="59">
        <f t="shared" si="27"/>
        <v>52490</v>
      </c>
    </row>
    <row r="498" spans="1:7" x14ac:dyDescent="0.2">
      <c r="A498" s="58">
        <v>495</v>
      </c>
      <c r="B498" s="60">
        <v>44414</v>
      </c>
      <c r="C498" s="59">
        <v>119</v>
      </c>
      <c r="D498" s="59">
        <f t="shared" si="25"/>
        <v>55404</v>
      </c>
      <c r="E498" s="59">
        <v>640</v>
      </c>
      <c r="F498" s="59">
        <f t="shared" si="26"/>
        <v>2274</v>
      </c>
      <c r="G498" s="59">
        <f t="shared" si="27"/>
        <v>53130</v>
      </c>
    </row>
    <row r="499" spans="1:7" x14ac:dyDescent="0.2">
      <c r="A499" s="58">
        <v>496</v>
      </c>
      <c r="B499" s="60">
        <v>44415</v>
      </c>
      <c r="C499" s="59">
        <v>257</v>
      </c>
      <c r="D499" s="59">
        <f t="shared" si="25"/>
        <v>55661</v>
      </c>
      <c r="E499" s="59">
        <v>34</v>
      </c>
      <c r="F499" s="59">
        <f t="shared" si="26"/>
        <v>2497</v>
      </c>
      <c r="G499" s="59">
        <f t="shared" si="27"/>
        <v>53164</v>
      </c>
    </row>
    <row r="500" spans="1:7" x14ac:dyDescent="0.2">
      <c r="A500" s="58">
        <v>497</v>
      </c>
      <c r="B500" s="60">
        <v>44416</v>
      </c>
      <c r="C500" s="59">
        <v>15</v>
      </c>
      <c r="D500" s="59">
        <f t="shared" si="25"/>
        <v>55676</v>
      </c>
      <c r="E500" s="59">
        <v>18</v>
      </c>
      <c r="F500" s="59">
        <f t="shared" si="26"/>
        <v>2494</v>
      </c>
      <c r="G500" s="59">
        <f t="shared" si="27"/>
        <v>53182</v>
      </c>
    </row>
    <row r="501" spans="1:7" x14ac:dyDescent="0.2">
      <c r="A501" s="58">
        <v>498</v>
      </c>
      <c r="B501" s="60">
        <v>44417</v>
      </c>
      <c r="C501" s="59">
        <v>130</v>
      </c>
      <c r="D501" s="59">
        <f t="shared" si="25"/>
        <v>55806</v>
      </c>
      <c r="E501" s="59">
        <v>311</v>
      </c>
      <c r="F501" s="59">
        <f t="shared" si="26"/>
        <v>2313</v>
      </c>
      <c r="G501" s="59">
        <f t="shared" si="27"/>
        <v>53493</v>
      </c>
    </row>
    <row r="502" spans="1:7" x14ac:dyDescent="0.2">
      <c r="A502" s="58">
        <v>499</v>
      </c>
      <c r="B502" s="60">
        <v>44418</v>
      </c>
      <c r="C502" s="59">
        <v>130</v>
      </c>
      <c r="D502" s="59">
        <f t="shared" si="25"/>
        <v>55936</v>
      </c>
      <c r="E502" s="59">
        <v>610</v>
      </c>
      <c r="F502" s="59">
        <f t="shared" si="26"/>
        <v>1833</v>
      </c>
      <c r="G502" s="59">
        <f t="shared" si="27"/>
        <v>54103</v>
      </c>
    </row>
    <row r="503" spans="1:7" x14ac:dyDescent="0.2">
      <c r="A503" s="58">
        <v>500</v>
      </c>
      <c r="B503" s="60">
        <v>44419</v>
      </c>
      <c r="C503" s="59">
        <v>299</v>
      </c>
      <c r="D503" s="59">
        <f t="shared" si="25"/>
        <v>56235</v>
      </c>
      <c r="E503" s="59">
        <v>106</v>
      </c>
      <c r="F503" s="59">
        <f t="shared" si="26"/>
        <v>2026</v>
      </c>
      <c r="G503" s="59">
        <f t="shared" si="27"/>
        <v>54209</v>
      </c>
    </row>
    <row r="504" spans="1:7" x14ac:dyDescent="0.2">
      <c r="A504" s="58">
        <v>501</v>
      </c>
      <c r="B504" s="60">
        <v>44420</v>
      </c>
      <c r="C504" s="59">
        <v>200</v>
      </c>
      <c r="D504" s="59">
        <f t="shared" si="25"/>
        <v>56435</v>
      </c>
      <c r="E504" s="59">
        <v>29</v>
      </c>
      <c r="F504" s="59">
        <f t="shared" si="26"/>
        <v>2197</v>
      </c>
      <c r="G504" s="59">
        <f t="shared" si="27"/>
        <v>54238</v>
      </c>
    </row>
    <row r="505" spans="1:7" x14ac:dyDescent="0.2">
      <c r="A505" s="58">
        <v>502</v>
      </c>
      <c r="B505" s="60">
        <v>44421</v>
      </c>
      <c r="C505" s="59">
        <v>173</v>
      </c>
      <c r="D505" s="59">
        <f t="shared" si="25"/>
        <v>56608</v>
      </c>
      <c r="E505" s="59">
        <v>193</v>
      </c>
      <c r="F505" s="59">
        <f t="shared" si="26"/>
        <v>2177</v>
      </c>
      <c r="G505" s="59">
        <f t="shared" si="27"/>
        <v>54431</v>
      </c>
    </row>
    <row r="506" spans="1:7" x14ac:dyDescent="0.2">
      <c r="A506" s="58">
        <v>503</v>
      </c>
      <c r="B506" s="60">
        <v>44422</v>
      </c>
      <c r="C506" s="59">
        <v>213</v>
      </c>
      <c r="D506" s="59">
        <f t="shared" si="25"/>
        <v>56821</v>
      </c>
      <c r="E506" s="59">
        <v>209</v>
      </c>
      <c r="F506" s="59">
        <f t="shared" si="26"/>
        <v>2181</v>
      </c>
      <c r="G506" s="59">
        <f t="shared" si="27"/>
        <v>54640</v>
      </c>
    </row>
    <row r="507" spans="1:7" x14ac:dyDescent="0.2">
      <c r="A507" s="58">
        <v>504</v>
      </c>
      <c r="B507" s="60">
        <v>44423</v>
      </c>
      <c r="C507" s="59">
        <v>222</v>
      </c>
      <c r="D507" s="59">
        <f t="shared" si="25"/>
        <v>57043</v>
      </c>
      <c r="E507" s="59">
        <v>278</v>
      </c>
      <c r="F507" s="59">
        <f t="shared" si="26"/>
        <v>2125</v>
      </c>
      <c r="G507" s="59">
        <f t="shared" si="27"/>
        <v>54918</v>
      </c>
    </row>
    <row r="508" spans="1:7" x14ac:dyDescent="0.2">
      <c r="A508" s="58">
        <v>505</v>
      </c>
      <c r="B508" s="60">
        <v>44424</v>
      </c>
      <c r="C508" s="59">
        <v>252</v>
      </c>
      <c r="D508" s="59">
        <f t="shared" si="25"/>
        <v>57295</v>
      </c>
      <c r="E508" s="59">
        <v>19</v>
      </c>
      <c r="F508" s="59">
        <f t="shared" si="26"/>
        <v>2358</v>
      </c>
      <c r="G508" s="59">
        <f t="shared" si="27"/>
        <v>54937</v>
      </c>
    </row>
    <row r="509" spans="1:7" x14ac:dyDescent="0.2">
      <c r="A509" s="58">
        <v>506</v>
      </c>
      <c r="B509" s="60">
        <v>44425</v>
      </c>
      <c r="C509" s="59">
        <v>128</v>
      </c>
      <c r="D509" s="59">
        <f t="shared" si="25"/>
        <v>57423</v>
      </c>
      <c r="E509" s="59">
        <v>120</v>
      </c>
      <c r="F509" s="59">
        <f t="shared" si="26"/>
        <v>2366</v>
      </c>
      <c r="G509" s="59">
        <f t="shared" si="27"/>
        <v>55057</v>
      </c>
    </row>
    <row r="510" spans="1:7" x14ac:dyDescent="0.2">
      <c r="A510" s="58">
        <v>507</v>
      </c>
      <c r="B510" s="60">
        <v>44426</v>
      </c>
      <c r="C510" s="59">
        <v>769</v>
      </c>
      <c r="D510" s="59">
        <f t="shared" si="25"/>
        <v>58192</v>
      </c>
      <c r="E510" s="59">
        <v>314</v>
      </c>
      <c r="F510" s="59">
        <f t="shared" si="26"/>
        <v>2821</v>
      </c>
      <c r="G510" s="59">
        <f t="shared" si="27"/>
        <v>55371</v>
      </c>
    </row>
    <row r="511" spans="1:7" x14ac:dyDescent="0.2">
      <c r="A511" s="58">
        <v>508</v>
      </c>
      <c r="B511" s="60">
        <v>44427</v>
      </c>
      <c r="C511" s="59">
        <v>291</v>
      </c>
      <c r="D511" s="59">
        <f t="shared" si="25"/>
        <v>58483</v>
      </c>
      <c r="E511" s="59">
        <v>46</v>
      </c>
      <c r="F511" s="59">
        <f t="shared" si="26"/>
        <v>3066</v>
      </c>
      <c r="G511" s="59">
        <f t="shared" si="27"/>
        <v>55417</v>
      </c>
    </row>
    <row r="512" spans="1:7" x14ac:dyDescent="0.2">
      <c r="A512" s="58">
        <v>509</v>
      </c>
      <c r="B512" s="60">
        <v>44428</v>
      </c>
      <c r="C512" s="59">
        <v>712</v>
      </c>
      <c r="D512" s="59">
        <f t="shared" si="25"/>
        <v>59195</v>
      </c>
      <c r="E512" s="59">
        <v>643</v>
      </c>
      <c r="F512" s="59">
        <f t="shared" si="26"/>
        <v>3135</v>
      </c>
      <c r="G512" s="59">
        <f t="shared" si="27"/>
        <v>56060</v>
      </c>
    </row>
    <row r="513" spans="1:13" x14ac:dyDescent="0.2">
      <c r="A513" s="58">
        <v>510</v>
      </c>
      <c r="B513" s="60">
        <v>44429</v>
      </c>
      <c r="C513" s="59">
        <v>134</v>
      </c>
      <c r="D513" s="59">
        <f t="shared" si="25"/>
        <v>59329</v>
      </c>
      <c r="E513" s="59">
        <v>68</v>
      </c>
      <c r="F513" s="59">
        <f t="shared" si="26"/>
        <v>3201</v>
      </c>
      <c r="G513" s="59">
        <f t="shared" si="27"/>
        <v>56128</v>
      </c>
    </row>
    <row r="514" spans="1:13" x14ac:dyDescent="0.2">
      <c r="A514" s="58">
        <v>511</v>
      </c>
      <c r="B514" s="60">
        <v>44430</v>
      </c>
      <c r="C514" s="59">
        <v>487</v>
      </c>
      <c r="D514" s="59">
        <f t="shared" si="25"/>
        <v>59816</v>
      </c>
      <c r="E514" s="59">
        <v>48</v>
      </c>
      <c r="F514" s="59">
        <f t="shared" si="26"/>
        <v>3640</v>
      </c>
      <c r="G514" s="59">
        <f t="shared" si="27"/>
        <v>56176</v>
      </c>
    </row>
    <row r="515" spans="1:13" x14ac:dyDescent="0.2">
      <c r="A515" s="58">
        <v>512</v>
      </c>
      <c r="B515" s="60">
        <v>44431</v>
      </c>
      <c r="C515" s="59">
        <v>265</v>
      </c>
      <c r="D515" s="59">
        <f t="shared" si="25"/>
        <v>60081</v>
      </c>
      <c r="E515" s="59">
        <v>96</v>
      </c>
      <c r="F515" s="59">
        <f t="shared" si="26"/>
        <v>3809</v>
      </c>
      <c r="G515" s="59">
        <f t="shared" si="27"/>
        <v>56272</v>
      </c>
    </row>
    <row r="516" spans="1:13" x14ac:dyDescent="0.2">
      <c r="A516" s="58">
        <v>513</v>
      </c>
      <c r="B516" s="60">
        <v>44432</v>
      </c>
      <c r="C516" s="59">
        <v>335</v>
      </c>
      <c r="D516" s="59">
        <f t="shared" si="25"/>
        <v>60416</v>
      </c>
      <c r="E516" s="59">
        <v>307</v>
      </c>
      <c r="F516" s="59">
        <f t="shared" si="26"/>
        <v>3837</v>
      </c>
      <c r="G516" s="59">
        <f t="shared" si="27"/>
        <v>56579</v>
      </c>
    </row>
    <row r="517" spans="1:13" x14ac:dyDescent="0.2">
      <c r="A517" s="58">
        <v>514</v>
      </c>
      <c r="B517" s="60">
        <v>44433</v>
      </c>
      <c r="C517" s="59">
        <v>400</v>
      </c>
      <c r="D517" s="59">
        <f t="shared" si="25"/>
        <v>60816</v>
      </c>
      <c r="E517" s="59">
        <v>122</v>
      </c>
      <c r="F517" s="59">
        <f t="shared" si="26"/>
        <v>4115</v>
      </c>
      <c r="G517" s="59">
        <f t="shared" si="27"/>
        <v>56701</v>
      </c>
    </row>
    <row r="518" spans="1:13" x14ac:dyDescent="0.2">
      <c r="A518" s="58">
        <v>515</v>
      </c>
      <c r="B518" s="60">
        <v>44434</v>
      </c>
      <c r="C518" s="59">
        <v>90</v>
      </c>
      <c r="D518" s="59">
        <f t="shared" si="25"/>
        <v>60906</v>
      </c>
      <c r="E518" s="59">
        <v>200</v>
      </c>
      <c r="F518" s="59">
        <f t="shared" si="26"/>
        <v>4005</v>
      </c>
      <c r="G518" s="59">
        <f t="shared" si="27"/>
        <v>56901</v>
      </c>
    </row>
    <row r="519" spans="1:13" x14ac:dyDescent="0.2">
      <c r="A519" s="58">
        <v>516</v>
      </c>
      <c r="B519" s="60">
        <v>44435</v>
      </c>
      <c r="C519" s="59">
        <v>987</v>
      </c>
      <c r="D519" s="59">
        <f t="shared" si="25"/>
        <v>61893</v>
      </c>
      <c r="E519" s="59">
        <v>173</v>
      </c>
      <c r="F519" s="59">
        <f t="shared" si="26"/>
        <v>4819</v>
      </c>
      <c r="G519" s="59">
        <f t="shared" si="27"/>
        <v>57074</v>
      </c>
    </row>
    <row r="520" spans="1:13" x14ac:dyDescent="0.2">
      <c r="A520" s="58">
        <v>517</v>
      </c>
      <c r="B520" s="60">
        <v>44436</v>
      </c>
      <c r="C520" s="59">
        <v>381</v>
      </c>
      <c r="D520" s="59">
        <f t="shared" si="25"/>
        <v>62274</v>
      </c>
      <c r="E520" s="59">
        <v>287</v>
      </c>
      <c r="F520" s="59">
        <f t="shared" si="26"/>
        <v>4913</v>
      </c>
      <c r="G520" s="59">
        <f t="shared" si="27"/>
        <v>57361</v>
      </c>
    </row>
    <row r="521" spans="1:13" x14ac:dyDescent="0.2">
      <c r="A521" s="58">
        <v>518</v>
      </c>
      <c r="B521" s="60">
        <v>44437</v>
      </c>
      <c r="C521" s="59">
        <v>136</v>
      </c>
      <c r="D521" s="59">
        <f t="shared" si="25"/>
        <v>62410</v>
      </c>
      <c r="E521" s="59">
        <v>148</v>
      </c>
      <c r="F521" s="59">
        <f t="shared" si="26"/>
        <v>4901</v>
      </c>
      <c r="G521" s="59">
        <f t="shared" si="27"/>
        <v>57509</v>
      </c>
    </row>
    <row r="522" spans="1:13" ht="15.75" x14ac:dyDescent="0.25">
      <c r="A522" s="58">
        <v>519</v>
      </c>
      <c r="B522" s="60">
        <v>44438</v>
      </c>
      <c r="C522" s="59">
        <v>320</v>
      </c>
      <c r="D522" s="59">
        <f t="shared" si="25"/>
        <v>62730</v>
      </c>
      <c r="E522" s="59">
        <v>252</v>
      </c>
      <c r="F522" s="59">
        <f t="shared" si="26"/>
        <v>4969</v>
      </c>
      <c r="G522" s="59">
        <f t="shared" si="27"/>
        <v>57761</v>
      </c>
      <c r="L522" s="80"/>
      <c r="M522"/>
    </row>
    <row r="523" spans="1:13" ht="15.75" x14ac:dyDescent="0.25">
      <c r="A523" s="58">
        <v>520</v>
      </c>
      <c r="B523" s="60">
        <v>44439</v>
      </c>
      <c r="C523" s="59">
        <v>361</v>
      </c>
      <c r="D523" s="59">
        <f t="shared" si="25"/>
        <v>63091</v>
      </c>
      <c r="E523" s="59">
        <v>381</v>
      </c>
      <c r="F523" s="59">
        <f t="shared" si="26"/>
        <v>4949</v>
      </c>
      <c r="G523" s="59">
        <f t="shared" si="27"/>
        <v>58142</v>
      </c>
      <c r="L523" s="80"/>
      <c r="M523"/>
    </row>
    <row r="524" spans="1:13" ht="15.75" x14ac:dyDescent="0.25">
      <c r="A524" s="58">
        <v>521</v>
      </c>
      <c r="B524" s="60">
        <v>44440</v>
      </c>
      <c r="C524" s="59">
        <v>534</v>
      </c>
      <c r="D524" s="59">
        <f t="shared" si="25"/>
        <v>63625</v>
      </c>
      <c r="E524" s="59">
        <v>533</v>
      </c>
      <c r="F524" s="59">
        <f t="shared" si="26"/>
        <v>4950</v>
      </c>
      <c r="G524" s="59">
        <f t="shared" si="27"/>
        <v>58675</v>
      </c>
      <c r="L524" s="80"/>
      <c r="M524"/>
    </row>
    <row r="525" spans="1:13" ht="15.75" x14ac:dyDescent="0.25">
      <c r="A525" s="58">
        <v>522</v>
      </c>
      <c r="B525" s="60">
        <v>44441</v>
      </c>
      <c r="C525" s="59">
        <v>232</v>
      </c>
      <c r="D525" s="59">
        <f t="shared" si="25"/>
        <v>63857</v>
      </c>
      <c r="E525" s="59">
        <v>694</v>
      </c>
      <c r="F525" s="59">
        <f t="shared" si="26"/>
        <v>4488</v>
      </c>
      <c r="G525" s="59">
        <f t="shared" si="27"/>
        <v>59369</v>
      </c>
      <c r="L525" s="80"/>
      <c r="M525"/>
    </row>
    <row r="526" spans="1:13" ht="15.75" x14ac:dyDescent="0.25">
      <c r="A526" s="58">
        <v>523</v>
      </c>
      <c r="B526" s="60">
        <v>44442</v>
      </c>
      <c r="C526" s="59">
        <v>335</v>
      </c>
      <c r="D526" s="59">
        <f t="shared" si="25"/>
        <v>64192</v>
      </c>
      <c r="E526" s="59">
        <v>502</v>
      </c>
      <c r="F526" s="59">
        <f t="shared" si="26"/>
        <v>4321</v>
      </c>
      <c r="G526" s="59">
        <f t="shared" si="27"/>
        <v>59871</v>
      </c>
      <c r="K526" s="80"/>
      <c r="L526" s="80"/>
      <c r="M526"/>
    </row>
    <row r="527" spans="1:13" ht="15.75" x14ac:dyDescent="0.25">
      <c r="A527" s="58">
        <v>524</v>
      </c>
      <c r="B527" s="60">
        <v>44443</v>
      </c>
      <c r="C527" s="59">
        <v>325</v>
      </c>
      <c r="D527" s="59">
        <f t="shared" si="25"/>
        <v>64517</v>
      </c>
      <c r="E527" s="59">
        <v>695</v>
      </c>
      <c r="F527" s="59">
        <f t="shared" si="26"/>
        <v>3951</v>
      </c>
      <c r="G527" s="59">
        <f t="shared" si="27"/>
        <v>60566</v>
      </c>
      <c r="K527" s="80"/>
      <c r="L527"/>
    </row>
    <row r="528" spans="1:13" ht="15.75" x14ac:dyDescent="0.25">
      <c r="A528" s="58">
        <v>525</v>
      </c>
      <c r="B528" s="60">
        <v>44444</v>
      </c>
      <c r="C528" s="59">
        <v>54</v>
      </c>
      <c r="D528" s="59">
        <f t="shared" si="25"/>
        <v>64571</v>
      </c>
      <c r="E528" s="59">
        <v>831</v>
      </c>
      <c r="F528" s="59">
        <f t="shared" si="26"/>
        <v>3174</v>
      </c>
      <c r="G528" s="59">
        <f t="shared" si="27"/>
        <v>61397</v>
      </c>
      <c r="K528" s="80"/>
      <c r="L528"/>
    </row>
    <row r="529" spans="1:14" ht="15.75" x14ac:dyDescent="0.25">
      <c r="A529" s="58">
        <v>526</v>
      </c>
      <c r="B529" s="60">
        <v>44445</v>
      </c>
      <c r="C529" s="59">
        <v>449</v>
      </c>
      <c r="D529" s="59">
        <f t="shared" si="25"/>
        <v>65020</v>
      </c>
      <c r="E529" s="59">
        <v>1845</v>
      </c>
      <c r="F529" s="59">
        <f t="shared" si="26"/>
        <v>1778</v>
      </c>
      <c r="G529" s="59">
        <f t="shared" si="27"/>
        <v>63242</v>
      </c>
      <c r="K529" s="80"/>
      <c r="L529"/>
    </row>
    <row r="530" spans="1:14" ht="15.75" x14ac:dyDescent="0.25">
      <c r="A530" s="58">
        <v>527</v>
      </c>
      <c r="B530" s="60">
        <v>44446</v>
      </c>
      <c r="C530" s="59">
        <v>231</v>
      </c>
      <c r="D530" s="59">
        <f t="shared" ref="D530" si="28">D529+C530</f>
        <v>65251</v>
      </c>
      <c r="E530" s="59">
        <v>326</v>
      </c>
      <c r="F530" s="59">
        <f t="shared" ref="F530" si="29">F529+C530-E530</f>
        <v>1683</v>
      </c>
      <c r="G530" s="59">
        <f t="shared" ref="G530" si="30">G529+E530</f>
        <v>63568</v>
      </c>
      <c r="L530" s="80"/>
      <c r="M530"/>
    </row>
    <row r="531" spans="1:14" ht="15.75" x14ac:dyDescent="0.25">
      <c r="A531" s="58">
        <v>528</v>
      </c>
      <c r="B531" s="60">
        <v>44447</v>
      </c>
      <c r="C531" s="59">
        <v>179</v>
      </c>
      <c r="D531" s="59">
        <f t="shared" ref="D531:D536" si="31">G531+F531</f>
        <v>65466</v>
      </c>
      <c r="E531" s="59">
        <v>184</v>
      </c>
      <c r="F531" s="59">
        <v>1678</v>
      </c>
      <c r="G531" s="59">
        <v>63788</v>
      </c>
      <c r="L531" s="80"/>
      <c r="M531"/>
    </row>
    <row r="532" spans="1:14" ht="15.75" x14ac:dyDescent="0.25">
      <c r="A532" s="58">
        <v>529</v>
      </c>
      <c r="B532" s="60">
        <v>44448</v>
      </c>
      <c r="C532" s="59">
        <v>76</v>
      </c>
      <c r="D532" s="59">
        <f t="shared" si="31"/>
        <v>65558</v>
      </c>
      <c r="E532" s="59">
        <v>274</v>
      </c>
      <c r="F532" s="59">
        <v>1480</v>
      </c>
      <c r="G532" s="59">
        <v>64078</v>
      </c>
      <c r="K532" s="80"/>
      <c r="L532"/>
      <c r="M532"/>
    </row>
    <row r="533" spans="1:14" ht="15.75" x14ac:dyDescent="0.25">
      <c r="A533" s="58">
        <v>530</v>
      </c>
      <c r="B533" s="60">
        <v>44449</v>
      </c>
      <c r="C533" s="59">
        <v>68</v>
      </c>
      <c r="D533" s="59">
        <f t="shared" si="31"/>
        <v>65654</v>
      </c>
      <c r="E533" s="59">
        <v>116</v>
      </c>
      <c r="F533" s="59">
        <v>1432</v>
      </c>
      <c r="G533" s="59">
        <v>64222</v>
      </c>
      <c r="K533" s="80"/>
      <c r="L533"/>
      <c r="M533"/>
    </row>
    <row r="534" spans="1:14" ht="15.75" x14ac:dyDescent="0.25">
      <c r="A534" s="58">
        <v>531</v>
      </c>
      <c r="B534" s="60">
        <v>44450</v>
      </c>
      <c r="C534" s="59">
        <v>38</v>
      </c>
      <c r="D534" s="59">
        <f t="shared" si="31"/>
        <v>65691</v>
      </c>
      <c r="E534" s="59">
        <v>237</v>
      </c>
      <c r="F534" s="59">
        <f>F533-E534+C534</f>
        <v>1233</v>
      </c>
      <c r="G534" s="59">
        <v>64458</v>
      </c>
      <c r="K534" s="80"/>
      <c r="L534"/>
    </row>
    <row r="535" spans="1:14" ht="15.75" x14ac:dyDescent="0.25">
      <c r="A535" s="58">
        <v>532</v>
      </c>
      <c r="B535" s="60">
        <v>44451</v>
      </c>
      <c r="C535" s="59">
        <v>44</v>
      </c>
      <c r="D535" s="59">
        <f t="shared" si="31"/>
        <v>65861</v>
      </c>
      <c r="E535" s="59">
        <v>52</v>
      </c>
      <c r="F535" s="59">
        <f>F534-E535+C535</f>
        <v>1225</v>
      </c>
      <c r="G535" s="59">
        <v>64636</v>
      </c>
      <c r="K535" s="80"/>
      <c r="L535"/>
    </row>
    <row r="536" spans="1:14" ht="15.75" x14ac:dyDescent="0.25">
      <c r="A536" s="58">
        <v>533</v>
      </c>
      <c r="B536" s="60">
        <v>44452</v>
      </c>
      <c r="C536" s="59">
        <v>15</v>
      </c>
      <c r="D536" s="59">
        <f t="shared" si="31"/>
        <v>65633</v>
      </c>
      <c r="E536" s="59">
        <v>244</v>
      </c>
      <c r="F536" s="59">
        <f>F535-E536+C536</f>
        <v>996</v>
      </c>
      <c r="G536" s="59">
        <v>64637</v>
      </c>
      <c r="J536" s="80"/>
      <c r="K536"/>
    </row>
    <row r="537" spans="1:14" ht="15.75" x14ac:dyDescent="0.25">
      <c r="A537" s="58">
        <v>534</v>
      </c>
      <c r="B537" s="60">
        <v>44453</v>
      </c>
      <c r="C537" s="59">
        <v>0</v>
      </c>
      <c r="D537" s="59">
        <f t="shared" ref="D537:D538" si="32">G537+F537</f>
        <v>65633</v>
      </c>
      <c r="E537" s="59">
        <v>0</v>
      </c>
      <c r="F537" s="59">
        <f t="shared" ref="F537:F538" si="33">F536-E537+C537</f>
        <v>996</v>
      </c>
      <c r="G537" s="59">
        <v>64637</v>
      </c>
      <c r="J537" s="80"/>
      <c r="K537"/>
      <c r="L537"/>
    </row>
    <row r="538" spans="1:14" ht="15.75" x14ac:dyDescent="0.25">
      <c r="A538" s="58">
        <v>535</v>
      </c>
      <c r="B538" s="60">
        <v>44454</v>
      </c>
      <c r="C538" s="59">
        <v>25</v>
      </c>
      <c r="D538" s="59">
        <f t="shared" si="32"/>
        <v>65962</v>
      </c>
      <c r="E538" s="59">
        <v>271</v>
      </c>
      <c r="F538" s="59">
        <f t="shared" si="33"/>
        <v>750</v>
      </c>
      <c r="G538" s="59">
        <v>65212</v>
      </c>
      <c r="J538" s="80"/>
      <c r="K538"/>
      <c r="L538"/>
      <c r="M538"/>
      <c r="N538"/>
    </row>
    <row r="539" spans="1:14" ht="15.75" x14ac:dyDescent="0.25">
      <c r="A539" s="58">
        <v>536</v>
      </c>
      <c r="B539" s="60">
        <v>44455</v>
      </c>
      <c r="C539" s="59">
        <v>28</v>
      </c>
      <c r="D539" s="59">
        <f t="shared" ref="D539" si="34">G539+F539</f>
        <v>66012</v>
      </c>
      <c r="E539" s="59">
        <v>188</v>
      </c>
      <c r="F539" s="59">
        <v>591</v>
      </c>
      <c r="G539" s="59">
        <v>65421</v>
      </c>
      <c r="J539"/>
      <c r="K539"/>
      <c r="L539"/>
      <c r="M539"/>
      <c r="N539"/>
    </row>
    <row r="540" spans="1:14" ht="15.75" x14ac:dyDescent="0.25">
      <c r="A540" s="58">
        <v>537</v>
      </c>
      <c r="B540" s="60">
        <v>44456</v>
      </c>
      <c r="C540" s="59">
        <v>3</v>
      </c>
      <c r="D540" s="59">
        <f t="shared" ref="D540" si="35">G540+F540</f>
        <v>66052</v>
      </c>
      <c r="E540" s="59">
        <v>188</v>
      </c>
      <c r="F540" s="59">
        <v>406</v>
      </c>
      <c r="G540" s="59">
        <v>65646</v>
      </c>
      <c r="J540"/>
      <c r="K540"/>
      <c r="L540"/>
      <c r="M540"/>
      <c r="N540"/>
    </row>
    <row r="541" spans="1:14" ht="15.75" x14ac:dyDescent="0.25">
      <c r="A541" s="58">
        <v>538</v>
      </c>
      <c r="B541" s="60">
        <v>44457</v>
      </c>
      <c r="C541" s="59">
        <v>23</v>
      </c>
      <c r="D541" s="59">
        <f t="shared" ref="D541" si="36">G541+F541</f>
        <v>66108</v>
      </c>
      <c r="E541" s="59">
        <v>55</v>
      </c>
      <c r="F541" s="59">
        <v>374</v>
      </c>
      <c r="G541" s="59">
        <v>65734</v>
      </c>
      <c r="J541"/>
      <c r="K541"/>
      <c r="L541"/>
      <c r="M541"/>
      <c r="N541"/>
    </row>
    <row r="542" spans="1:14" ht="15.75" x14ac:dyDescent="0.25">
      <c r="A542" s="58">
        <v>539</v>
      </c>
      <c r="B542" s="60">
        <v>44458</v>
      </c>
      <c r="C542" s="59">
        <v>9</v>
      </c>
      <c r="D542" s="59">
        <f t="shared" ref="D542" si="37">G542+F542</f>
        <v>66112</v>
      </c>
      <c r="E542" s="59">
        <v>25</v>
      </c>
      <c r="F542" s="59">
        <v>358</v>
      </c>
      <c r="G542" s="59">
        <v>65754</v>
      </c>
      <c r="J542" s="80"/>
      <c r="K542"/>
      <c r="L542"/>
      <c r="M542"/>
      <c r="N542"/>
    </row>
    <row r="543" spans="1:14" ht="15.75" x14ac:dyDescent="0.25">
      <c r="A543" s="58">
        <v>540</v>
      </c>
      <c r="B543" s="60">
        <v>44459</v>
      </c>
      <c r="C543" s="59">
        <v>24</v>
      </c>
      <c r="D543" s="59">
        <f t="shared" ref="D543" si="38">G543+F543</f>
        <v>66137</v>
      </c>
      <c r="E543" s="59">
        <v>101</v>
      </c>
      <c r="F543" s="59">
        <v>281</v>
      </c>
      <c r="G543" s="59">
        <v>65856</v>
      </c>
      <c r="J543" s="80"/>
      <c r="K543"/>
      <c r="L543"/>
      <c r="M543"/>
      <c r="N543"/>
    </row>
    <row r="544" spans="1:14" ht="15.75" x14ac:dyDescent="0.25">
      <c r="A544" s="58">
        <v>541</v>
      </c>
      <c r="B544" s="60">
        <v>44460</v>
      </c>
      <c r="C544" s="59">
        <v>16</v>
      </c>
      <c r="D544" s="59">
        <f t="shared" ref="D544" si="39">G544+F544</f>
        <v>66177</v>
      </c>
      <c r="E544" s="59">
        <v>107</v>
      </c>
      <c r="F544" s="59">
        <v>190</v>
      </c>
      <c r="G544" s="59">
        <v>65987</v>
      </c>
      <c r="J544"/>
      <c r="K544"/>
      <c r="L544"/>
      <c r="M544"/>
      <c r="N544"/>
    </row>
    <row r="545" spans="1:14" ht="15.75" x14ac:dyDescent="0.25">
      <c r="A545" s="58">
        <v>542</v>
      </c>
      <c r="B545" s="60">
        <v>44461</v>
      </c>
      <c r="C545" s="59">
        <v>19</v>
      </c>
      <c r="D545" s="59">
        <f t="shared" ref="D545" si="40">G545+F545</f>
        <v>66206</v>
      </c>
      <c r="E545" s="59">
        <v>115</v>
      </c>
      <c r="F545" s="59">
        <v>94</v>
      </c>
      <c r="G545" s="59">
        <v>66112</v>
      </c>
      <c r="J545"/>
      <c r="K545"/>
      <c r="L545"/>
      <c r="M545" s="81"/>
      <c r="N545" s="81"/>
    </row>
    <row r="546" spans="1:14" ht="15.75" x14ac:dyDescent="0.25">
      <c r="A546" s="58">
        <v>543</v>
      </c>
      <c r="B546" s="60">
        <v>44462</v>
      </c>
      <c r="C546" s="59">
        <v>12</v>
      </c>
      <c r="D546" s="59">
        <f t="shared" ref="D546" si="41">G546+F546</f>
        <v>66217</v>
      </c>
      <c r="E546" s="59">
        <v>42</v>
      </c>
      <c r="F546" s="59">
        <v>64</v>
      </c>
      <c r="G546" s="59">
        <v>66153</v>
      </c>
      <c r="J546"/>
      <c r="K546"/>
      <c r="L546"/>
      <c r="M546"/>
      <c r="N546"/>
    </row>
    <row r="547" spans="1:14" ht="15.75" x14ac:dyDescent="0.25">
      <c r="A547" s="58">
        <v>544</v>
      </c>
      <c r="B547" s="60">
        <v>44463</v>
      </c>
      <c r="C547" s="59">
        <v>0</v>
      </c>
      <c r="D547" s="59">
        <f t="shared" ref="D547" si="42">G547+F547</f>
        <v>66217</v>
      </c>
      <c r="E547" s="59">
        <v>0</v>
      </c>
      <c r="F547" s="59">
        <v>64</v>
      </c>
      <c r="G547" s="59">
        <v>66153</v>
      </c>
      <c r="J547"/>
      <c r="K547"/>
      <c r="L547"/>
      <c r="M547"/>
    </row>
    <row r="548" spans="1:14" ht="15.75" x14ac:dyDescent="0.25">
      <c r="A548" s="58">
        <v>545</v>
      </c>
      <c r="B548" s="60">
        <v>44464</v>
      </c>
      <c r="C548" s="59">
        <v>43</v>
      </c>
      <c r="D548" s="59">
        <f t="shared" ref="D548" si="43">G548+F548</f>
        <v>66256</v>
      </c>
      <c r="E548" s="59">
        <v>22</v>
      </c>
      <c r="F548" s="59">
        <v>85</v>
      </c>
      <c r="G548" s="59">
        <v>66171</v>
      </c>
      <c r="J548"/>
      <c r="K548"/>
      <c r="L548"/>
      <c r="M548"/>
    </row>
    <row r="549" spans="1:14" ht="15.75" x14ac:dyDescent="0.25">
      <c r="A549" s="58">
        <v>546</v>
      </c>
      <c r="B549" s="60">
        <v>44465</v>
      </c>
      <c r="C549" s="59">
        <v>0</v>
      </c>
      <c r="D549" s="59">
        <f t="shared" ref="D549" si="44">G549+F549</f>
        <v>66256</v>
      </c>
      <c r="E549" s="59">
        <v>0</v>
      </c>
      <c r="F549" s="59">
        <v>85</v>
      </c>
      <c r="G549" s="59">
        <v>66171</v>
      </c>
      <c r="J549"/>
      <c r="K549"/>
      <c r="L549"/>
      <c r="M549"/>
    </row>
    <row r="550" spans="1:14" ht="15.75" x14ac:dyDescent="0.25">
      <c r="A550" s="58">
        <v>547</v>
      </c>
      <c r="B550" s="60">
        <v>44466</v>
      </c>
      <c r="C550" s="59">
        <v>42</v>
      </c>
      <c r="D550" s="59">
        <f t="shared" ref="D550" si="45">G550+F550</f>
        <v>66311</v>
      </c>
      <c r="E550" s="59">
        <v>3</v>
      </c>
      <c r="F550" s="59">
        <v>124</v>
      </c>
      <c r="G550" s="59">
        <v>66187</v>
      </c>
      <c r="J550"/>
      <c r="K550"/>
      <c r="L550"/>
      <c r="M550" s="82"/>
      <c r="N550" s="82"/>
    </row>
    <row r="551" spans="1:14" ht="15.75" x14ac:dyDescent="0.25">
      <c r="A551" s="58">
        <v>548</v>
      </c>
      <c r="B551" s="60">
        <v>44467</v>
      </c>
      <c r="C551" s="59">
        <v>57</v>
      </c>
      <c r="D551" s="59">
        <f t="shared" ref="D551" si="46">G551+F551</f>
        <v>66396</v>
      </c>
      <c r="E551" s="59">
        <v>44</v>
      </c>
      <c r="F551" s="59">
        <v>137</v>
      </c>
      <c r="G551" s="59">
        <v>66259</v>
      </c>
      <c r="J551"/>
      <c r="K551"/>
      <c r="L551"/>
    </row>
    <row r="552" spans="1:14" ht="15.75" x14ac:dyDescent="0.25">
      <c r="A552" s="58">
        <v>549</v>
      </c>
      <c r="B552" s="60">
        <v>44468</v>
      </c>
      <c r="C552" s="59">
        <v>77</v>
      </c>
      <c r="D552" s="59">
        <f t="shared" ref="D552" si="47">G552+F552</f>
        <v>66501</v>
      </c>
      <c r="E552" s="59">
        <v>43</v>
      </c>
      <c r="F552" s="59">
        <v>171</v>
      </c>
      <c r="G552" s="59">
        <v>66330</v>
      </c>
      <c r="J552"/>
      <c r="K552"/>
      <c r="L552"/>
      <c r="M552" s="82"/>
      <c r="N552" s="82"/>
    </row>
    <row r="553" spans="1:14" ht="15.75" x14ac:dyDescent="0.25">
      <c r="A553" s="58">
        <v>550</v>
      </c>
      <c r="B553" s="60">
        <v>44469</v>
      </c>
      <c r="C553" s="59">
        <v>78</v>
      </c>
      <c r="D553" s="59">
        <f t="shared" ref="D553" si="48">G553+F553</f>
        <v>66627</v>
      </c>
      <c r="E553" s="59">
        <v>4</v>
      </c>
      <c r="F553" s="59">
        <v>252</v>
      </c>
      <c r="G553" s="59">
        <v>66375</v>
      </c>
      <c r="J553"/>
      <c r="K553"/>
      <c r="L553"/>
      <c r="M553" s="82"/>
      <c r="N553" s="82"/>
    </row>
    <row r="554" spans="1:14" ht="15.75" x14ac:dyDescent="0.25">
      <c r="A554" s="58">
        <v>551</v>
      </c>
      <c r="B554" s="60">
        <v>44470</v>
      </c>
      <c r="C554" s="59">
        <v>46</v>
      </c>
      <c r="D554" s="59">
        <f t="shared" ref="D554" si="49">G554+F554</f>
        <v>66668</v>
      </c>
      <c r="E554" s="59">
        <v>31</v>
      </c>
      <c r="F554" s="59">
        <v>267</v>
      </c>
      <c r="G554" s="59">
        <v>66401</v>
      </c>
      <c r="J554"/>
      <c r="K554"/>
      <c r="L554"/>
      <c r="M554" s="82"/>
      <c r="N554" s="82"/>
    </row>
    <row r="555" spans="1:14" ht="15.75" x14ac:dyDescent="0.25">
      <c r="A555" s="58">
        <v>552</v>
      </c>
      <c r="B555" s="60">
        <v>44471</v>
      </c>
      <c r="C555" s="59">
        <v>0</v>
      </c>
      <c r="D555" s="59">
        <f t="shared" ref="D555" si="50">G555+F555</f>
        <v>66668</v>
      </c>
      <c r="E555" s="59">
        <v>0</v>
      </c>
      <c r="F555" s="59">
        <v>267</v>
      </c>
      <c r="G555" s="59">
        <v>66401</v>
      </c>
      <c r="J555"/>
      <c r="K555"/>
      <c r="L555"/>
      <c r="M555"/>
    </row>
    <row r="556" spans="1:14" ht="15.75" x14ac:dyDescent="0.25">
      <c r="A556" s="58">
        <v>553</v>
      </c>
      <c r="B556" s="60">
        <v>44472</v>
      </c>
      <c r="C556" s="59">
        <v>37</v>
      </c>
      <c r="D556" s="59">
        <f t="shared" ref="D556" si="51">G556+F556</f>
        <v>66755</v>
      </c>
      <c r="E556" s="59">
        <v>38</v>
      </c>
      <c r="F556" s="59">
        <v>266</v>
      </c>
      <c r="G556" s="59">
        <v>66489</v>
      </c>
      <c r="J556"/>
      <c r="K556"/>
      <c r="L556"/>
      <c r="M556" s="81"/>
      <c r="N556" s="82"/>
    </row>
    <row r="557" spans="1:14" ht="15.75" x14ac:dyDescent="0.25">
      <c r="A557" s="58">
        <v>554</v>
      </c>
      <c r="B557" s="60">
        <v>44473</v>
      </c>
      <c r="C557" s="59">
        <v>56</v>
      </c>
      <c r="D557" s="59">
        <f t="shared" ref="D557" si="52">G557+F557</f>
        <v>66802</v>
      </c>
      <c r="E557" s="59">
        <v>65</v>
      </c>
      <c r="F557" s="59">
        <v>272</v>
      </c>
      <c r="G557" s="59">
        <v>66530</v>
      </c>
      <c r="J557"/>
      <c r="K557"/>
      <c r="L557"/>
      <c r="M557"/>
    </row>
    <row r="558" spans="1:14" ht="15.75" x14ac:dyDescent="0.25">
      <c r="A558" s="58">
        <v>555</v>
      </c>
      <c r="B558" s="60">
        <v>44474</v>
      </c>
      <c r="C558" s="59">
        <v>50</v>
      </c>
      <c r="D558" s="59">
        <f t="shared" ref="D558" si="53">G558+F558</f>
        <v>66852</v>
      </c>
      <c r="E558" s="59">
        <v>34</v>
      </c>
      <c r="F558" s="59">
        <v>288</v>
      </c>
      <c r="G558" s="59">
        <v>66564</v>
      </c>
      <c r="J558"/>
      <c r="K558"/>
      <c r="L558"/>
      <c r="M558"/>
    </row>
    <row r="559" spans="1:14" ht="15.75" x14ac:dyDescent="0.25">
      <c r="A559" s="58">
        <v>556</v>
      </c>
      <c r="B559" s="60">
        <v>44475</v>
      </c>
      <c r="C559" s="59">
        <v>100</v>
      </c>
      <c r="D559" s="59">
        <f t="shared" ref="D559" si="54">G559+F559</f>
        <v>66956</v>
      </c>
      <c r="E559" s="59">
        <v>29</v>
      </c>
      <c r="F559" s="59">
        <v>359</v>
      </c>
      <c r="G559" s="59">
        <v>66597</v>
      </c>
      <c r="I559"/>
      <c r="J559"/>
      <c r="K559"/>
      <c r="L559"/>
      <c r="M559"/>
    </row>
    <row r="560" spans="1:14" ht="15.75" x14ac:dyDescent="0.25">
      <c r="A560" s="58">
        <v>557</v>
      </c>
      <c r="B560" s="60">
        <v>44476</v>
      </c>
      <c r="C560" s="59">
        <v>264</v>
      </c>
      <c r="D560" s="59">
        <f t="shared" ref="D560" si="55">G560+F560</f>
        <v>67303</v>
      </c>
      <c r="E560" s="59">
        <v>51</v>
      </c>
      <c r="F560" s="59">
        <v>572</v>
      </c>
      <c r="G560" s="59">
        <v>66731</v>
      </c>
      <c r="I560"/>
      <c r="J560"/>
      <c r="K560"/>
      <c r="L560"/>
      <c r="M560"/>
      <c r="N560" s="82"/>
    </row>
    <row r="561" spans="1:13" ht="15.75" x14ac:dyDescent="0.25">
      <c r="A561" s="58">
        <v>558</v>
      </c>
      <c r="B561" s="60">
        <v>44477</v>
      </c>
      <c r="C561" s="59">
        <v>0</v>
      </c>
      <c r="D561" s="59">
        <v>67303</v>
      </c>
      <c r="E561" s="59">
        <v>0</v>
      </c>
      <c r="F561" s="59">
        <v>572</v>
      </c>
      <c r="G561" s="59">
        <v>66731</v>
      </c>
      <c r="I561"/>
      <c r="J561"/>
      <c r="K561"/>
      <c r="L561"/>
      <c r="M561"/>
    </row>
    <row r="562" spans="1:13" ht="15.75" x14ac:dyDescent="0.25">
      <c r="A562" s="58">
        <v>559</v>
      </c>
      <c r="B562" s="60">
        <v>44478</v>
      </c>
      <c r="C562" s="59">
        <v>156</v>
      </c>
      <c r="D562" s="59">
        <f t="shared" ref="D562" si="56">G562+F562</f>
        <v>67515</v>
      </c>
      <c r="E562" s="59">
        <v>252</v>
      </c>
      <c r="F562" s="59">
        <v>476</v>
      </c>
      <c r="G562" s="59">
        <v>67039</v>
      </c>
      <c r="I562"/>
      <c r="J562"/>
      <c r="K562"/>
      <c r="L562"/>
      <c r="M562"/>
    </row>
    <row r="563" spans="1:13" ht="15.75" x14ac:dyDescent="0.25">
      <c r="A563" s="58">
        <v>560</v>
      </c>
      <c r="B563" s="60">
        <v>44479</v>
      </c>
      <c r="C563" s="59">
        <v>28</v>
      </c>
      <c r="D563" s="59">
        <f t="shared" ref="D563" si="57">G563+F563</f>
        <v>67556</v>
      </c>
      <c r="E563" s="59">
        <v>116</v>
      </c>
      <c r="F563" s="59">
        <v>388</v>
      </c>
      <c r="G563" s="59">
        <v>67168</v>
      </c>
      <c r="I563"/>
      <c r="J563"/>
      <c r="K563"/>
      <c r="L563" s="81"/>
      <c r="M563" s="81"/>
    </row>
    <row r="564" spans="1:13" ht="15.75" x14ac:dyDescent="0.25">
      <c r="A564" s="58">
        <v>561</v>
      </c>
      <c r="B564" s="60">
        <v>44480</v>
      </c>
      <c r="C564" s="59">
        <v>135</v>
      </c>
      <c r="D564" s="59">
        <f t="shared" ref="D564" si="58">G564+F564</f>
        <v>67691</v>
      </c>
      <c r="E564" s="59">
        <v>22</v>
      </c>
      <c r="F564" s="59">
        <v>501</v>
      </c>
      <c r="G564" s="59">
        <v>67190</v>
      </c>
      <c r="I564"/>
      <c r="J564"/>
      <c r="K564"/>
      <c r="L564"/>
      <c r="M564" s="81"/>
    </row>
    <row r="565" spans="1:13" ht="15.75" x14ac:dyDescent="0.25">
      <c r="A565" s="58">
        <v>562</v>
      </c>
      <c r="B565" s="60">
        <v>44481</v>
      </c>
      <c r="C565" s="59">
        <v>0</v>
      </c>
      <c r="D565" s="59">
        <f t="shared" ref="D565" si="59">G565+F565</f>
        <v>67691</v>
      </c>
      <c r="E565" s="59">
        <v>0</v>
      </c>
      <c r="F565" s="59">
        <v>501</v>
      </c>
      <c r="G565" s="59">
        <v>67190</v>
      </c>
      <c r="I565"/>
      <c r="J565"/>
      <c r="K565"/>
      <c r="L565"/>
      <c r="M565"/>
    </row>
    <row r="566" spans="1:13" ht="15.75" x14ac:dyDescent="0.25">
      <c r="A566" s="58">
        <v>563</v>
      </c>
      <c r="B566" s="60">
        <v>44482</v>
      </c>
      <c r="C566" s="59">
        <v>175</v>
      </c>
      <c r="D566" s="59">
        <f t="shared" ref="D566" si="60">G566+F566</f>
        <v>68047</v>
      </c>
      <c r="E566" s="59">
        <v>295</v>
      </c>
      <c r="F566" s="59">
        <v>381</v>
      </c>
      <c r="G566" s="59">
        <v>67666</v>
      </c>
      <c r="J566"/>
      <c r="K566"/>
      <c r="L566"/>
      <c r="M566"/>
    </row>
    <row r="567" spans="1:13" ht="15.75" x14ac:dyDescent="0.25">
      <c r="A567" s="58">
        <v>564</v>
      </c>
      <c r="B567" s="60">
        <v>44483</v>
      </c>
      <c r="C567" s="59">
        <v>0</v>
      </c>
      <c r="D567" s="59">
        <f t="shared" ref="D567" si="61">G567+F567</f>
        <v>68047</v>
      </c>
      <c r="E567" s="59">
        <v>0</v>
      </c>
      <c r="F567" s="59">
        <v>381</v>
      </c>
      <c r="G567" s="59">
        <v>67666</v>
      </c>
      <c r="J567"/>
      <c r="K567"/>
      <c r="L567"/>
      <c r="M567"/>
    </row>
    <row r="568" spans="1:13" ht="15.75" x14ac:dyDescent="0.25">
      <c r="A568" s="58">
        <v>565</v>
      </c>
      <c r="B568" s="60">
        <v>44484</v>
      </c>
      <c r="C568" s="59">
        <v>52</v>
      </c>
      <c r="D568" s="59">
        <f t="shared" ref="D568" si="62">G568+F568</f>
        <v>68450</v>
      </c>
      <c r="E568" s="59">
        <v>216</v>
      </c>
      <c r="F568" s="59">
        <v>217</v>
      </c>
      <c r="G568" s="59">
        <v>68233</v>
      </c>
      <c r="J568"/>
      <c r="K568"/>
      <c r="L568"/>
      <c r="M568" s="81"/>
    </row>
    <row r="569" spans="1:13" ht="15.75" x14ac:dyDescent="0.25">
      <c r="A569" s="58">
        <v>566</v>
      </c>
      <c r="B569" s="60">
        <v>44485</v>
      </c>
      <c r="C569" s="59">
        <v>24</v>
      </c>
      <c r="D569" s="59">
        <f t="shared" ref="D569" si="63">G569+F569</f>
        <v>68486</v>
      </c>
      <c r="E569" s="59">
        <v>17</v>
      </c>
      <c r="F569" s="59">
        <v>224</v>
      </c>
      <c r="G569" s="59">
        <v>68262</v>
      </c>
      <c r="J569"/>
      <c r="K569"/>
      <c r="L569"/>
      <c r="M569" s="81"/>
    </row>
    <row r="570" spans="1:13" ht="15.75" x14ac:dyDescent="0.25">
      <c r="A570" s="58">
        <v>567</v>
      </c>
      <c r="B570" s="60">
        <v>44486</v>
      </c>
      <c r="C570" s="59">
        <v>31</v>
      </c>
      <c r="D570" s="59">
        <f t="shared" ref="D570" si="64">G570+F570</f>
        <v>68517</v>
      </c>
      <c r="E570" s="59">
        <v>38</v>
      </c>
      <c r="F570" s="59">
        <v>217</v>
      </c>
      <c r="G570" s="59">
        <v>68300</v>
      </c>
      <c r="J570"/>
      <c r="K570"/>
      <c r="L570"/>
      <c r="M570" s="82"/>
    </row>
    <row r="571" spans="1:13" ht="15.75" x14ac:dyDescent="0.25">
      <c r="A571" s="58">
        <v>568</v>
      </c>
      <c r="B571" s="60">
        <v>44487</v>
      </c>
      <c r="C571" s="59">
        <v>21</v>
      </c>
      <c r="D571" s="59">
        <f t="shared" ref="D571" si="65">G571+F571</f>
        <v>68718</v>
      </c>
      <c r="E571" s="59">
        <v>65</v>
      </c>
      <c r="F571" s="59">
        <v>173</v>
      </c>
      <c r="G571" s="59">
        <v>68545</v>
      </c>
      <c r="J571"/>
      <c r="K571"/>
      <c r="L571"/>
    </row>
    <row r="572" spans="1:13" ht="15.75" x14ac:dyDescent="0.25">
      <c r="A572" s="58">
        <v>569</v>
      </c>
      <c r="B572" s="60">
        <v>44488</v>
      </c>
      <c r="C572" s="59">
        <v>0</v>
      </c>
      <c r="D572" s="59">
        <f t="shared" ref="D572" si="66">G572+F572</f>
        <v>68772</v>
      </c>
      <c r="E572" s="59">
        <v>40</v>
      </c>
      <c r="F572" s="59">
        <v>133</v>
      </c>
      <c r="G572" s="59">
        <v>68639</v>
      </c>
      <c r="J572"/>
      <c r="K572"/>
      <c r="L572"/>
      <c r="M572"/>
    </row>
    <row r="573" spans="1:13" ht="15.75" x14ac:dyDescent="0.25">
      <c r="A573" s="58">
        <v>570</v>
      </c>
      <c r="B573" s="60">
        <v>44489</v>
      </c>
      <c r="C573" s="59">
        <v>0</v>
      </c>
      <c r="D573" s="59">
        <f t="shared" ref="D573" si="67">G573+F573</f>
        <v>68772</v>
      </c>
      <c r="E573" s="59">
        <v>0</v>
      </c>
      <c r="F573" s="59">
        <v>133</v>
      </c>
      <c r="G573" s="59">
        <v>68639</v>
      </c>
      <c r="J573"/>
      <c r="K573"/>
      <c r="L573"/>
      <c r="M573" s="81"/>
    </row>
    <row r="574" spans="1:13" ht="15.75" x14ac:dyDescent="0.25">
      <c r="A574" s="58">
        <v>571</v>
      </c>
      <c r="B574" s="60">
        <v>44490</v>
      </c>
      <c r="C574" s="59">
        <v>10</v>
      </c>
      <c r="D574" s="59">
        <f t="shared" ref="D574" si="68">G574+F574</f>
        <v>68811</v>
      </c>
      <c r="E574" s="59">
        <v>8</v>
      </c>
      <c r="F574" s="59">
        <v>135</v>
      </c>
      <c r="G574" s="59">
        <v>68676</v>
      </c>
      <c r="J574"/>
      <c r="K574"/>
      <c r="L574"/>
      <c r="M574" s="81"/>
    </row>
    <row r="575" spans="1:13" ht="15.75" x14ac:dyDescent="0.25">
      <c r="A575" s="58">
        <v>572</v>
      </c>
      <c r="B575" s="60">
        <v>44491</v>
      </c>
      <c r="C575" s="59">
        <v>0</v>
      </c>
      <c r="D575" s="59">
        <f t="shared" ref="D575" si="69">G575+F575</f>
        <v>68811</v>
      </c>
      <c r="E575" s="59">
        <v>0</v>
      </c>
      <c r="F575" s="59">
        <v>135</v>
      </c>
      <c r="G575" s="59">
        <v>68676</v>
      </c>
      <c r="J575"/>
      <c r="K575"/>
      <c r="L575"/>
      <c r="M575"/>
    </row>
    <row r="576" spans="1:13" ht="15.75" x14ac:dyDescent="0.25">
      <c r="A576" s="58">
        <v>573</v>
      </c>
      <c r="B576" s="60">
        <v>44492</v>
      </c>
      <c r="C576" s="59">
        <v>13</v>
      </c>
      <c r="D576" s="59">
        <f t="shared" ref="D576" si="70">G576+F576</f>
        <v>68863</v>
      </c>
      <c r="E576" s="59">
        <v>60</v>
      </c>
      <c r="F576" s="59">
        <v>88</v>
      </c>
      <c r="G576" s="59">
        <v>68775</v>
      </c>
      <c r="J576"/>
      <c r="K576"/>
      <c r="L576"/>
      <c r="M576"/>
    </row>
    <row r="577" spans="1:13" ht="15.75" x14ac:dyDescent="0.25">
      <c r="A577" s="58">
        <v>574</v>
      </c>
      <c r="B577" s="60">
        <v>44493</v>
      </c>
      <c r="C577" s="59">
        <v>0</v>
      </c>
      <c r="D577" s="59">
        <f t="shared" ref="D577" si="71">G577+F577</f>
        <v>68863</v>
      </c>
      <c r="E577" s="59">
        <v>0</v>
      </c>
      <c r="F577" s="59">
        <v>88</v>
      </c>
      <c r="G577" s="59">
        <v>68775</v>
      </c>
      <c r="J577"/>
      <c r="K577"/>
      <c r="L577"/>
      <c r="M577" s="81"/>
    </row>
    <row r="578" spans="1:13" ht="15.75" x14ac:dyDescent="0.25">
      <c r="A578" s="58">
        <v>575</v>
      </c>
      <c r="B578" s="60">
        <v>44494</v>
      </c>
      <c r="C578" s="59">
        <v>0</v>
      </c>
      <c r="D578" s="59">
        <f t="shared" ref="D578" si="72">G578+F578</f>
        <v>68863</v>
      </c>
      <c r="E578" s="59">
        <v>0</v>
      </c>
      <c r="F578" s="59">
        <v>88</v>
      </c>
      <c r="G578" s="59">
        <v>68775</v>
      </c>
      <c r="J578"/>
      <c r="K578"/>
      <c r="L578"/>
      <c r="M578"/>
    </row>
    <row r="579" spans="1:13" ht="15.75" x14ac:dyDescent="0.25">
      <c r="A579" s="58">
        <v>576</v>
      </c>
      <c r="B579" s="60">
        <v>44495</v>
      </c>
      <c r="C579" s="59">
        <v>23</v>
      </c>
      <c r="D579" s="59">
        <f t="shared" ref="D579" si="73">G579+F579</f>
        <v>68924</v>
      </c>
      <c r="E579" s="59">
        <v>17</v>
      </c>
      <c r="F579" s="59">
        <v>94</v>
      </c>
      <c r="G579" s="59">
        <v>68830</v>
      </c>
      <c r="J579"/>
      <c r="K579"/>
      <c r="L579"/>
      <c r="M579"/>
    </row>
    <row r="580" spans="1:13" ht="15.75" x14ac:dyDescent="0.25">
      <c r="A580" s="58">
        <v>577</v>
      </c>
      <c r="B580" s="60">
        <v>44496</v>
      </c>
      <c r="C580" s="59">
        <v>0</v>
      </c>
      <c r="D580" s="59">
        <f t="shared" ref="D580" si="74">G580+F580</f>
        <v>68924</v>
      </c>
      <c r="E580" s="59">
        <v>0</v>
      </c>
      <c r="F580" s="59">
        <v>94</v>
      </c>
      <c r="G580" s="59">
        <v>68830</v>
      </c>
      <c r="J580"/>
      <c r="K580"/>
      <c r="L580"/>
      <c r="M580" s="81"/>
    </row>
    <row r="581" spans="1:13" ht="15.75" x14ac:dyDescent="0.25">
      <c r="A581" s="58">
        <v>578</v>
      </c>
      <c r="B581" s="60">
        <v>44497</v>
      </c>
      <c r="C581" s="59">
        <v>0</v>
      </c>
      <c r="D581" s="59">
        <f t="shared" ref="D581" si="75">G581+F581</f>
        <v>68924</v>
      </c>
      <c r="E581" s="59">
        <v>0</v>
      </c>
      <c r="F581" s="59">
        <v>94</v>
      </c>
      <c r="G581" s="59">
        <v>68830</v>
      </c>
      <c r="I581"/>
      <c r="J581"/>
      <c r="K581"/>
      <c r="L581"/>
      <c r="M581"/>
    </row>
    <row r="582" spans="1:13" ht="15.75" x14ac:dyDescent="0.25">
      <c r="A582" s="58">
        <v>579</v>
      </c>
      <c r="B582" s="60">
        <v>44498</v>
      </c>
      <c r="C582" s="59">
        <v>90</v>
      </c>
      <c r="D582" s="59">
        <f t="shared" ref="D582" si="76">G582+F582</f>
        <v>69040</v>
      </c>
      <c r="E582" s="59">
        <v>64</v>
      </c>
      <c r="F582" s="59">
        <v>120</v>
      </c>
      <c r="G582" s="59">
        <v>68920</v>
      </c>
      <c r="I582"/>
      <c r="J582"/>
      <c r="K582"/>
      <c r="L582" s="81"/>
      <c r="M582" s="82"/>
    </row>
    <row r="583" spans="1:13" ht="15.75" x14ac:dyDescent="0.25">
      <c r="A583" s="58">
        <v>580</v>
      </c>
      <c r="B583" s="60">
        <v>44499</v>
      </c>
      <c r="C583" s="59">
        <v>0</v>
      </c>
      <c r="D583" s="59">
        <f t="shared" ref="D583" si="77">G583+F583</f>
        <v>69040</v>
      </c>
      <c r="E583" s="59">
        <v>0</v>
      </c>
      <c r="F583" s="59">
        <v>120</v>
      </c>
      <c r="G583" s="59">
        <v>68920</v>
      </c>
      <c r="I583"/>
      <c r="J583"/>
      <c r="K583"/>
      <c r="L583"/>
    </row>
    <row r="584" spans="1:13" ht="15.75" x14ac:dyDescent="0.25">
      <c r="A584" s="58">
        <v>581</v>
      </c>
      <c r="B584" s="60">
        <v>44500</v>
      </c>
      <c r="C584" s="59">
        <v>0</v>
      </c>
      <c r="D584" s="59">
        <f t="shared" ref="D584" si="78">G584+F584</f>
        <v>69040</v>
      </c>
      <c r="E584" s="59">
        <v>0</v>
      </c>
      <c r="F584" s="59">
        <v>120</v>
      </c>
      <c r="G584" s="59">
        <v>68920</v>
      </c>
      <c r="I584"/>
      <c r="J584"/>
      <c r="K584"/>
      <c r="L584"/>
    </row>
    <row r="585" spans="1:13" ht="15.75" x14ac:dyDescent="0.25">
      <c r="A585" s="58">
        <v>582</v>
      </c>
      <c r="B585" s="60">
        <v>44501</v>
      </c>
      <c r="C585" s="59">
        <v>0</v>
      </c>
      <c r="D585" s="59">
        <f t="shared" ref="D585" si="79">G585+F585</f>
        <v>69040</v>
      </c>
      <c r="E585" s="59">
        <v>0</v>
      </c>
      <c r="F585" s="59">
        <v>120</v>
      </c>
      <c r="G585" s="59">
        <v>68920</v>
      </c>
      <c r="I585"/>
      <c r="J585"/>
      <c r="K585"/>
      <c r="L585"/>
    </row>
    <row r="586" spans="1:13" x14ac:dyDescent="0.2">
      <c r="A586" s="58">
        <v>583</v>
      </c>
      <c r="B586" s="60">
        <v>44502</v>
      </c>
      <c r="C586" s="59">
        <v>103</v>
      </c>
      <c r="D586" s="59">
        <f t="shared" ref="D586" si="80">G586+F586</f>
        <v>69223</v>
      </c>
      <c r="E586" s="59">
        <v>52</v>
      </c>
      <c r="F586" s="59">
        <v>171</v>
      </c>
      <c r="G586" s="59">
        <v>69052</v>
      </c>
    </row>
    <row r="587" spans="1:13" x14ac:dyDescent="0.2">
      <c r="A587" s="58">
        <v>584</v>
      </c>
      <c r="B587" s="60">
        <v>44503</v>
      </c>
      <c r="C587" s="59">
        <v>0</v>
      </c>
      <c r="D587" s="59">
        <f t="shared" ref="D587" si="81">G587+F587</f>
        <v>69223</v>
      </c>
      <c r="E587" s="59">
        <v>0</v>
      </c>
      <c r="F587" s="59">
        <v>171</v>
      </c>
      <c r="G587" s="59">
        <v>69052</v>
      </c>
      <c r="I587" s="82"/>
    </row>
    <row r="588" spans="1:13" x14ac:dyDescent="0.2">
      <c r="A588" s="58">
        <v>585</v>
      </c>
      <c r="B588" s="60">
        <v>44504</v>
      </c>
      <c r="C588" s="59">
        <v>4</v>
      </c>
      <c r="D588" s="59">
        <f t="shared" ref="D588" si="82">G588+F588</f>
        <v>69224</v>
      </c>
      <c r="E588" s="59">
        <v>75</v>
      </c>
      <c r="F588" s="59">
        <v>100</v>
      </c>
      <c r="G588" s="59">
        <v>69124</v>
      </c>
    </row>
    <row r="589" spans="1:13" x14ac:dyDescent="0.2">
      <c r="A589" s="58">
        <v>586</v>
      </c>
      <c r="B589" s="60">
        <v>44505</v>
      </c>
      <c r="C589" s="59">
        <v>2</v>
      </c>
      <c r="D589" s="59">
        <f t="shared" ref="D589" si="83">G589+F589</f>
        <v>69224</v>
      </c>
      <c r="E589" s="59">
        <v>37</v>
      </c>
      <c r="F589" s="59">
        <v>65</v>
      </c>
      <c r="G589" s="59">
        <v>69159</v>
      </c>
    </row>
    <row r="590" spans="1:13" x14ac:dyDescent="0.2">
      <c r="A590" s="58">
        <v>587</v>
      </c>
      <c r="B590" s="60">
        <v>44506</v>
      </c>
      <c r="C590" s="59">
        <v>0</v>
      </c>
      <c r="D590" s="59">
        <f t="shared" ref="D590" si="84">G590+F590</f>
        <v>69224</v>
      </c>
      <c r="E590" s="59">
        <v>0</v>
      </c>
      <c r="F590" s="59">
        <v>65</v>
      </c>
      <c r="G590" s="59">
        <v>69159</v>
      </c>
    </row>
    <row r="591" spans="1:13" ht="15.75" x14ac:dyDescent="0.25">
      <c r="A591" s="58">
        <v>588</v>
      </c>
      <c r="B591" s="60">
        <v>44507</v>
      </c>
      <c r="C591" s="59">
        <v>0</v>
      </c>
      <c r="D591" s="59">
        <f t="shared" ref="D591" si="85">G591+F591</f>
        <v>69223</v>
      </c>
      <c r="E591" s="59">
        <v>28</v>
      </c>
      <c r="F591" s="59">
        <v>37</v>
      </c>
      <c r="G591" s="59">
        <v>69186</v>
      </c>
      <c r="I591"/>
      <c r="J591"/>
      <c r="K591"/>
    </row>
    <row r="592" spans="1:13" ht="15.75" x14ac:dyDescent="0.25">
      <c r="A592" s="58">
        <v>589</v>
      </c>
      <c r="B592" s="60">
        <v>44508</v>
      </c>
      <c r="C592" s="59">
        <v>0</v>
      </c>
      <c r="D592" s="59">
        <f t="shared" ref="D592" si="86">G592+F592</f>
        <v>69223</v>
      </c>
      <c r="E592" s="59">
        <v>0</v>
      </c>
      <c r="F592" s="59">
        <v>37</v>
      </c>
      <c r="G592" s="59">
        <v>69186</v>
      </c>
      <c r="I592"/>
      <c r="J592"/>
      <c r="K592"/>
      <c r="L592"/>
      <c r="M592" s="82"/>
    </row>
    <row r="593" spans="1:12" ht="15.75" x14ac:dyDescent="0.25">
      <c r="A593" s="58">
        <v>590</v>
      </c>
      <c r="B593" s="60">
        <v>44509</v>
      </c>
      <c r="C593" s="59">
        <v>0</v>
      </c>
      <c r="D593" s="59">
        <f t="shared" ref="D593" si="87">G593+F593</f>
        <v>69222</v>
      </c>
      <c r="E593" s="59">
        <v>1</v>
      </c>
      <c r="F593" s="59">
        <v>36</v>
      </c>
      <c r="G593" s="59">
        <v>69186</v>
      </c>
      <c r="I593"/>
      <c r="J593"/>
      <c r="K593"/>
      <c r="L593"/>
    </row>
    <row r="594" spans="1:12" ht="15.75" x14ac:dyDescent="0.25">
      <c r="A594" s="58">
        <v>591</v>
      </c>
      <c r="B594" s="60">
        <v>44510</v>
      </c>
      <c r="C594" s="59">
        <v>0</v>
      </c>
      <c r="D594" s="59">
        <f t="shared" ref="D594:D595" si="88">G594+F594</f>
        <v>69222</v>
      </c>
      <c r="E594" s="59">
        <v>0</v>
      </c>
      <c r="F594" s="59">
        <v>36</v>
      </c>
      <c r="G594" s="59">
        <v>69186</v>
      </c>
      <c r="I594"/>
      <c r="J594"/>
      <c r="K594"/>
      <c r="L594"/>
    </row>
    <row r="595" spans="1:12" ht="15.75" x14ac:dyDescent="0.25">
      <c r="A595" s="58">
        <v>592</v>
      </c>
      <c r="B595" s="60">
        <v>44511</v>
      </c>
      <c r="C595" s="59">
        <v>3</v>
      </c>
      <c r="D595" s="59">
        <f t="shared" si="88"/>
        <v>69247</v>
      </c>
      <c r="E595" s="59">
        <v>19</v>
      </c>
      <c r="F595" s="59">
        <v>20</v>
      </c>
      <c r="G595" s="59">
        <v>69227</v>
      </c>
      <c r="I595"/>
      <c r="J595"/>
      <c r="K595"/>
      <c r="L595"/>
    </row>
    <row r="596" spans="1:12" ht="15.75" x14ac:dyDescent="0.25">
      <c r="A596" s="58">
        <v>593</v>
      </c>
      <c r="B596" s="60">
        <v>44512</v>
      </c>
      <c r="C596" s="59">
        <v>0</v>
      </c>
      <c r="D596" s="59">
        <f t="shared" ref="D596" si="89">G596+F596</f>
        <v>69247</v>
      </c>
      <c r="E596" s="59">
        <v>0</v>
      </c>
      <c r="F596" s="59">
        <v>20</v>
      </c>
      <c r="G596" s="59">
        <v>69227</v>
      </c>
      <c r="I596"/>
      <c r="J596"/>
      <c r="K596"/>
      <c r="L596"/>
    </row>
    <row r="597" spans="1:12" ht="15.75" x14ac:dyDescent="0.25">
      <c r="A597" s="58">
        <v>594</v>
      </c>
      <c r="B597" s="60">
        <v>44513</v>
      </c>
      <c r="C597" s="59">
        <v>41</v>
      </c>
      <c r="D597" s="59">
        <f t="shared" ref="D597" si="90">G597+F597</f>
        <v>69343</v>
      </c>
      <c r="E597" s="59">
        <v>14</v>
      </c>
      <c r="F597" s="59">
        <v>47</v>
      </c>
      <c r="G597" s="59">
        <v>69296</v>
      </c>
      <c r="I597"/>
      <c r="J597"/>
      <c r="K597"/>
      <c r="L597"/>
    </row>
    <row r="598" spans="1:12" ht="15.75" x14ac:dyDescent="0.25">
      <c r="A598" s="58">
        <v>595</v>
      </c>
      <c r="B598" s="60">
        <v>44514</v>
      </c>
      <c r="C598" s="59">
        <v>0</v>
      </c>
      <c r="D598" s="59">
        <f t="shared" ref="D598" si="91">G598+F598</f>
        <v>69343</v>
      </c>
      <c r="E598" s="59">
        <v>0</v>
      </c>
      <c r="F598" s="59">
        <v>47</v>
      </c>
      <c r="G598" s="59">
        <v>69296</v>
      </c>
      <c r="J598"/>
      <c r="K598"/>
      <c r="L598"/>
    </row>
    <row r="599" spans="1:12" ht="15.75" x14ac:dyDescent="0.25">
      <c r="A599" s="58">
        <v>596</v>
      </c>
      <c r="B599" s="60">
        <v>44515</v>
      </c>
      <c r="C599" s="59">
        <v>0</v>
      </c>
      <c r="D599" s="59">
        <f t="shared" ref="D599" si="92">G599+F599</f>
        <v>69343</v>
      </c>
      <c r="E599" s="59">
        <v>0</v>
      </c>
      <c r="F599" s="59">
        <v>47</v>
      </c>
      <c r="G599" s="59">
        <v>69296</v>
      </c>
      <c r="J599"/>
      <c r="K599"/>
      <c r="L599"/>
    </row>
    <row r="600" spans="1:12" ht="15.75" x14ac:dyDescent="0.25">
      <c r="A600" s="58">
        <v>597</v>
      </c>
      <c r="B600" s="60">
        <v>44516</v>
      </c>
      <c r="C600" s="59">
        <v>102</v>
      </c>
      <c r="D600" s="59">
        <f t="shared" ref="D600" si="93">G600+F600</f>
        <v>69476</v>
      </c>
      <c r="E600" s="59">
        <v>5</v>
      </c>
      <c r="F600" s="59">
        <v>107</v>
      </c>
      <c r="G600" s="59">
        <v>69369</v>
      </c>
      <c r="J600"/>
      <c r="K600"/>
      <c r="L600"/>
    </row>
    <row r="601" spans="1:12" ht="15.75" x14ac:dyDescent="0.25">
      <c r="A601" s="58">
        <v>598</v>
      </c>
      <c r="B601" s="60">
        <v>44517</v>
      </c>
      <c r="C601" s="59">
        <v>0</v>
      </c>
      <c r="D601" s="59">
        <f t="shared" ref="D601" si="94">G601+F601</f>
        <v>69476</v>
      </c>
      <c r="E601" s="59">
        <v>0</v>
      </c>
      <c r="F601" s="59">
        <v>107</v>
      </c>
      <c r="G601" s="59">
        <v>69369</v>
      </c>
      <c r="J601"/>
      <c r="K601"/>
      <c r="L601"/>
    </row>
    <row r="602" spans="1:12" ht="15.75" x14ac:dyDescent="0.25">
      <c r="A602" s="58">
        <v>599</v>
      </c>
      <c r="B602" s="60">
        <v>44518</v>
      </c>
      <c r="C602" s="59">
        <v>61</v>
      </c>
      <c r="D602" s="59">
        <f t="shared" ref="D602" si="95">G602+F602</f>
        <v>69571</v>
      </c>
      <c r="E602" s="59">
        <v>90</v>
      </c>
      <c r="F602" s="59">
        <v>78</v>
      </c>
      <c r="G602" s="83">
        <v>69493</v>
      </c>
      <c r="J602"/>
      <c r="K602"/>
      <c r="L602"/>
    </row>
    <row r="603" spans="1:12" ht="15.75" x14ac:dyDescent="0.25">
      <c r="A603" s="58">
        <v>600</v>
      </c>
      <c r="B603" s="60">
        <v>44519</v>
      </c>
      <c r="C603" s="59">
        <v>16</v>
      </c>
      <c r="D603" s="59">
        <f t="shared" ref="D603" si="96">G603+F603</f>
        <v>69581</v>
      </c>
      <c r="E603" s="59">
        <v>45</v>
      </c>
      <c r="F603" s="59">
        <v>49</v>
      </c>
      <c r="G603" s="83">
        <v>69532</v>
      </c>
      <c r="J603"/>
      <c r="K603"/>
      <c r="L603"/>
    </row>
    <row r="604" spans="1:12" ht="15.75" x14ac:dyDescent="0.25">
      <c r="A604" s="58">
        <v>601</v>
      </c>
      <c r="B604" s="60">
        <v>44520</v>
      </c>
      <c r="C604" s="59">
        <v>4</v>
      </c>
      <c r="D604" s="59">
        <f t="shared" ref="D604" si="97">G604+F604</f>
        <v>69581</v>
      </c>
      <c r="E604" s="59">
        <v>16</v>
      </c>
      <c r="F604" s="59">
        <v>37</v>
      </c>
      <c r="G604" s="83">
        <v>69544</v>
      </c>
      <c r="J604"/>
      <c r="K604"/>
      <c r="L604"/>
    </row>
    <row r="605" spans="1:12" ht="15.75" x14ac:dyDescent="0.25">
      <c r="A605" s="58">
        <v>602</v>
      </c>
      <c r="B605" s="60">
        <v>44521</v>
      </c>
      <c r="C605" s="59">
        <v>19</v>
      </c>
      <c r="D605" s="59">
        <f t="shared" ref="D605" si="98">G605+F605</f>
        <v>69600</v>
      </c>
      <c r="E605" s="59">
        <v>0</v>
      </c>
      <c r="F605" s="59">
        <v>56</v>
      </c>
      <c r="G605" s="83">
        <v>69544</v>
      </c>
      <c r="J605"/>
      <c r="K605"/>
      <c r="L605"/>
    </row>
    <row r="606" spans="1:12" ht="15.75" x14ac:dyDescent="0.25">
      <c r="A606" s="58">
        <v>603</v>
      </c>
      <c r="B606" s="60">
        <v>44522</v>
      </c>
      <c r="C606" s="59">
        <v>0</v>
      </c>
      <c r="D606" s="59">
        <f t="shared" ref="D606" si="99">G606+F606</f>
        <v>69600</v>
      </c>
      <c r="E606" s="59">
        <v>0</v>
      </c>
      <c r="F606" s="59">
        <v>56</v>
      </c>
      <c r="G606" s="83">
        <v>69544</v>
      </c>
      <c r="J606"/>
      <c r="K606"/>
      <c r="L606"/>
    </row>
    <row r="607" spans="1:12" ht="15.75" x14ac:dyDescent="0.25">
      <c r="A607" s="58">
        <v>604</v>
      </c>
      <c r="B607" s="60">
        <v>44523</v>
      </c>
      <c r="C607" s="59">
        <v>2</v>
      </c>
      <c r="D607" s="59">
        <f t="shared" ref="D607" si="100">G607+F607</f>
        <v>69635</v>
      </c>
      <c r="E607" s="59">
        <v>16</v>
      </c>
      <c r="F607" s="59">
        <v>42</v>
      </c>
      <c r="G607" s="83">
        <v>69593</v>
      </c>
      <c r="J607"/>
      <c r="K607"/>
      <c r="L607"/>
    </row>
    <row r="608" spans="1:12" ht="15.75" x14ac:dyDescent="0.25">
      <c r="A608" s="58">
        <v>605</v>
      </c>
      <c r="B608" s="60">
        <v>44524</v>
      </c>
      <c r="C608" s="59">
        <v>0</v>
      </c>
      <c r="D608" s="59">
        <f t="shared" ref="D608" si="101">G608+F608</f>
        <v>69628</v>
      </c>
      <c r="E608" s="59">
        <v>3</v>
      </c>
      <c r="F608" s="59">
        <v>39</v>
      </c>
      <c r="G608" s="83">
        <v>69589</v>
      </c>
      <c r="J608"/>
      <c r="K608"/>
      <c r="L608"/>
    </row>
    <row r="609" spans="1:12" ht="15.75" x14ac:dyDescent="0.25">
      <c r="A609" s="58">
        <v>606</v>
      </c>
      <c r="B609" s="60">
        <v>44525</v>
      </c>
      <c r="C609" s="59">
        <v>67</v>
      </c>
      <c r="D609" s="59">
        <f t="shared" ref="D609" si="102">G609+F609</f>
        <v>69691</v>
      </c>
      <c r="E609" s="59">
        <v>0</v>
      </c>
      <c r="F609" s="59">
        <v>106</v>
      </c>
      <c r="G609" s="83">
        <v>69585</v>
      </c>
      <c r="J609"/>
      <c r="K609"/>
      <c r="L609"/>
    </row>
    <row r="610" spans="1:12" ht="15.75" x14ac:dyDescent="0.25">
      <c r="A610" s="58">
        <v>607</v>
      </c>
      <c r="B610" s="60">
        <v>44526</v>
      </c>
      <c r="C610" s="59">
        <v>21</v>
      </c>
      <c r="D610" s="59">
        <f t="shared" ref="D610" si="103">G610+F610</f>
        <v>69712</v>
      </c>
      <c r="E610" s="59">
        <v>63</v>
      </c>
      <c r="F610" s="59">
        <v>64</v>
      </c>
      <c r="G610" s="83">
        <v>69648</v>
      </c>
      <c r="I610"/>
      <c r="J610"/>
      <c r="K610"/>
      <c r="L610"/>
    </row>
    <row r="611" spans="1:12" ht="15.75" x14ac:dyDescent="0.25">
      <c r="A611" s="58">
        <v>608</v>
      </c>
      <c r="B611" s="60">
        <v>44527</v>
      </c>
      <c r="C611" s="59">
        <v>29</v>
      </c>
      <c r="D611" s="59">
        <f t="shared" ref="D611" si="104">G611+F611</f>
        <v>69741</v>
      </c>
      <c r="E611" s="59">
        <v>18</v>
      </c>
      <c r="F611" s="59">
        <v>75</v>
      </c>
      <c r="G611" s="83">
        <v>69666</v>
      </c>
      <c r="I611"/>
      <c r="J611"/>
      <c r="K611"/>
      <c r="L611"/>
    </row>
    <row r="612" spans="1:12" ht="15.75" x14ac:dyDescent="0.25">
      <c r="A612" s="58">
        <v>609</v>
      </c>
      <c r="B612" s="60">
        <v>44528</v>
      </c>
      <c r="C612" s="59">
        <v>0</v>
      </c>
      <c r="D612" s="59">
        <f t="shared" ref="D612" si="105">G612+F612</f>
        <v>69741</v>
      </c>
      <c r="E612" s="59">
        <v>0</v>
      </c>
      <c r="F612" s="59">
        <v>75</v>
      </c>
      <c r="G612" s="83">
        <v>69666</v>
      </c>
      <c r="I612"/>
      <c r="J612"/>
      <c r="K612"/>
      <c r="L612" s="81"/>
    </row>
    <row r="613" spans="1:12" ht="15.75" x14ac:dyDescent="0.25">
      <c r="A613" s="58">
        <v>610</v>
      </c>
      <c r="B613" s="60">
        <v>44529</v>
      </c>
      <c r="C613" s="59">
        <v>0</v>
      </c>
      <c r="D613" s="59">
        <f t="shared" ref="D613" si="106">G613+F613</f>
        <v>69741</v>
      </c>
      <c r="E613" s="59">
        <v>0</v>
      </c>
      <c r="F613" s="59">
        <v>75</v>
      </c>
      <c r="G613" s="83">
        <v>69666</v>
      </c>
      <c r="I613"/>
      <c r="J613"/>
      <c r="K613"/>
      <c r="L613"/>
    </row>
    <row r="614" spans="1:12" ht="15.75" x14ac:dyDescent="0.25">
      <c r="A614" s="58">
        <v>611</v>
      </c>
      <c r="B614" s="60">
        <v>44530</v>
      </c>
      <c r="C614" s="59">
        <v>97</v>
      </c>
      <c r="D614" s="59">
        <f t="shared" ref="D614" si="107">G614+F614</f>
        <v>69834</v>
      </c>
      <c r="E614" s="59">
        <v>49</v>
      </c>
      <c r="F614" s="59">
        <v>123</v>
      </c>
      <c r="G614" s="83">
        <v>69711</v>
      </c>
      <c r="I614"/>
      <c r="J614"/>
      <c r="K614"/>
      <c r="L614"/>
    </row>
    <row r="615" spans="1:12" ht="15.75" x14ac:dyDescent="0.25">
      <c r="A615" s="58">
        <v>612</v>
      </c>
      <c r="B615" s="60">
        <v>44531</v>
      </c>
      <c r="C615" s="59">
        <v>0</v>
      </c>
      <c r="D615" s="59">
        <f t="shared" ref="D615" si="108">G615+F615</f>
        <v>69833</v>
      </c>
      <c r="E615" s="59">
        <v>96</v>
      </c>
      <c r="F615" s="59">
        <v>27</v>
      </c>
      <c r="G615" s="83">
        <v>69806</v>
      </c>
      <c r="I615"/>
      <c r="J615"/>
      <c r="K615"/>
      <c r="L615"/>
    </row>
    <row r="616" spans="1:12" ht="15.75" x14ac:dyDescent="0.25">
      <c r="A616" s="58">
        <v>613</v>
      </c>
      <c r="B616" s="60">
        <v>44532</v>
      </c>
      <c r="C616" s="59">
        <v>1</v>
      </c>
      <c r="D616" s="59">
        <f t="shared" ref="D616:D617" si="109">G616+F616</f>
        <v>69827</v>
      </c>
      <c r="E616" s="59">
        <v>7</v>
      </c>
      <c r="F616" s="59">
        <v>21</v>
      </c>
      <c r="G616" s="83">
        <v>69806</v>
      </c>
      <c r="I616"/>
      <c r="J616"/>
      <c r="K616"/>
      <c r="L616"/>
    </row>
    <row r="617" spans="1:12" ht="15.75" x14ac:dyDescent="0.25">
      <c r="A617" s="58">
        <v>614</v>
      </c>
      <c r="B617" s="60">
        <v>44533</v>
      </c>
      <c r="C617" s="59">
        <v>0</v>
      </c>
      <c r="D617" s="59">
        <f t="shared" si="109"/>
        <v>69850</v>
      </c>
      <c r="E617" s="59">
        <v>0</v>
      </c>
      <c r="F617" s="59">
        <v>21</v>
      </c>
      <c r="G617" s="83">
        <v>69829</v>
      </c>
      <c r="I617"/>
      <c r="J617"/>
      <c r="K617"/>
      <c r="L617"/>
    </row>
    <row r="618" spans="1:12" ht="15.75" x14ac:dyDescent="0.25">
      <c r="A618" s="58">
        <v>615</v>
      </c>
      <c r="B618" s="60">
        <v>44534</v>
      </c>
      <c r="C618" s="59">
        <v>0</v>
      </c>
      <c r="D618" s="59">
        <f t="shared" ref="D618" si="110">G618+F618</f>
        <v>69850</v>
      </c>
      <c r="E618" s="59">
        <v>0</v>
      </c>
      <c r="F618" s="59">
        <v>21</v>
      </c>
      <c r="G618" s="83">
        <v>69829</v>
      </c>
      <c r="I618"/>
      <c r="J618"/>
      <c r="K618"/>
      <c r="L618"/>
    </row>
    <row r="619" spans="1:12" ht="15.75" x14ac:dyDescent="0.25">
      <c r="A619" s="58">
        <v>616</v>
      </c>
      <c r="B619" s="60">
        <v>44535</v>
      </c>
      <c r="C619" s="59">
        <v>0</v>
      </c>
      <c r="D619" s="59">
        <f t="shared" ref="D619" si="111">G619+F619</f>
        <v>69850</v>
      </c>
      <c r="E619" s="59">
        <v>0</v>
      </c>
      <c r="F619" s="59">
        <v>21</v>
      </c>
      <c r="G619" s="83">
        <v>69829</v>
      </c>
      <c r="I619"/>
      <c r="J619"/>
      <c r="K619"/>
      <c r="L619"/>
    </row>
    <row r="620" spans="1:12" ht="15.75" x14ac:dyDescent="0.25">
      <c r="A620" s="58">
        <v>617</v>
      </c>
      <c r="B620" s="60">
        <v>44536</v>
      </c>
      <c r="C620" s="59">
        <v>0</v>
      </c>
      <c r="D620" s="59">
        <f t="shared" ref="D620" si="112">G620+F620</f>
        <v>69850</v>
      </c>
      <c r="E620" s="59">
        <v>0</v>
      </c>
      <c r="F620" s="59">
        <v>21</v>
      </c>
      <c r="G620" s="83">
        <v>69829</v>
      </c>
      <c r="I620"/>
      <c r="J620"/>
      <c r="K620"/>
      <c r="L620"/>
    </row>
    <row r="621" spans="1:12" ht="15.75" x14ac:dyDescent="0.25">
      <c r="A621" s="58">
        <v>618</v>
      </c>
      <c r="B621" s="60">
        <v>44537</v>
      </c>
      <c r="C621" s="59">
        <v>44</v>
      </c>
      <c r="D621" s="59">
        <f t="shared" ref="D621" si="113">G621+F621</f>
        <v>69884</v>
      </c>
      <c r="E621" s="59">
        <v>9</v>
      </c>
      <c r="F621" s="59">
        <v>50</v>
      </c>
      <c r="G621" s="83">
        <v>69834</v>
      </c>
      <c r="I621"/>
      <c r="J621"/>
      <c r="K621"/>
      <c r="L621"/>
    </row>
    <row r="622" spans="1:12" ht="15.75" x14ac:dyDescent="0.25">
      <c r="A622" s="58">
        <v>619</v>
      </c>
      <c r="B622" s="60">
        <v>44538</v>
      </c>
      <c r="C622" s="59">
        <v>60</v>
      </c>
      <c r="D622" s="59">
        <f t="shared" ref="D622" si="114">G622+F622</f>
        <v>69948</v>
      </c>
      <c r="E622" s="59">
        <v>20</v>
      </c>
      <c r="F622" s="59">
        <v>80</v>
      </c>
      <c r="G622" s="83">
        <v>69868</v>
      </c>
      <c r="I622"/>
      <c r="J622"/>
      <c r="K622"/>
      <c r="L622"/>
    </row>
    <row r="623" spans="1:12" ht="15.75" x14ac:dyDescent="0.25">
      <c r="A623" s="58">
        <v>620</v>
      </c>
      <c r="B623" s="60">
        <v>44539</v>
      </c>
      <c r="C623" s="59">
        <v>0</v>
      </c>
      <c r="D623" s="59">
        <f t="shared" ref="D623" si="115">G623+F623</f>
        <v>69947</v>
      </c>
      <c r="E623" s="59">
        <v>59</v>
      </c>
      <c r="F623" s="59">
        <v>21</v>
      </c>
      <c r="G623" s="83">
        <v>69926</v>
      </c>
      <c r="I623"/>
      <c r="J623"/>
      <c r="K623"/>
      <c r="L623"/>
    </row>
    <row r="624" spans="1:12" ht="15.75" x14ac:dyDescent="0.25">
      <c r="A624" s="58">
        <v>621</v>
      </c>
      <c r="B624" s="60">
        <v>44540</v>
      </c>
      <c r="C624" s="59">
        <v>34</v>
      </c>
      <c r="D624" s="59">
        <f t="shared" ref="D624" si="116">G624+F624</f>
        <v>69980</v>
      </c>
      <c r="E624" s="59">
        <v>3</v>
      </c>
      <c r="F624" s="59">
        <v>52</v>
      </c>
      <c r="G624" s="83">
        <v>69928</v>
      </c>
      <c r="I624"/>
      <c r="J624"/>
      <c r="K624"/>
      <c r="L624"/>
    </row>
    <row r="625" spans="1:13" ht="15.75" x14ac:dyDescent="0.25">
      <c r="A625" s="58">
        <v>622</v>
      </c>
      <c r="B625" s="60">
        <v>44541</v>
      </c>
      <c r="C625" s="59">
        <v>0</v>
      </c>
      <c r="D625" s="59">
        <f t="shared" ref="D625" si="117">G625+F625</f>
        <v>69954</v>
      </c>
      <c r="E625" s="59">
        <v>26</v>
      </c>
      <c r="F625" s="59">
        <f t="shared" ref="F625:F630" si="118">F624-E625+C625</f>
        <v>26</v>
      </c>
      <c r="G625" s="83">
        <v>69928</v>
      </c>
      <c r="I625"/>
      <c r="J625"/>
      <c r="K625"/>
      <c r="L625"/>
    </row>
    <row r="626" spans="1:13" ht="15.75" x14ac:dyDescent="0.25">
      <c r="A626" s="58">
        <v>623</v>
      </c>
      <c r="B626" s="60">
        <v>44542</v>
      </c>
      <c r="C626" s="59">
        <v>33</v>
      </c>
      <c r="D626" s="59">
        <f t="shared" ref="D626" si="119">G626+F626</f>
        <v>69988</v>
      </c>
      <c r="E626" s="59">
        <v>0</v>
      </c>
      <c r="F626" s="59">
        <f t="shared" si="118"/>
        <v>59</v>
      </c>
      <c r="G626" s="83">
        <v>69929</v>
      </c>
      <c r="I626"/>
      <c r="J626"/>
      <c r="K626"/>
      <c r="L626"/>
    </row>
    <row r="627" spans="1:13" ht="15.75" x14ac:dyDescent="0.25">
      <c r="A627" s="58">
        <v>624</v>
      </c>
      <c r="B627" s="60">
        <v>44543</v>
      </c>
      <c r="C627" s="59">
        <v>0</v>
      </c>
      <c r="D627" s="59">
        <f t="shared" ref="D627" si="120">G627+F627</f>
        <v>69989</v>
      </c>
      <c r="E627" s="59">
        <v>0</v>
      </c>
      <c r="F627" s="59">
        <f t="shared" si="118"/>
        <v>59</v>
      </c>
      <c r="G627" s="83">
        <v>69930</v>
      </c>
      <c r="I627"/>
      <c r="J627"/>
      <c r="K627"/>
      <c r="L627"/>
    </row>
    <row r="628" spans="1:13" ht="15.75" x14ac:dyDescent="0.25">
      <c r="A628" s="58">
        <v>625</v>
      </c>
      <c r="B628" s="60">
        <v>44544</v>
      </c>
      <c r="C628" s="59">
        <v>86</v>
      </c>
      <c r="D628" s="59">
        <f t="shared" ref="D628" si="121">G628+F628</f>
        <v>70213</v>
      </c>
      <c r="E628" s="59">
        <v>35</v>
      </c>
      <c r="F628" s="59">
        <f t="shared" si="118"/>
        <v>110</v>
      </c>
      <c r="G628" s="83">
        <v>70103</v>
      </c>
      <c r="I628"/>
      <c r="J628"/>
      <c r="K628"/>
      <c r="L628"/>
    </row>
    <row r="629" spans="1:13" ht="15.75" x14ac:dyDescent="0.25">
      <c r="A629" s="58">
        <v>626</v>
      </c>
      <c r="B629" s="60">
        <v>44545</v>
      </c>
      <c r="C629" s="59">
        <v>45</v>
      </c>
      <c r="D629" s="59">
        <f t="shared" ref="D629" si="122">G629+F629</f>
        <v>70250</v>
      </c>
      <c r="E629" s="59">
        <v>86</v>
      </c>
      <c r="F629" s="59">
        <f t="shared" si="118"/>
        <v>69</v>
      </c>
      <c r="G629" s="83">
        <v>70181</v>
      </c>
      <c r="I629"/>
      <c r="J629"/>
      <c r="K629"/>
      <c r="L629"/>
      <c r="M629"/>
    </row>
    <row r="630" spans="1:13" ht="15.75" x14ac:dyDescent="0.25">
      <c r="A630" s="58">
        <v>627</v>
      </c>
      <c r="B630" s="60">
        <v>44546</v>
      </c>
      <c r="C630" s="59">
        <v>22</v>
      </c>
      <c r="D630" s="59">
        <f t="shared" ref="D630" si="123">G630+F630</f>
        <v>70297</v>
      </c>
      <c r="E630" s="59">
        <v>11</v>
      </c>
      <c r="F630" s="59">
        <f t="shared" si="118"/>
        <v>80</v>
      </c>
      <c r="G630" s="83">
        <v>70217</v>
      </c>
      <c r="I630"/>
      <c r="J630"/>
      <c r="K630"/>
      <c r="L630"/>
      <c r="M630" s="81"/>
    </row>
    <row r="631" spans="1:13" ht="15.75" x14ac:dyDescent="0.25">
      <c r="A631" s="58">
        <v>628</v>
      </c>
      <c r="B631" s="60">
        <v>44547</v>
      </c>
      <c r="C631" s="59">
        <v>9</v>
      </c>
      <c r="D631" s="59">
        <f t="shared" ref="D631" si="124">G631+F631</f>
        <v>70332</v>
      </c>
      <c r="E631" s="59">
        <v>21</v>
      </c>
      <c r="F631" s="59">
        <f t="shared" ref="F631" si="125">F630-E631+C631</f>
        <v>68</v>
      </c>
      <c r="G631" s="83">
        <v>70264</v>
      </c>
      <c r="I631"/>
      <c r="J631"/>
      <c r="K631"/>
      <c r="L631"/>
      <c r="M631" s="81"/>
    </row>
    <row r="632" spans="1:13" ht="15.75" x14ac:dyDescent="0.25">
      <c r="A632" s="58">
        <v>629</v>
      </c>
      <c r="B632" s="60">
        <v>44548</v>
      </c>
      <c r="C632" s="59">
        <v>0</v>
      </c>
      <c r="D632" s="59">
        <f t="shared" ref="D632" si="126">G632+F632</f>
        <v>70331</v>
      </c>
      <c r="E632" s="59">
        <v>9</v>
      </c>
      <c r="F632" s="59">
        <f t="shared" ref="F632" si="127">F631-E632+C632</f>
        <v>59</v>
      </c>
      <c r="G632" s="83">
        <v>70272</v>
      </c>
      <c r="I632"/>
      <c r="J632"/>
      <c r="K632"/>
      <c r="L632"/>
      <c r="M632"/>
    </row>
    <row r="633" spans="1:13" ht="15.75" x14ac:dyDescent="0.25">
      <c r="A633" s="58">
        <v>630</v>
      </c>
      <c r="B633" s="60">
        <v>44549</v>
      </c>
      <c r="C633" s="59">
        <v>0</v>
      </c>
      <c r="D633" s="59">
        <f t="shared" ref="D633" si="128">G633+F633</f>
        <v>70331</v>
      </c>
      <c r="E633" s="59">
        <v>0</v>
      </c>
      <c r="F633" s="59">
        <f t="shared" ref="F633" si="129">F632-E633+C633</f>
        <v>59</v>
      </c>
      <c r="G633" s="83">
        <v>70272</v>
      </c>
      <c r="I633"/>
      <c r="J633"/>
      <c r="K633"/>
      <c r="L633" s="81"/>
      <c r="M633" s="81"/>
    </row>
    <row r="634" spans="1:13" ht="15.75" x14ac:dyDescent="0.25">
      <c r="A634" s="58">
        <v>631</v>
      </c>
      <c r="B634" s="60">
        <v>44550</v>
      </c>
      <c r="C634" s="59">
        <v>0</v>
      </c>
      <c r="D634" s="59">
        <f t="shared" ref="D634" si="130">G634+F634</f>
        <v>70331</v>
      </c>
      <c r="E634" s="59">
        <v>0</v>
      </c>
      <c r="F634" s="59">
        <f t="shared" ref="F634" si="131">F633-E634+C634</f>
        <v>59</v>
      </c>
      <c r="G634" s="83">
        <v>70272</v>
      </c>
      <c r="I634"/>
      <c r="J634"/>
      <c r="K634"/>
      <c r="L634"/>
      <c r="M634" s="81"/>
    </row>
    <row r="635" spans="1:13" ht="15.75" x14ac:dyDescent="0.25">
      <c r="A635" s="58">
        <v>632</v>
      </c>
      <c r="B635" s="60">
        <v>44551</v>
      </c>
      <c r="C635" s="59">
        <v>51</v>
      </c>
      <c r="D635" s="59">
        <f t="shared" ref="D635" si="132">G635+F635</f>
        <v>70388</v>
      </c>
      <c r="E635" s="59">
        <v>9</v>
      </c>
      <c r="F635" s="59">
        <f t="shared" ref="F635" si="133">F634-E635+C635</f>
        <v>101</v>
      </c>
      <c r="G635" s="83">
        <v>70287</v>
      </c>
      <c r="I635"/>
      <c r="J635"/>
      <c r="K635"/>
      <c r="L635"/>
      <c r="M635"/>
    </row>
    <row r="636" spans="1:13" ht="15.75" x14ac:dyDescent="0.25">
      <c r="A636" s="58">
        <v>633</v>
      </c>
      <c r="B636" s="60">
        <v>44552</v>
      </c>
      <c r="C636" s="59">
        <v>28</v>
      </c>
      <c r="D636" s="59">
        <f t="shared" ref="D636" si="134">G636+F636</f>
        <v>70419</v>
      </c>
      <c r="E636" s="59">
        <v>21</v>
      </c>
      <c r="F636" s="59">
        <f t="shared" ref="F636" si="135">F635-E636+C636</f>
        <v>108</v>
      </c>
      <c r="G636" s="83">
        <v>70311</v>
      </c>
      <c r="I636"/>
      <c r="J636"/>
      <c r="K636"/>
      <c r="L636"/>
      <c r="M636" s="81"/>
    </row>
    <row r="637" spans="1:13" ht="15.75" x14ac:dyDescent="0.25">
      <c r="A637" s="58">
        <v>634</v>
      </c>
      <c r="B637" s="60">
        <v>44553</v>
      </c>
      <c r="C637" s="59">
        <v>42</v>
      </c>
      <c r="D637" s="59">
        <f t="shared" ref="D637" si="136">G637+F637</f>
        <v>70500</v>
      </c>
      <c r="E637" s="59">
        <v>28</v>
      </c>
      <c r="F637" s="59">
        <f t="shared" ref="F637" si="137">F636-E637+C637</f>
        <v>122</v>
      </c>
      <c r="G637" s="83">
        <v>70378</v>
      </c>
      <c r="I637"/>
      <c r="J637"/>
      <c r="K637"/>
      <c r="L637"/>
      <c r="M637" s="81"/>
    </row>
    <row r="638" spans="1:13" ht="15.75" x14ac:dyDescent="0.25">
      <c r="A638" s="58">
        <v>635</v>
      </c>
      <c r="B638" s="60">
        <v>44554</v>
      </c>
      <c r="C638" s="59">
        <v>0</v>
      </c>
      <c r="D638" s="59">
        <f t="shared" ref="D638" si="138">G638+F638</f>
        <v>70517</v>
      </c>
      <c r="E638" s="59">
        <v>38</v>
      </c>
      <c r="F638" s="59">
        <f t="shared" ref="F638" si="139">F637-E638+C638</f>
        <v>84</v>
      </c>
      <c r="G638" s="83">
        <v>70433</v>
      </c>
      <c r="I638"/>
      <c r="J638"/>
      <c r="K638"/>
      <c r="L638"/>
    </row>
    <row r="639" spans="1:13" ht="15.75" x14ac:dyDescent="0.25">
      <c r="A639" s="58">
        <v>636</v>
      </c>
      <c r="B639" s="60">
        <v>44555</v>
      </c>
      <c r="C639" s="59">
        <v>0</v>
      </c>
      <c r="D639" s="59">
        <f t="shared" ref="D639" si="140">G639+F639</f>
        <v>70517</v>
      </c>
      <c r="E639" s="59">
        <v>0</v>
      </c>
      <c r="F639" s="59">
        <f t="shared" ref="F639" si="141">F638-E639+C639</f>
        <v>84</v>
      </c>
      <c r="G639" s="83">
        <v>70433</v>
      </c>
      <c r="I639"/>
      <c r="J639"/>
      <c r="K639"/>
      <c r="L639"/>
    </row>
    <row r="640" spans="1:13" ht="15.75" x14ac:dyDescent="0.2">
      <c r="A640" s="58">
        <v>637</v>
      </c>
      <c r="B640" s="60">
        <v>44556</v>
      </c>
      <c r="C640" s="59">
        <v>0</v>
      </c>
      <c r="D640" s="59">
        <f t="shared" ref="D640" si="142">G640+F640</f>
        <v>70516</v>
      </c>
      <c r="E640" s="59">
        <v>0</v>
      </c>
      <c r="F640" s="59">
        <f t="shared" ref="F640" si="143">F639-E640+C640</f>
        <v>84</v>
      </c>
      <c r="G640" s="83">
        <v>70432</v>
      </c>
      <c r="I640" s="82"/>
    </row>
    <row r="641" spans="1:12" ht="15.75" x14ac:dyDescent="0.25">
      <c r="A641" s="58">
        <v>638</v>
      </c>
      <c r="B641" s="60">
        <v>44557</v>
      </c>
      <c r="C641" s="59">
        <v>0</v>
      </c>
      <c r="D641" s="59">
        <f t="shared" ref="D641" si="144">G641+F641</f>
        <v>70516</v>
      </c>
      <c r="E641" s="59">
        <v>0</v>
      </c>
      <c r="F641" s="59">
        <f t="shared" ref="F641" si="145">F640-E641+C641</f>
        <v>84</v>
      </c>
      <c r="G641" s="83">
        <v>70432</v>
      </c>
      <c r="I641"/>
    </row>
    <row r="642" spans="1:12" ht="15.75" x14ac:dyDescent="0.25">
      <c r="A642" s="58">
        <v>639</v>
      </c>
      <c r="B642" s="60">
        <v>44558</v>
      </c>
      <c r="C642" s="59">
        <v>0</v>
      </c>
      <c r="D642" s="59">
        <f t="shared" ref="D642" si="146">G642+F642</f>
        <v>70540</v>
      </c>
      <c r="E642" s="59">
        <v>0</v>
      </c>
      <c r="F642" s="59">
        <f t="shared" ref="F642" si="147">F641-E642+C642</f>
        <v>84</v>
      </c>
      <c r="G642" s="83">
        <v>70456</v>
      </c>
      <c r="I642" s="81"/>
    </row>
    <row r="643" spans="1:12" ht="15.75" x14ac:dyDescent="0.25">
      <c r="A643" s="58">
        <v>640</v>
      </c>
      <c r="B643" s="60">
        <v>44559</v>
      </c>
      <c r="C643" s="59">
        <v>0</v>
      </c>
      <c r="D643" s="59">
        <f t="shared" ref="D643:D644" si="148">G643+F643</f>
        <v>70541</v>
      </c>
      <c r="E643" s="59">
        <v>0</v>
      </c>
      <c r="F643" s="59">
        <f t="shared" ref="F643" si="149">F642-E643+C643</f>
        <v>84</v>
      </c>
      <c r="G643" s="83">
        <v>70457</v>
      </c>
      <c r="I643"/>
    </row>
    <row r="644" spans="1:12" ht="15.75" x14ac:dyDescent="0.25">
      <c r="A644" s="58">
        <v>641</v>
      </c>
      <c r="B644" s="60">
        <v>44560</v>
      </c>
      <c r="C644" s="59">
        <v>6</v>
      </c>
      <c r="D644" s="59">
        <f t="shared" si="148"/>
        <v>70544</v>
      </c>
      <c r="E644" s="59">
        <v>36</v>
      </c>
      <c r="F644" s="59">
        <f t="shared" ref="F644" si="150">F643-E644+C644</f>
        <v>54</v>
      </c>
      <c r="G644" s="83">
        <v>70490</v>
      </c>
      <c r="I644"/>
      <c r="J644"/>
      <c r="K644"/>
      <c r="L644"/>
    </row>
    <row r="645" spans="1:12" ht="15.75" x14ac:dyDescent="0.25">
      <c r="A645" s="58">
        <v>642</v>
      </c>
      <c r="B645" s="60">
        <v>44561</v>
      </c>
      <c r="C645" s="59">
        <v>6</v>
      </c>
      <c r="D645" s="59">
        <f t="shared" ref="D645" si="151">G645+F645</f>
        <v>70561</v>
      </c>
      <c r="E645" s="59">
        <v>0</v>
      </c>
      <c r="F645" s="59">
        <f t="shared" ref="F645" si="152">F644-E645+C645</f>
        <v>60</v>
      </c>
      <c r="G645" s="83">
        <v>70501</v>
      </c>
      <c r="I645"/>
      <c r="J645"/>
      <c r="K645"/>
      <c r="L645" s="81"/>
    </row>
    <row r="646" spans="1:12" ht="15.75" x14ac:dyDescent="0.25">
      <c r="A646" s="58">
        <v>643</v>
      </c>
      <c r="B646" s="60">
        <v>44562</v>
      </c>
      <c r="C646" s="59">
        <v>0</v>
      </c>
      <c r="D646" s="59">
        <f t="shared" ref="D646" si="153">G646+F646</f>
        <v>70519</v>
      </c>
      <c r="E646" s="59">
        <v>6</v>
      </c>
      <c r="F646" s="59">
        <f t="shared" ref="F646" si="154">F645-E646+C646</f>
        <v>54</v>
      </c>
      <c r="G646" s="83">
        <v>70465</v>
      </c>
      <c r="I646"/>
      <c r="J646"/>
      <c r="K646"/>
      <c r="L646"/>
    </row>
    <row r="647" spans="1:12" ht="15.75" x14ac:dyDescent="0.25">
      <c r="A647" s="58">
        <v>644</v>
      </c>
      <c r="B647" s="60">
        <v>44563</v>
      </c>
      <c r="C647" s="59">
        <v>0</v>
      </c>
      <c r="D647" s="59">
        <f t="shared" ref="D647" si="155">G647+F647</f>
        <v>70519</v>
      </c>
      <c r="E647" s="59">
        <v>0</v>
      </c>
      <c r="F647" s="59">
        <f t="shared" ref="F647" si="156">F646-E647+C647</f>
        <v>54</v>
      </c>
      <c r="G647" s="83">
        <v>70465</v>
      </c>
      <c r="I647"/>
      <c r="J647"/>
      <c r="K647"/>
      <c r="L647"/>
    </row>
    <row r="648" spans="1:12" ht="15.75" x14ac:dyDescent="0.25">
      <c r="A648" s="58">
        <v>645</v>
      </c>
      <c r="B648" s="60">
        <v>44564</v>
      </c>
      <c r="C648" s="59">
        <v>0</v>
      </c>
      <c r="D648" s="59">
        <f t="shared" ref="D648" si="157">G648+F648</f>
        <v>70519</v>
      </c>
      <c r="E648" s="59">
        <v>0</v>
      </c>
      <c r="F648" s="59">
        <f t="shared" ref="F648" si="158">F647-E648+C648</f>
        <v>54</v>
      </c>
      <c r="G648" s="83">
        <v>70465</v>
      </c>
      <c r="I648"/>
      <c r="J648"/>
      <c r="K648"/>
      <c r="L648"/>
    </row>
    <row r="649" spans="1:12" ht="15.75" x14ac:dyDescent="0.25">
      <c r="A649" s="58">
        <v>646</v>
      </c>
      <c r="B649" s="60">
        <v>44565</v>
      </c>
      <c r="C649" s="59">
        <v>0</v>
      </c>
      <c r="D649" s="59">
        <f t="shared" ref="D649" si="159">G649+F649</f>
        <v>70518</v>
      </c>
      <c r="E649" s="59">
        <v>34</v>
      </c>
      <c r="F649" s="59">
        <f t="shared" ref="F649" si="160">F648-E649+C649</f>
        <v>20</v>
      </c>
      <c r="G649" s="83">
        <v>70498</v>
      </c>
      <c r="I649"/>
      <c r="J649"/>
      <c r="K649"/>
      <c r="L649"/>
    </row>
    <row r="650" spans="1:12" ht="15.75" x14ac:dyDescent="0.25">
      <c r="A650" s="58">
        <v>647</v>
      </c>
      <c r="B650" s="60">
        <v>44566</v>
      </c>
      <c r="C650" s="59">
        <v>0</v>
      </c>
      <c r="D650" s="59">
        <f t="shared" ref="D650" si="161">G650+F650</f>
        <v>70518</v>
      </c>
      <c r="E650" s="59">
        <v>0</v>
      </c>
      <c r="F650" s="59">
        <f t="shared" ref="F650" si="162">F649-E650+C650</f>
        <v>20</v>
      </c>
      <c r="G650" s="83">
        <v>70498</v>
      </c>
      <c r="I650"/>
      <c r="J650"/>
      <c r="K650"/>
      <c r="L650"/>
    </row>
    <row r="651" spans="1:12" ht="15.75" x14ac:dyDescent="0.25">
      <c r="A651" s="58">
        <v>648</v>
      </c>
      <c r="B651" s="60">
        <v>44567</v>
      </c>
      <c r="C651" s="59">
        <v>0</v>
      </c>
      <c r="D651" s="59">
        <f t="shared" ref="D651:D652" si="163">G651+F651</f>
        <v>70512</v>
      </c>
      <c r="E651" s="59">
        <v>14</v>
      </c>
      <c r="F651" s="59">
        <f t="shared" ref="F651" si="164">F650-E651+C651</f>
        <v>6</v>
      </c>
      <c r="G651" s="83">
        <v>70506</v>
      </c>
      <c r="I651"/>
      <c r="J651"/>
      <c r="K651"/>
      <c r="L651"/>
    </row>
    <row r="652" spans="1:12" ht="15.75" x14ac:dyDescent="0.25">
      <c r="A652" s="58">
        <v>649</v>
      </c>
      <c r="B652" s="60">
        <v>44568</v>
      </c>
      <c r="C652" s="59">
        <v>0</v>
      </c>
      <c r="D652" s="59">
        <f t="shared" si="163"/>
        <v>70509</v>
      </c>
      <c r="E652" s="59">
        <v>0</v>
      </c>
      <c r="F652" s="59">
        <f t="shared" ref="F652" si="165">F651-E652+C652</f>
        <v>6</v>
      </c>
      <c r="G652" s="83">
        <v>70503</v>
      </c>
      <c r="I652"/>
      <c r="J652"/>
      <c r="K652"/>
      <c r="L652"/>
    </row>
    <row r="653" spans="1:12" ht="15.75" x14ac:dyDescent="0.25">
      <c r="A653" s="58">
        <v>650</v>
      </c>
      <c r="B653" s="60">
        <v>44569</v>
      </c>
      <c r="C653" s="59">
        <v>0</v>
      </c>
      <c r="D653" s="59">
        <f t="shared" ref="D653" si="166">G653+F653</f>
        <v>70506</v>
      </c>
      <c r="E653" s="59">
        <v>0</v>
      </c>
      <c r="F653" s="59">
        <f t="shared" ref="F653" si="167">F652-E653+C653</f>
        <v>6</v>
      </c>
      <c r="G653" s="83">
        <v>70500</v>
      </c>
      <c r="I653"/>
      <c r="J653"/>
      <c r="K653"/>
      <c r="L653" s="81"/>
    </row>
    <row r="654" spans="1:12" ht="15.75" x14ac:dyDescent="0.25">
      <c r="A654" s="58">
        <v>651</v>
      </c>
      <c r="B654" s="60">
        <v>44570</v>
      </c>
      <c r="C654" s="59">
        <v>0</v>
      </c>
      <c r="D654" s="59">
        <f t="shared" ref="D654" si="168">G654+F654</f>
        <v>70506</v>
      </c>
      <c r="E654" s="59">
        <v>0</v>
      </c>
      <c r="F654" s="59">
        <f t="shared" ref="F654" si="169">F653-E654+C654</f>
        <v>6</v>
      </c>
      <c r="G654" s="83">
        <v>70500</v>
      </c>
      <c r="I654"/>
      <c r="J654"/>
      <c r="K654"/>
      <c r="L654"/>
    </row>
    <row r="655" spans="1:12" ht="15.75" x14ac:dyDescent="0.25">
      <c r="A655" s="58">
        <v>652</v>
      </c>
      <c r="B655" s="60">
        <v>44571</v>
      </c>
      <c r="C655" s="59">
        <v>0</v>
      </c>
      <c r="D655" s="59">
        <f t="shared" ref="D655" si="170">G655+F655</f>
        <v>70506</v>
      </c>
      <c r="E655" s="59">
        <v>0</v>
      </c>
      <c r="F655" s="59">
        <f t="shared" ref="F655" si="171">F654-E655+C655</f>
        <v>6</v>
      </c>
      <c r="G655" s="83">
        <v>70500</v>
      </c>
      <c r="I655"/>
      <c r="J655"/>
      <c r="K655"/>
      <c r="L655"/>
    </row>
    <row r="656" spans="1:12" ht="15.75" x14ac:dyDescent="0.25">
      <c r="A656" s="58">
        <v>653</v>
      </c>
      <c r="B656" s="60">
        <v>44572</v>
      </c>
      <c r="C656" s="59">
        <v>7</v>
      </c>
      <c r="D656" s="59">
        <f t="shared" ref="D656" si="172">G656+F656</f>
        <v>70509</v>
      </c>
      <c r="E656" s="59">
        <v>0</v>
      </c>
      <c r="F656" s="59">
        <f t="shared" ref="F656" si="173">F655-E656+C656</f>
        <v>13</v>
      </c>
      <c r="G656" s="83">
        <v>70496</v>
      </c>
      <c r="I656"/>
      <c r="J656"/>
      <c r="K656"/>
      <c r="L656"/>
    </row>
    <row r="657" spans="1:12" ht="15.75" x14ac:dyDescent="0.2">
      <c r="A657" s="58">
        <v>654</v>
      </c>
      <c r="B657" s="60">
        <v>44573</v>
      </c>
      <c r="C657" s="59">
        <v>5</v>
      </c>
      <c r="D657" s="59">
        <f t="shared" ref="D657" si="174">G657+F657</f>
        <v>70515</v>
      </c>
      <c r="E657" s="59">
        <v>0</v>
      </c>
      <c r="F657" s="59">
        <f t="shared" ref="F657" si="175">F656-E657+C657</f>
        <v>18</v>
      </c>
      <c r="G657" s="83">
        <v>70497</v>
      </c>
    </row>
    <row r="658" spans="1:12" ht="15.75" x14ac:dyDescent="0.25">
      <c r="A658" s="58">
        <v>655</v>
      </c>
      <c r="B658" s="60">
        <v>44574</v>
      </c>
      <c r="C658" s="59">
        <v>5</v>
      </c>
      <c r="D658" s="59">
        <f t="shared" ref="D658" si="176">G658+F658</f>
        <v>70517</v>
      </c>
      <c r="E658" s="59">
        <v>6</v>
      </c>
      <c r="F658" s="59">
        <f t="shared" ref="F658" si="177">F657-E658+C658</f>
        <v>17</v>
      </c>
      <c r="G658" s="83">
        <v>70500</v>
      </c>
      <c r="I658"/>
      <c r="J658"/>
      <c r="K658"/>
    </row>
    <row r="659" spans="1:12" ht="15.75" x14ac:dyDescent="0.25">
      <c r="A659" s="58">
        <v>656</v>
      </c>
      <c r="B659" s="60">
        <v>44575</v>
      </c>
      <c r="C659" s="59">
        <v>6</v>
      </c>
      <c r="D659" s="59">
        <f t="shared" ref="D659" si="178">G659+F659</f>
        <v>70520</v>
      </c>
      <c r="E659" s="59">
        <v>0</v>
      </c>
      <c r="F659" s="59">
        <f t="shared" ref="F659" si="179">F658-E659+C659</f>
        <v>23</v>
      </c>
      <c r="G659" s="83">
        <v>70497</v>
      </c>
      <c r="I659"/>
      <c r="J659"/>
      <c r="K659"/>
    </row>
    <row r="660" spans="1:12" ht="15.75" x14ac:dyDescent="0.25">
      <c r="A660" s="58">
        <v>657</v>
      </c>
      <c r="B660" s="60">
        <v>44576</v>
      </c>
      <c r="C660" s="59">
        <v>0</v>
      </c>
      <c r="D660" s="59">
        <f t="shared" ref="D660" si="180">G660+F660</f>
        <v>70519</v>
      </c>
      <c r="E660" s="59">
        <v>1</v>
      </c>
      <c r="F660" s="59">
        <f t="shared" ref="F660" si="181">F659-E660+C660</f>
        <v>22</v>
      </c>
      <c r="G660" s="83">
        <v>70497</v>
      </c>
      <c r="I660"/>
      <c r="J660"/>
      <c r="K660"/>
    </row>
    <row r="661" spans="1:12" ht="15.75" x14ac:dyDescent="0.25">
      <c r="A661" s="58">
        <v>658</v>
      </c>
      <c r="B661" s="60">
        <v>44577</v>
      </c>
      <c r="C661" s="59">
        <v>0</v>
      </c>
      <c r="D661" s="59">
        <f t="shared" ref="D661" si="182">G661+F661</f>
        <v>70519</v>
      </c>
      <c r="E661" s="59">
        <v>0</v>
      </c>
      <c r="F661" s="59">
        <f t="shared" ref="F661" si="183">F660-E661+C661</f>
        <v>22</v>
      </c>
      <c r="G661" s="83">
        <v>70497</v>
      </c>
      <c r="I661"/>
      <c r="J661"/>
      <c r="K661"/>
    </row>
    <row r="662" spans="1:12" ht="15.75" x14ac:dyDescent="0.25">
      <c r="A662" s="58">
        <v>659</v>
      </c>
      <c r="B662" s="60">
        <v>44578</v>
      </c>
      <c r="C662" s="59">
        <v>0</v>
      </c>
      <c r="D662" s="59">
        <f t="shared" ref="D662" si="184">G662+F662</f>
        <v>70519</v>
      </c>
      <c r="E662" s="59">
        <v>0</v>
      </c>
      <c r="F662" s="59">
        <f t="shared" ref="F662" si="185">F661-E662+C662</f>
        <v>22</v>
      </c>
      <c r="G662" s="83">
        <v>70497</v>
      </c>
      <c r="I662"/>
      <c r="J662"/>
      <c r="K662"/>
    </row>
    <row r="663" spans="1:12" ht="15.75" x14ac:dyDescent="0.25">
      <c r="A663" s="58">
        <v>660</v>
      </c>
      <c r="B663" s="60">
        <v>44579</v>
      </c>
      <c r="C663" s="59">
        <v>16</v>
      </c>
      <c r="D663" s="59">
        <f t="shared" ref="D663" si="186">G663+F663</f>
        <v>70531</v>
      </c>
      <c r="E663" s="59">
        <v>0</v>
      </c>
      <c r="F663" s="59">
        <f t="shared" ref="F663" si="187">F662-E663+C663</f>
        <v>38</v>
      </c>
      <c r="G663" s="83">
        <v>70493</v>
      </c>
      <c r="I663"/>
      <c r="J663"/>
      <c r="K663"/>
      <c r="L663"/>
    </row>
    <row r="664" spans="1:12" ht="15.75" x14ac:dyDescent="0.25">
      <c r="A664" s="58">
        <v>661</v>
      </c>
      <c r="B664" s="60">
        <v>44580</v>
      </c>
      <c r="C664" s="59">
        <v>0</v>
      </c>
      <c r="D664" s="59">
        <f t="shared" ref="D664" si="188">G664+F664</f>
        <v>70532</v>
      </c>
      <c r="E664" s="59">
        <v>0</v>
      </c>
      <c r="F664" s="59">
        <f t="shared" ref="F664" si="189">F663-E664+C664</f>
        <v>38</v>
      </c>
      <c r="G664" s="83">
        <v>70494</v>
      </c>
      <c r="I664"/>
      <c r="J664"/>
      <c r="K664"/>
      <c r="L664"/>
    </row>
    <row r="665" spans="1:12" ht="15.75" x14ac:dyDescent="0.25">
      <c r="A665" s="58">
        <v>662</v>
      </c>
      <c r="B665" s="60">
        <v>44581</v>
      </c>
      <c r="C665" s="59">
        <v>14</v>
      </c>
      <c r="D665" s="59">
        <f t="shared" ref="D665" si="190">G665+F665</f>
        <v>70547</v>
      </c>
      <c r="E665" s="59">
        <v>0</v>
      </c>
      <c r="F665" s="59">
        <f t="shared" ref="F665" si="191">F664-E665+C665</f>
        <v>52</v>
      </c>
      <c r="G665" s="83">
        <v>70495</v>
      </c>
      <c r="I665"/>
      <c r="J665"/>
      <c r="K665"/>
      <c r="L665"/>
    </row>
    <row r="666" spans="1:12" ht="15.75" x14ac:dyDescent="0.25">
      <c r="A666" s="58">
        <v>663</v>
      </c>
      <c r="B666" s="60">
        <v>44582</v>
      </c>
      <c r="C666" s="59">
        <v>0</v>
      </c>
      <c r="D666" s="59">
        <f t="shared" ref="D666" si="192">G666+F666</f>
        <v>70545</v>
      </c>
      <c r="E666" s="59">
        <v>0</v>
      </c>
      <c r="F666" s="59">
        <f t="shared" ref="F666" si="193">F665-E666+C666</f>
        <v>52</v>
      </c>
      <c r="G666" s="83">
        <v>70493</v>
      </c>
      <c r="I666"/>
      <c r="J666"/>
      <c r="K666"/>
      <c r="L666"/>
    </row>
    <row r="667" spans="1:12" ht="15.75" x14ac:dyDescent="0.25">
      <c r="A667" s="58">
        <v>664</v>
      </c>
      <c r="B667" s="60">
        <v>44583</v>
      </c>
      <c r="C667" s="59">
        <v>0</v>
      </c>
      <c r="D667" s="59">
        <f t="shared" ref="D667" si="194">G667+F667</f>
        <v>70545</v>
      </c>
      <c r="E667" s="59">
        <v>26</v>
      </c>
      <c r="F667" s="59">
        <f t="shared" ref="F667" si="195">F666-E667+C667</f>
        <v>26</v>
      </c>
      <c r="G667" s="83">
        <v>70519</v>
      </c>
      <c r="I667"/>
      <c r="J667"/>
      <c r="K667"/>
      <c r="L667"/>
    </row>
    <row r="668" spans="1:12" ht="15.75" x14ac:dyDescent="0.25">
      <c r="A668" s="58">
        <v>665</v>
      </c>
      <c r="B668" s="60">
        <v>44584</v>
      </c>
      <c r="C668" s="59">
        <v>0</v>
      </c>
      <c r="D668" s="59">
        <f t="shared" ref="D668" si="196">G668+F668</f>
        <v>70545</v>
      </c>
      <c r="E668" s="59">
        <v>0</v>
      </c>
      <c r="F668" s="59">
        <f t="shared" ref="F668" si="197">F667-E668+C668</f>
        <v>26</v>
      </c>
      <c r="G668" s="83">
        <v>70519</v>
      </c>
      <c r="I668"/>
      <c r="J668"/>
      <c r="K668"/>
      <c r="L668"/>
    </row>
    <row r="669" spans="1:12" ht="15.75" x14ac:dyDescent="0.25">
      <c r="A669" s="58">
        <v>666</v>
      </c>
      <c r="B669" s="60">
        <v>44585</v>
      </c>
      <c r="C669" s="59">
        <v>0</v>
      </c>
      <c r="D669" s="59">
        <f t="shared" ref="D669" si="198">G669+F669</f>
        <v>70545</v>
      </c>
      <c r="E669" s="59">
        <v>0</v>
      </c>
      <c r="F669" s="59">
        <f t="shared" ref="F669" si="199">F668-E669+C669</f>
        <v>26</v>
      </c>
      <c r="G669" s="83">
        <v>70519</v>
      </c>
      <c r="I669"/>
      <c r="J669"/>
      <c r="K669"/>
      <c r="L669"/>
    </row>
    <row r="670" spans="1:12" ht="15.75" x14ac:dyDescent="0.25">
      <c r="A670" s="58">
        <v>667</v>
      </c>
      <c r="B670" s="60">
        <v>44586</v>
      </c>
      <c r="C670" s="59">
        <v>11</v>
      </c>
      <c r="D670" s="59">
        <f t="shared" ref="D670" si="200">G670+F670</f>
        <v>70555</v>
      </c>
      <c r="E670" s="59">
        <v>2</v>
      </c>
      <c r="F670" s="59">
        <f t="shared" ref="F670" si="201">F669-E670+C670</f>
        <v>35</v>
      </c>
      <c r="G670" s="83">
        <v>70520</v>
      </c>
      <c r="I670"/>
      <c r="J670"/>
      <c r="K670"/>
      <c r="L670"/>
    </row>
    <row r="671" spans="1:12" ht="15.75" x14ac:dyDescent="0.25">
      <c r="A671" s="58">
        <v>668</v>
      </c>
      <c r="B671" s="60">
        <v>44587</v>
      </c>
      <c r="C671" s="59">
        <v>2</v>
      </c>
      <c r="D671" s="59">
        <f t="shared" ref="D671" si="202">G671+F671</f>
        <v>70552</v>
      </c>
      <c r="E671" s="59">
        <v>5</v>
      </c>
      <c r="F671" s="59">
        <f t="shared" ref="F671" si="203">F670-E671+C671</f>
        <v>32</v>
      </c>
      <c r="G671" s="83">
        <v>70520</v>
      </c>
      <c r="I671"/>
      <c r="J671"/>
      <c r="K671"/>
      <c r="L671"/>
    </row>
    <row r="672" spans="1:12" ht="15.75" x14ac:dyDescent="0.25">
      <c r="A672" s="58">
        <v>669</v>
      </c>
      <c r="B672" s="60">
        <v>44588</v>
      </c>
      <c r="C672" s="59">
        <v>4</v>
      </c>
      <c r="D672" s="59">
        <f t="shared" ref="D672" si="204">G672+F672</f>
        <v>70555</v>
      </c>
      <c r="E672" s="59">
        <v>5</v>
      </c>
      <c r="F672" s="59">
        <f t="shared" ref="F672" si="205">F671-E672+C672</f>
        <v>31</v>
      </c>
      <c r="G672" s="83">
        <v>70524</v>
      </c>
      <c r="I672"/>
      <c r="J672"/>
      <c r="K672"/>
      <c r="L672"/>
    </row>
    <row r="673" spans="1:13" ht="15.75" x14ac:dyDescent="0.25">
      <c r="A673" s="58">
        <v>670</v>
      </c>
      <c r="B673" s="60">
        <v>44589</v>
      </c>
      <c r="C673" s="59">
        <v>0</v>
      </c>
      <c r="D673" s="59">
        <f t="shared" ref="D673" si="206">G673+F673</f>
        <v>70555</v>
      </c>
      <c r="E673" s="59">
        <v>0</v>
      </c>
      <c r="F673" s="59">
        <f t="shared" ref="F673" si="207">F672-E673+C673</f>
        <v>31</v>
      </c>
      <c r="G673" s="83">
        <v>70524</v>
      </c>
      <c r="I673"/>
      <c r="J673"/>
      <c r="K673"/>
      <c r="L673"/>
    </row>
    <row r="674" spans="1:13" ht="15.75" x14ac:dyDescent="0.25">
      <c r="A674" s="58">
        <v>671</v>
      </c>
      <c r="B674" s="60">
        <v>44590</v>
      </c>
      <c r="C674" s="59">
        <v>3</v>
      </c>
      <c r="D674" s="59">
        <f t="shared" ref="D674" si="208">G674+F674</f>
        <v>70555</v>
      </c>
      <c r="E674" s="59">
        <v>0</v>
      </c>
      <c r="F674" s="59">
        <f t="shared" ref="F674" si="209">F673-E674+C674</f>
        <v>34</v>
      </c>
      <c r="G674" s="83">
        <v>70521</v>
      </c>
      <c r="I674"/>
      <c r="J674"/>
      <c r="K674"/>
      <c r="L674" s="81"/>
    </row>
    <row r="675" spans="1:13" ht="15.75" x14ac:dyDescent="0.25">
      <c r="A675" s="58">
        <v>672</v>
      </c>
      <c r="B675" s="60">
        <v>44591</v>
      </c>
      <c r="C675" s="59">
        <v>0</v>
      </c>
      <c r="D675" s="59">
        <f t="shared" ref="D675" si="210">G675+F675</f>
        <v>70556</v>
      </c>
      <c r="E675" s="59">
        <v>0</v>
      </c>
      <c r="F675" s="59">
        <f t="shared" ref="F675" si="211">F674-E675+C675</f>
        <v>34</v>
      </c>
      <c r="G675" s="83">
        <v>70522</v>
      </c>
      <c r="I675"/>
      <c r="J675"/>
      <c r="K675"/>
      <c r="L675"/>
    </row>
    <row r="676" spans="1:13" ht="15.75" x14ac:dyDescent="0.25">
      <c r="A676" s="58">
        <v>673</v>
      </c>
      <c r="B676" s="60">
        <v>44592</v>
      </c>
      <c r="C676" s="59">
        <v>0</v>
      </c>
      <c r="D676" s="59">
        <f t="shared" ref="D676" si="212">G676+F676</f>
        <v>70557</v>
      </c>
      <c r="E676" s="59">
        <v>0</v>
      </c>
      <c r="F676" s="59">
        <f t="shared" ref="F676" si="213">F675-E676+C676</f>
        <v>34</v>
      </c>
      <c r="G676" s="83">
        <v>70523</v>
      </c>
      <c r="I676"/>
      <c r="J676"/>
      <c r="K676"/>
      <c r="L676"/>
    </row>
    <row r="677" spans="1:13" ht="15.75" x14ac:dyDescent="0.25">
      <c r="A677" s="58">
        <v>674</v>
      </c>
      <c r="B677" s="60">
        <v>44593</v>
      </c>
      <c r="C677" s="59">
        <v>26</v>
      </c>
      <c r="D677" s="59">
        <f t="shared" ref="D677" si="214">G677+F677</f>
        <v>70578</v>
      </c>
      <c r="E677" s="59">
        <v>0</v>
      </c>
      <c r="F677" s="59">
        <f t="shared" ref="F677" si="215">F676-E677+C677</f>
        <v>60</v>
      </c>
      <c r="G677" s="83">
        <v>70518</v>
      </c>
      <c r="I677"/>
      <c r="J677"/>
      <c r="K677"/>
      <c r="L677"/>
    </row>
    <row r="678" spans="1:13" ht="15.75" x14ac:dyDescent="0.25">
      <c r="A678" s="58">
        <v>675</v>
      </c>
      <c r="B678" s="60">
        <v>44594</v>
      </c>
      <c r="C678" s="59">
        <v>0</v>
      </c>
      <c r="D678" s="59">
        <f t="shared" ref="D678" si="216">G678+F678</f>
        <v>70578</v>
      </c>
      <c r="E678" s="59">
        <v>0</v>
      </c>
      <c r="F678" s="59">
        <f t="shared" ref="F678" si="217">F677-E678+C678</f>
        <v>60</v>
      </c>
      <c r="G678" s="83">
        <v>70518</v>
      </c>
      <c r="I678"/>
      <c r="J678"/>
      <c r="K678"/>
      <c r="L678"/>
    </row>
    <row r="679" spans="1:13" ht="15.75" x14ac:dyDescent="0.25">
      <c r="A679" s="58">
        <v>676</v>
      </c>
      <c r="B679" s="60">
        <v>44595</v>
      </c>
      <c r="C679" s="59">
        <v>2</v>
      </c>
      <c r="D679" s="59">
        <f t="shared" ref="D679" si="218">G679+F679</f>
        <v>70579</v>
      </c>
      <c r="E679" s="59">
        <v>19</v>
      </c>
      <c r="F679" s="59">
        <f t="shared" ref="F679" si="219">F678-E679+C679</f>
        <v>43</v>
      </c>
      <c r="G679" s="83">
        <v>70536</v>
      </c>
      <c r="I679"/>
      <c r="J679"/>
      <c r="K679"/>
      <c r="L679"/>
    </row>
    <row r="680" spans="1:13" ht="15.75" x14ac:dyDescent="0.25">
      <c r="A680" s="58">
        <v>677</v>
      </c>
      <c r="B680" s="60">
        <v>44596</v>
      </c>
      <c r="C680" s="59">
        <v>13</v>
      </c>
      <c r="D680" s="59">
        <f t="shared" ref="D680" si="220">G680+F680</f>
        <v>70590</v>
      </c>
      <c r="E680" s="59">
        <v>0</v>
      </c>
      <c r="F680" s="59">
        <f t="shared" ref="F680" si="221">F679-E680+C680</f>
        <v>56</v>
      </c>
      <c r="G680" s="83">
        <v>70534</v>
      </c>
      <c r="I680"/>
      <c r="J680"/>
      <c r="K680"/>
      <c r="L680" s="81"/>
    </row>
    <row r="681" spans="1:13" ht="15.75" x14ac:dyDescent="0.25">
      <c r="A681" s="58">
        <v>678</v>
      </c>
      <c r="B681" s="60">
        <v>44597</v>
      </c>
      <c r="C681" s="59">
        <v>63</v>
      </c>
      <c r="D681" s="59">
        <f t="shared" ref="D681" si="222">G681+F681</f>
        <v>70652</v>
      </c>
      <c r="E681" s="59">
        <v>2</v>
      </c>
      <c r="F681" s="59">
        <f t="shared" ref="F681" si="223">F680-E681+C681</f>
        <v>117</v>
      </c>
      <c r="G681" s="83">
        <v>70535</v>
      </c>
      <c r="I681"/>
      <c r="J681"/>
      <c r="K681"/>
      <c r="L681"/>
    </row>
    <row r="682" spans="1:13" ht="15.75" x14ac:dyDescent="0.25">
      <c r="A682" s="58">
        <v>679</v>
      </c>
      <c r="B682" s="60">
        <v>44598</v>
      </c>
      <c r="C682" s="59">
        <v>71</v>
      </c>
      <c r="D682" s="59">
        <f t="shared" ref="D682" si="224">G682+F682</f>
        <v>70717</v>
      </c>
      <c r="E682" s="59">
        <v>1</v>
      </c>
      <c r="F682" s="59">
        <f t="shared" ref="F682" si="225">F681-E682+C682</f>
        <v>187</v>
      </c>
      <c r="G682" s="83">
        <v>70530</v>
      </c>
      <c r="I682"/>
      <c r="J682"/>
      <c r="K682"/>
      <c r="L682"/>
    </row>
    <row r="683" spans="1:13" ht="15.75" x14ac:dyDescent="0.25">
      <c r="A683" s="58">
        <v>680</v>
      </c>
      <c r="B683" s="60">
        <v>44599</v>
      </c>
      <c r="C683" s="59">
        <v>0</v>
      </c>
      <c r="D683" s="59">
        <f t="shared" ref="D683" si="226">G683+F683</f>
        <v>70717</v>
      </c>
      <c r="E683" s="59">
        <v>0</v>
      </c>
      <c r="F683" s="59">
        <f t="shared" ref="F683" si="227">F682-E683+C683</f>
        <v>187</v>
      </c>
      <c r="G683" s="83">
        <v>70530</v>
      </c>
      <c r="I683" s="87"/>
      <c r="J683" s="88"/>
      <c r="K683" s="84"/>
      <c r="L683"/>
      <c r="M683"/>
    </row>
    <row r="684" spans="1:13" ht="15.75" x14ac:dyDescent="0.25">
      <c r="A684" s="58">
        <v>681</v>
      </c>
      <c r="B684" s="60">
        <v>44600</v>
      </c>
      <c r="C684" s="59">
        <v>114</v>
      </c>
      <c r="D684" s="59">
        <f t="shared" ref="D684:D688" si="228">G684+F684</f>
        <v>70818</v>
      </c>
      <c r="E684" s="59">
        <v>10</v>
      </c>
      <c r="F684" s="59">
        <f t="shared" ref="F684:F686" si="229">F683-E684+C684</f>
        <v>291</v>
      </c>
      <c r="G684" s="83">
        <v>70527</v>
      </c>
      <c r="I684" s="89"/>
      <c r="J684" s="88"/>
      <c r="K684" s="84"/>
      <c r="L684"/>
      <c r="M684" s="81"/>
    </row>
    <row r="685" spans="1:13" ht="15.75" x14ac:dyDescent="0.25">
      <c r="A685" s="58">
        <v>682</v>
      </c>
      <c r="B685" s="60">
        <v>44601</v>
      </c>
      <c r="C685" s="59">
        <v>80</v>
      </c>
      <c r="D685" s="59">
        <f t="shared" si="228"/>
        <v>71256</v>
      </c>
      <c r="E685" s="59">
        <v>5</v>
      </c>
      <c r="F685" s="59">
        <f t="shared" si="229"/>
        <v>366</v>
      </c>
      <c r="G685" s="83">
        <v>70890</v>
      </c>
      <c r="I685" s="87"/>
      <c r="J685" s="88"/>
      <c r="K685" s="85"/>
      <c r="L685" s="81"/>
      <c r="M685" s="81"/>
    </row>
    <row r="686" spans="1:13" ht="15.75" x14ac:dyDescent="0.25">
      <c r="A686" s="58">
        <v>683</v>
      </c>
      <c r="B686" s="60">
        <v>44602</v>
      </c>
      <c r="C686" s="59">
        <v>94</v>
      </c>
      <c r="D686" s="59">
        <f t="shared" si="228"/>
        <v>71438</v>
      </c>
      <c r="E686" s="59">
        <v>4</v>
      </c>
      <c r="F686" s="59">
        <f t="shared" si="229"/>
        <v>456</v>
      </c>
      <c r="G686" s="83">
        <v>70982</v>
      </c>
      <c r="I686" s="89"/>
      <c r="J686" s="88"/>
      <c r="K686" s="85"/>
      <c r="L686"/>
      <c r="M686"/>
    </row>
    <row r="687" spans="1:13" ht="15.75" x14ac:dyDescent="0.25">
      <c r="A687" s="58">
        <v>684</v>
      </c>
      <c r="B687" s="60">
        <v>44603</v>
      </c>
      <c r="C687" s="59">
        <v>90</v>
      </c>
      <c r="D687" s="59">
        <f t="shared" si="228"/>
        <v>71596</v>
      </c>
      <c r="E687" s="59">
        <v>9</v>
      </c>
      <c r="F687" s="59">
        <f t="shared" ref="F687" si="230">F686-E687+C687</f>
        <v>537</v>
      </c>
      <c r="G687" s="83">
        <v>71059</v>
      </c>
      <c r="I687" s="90"/>
      <c r="J687" s="91"/>
      <c r="K687" s="86"/>
      <c r="L687"/>
      <c r="M687"/>
    </row>
    <row r="688" spans="1:13" ht="15.75" x14ac:dyDescent="0.25">
      <c r="A688" s="58">
        <v>685</v>
      </c>
      <c r="B688" s="60">
        <v>44604</v>
      </c>
      <c r="C688" s="59">
        <v>571</v>
      </c>
      <c r="D688" s="59">
        <f t="shared" si="228"/>
        <v>71167</v>
      </c>
      <c r="E688" s="59">
        <v>463</v>
      </c>
      <c r="F688" s="59">
        <f t="shared" ref="F688" si="231">F687-E688+C688</f>
        <v>645</v>
      </c>
      <c r="G688" s="83">
        <v>70522</v>
      </c>
      <c r="I688" s="90"/>
      <c r="J688" s="91"/>
      <c r="K688"/>
      <c r="L688"/>
      <c r="M688"/>
    </row>
    <row r="689" spans="1:13" ht="15.75" x14ac:dyDescent="0.25">
      <c r="A689" s="58">
        <v>686</v>
      </c>
      <c r="B689" s="60">
        <v>44605</v>
      </c>
      <c r="C689" s="59">
        <v>568</v>
      </c>
      <c r="D689" s="59">
        <f t="shared" ref="D689" si="232">G689+F689</f>
        <v>71264</v>
      </c>
      <c r="E689" s="59">
        <v>460</v>
      </c>
      <c r="F689" s="59">
        <f t="shared" ref="F689" si="233">F688-E689+C689</f>
        <v>753</v>
      </c>
      <c r="G689" s="83">
        <v>70511</v>
      </c>
      <c r="I689"/>
      <c r="J689"/>
      <c r="K689"/>
      <c r="L689"/>
      <c r="M689"/>
    </row>
    <row r="690" spans="1:13" ht="15.75" x14ac:dyDescent="0.25">
      <c r="A690" s="58">
        <v>687</v>
      </c>
      <c r="B690" s="60">
        <v>44606</v>
      </c>
      <c r="C690" s="59">
        <v>0</v>
      </c>
      <c r="D690" s="59">
        <f t="shared" ref="D690" si="234">G690+F690</f>
        <v>71264</v>
      </c>
      <c r="E690" s="59">
        <v>0</v>
      </c>
      <c r="F690" s="59">
        <f t="shared" ref="F690" si="235">F689-E690+C690</f>
        <v>753</v>
      </c>
      <c r="G690" s="83">
        <v>70511</v>
      </c>
      <c r="I690"/>
      <c r="J690"/>
      <c r="K690"/>
      <c r="L690" s="81"/>
      <c r="M690" s="81"/>
    </row>
    <row r="691" spans="1:13" ht="15.75" x14ac:dyDescent="0.25">
      <c r="A691" s="58">
        <v>688</v>
      </c>
      <c r="B691" s="60">
        <v>44607</v>
      </c>
      <c r="C691" s="59">
        <v>235</v>
      </c>
      <c r="D691" s="59">
        <f t="shared" ref="D691" si="236">G691+F691</f>
        <v>71460</v>
      </c>
      <c r="E691" s="59">
        <v>54</v>
      </c>
      <c r="F691" s="59">
        <f t="shared" ref="F691" si="237">F690-E691+C691</f>
        <v>934</v>
      </c>
      <c r="G691" s="83">
        <v>70526</v>
      </c>
      <c r="I691"/>
      <c r="J691"/>
      <c r="K691"/>
      <c r="L691" s="81"/>
      <c r="M691" s="81"/>
    </row>
    <row r="692" spans="1:13" ht="15.75" x14ac:dyDescent="0.25">
      <c r="A692" s="58">
        <v>689</v>
      </c>
      <c r="B692" s="60">
        <v>44608</v>
      </c>
      <c r="C692" s="59">
        <v>178</v>
      </c>
      <c r="D692" s="59">
        <f t="shared" ref="D692" si="238">G692+F692</f>
        <v>71634</v>
      </c>
      <c r="E692" s="59">
        <v>1</v>
      </c>
      <c r="F692" s="59">
        <f t="shared" ref="F692" si="239">F691-E692+C692</f>
        <v>1111</v>
      </c>
      <c r="G692" s="83">
        <v>70523</v>
      </c>
      <c r="I692"/>
      <c r="J692"/>
      <c r="K692"/>
      <c r="L692"/>
      <c r="M692"/>
    </row>
    <row r="693" spans="1:13" ht="15.75" x14ac:dyDescent="0.25">
      <c r="A693" s="58">
        <v>690</v>
      </c>
      <c r="B693" s="60">
        <v>44609</v>
      </c>
      <c r="C693" s="59">
        <v>138</v>
      </c>
      <c r="D693" s="59">
        <f t="shared" ref="D693" si="240">G693+F693</f>
        <v>71757</v>
      </c>
      <c r="E693" s="59">
        <v>16</v>
      </c>
      <c r="F693" s="59">
        <f t="shared" ref="F693" si="241">F692-E693+C693</f>
        <v>1233</v>
      </c>
      <c r="G693" s="83">
        <v>70524</v>
      </c>
      <c r="I693"/>
      <c r="J693"/>
      <c r="K693"/>
    </row>
    <row r="694" spans="1:13" ht="15.75" x14ac:dyDescent="0.25">
      <c r="A694" s="58">
        <v>691</v>
      </c>
      <c r="B694" s="60">
        <v>44610</v>
      </c>
      <c r="C694" s="59">
        <v>304</v>
      </c>
      <c r="D694" s="59">
        <f t="shared" ref="D694" si="242">G694+F694</f>
        <v>72026</v>
      </c>
      <c r="E694" s="59">
        <v>74</v>
      </c>
      <c r="F694" s="59">
        <f t="shared" ref="F694" si="243">F693-E694+C694</f>
        <v>1463</v>
      </c>
      <c r="G694" s="83">
        <v>70563</v>
      </c>
      <c r="I694"/>
      <c r="J694"/>
      <c r="K694"/>
    </row>
    <row r="695" spans="1:13" ht="15.75" x14ac:dyDescent="0.25">
      <c r="A695" s="58">
        <v>692</v>
      </c>
      <c r="B695" s="60">
        <v>44611</v>
      </c>
      <c r="C695" s="59">
        <v>194</v>
      </c>
      <c r="D695" s="59">
        <f t="shared" ref="D695" si="244">G695+F695</f>
        <v>72215</v>
      </c>
      <c r="E695" s="59">
        <v>86</v>
      </c>
      <c r="F695" s="59">
        <f t="shared" ref="F695" si="245">F694-E695+C695</f>
        <v>1571</v>
      </c>
      <c r="G695" s="83">
        <v>70644</v>
      </c>
      <c r="H695"/>
      <c r="I695"/>
      <c r="J695"/>
      <c r="K695"/>
      <c r="L695" s="82"/>
      <c r="M695" s="82"/>
    </row>
    <row r="696" spans="1:13" ht="15.75" x14ac:dyDescent="0.25">
      <c r="A696" s="58">
        <v>693</v>
      </c>
      <c r="B696" s="60">
        <v>44612</v>
      </c>
      <c r="C696" s="59">
        <v>77</v>
      </c>
      <c r="D696" s="59">
        <f t="shared" ref="D696" si="246">G696+F696</f>
        <v>72281</v>
      </c>
      <c r="E696" s="59">
        <v>91</v>
      </c>
      <c r="F696" s="59">
        <f t="shared" ref="F696" si="247">F695-E696+C696</f>
        <v>1557</v>
      </c>
      <c r="G696" s="83">
        <v>70724</v>
      </c>
      <c r="H696"/>
      <c r="I696"/>
      <c r="J696"/>
      <c r="K696"/>
      <c r="L696" s="82"/>
      <c r="M696" s="82"/>
    </row>
    <row r="697" spans="1:13" ht="15.75" x14ac:dyDescent="0.25">
      <c r="A697" s="58">
        <v>694</v>
      </c>
      <c r="B697" s="60">
        <v>44613</v>
      </c>
      <c r="C697" s="59">
        <v>0</v>
      </c>
      <c r="D697" s="59">
        <f t="shared" ref="D697" si="248">G697+F697</f>
        <v>72281</v>
      </c>
      <c r="E697" s="59">
        <v>0</v>
      </c>
      <c r="F697" s="59">
        <f t="shared" ref="F697" si="249">F696-E697+C697</f>
        <v>1557</v>
      </c>
      <c r="G697" s="83">
        <v>70724</v>
      </c>
      <c r="H697"/>
      <c r="I697"/>
      <c r="J697"/>
      <c r="K697"/>
    </row>
    <row r="698" spans="1:13" ht="15.75" x14ac:dyDescent="0.25">
      <c r="A698" s="58">
        <v>695</v>
      </c>
      <c r="B698" s="60">
        <v>44614</v>
      </c>
      <c r="C698" s="59">
        <v>186</v>
      </c>
      <c r="D698" s="59">
        <f t="shared" ref="D698" si="250">G698+F698</f>
        <v>72400</v>
      </c>
      <c r="E698" s="59">
        <v>92</v>
      </c>
      <c r="F698" s="59">
        <f t="shared" ref="F698" si="251">F697-E698+C698</f>
        <v>1651</v>
      </c>
      <c r="G698" s="83">
        <v>70749</v>
      </c>
      <c r="H698"/>
      <c r="I698"/>
      <c r="J698"/>
      <c r="K698" s="81"/>
      <c r="L698" s="82"/>
      <c r="M698" s="82"/>
    </row>
    <row r="699" spans="1:13" ht="15.75" x14ac:dyDescent="0.25">
      <c r="A699" s="58">
        <v>696</v>
      </c>
      <c r="B699" s="60">
        <v>44615</v>
      </c>
      <c r="C699" s="59">
        <v>439</v>
      </c>
      <c r="D699" s="59">
        <f t="shared" ref="D699" si="252">G699+F699</f>
        <v>72644</v>
      </c>
      <c r="E699" s="59">
        <v>262</v>
      </c>
      <c r="F699" s="59">
        <f t="shared" ref="F699" si="253">F698-E699+C699</f>
        <v>1828</v>
      </c>
      <c r="G699" s="83">
        <v>70816</v>
      </c>
      <c r="H699"/>
      <c r="I699" s="87"/>
      <c r="J699" s="88"/>
      <c r="K699"/>
      <c r="M699" s="82"/>
    </row>
    <row r="700" spans="1:13" ht="15.75" x14ac:dyDescent="0.25">
      <c r="A700" s="58">
        <v>697</v>
      </c>
      <c r="B700" s="60">
        <v>44616</v>
      </c>
      <c r="C700" s="59">
        <v>242</v>
      </c>
      <c r="D700" s="59">
        <f t="shared" ref="D700" si="254">G700+F700</f>
        <v>72867</v>
      </c>
      <c r="E700" s="59">
        <v>96</v>
      </c>
      <c r="F700" s="59">
        <f t="shared" ref="F700" si="255">F699-E700+C700</f>
        <v>1974</v>
      </c>
      <c r="G700" s="83">
        <v>70893</v>
      </c>
      <c r="H700"/>
      <c r="I700" s="87"/>
      <c r="J700" s="88"/>
      <c r="K700"/>
    </row>
    <row r="701" spans="1:13" ht="15.75" x14ac:dyDescent="0.25">
      <c r="A701" s="58">
        <v>698</v>
      </c>
      <c r="B701" s="60">
        <v>44617</v>
      </c>
      <c r="C701" s="59">
        <v>160</v>
      </c>
      <c r="D701" s="59">
        <f t="shared" ref="D701" si="256">G701+F701</f>
        <v>73015</v>
      </c>
      <c r="E701" s="59">
        <v>149</v>
      </c>
      <c r="F701" s="59">
        <f t="shared" ref="F701" si="257">F700-E701+C701</f>
        <v>1985</v>
      </c>
      <c r="G701" s="83">
        <v>71030</v>
      </c>
      <c r="H701"/>
      <c r="I701" s="87"/>
      <c r="J701" s="88"/>
      <c r="K701"/>
      <c r="M701" s="82"/>
    </row>
    <row r="702" spans="1:13" ht="15.75" x14ac:dyDescent="0.25">
      <c r="A702" s="58">
        <v>699</v>
      </c>
      <c r="B702" s="60">
        <v>44618</v>
      </c>
      <c r="C702" s="59">
        <v>139</v>
      </c>
      <c r="D702" s="59">
        <f t="shared" ref="D702" si="258">G702+F702</f>
        <v>73117</v>
      </c>
      <c r="E702" s="59">
        <v>166</v>
      </c>
      <c r="F702" s="59">
        <f t="shared" ref="F702" si="259">F701-E702+C702</f>
        <v>1958</v>
      </c>
      <c r="G702" s="83">
        <v>71159</v>
      </c>
      <c r="I702" s="89"/>
      <c r="J702" s="88"/>
      <c r="K702"/>
      <c r="M702" s="82"/>
    </row>
    <row r="703" spans="1:13" ht="15.75" x14ac:dyDescent="0.25">
      <c r="A703" s="58">
        <v>700</v>
      </c>
      <c r="B703" s="60">
        <v>44619</v>
      </c>
      <c r="C703" s="59">
        <v>164</v>
      </c>
      <c r="D703" s="59">
        <f t="shared" ref="D703" si="260">G703+F703</f>
        <v>73279</v>
      </c>
      <c r="E703" s="59">
        <v>227</v>
      </c>
      <c r="F703" s="59">
        <f t="shared" ref="F703" si="261">F702-E703+C703</f>
        <v>1895</v>
      </c>
      <c r="G703" s="83">
        <v>71384</v>
      </c>
      <c r="I703" s="90"/>
      <c r="J703" s="91"/>
      <c r="K703"/>
    </row>
    <row r="704" spans="1:13" ht="15.75" x14ac:dyDescent="0.25">
      <c r="A704" s="58">
        <v>701</v>
      </c>
      <c r="B704" s="60">
        <v>44620</v>
      </c>
      <c r="C704" s="59">
        <v>0</v>
      </c>
      <c r="D704" s="59">
        <f t="shared" ref="D704" si="262">G704+F704</f>
        <v>73280</v>
      </c>
      <c r="E704" s="59">
        <v>0</v>
      </c>
      <c r="F704" s="59">
        <f t="shared" ref="F704" si="263">F703-E704+C704</f>
        <v>1895</v>
      </c>
      <c r="G704" s="83">
        <v>71385</v>
      </c>
      <c r="I704" s="87"/>
      <c r="J704" s="88"/>
      <c r="K704"/>
    </row>
    <row r="705" spans="1:11" ht="15.75" x14ac:dyDescent="0.25">
      <c r="A705" s="58">
        <v>702</v>
      </c>
      <c r="B705" s="60">
        <v>44621</v>
      </c>
      <c r="C705" s="59">
        <v>39</v>
      </c>
      <c r="D705" s="59">
        <f t="shared" ref="D705" si="264">G705+F705</f>
        <v>73349</v>
      </c>
      <c r="E705" s="59">
        <v>189</v>
      </c>
      <c r="F705" s="59">
        <f t="shared" ref="F705" si="265">F704-E705+C705</f>
        <v>1745</v>
      </c>
      <c r="G705" s="83">
        <v>71604</v>
      </c>
      <c r="I705" s="89"/>
      <c r="J705" s="88"/>
      <c r="K705"/>
    </row>
    <row r="706" spans="1:11" ht="15.75" x14ac:dyDescent="0.25">
      <c r="A706" s="58">
        <v>703</v>
      </c>
      <c r="B706" s="60">
        <v>44622</v>
      </c>
      <c r="C706" s="59">
        <v>110</v>
      </c>
      <c r="D706" s="59">
        <f t="shared" ref="D706" si="266">G706+F706</f>
        <v>73468</v>
      </c>
      <c r="E706" s="59">
        <v>135</v>
      </c>
      <c r="F706" s="59">
        <f t="shared" ref="F706" si="267">F705-E706+C706</f>
        <v>1720</v>
      </c>
      <c r="G706" s="83">
        <v>71748</v>
      </c>
      <c r="I706" s="90"/>
      <c r="J706" s="87"/>
      <c r="K706" s="88"/>
    </row>
    <row r="707" spans="1:11" ht="15.75" x14ac:dyDescent="0.25">
      <c r="A707" s="58">
        <v>704</v>
      </c>
      <c r="B707" s="60">
        <v>44623</v>
      </c>
      <c r="C707" s="59">
        <v>196</v>
      </c>
      <c r="D707" s="59">
        <f t="shared" ref="D707" si="268">G707+F707</f>
        <v>73661</v>
      </c>
      <c r="E707" s="59">
        <v>268</v>
      </c>
      <c r="F707" s="59">
        <f t="shared" ref="F707" si="269">F706-E707+C707</f>
        <v>1648</v>
      </c>
      <c r="G707" s="83">
        <v>72013</v>
      </c>
      <c r="I707" s="87"/>
      <c r="J707" s="88"/>
      <c r="K707" s="88"/>
    </row>
    <row r="708" spans="1:11" ht="15.75" x14ac:dyDescent="0.25">
      <c r="A708" s="58">
        <v>705</v>
      </c>
      <c r="B708" s="60">
        <v>44624</v>
      </c>
      <c r="C708" s="59">
        <v>1</v>
      </c>
      <c r="D708" s="59">
        <f t="shared" ref="D708" si="270">G708+F708</f>
        <v>73670</v>
      </c>
      <c r="E708" s="59">
        <v>229</v>
      </c>
      <c r="F708" s="59">
        <f t="shared" ref="F708" si="271">F707-E708+C708</f>
        <v>1420</v>
      </c>
      <c r="G708" s="83">
        <v>72250</v>
      </c>
      <c r="I708" s="89"/>
      <c r="J708" s="88"/>
      <c r="K708" s="91"/>
    </row>
    <row r="709" spans="1:11" ht="15.75" x14ac:dyDescent="0.25">
      <c r="A709" s="58">
        <v>706</v>
      </c>
      <c r="B709" s="60">
        <v>44625</v>
      </c>
      <c r="C709" s="59">
        <v>0</v>
      </c>
      <c r="D709" s="59">
        <f t="shared" ref="D709" si="272">G709+F709</f>
        <v>73671</v>
      </c>
      <c r="E709" s="59">
        <v>0</v>
      </c>
      <c r="F709" s="59">
        <f t="shared" ref="F709" si="273">F708-E709+C709</f>
        <v>1420</v>
      </c>
      <c r="G709" s="83">
        <v>72251</v>
      </c>
      <c r="I709" s="90"/>
      <c r="J709" s="91"/>
      <c r="K709" s="91"/>
    </row>
    <row r="710" spans="1:11" ht="15.75" x14ac:dyDescent="0.25">
      <c r="A710" s="58">
        <v>707</v>
      </c>
      <c r="B710" s="60">
        <v>44626</v>
      </c>
      <c r="C710" s="59">
        <v>0</v>
      </c>
      <c r="D710" s="59">
        <f t="shared" ref="D710" si="274">G710+F710</f>
        <v>73672</v>
      </c>
      <c r="E710" s="59">
        <v>0</v>
      </c>
      <c r="F710" s="59">
        <f t="shared" ref="F710" si="275">F709-E710+C710</f>
        <v>1420</v>
      </c>
      <c r="G710" s="83">
        <v>72252</v>
      </c>
      <c r="I710" s="90"/>
      <c r="J710" s="91"/>
      <c r="K710" s="93"/>
    </row>
    <row r="711" spans="1:11" ht="15.75" x14ac:dyDescent="0.25">
      <c r="A711" s="58">
        <v>708</v>
      </c>
      <c r="B711" s="60">
        <v>44627</v>
      </c>
      <c r="C711" s="59">
        <v>0</v>
      </c>
      <c r="D711" s="59">
        <f t="shared" ref="D711" si="276">G711+F711</f>
        <v>73673</v>
      </c>
      <c r="E711" s="59">
        <v>0</v>
      </c>
      <c r="F711" s="59">
        <f t="shared" ref="F711" si="277">F710-E711+C711</f>
        <v>1420</v>
      </c>
      <c r="G711" s="83">
        <v>72253</v>
      </c>
      <c r="I711" s="87"/>
      <c r="J711" s="88"/>
    </row>
    <row r="712" spans="1:11" ht="15.75" x14ac:dyDescent="0.25">
      <c r="A712" s="58">
        <v>709</v>
      </c>
      <c r="B712" s="60">
        <v>44628</v>
      </c>
      <c r="C712" s="59">
        <v>143</v>
      </c>
      <c r="D712" s="59">
        <f t="shared" ref="D712" si="278">G712+F712</f>
        <v>73784</v>
      </c>
      <c r="E712" s="59">
        <v>623</v>
      </c>
      <c r="F712" s="59">
        <f t="shared" ref="F712" si="279">F711-E712+C712</f>
        <v>940</v>
      </c>
      <c r="G712" s="83">
        <v>72844</v>
      </c>
      <c r="I712" s="89"/>
      <c r="J712" s="88"/>
    </row>
    <row r="713" spans="1:11" ht="15.75" x14ac:dyDescent="0.25">
      <c r="A713" s="58">
        <v>710</v>
      </c>
      <c r="B713" s="60">
        <v>44629</v>
      </c>
      <c r="C713" s="59">
        <v>150</v>
      </c>
      <c r="D713" s="59">
        <f t="shared" ref="D713" si="280">G713+F713</f>
        <v>73942</v>
      </c>
      <c r="E713" s="59">
        <v>154</v>
      </c>
      <c r="F713" s="59">
        <f t="shared" ref="F713" si="281">F712-E713+C713</f>
        <v>936</v>
      </c>
      <c r="G713" s="83">
        <v>73006</v>
      </c>
      <c r="I713" s="87"/>
      <c r="J713" s="88"/>
    </row>
    <row r="714" spans="1:11" ht="15.75" x14ac:dyDescent="0.25">
      <c r="A714" s="58">
        <v>711</v>
      </c>
      <c r="B714" s="60">
        <v>44630</v>
      </c>
      <c r="C714" s="59">
        <v>138</v>
      </c>
      <c r="D714" s="59">
        <f t="shared" ref="D714" si="282">G714+F714</f>
        <v>74087</v>
      </c>
      <c r="E714" s="59">
        <v>256</v>
      </c>
      <c r="F714" s="59">
        <f t="shared" ref="F714" si="283">F713-E714+C714</f>
        <v>818</v>
      </c>
      <c r="G714" s="83">
        <v>73269</v>
      </c>
      <c r="I714" s="89"/>
      <c r="J714" s="88"/>
    </row>
    <row r="715" spans="1:11" ht="15.75" x14ac:dyDescent="0.25">
      <c r="A715" s="58">
        <v>712</v>
      </c>
      <c r="B715" s="60">
        <v>44631</v>
      </c>
      <c r="C715" s="59">
        <v>117</v>
      </c>
      <c r="D715" s="59">
        <f t="shared" ref="D715" si="284">G715+F715</f>
        <v>74217</v>
      </c>
      <c r="E715" s="59">
        <v>92</v>
      </c>
      <c r="F715" s="59">
        <f t="shared" ref="F715" si="285">F714-E715+C715</f>
        <v>843</v>
      </c>
      <c r="G715" s="83">
        <v>73374</v>
      </c>
      <c r="I715" s="90"/>
      <c r="J715" s="91"/>
    </row>
    <row r="716" spans="1:11" ht="15.75" x14ac:dyDescent="0.25">
      <c r="A716" s="58">
        <v>713</v>
      </c>
      <c r="B716" s="60">
        <v>44632</v>
      </c>
      <c r="C716" s="59">
        <v>41</v>
      </c>
      <c r="D716" s="59">
        <f t="shared" ref="D716" si="286">G716+F716</f>
        <v>74268</v>
      </c>
      <c r="E716" s="59">
        <v>119</v>
      </c>
      <c r="F716" s="59">
        <f t="shared" ref="F716" si="287">F715-E716+C716</f>
        <v>765</v>
      </c>
      <c r="G716" s="83">
        <v>73503</v>
      </c>
      <c r="I716" s="87"/>
      <c r="J716" s="88"/>
    </row>
    <row r="717" spans="1:11" ht="15.75" x14ac:dyDescent="0.25">
      <c r="A717" s="58">
        <v>714</v>
      </c>
      <c r="B717" s="60">
        <v>44633</v>
      </c>
      <c r="C717" s="59">
        <v>49</v>
      </c>
      <c r="D717" s="59">
        <f t="shared" ref="D717" si="288">G717+F717</f>
        <v>74325</v>
      </c>
      <c r="E717" s="59">
        <v>100</v>
      </c>
      <c r="F717" s="59">
        <f t="shared" ref="F717" si="289">F716-E717+C717</f>
        <v>714</v>
      </c>
      <c r="G717" s="83">
        <v>73611</v>
      </c>
      <c r="I717" s="89"/>
      <c r="J717" s="88"/>
    </row>
    <row r="718" spans="1:11" ht="15.75" x14ac:dyDescent="0.25">
      <c r="A718" s="58">
        <v>715</v>
      </c>
      <c r="B718" s="60">
        <v>44634</v>
      </c>
      <c r="C718" s="59">
        <v>0</v>
      </c>
      <c r="D718" s="59">
        <f t="shared" ref="D718" si="290">G718+F718</f>
        <v>74326</v>
      </c>
      <c r="E718" s="59">
        <v>0</v>
      </c>
      <c r="F718" s="59">
        <f t="shared" ref="F718" si="291">F717-E718+C718</f>
        <v>714</v>
      </c>
      <c r="G718" s="83">
        <v>73612</v>
      </c>
      <c r="I718" s="87"/>
      <c r="J718" s="88"/>
    </row>
    <row r="719" spans="1:11" ht="15.75" x14ac:dyDescent="0.25">
      <c r="A719" s="58">
        <v>716</v>
      </c>
      <c r="B719" s="60">
        <v>44635</v>
      </c>
      <c r="C719" s="59">
        <v>84</v>
      </c>
      <c r="D719" s="59">
        <f t="shared" ref="D719" si="292">G719+F719</f>
        <v>74410</v>
      </c>
      <c r="E719" s="59">
        <v>29</v>
      </c>
      <c r="F719" s="59">
        <f t="shared" ref="F719" si="293">F718-E719+C719</f>
        <v>769</v>
      </c>
      <c r="G719" s="83">
        <v>73641</v>
      </c>
      <c r="I719" s="89"/>
      <c r="J719" s="88"/>
    </row>
    <row r="720" spans="1:11" ht="15.75" x14ac:dyDescent="0.25">
      <c r="A720" s="58">
        <v>717</v>
      </c>
      <c r="B720" s="60">
        <v>44636</v>
      </c>
      <c r="C720" s="59">
        <v>100</v>
      </c>
      <c r="D720" s="59">
        <f t="shared" ref="D720" si="294">G720+F720</f>
        <v>74502</v>
      </c>
      <c r="E720" s="59">
        <v>136</v>
      </c>
      <c r="F720" s="59">
        <f t="shared" ref="F720" si="295">F719-E720+C720</f>
        <v>733</v>
      </c>
      <c r="G720" s="83">
        <v>73769</v>
      </c>
      <c r="I720" s="90"/>
      <c r="J720" s="91"/>
    </row>
    <row r="721" spans="1:10" ht="15.75" x14ac:dyDescent="0.25">
      <c r="A721" s="58">
        <v>718</v>
      </c>
      <c r="B721" s="60">
        <v>44637</v>
      </c>
      <c r="C721" s="59">
        <v>50</v>
      </c>
      <c r="D721" s="59">
        <f t="shared" ref="D721" si="296">G721+F721</f>
        <v>74542</v>
      </c>
      <c r="E721" s="59">
        <v>142</v>
      </c>
      <c r="F721" s="59">
        <f t="shared" ref="F721" si="297">F720-E721+C721</f>
        <v>641</v>
      </c>
      <c r="G721" s="83">
        <v>73901</v>
      </c>
      <c r="I721" s="90"/>
      <c r="J721" s="91"/>
    </row>
    <row r="722" spans="1:10" ht="15.75" x14ac:dyDescent="0.25">
      <c r="A722" s="58">
        <v>719</v>
      </c>
      <c r="B722" s="60">
        <v>44638</v>
      </c>
      <c r="C722" s="59">
        <v>11</v>
      </c>
      <c r="D722" s="59">
        <f t="shared" ref="D722" si="298">G722+F722</f>
        <v>74548</v>
      </c>
      <c r="E722" s="59">
        <v>42</v>
      </c>
      <c r="F722" s="59">
        <f t="shared" ref="F722" si="299">F721-E722+C722</f>
        <v>610</v>
      </c>
      <c r="G722" s="83">
        <v>73938</v>
      </c>
      <c r="I722" s="92"/>
      <c r="J722" s="93"/>
    </row>
    <row r="723" spans="1:10" ht="15.75" x14ac:dyDescent="0.25">
      <c r="A723" s="58">
        <v>720</v>
      </c>
      <c r="B723" s="60">
        <v>44639</v>
      </c>
      <c r="C723" s="59">
        <v>0</v>
      </c>
      <c r="D723" s="59">
        <f t="shared" ref="D723" si="300">G723+F723</f>
        <v>74541</v>
      </c>
      <c r="E723" s="59">
        <v>25</v>
      </c>
      <c r="F723" s="59">
        <f t="shared" ref="F723" si="301">F722-E723+C723</f>
        <v>585</v>
      </c>
      <c r="G723" s="83">
        <v>73956</v>
      </c>
      <c r="I723" s="87"/>
      <c r="J723" s="88"/>
    </row>
    <row r="724" spans="1:10" ht="15.75" x14ac:dyDescent="0.25">
      <c r="A724" s="58">
        <v>721</v>
      </c>
      <c r="B724" s="60">
        <v>44640</v>
      </c>
      <c r="C724" s="59">
        <v>28</v>
      </c>
      <c r="D724" s="59">
        <f t="shared" ref="D724" si="302">G724+F724</f>
        <v>74557</v>
      </c>
      <c r="E724" s="59">
        <v>13</v>
      </c>
      <c r="F724" s="59">
        <f t="shared" ref="F724" si="303">F723-E724+C724</f>
        <v>600</v>
      </c>
      <c r="G724" s="83">
        <v>73957</v>
      </c>
      <c r="I724" s="87"/>
      <c r="J724" s="88"/>
    </row>
    <row r="725" spans="1:10" ht="15.75" x14ac:dyDescent="0.25">
      <c r="A725" s="58">
        <v>722</v>
      </c>
      <c r="B725" s="60">
        <v>44641</v>
      </c>
      <c r="C725" s="59">
        <v>0</v>
      </c>
      <c r="D725" s="59">
        <f t="shared" ref="D725" si="304">G725+F725</f>
        <v>74558</v>
      </c>
      <c r="E725" s="59">
        <v>0</v>
      </c>
      <c r="F725" s="59">
        <f t="shared" ref="F725" si="305">F724-E725+C725</f>
        <v>600</v>
      </c>
      <c r="G725" s="83">
        <v>73958</v>
      </c>
      <c r="I725" s="89"/>
      <c r="J725" s="88"/>
    </row>
    <row r="726" spans="1:10" ht="15.75" x14ac:dyDescent="0.25">
      <c r="A726" s="58">
        <v>723</v>
      </c>
      <c r="B726" s="60">
        <v>44642</v>
      </c>
      <c r="C726" s="59">
        <v>31</v>
      </c>
      <c r="D726" s="59">
        <f t="shared" ref="D726" si="306">G726+F726</f>
        <v>74577</v>
      </c>
      <c r="E726" s="59">
        <v>41</v>
      </c>
      <c r="F726" s="59">
        <f t="shared" ref="F726" si="307">F725-E726+C726</f>
        <v>590</v>
      </c>
      <c r="G726" s="83">
        <v>73987</v>
      </c>
      <c r="I726" s="87"/>
      <c r="J726" s="88"/>
    </row>
    <row r="727" spans="1:10" ht="15.75" x14ac:dyDescent="0.25">
      <c r="A727" s="58">
        <v>724</v>
      </c>
      <c r="B727" s="60">
        <v>44643</v>
      </c>
      <c r="C727" s="59">
        <v>5</v>
      </c>
      <c r="D727" s="59">
        <f t="shared" ref="D727" si="308">G727+F727</f>
        <v>74575</v>
      </c>
      <c r="E727" s="59">
        <v>87</v>
      </c>
      <c r="F727" s="59">
        <f t="shared" ref="F727" si="309">F726-E727+C727</f>
        <v>508</v>
      </c>
      <c r="G727" s="83">
        <v>74067</v>
      </c>
      <c r="I727" s="89"/>
      <c r="J727" s="88"/>
    </row>
    <row r="728" spans="1:10" ht="15.75" x14ac:dyDescent="0.25">
      <c r="A728" s="58">
        <v>725</v>
      </c>
      <c r="B728" s="60">
        <v>44644</v>
      </c>
      <c r="C728" s="59">
        <v>34</v>
      </c>
      <c r="D728" s="59">
        <f t="shared" ref="D728" si="310">G728+F728</f>
        <v>74603</v>
      </c>
      <c r="E728" s="59">
        <v>104</v>
      </c>
      <c r="F728" s="59">
        <f t="shared" ref="F728" si="311">F727-E728+C728</f>
        <v>438</v>
      </c>
      <c r="G728" s="83">
        <v>74165</v>
      </c>
      <c r="I728" s="90"/>
      <c r="J728" s="91"/>
    </row>
    <row r="729" spans="1:10" ht="15.75" x14ac:dyDescent="0.25">
      <c r="A729" s="58">
        <v>726</v>
      </c>
      <c r="B729" s="60">
        <v>44645</v>
      </c>
      <c r="C729" s="59">
        <v>54</v>
      </c>
      <c r="D729" s="59">
        <f t="shared" ref="D729" si="312">G729+F729</f>
        <v>74648</v>
      </c>
      <c r="E729" s="59">
        <v>119</v>
      </c>
      <c r="F729" s="59">
        <f t="shared" ref="F729" si="313">F728-E729+C729</f>
        <v>373</v>
      </c>
      <c r="G729" s="83">
        <v>74275</v>
      </c>
      <c r="I729" s="90"/>
      <c r="J729" s="91"/>
    </row>
    <row r="730" spans="1:10" ht="15.75" x14ac:dyDescent="0.25">
      <c r="A730" s="58">
        <v>727</v>
      </c>
      <c r="B730" s="60">
        <v>44646</v>
      </c>
      <c r="C730" s="59">
        <v>4</v>
      </c>
      <c r="D730" s="59">
        <f t="shared" ref="D730" si="314">G730+F730</f>
        <v>74651</v>
      </c>
      <c r="E730" s="59">
        <v>61</v>
      </c>
      <c r="F730" s="59">
        <f t="shared" ref="F730" si="315">F729-E730+C730</f>
        <v>316</v>
      </c>
      <c r="G730" s="83">
        <v>74335</v>
      </c>
      <c r="I730" s="87"/>
      <c r="J730" s="88"/>
    </row>
    <row r="731" spans="1:10" ht="15.75" x14ac:dyDescent="0.25">
      <c r="A731" s="58">
        <v>728</v>
      </c>
      <c r="B731" s="60">
        <v>44647</v>
      </c>
      <c r="C731" s="59">
        <v>33</v>
      </c>
      <c r="D731" s="59">
        <f t="shared" ref="D731" si="316">G731+F731</f>
        <v>74677</v>
      </c>
      <c r="E731" s="59">
        <v>66</v>
      </c>
      <c r="F731" s="59">
        <f t="shared" ref="F731" si="317">F730-E731+C731</f>
        <v>283</v>
      </c>
      <c r="G731" s="83">
        <v>74394</v>
      </c>
      <c r="I731" s="89"/>
      <c r="J731" s="88"/>
    </row>
    <row r="732" spans="1:10" ht="15.75" x14ac:dyDescent="0.25">
      <c r="A732" s="58">
        <v>729</v>
      </c>
      <c r="B732" s="60">
        <v>44648</v>
      </c>
      <c r="C732" s="59">
        <v>0</v>
      </c>
      <c r="D732" s="59">
        <f t="shared" ref="D732" si="318">G732+F732</f>
        <v>74678</v>
      </c>
      <c r="E732" s="59">
        <v>0</v>
      </c>
      <c r="F732" s="59">
        <f t="shared" ref="F732" si="319">F731-E732+C732</f>
        <v>283</v>
      </c>
      <c r="G732" s="83">
        <v>74395</v>
      </c>
      <c r="I732" s="87"/>
      <c r="J732" s="88"/>
    </row>
    <row r="733" spans="1:10" ht="15.75" x14ac:dyDescent="0.25">
      <c r="A733" s="58">
        <v>730</v>
      </c>
      <c r="B733" s="60">
        <v>44649</v>
      </c>
      <c r="C733" s="59">
        <v>165</v>
      </c>
      <c r="D733" s="59">
        <f t="shared" ref="D733" si="320">G733+F733</f>
        <v>74837</v>
      </c>
      <c r="E733" s="59">
        <v>76</v>
      </c>
      <c r="F733" s="59">
        <f t="shared" ref="F733" si="321">F732-E733+C733</f>
        <v>372</v>
      </c>
      <c r="G733" s="83">
        <v>74465</v>
      </c>
      <c r="I733" s="87"/>
      <c r="J733" s="88"/>
    </row>
    <row r="734" spans="1:10" ht="15.75" x14ac:dyDescent="0.25">
      <c r="A734" s="58">
        <v>731</v>
      </c>
      <c r="B734" s="60">
        <v>44650</v>
      </c>
      <c r="C734" s="59">
        <v>81</v>
      </c>
      <c r="D734" s="59">
        <f t="shared" ref="D734" si="322">G734+F734</f>
        <v>74917</v>
      </c>
      <c r="E734" s="59">
        <v>75</v>
      </c>
      <c r="F734" s="59">
        <f t="shared" ref="F734" si="323">F733-E734+C734</f>
        <v>378</v>
      </c>
      <c r="G734" s="83">
        <v>74539</v>
      </c>
      <c r="I734" s="87"/>
      <c r="J734" s="88"/>
    </row>
    <row r="735" spans="1:10" ht="15.75" x14ac:dyDescent="0.25">
      <c r="A735" s="58">
        <v>732</v>
      </c>
      <c r="B735" s="60">
        <v>44651</v>
      </c>
      <c r="C735" s="59">
        <v>53</v>
      </c>
      <c r="D735" s="59">
        <f t="shared" ref="D735" si="324">G735+F735</f>
        <v>74966</v>
      </c>
      <c r="E735" s="59">
        <v>44</v>
      </c>
      <c r="F735" s="59">
        <f t="shared" ref="F735" si="325">F734-E735+C735</f>
        <v>387</v>
      </c>
      <c r="G735" s="83">
        <v>74579</v>
      </c>
      <c r="I735" s="87"/>
      <c r="J735" s="88"/>
    </row>
    <row r="736" spans="1:10" ht="15.75" x14ac:dyDescent="0.25">
      <c r="A736" s="58">
        <v>733</v>
      </c>
      <c r="B736" s="60">
        <v>44652</v>
      </c>
      <c r="C736" s="59">
        <v>0</v>
      </c>
      <c r="D736" s="59">
        <f t="shared" ref="D736" si="326">G736+F736</f>
        <v>74965</v>
      </c>
      <c r="E736" s="59">
        <v>20</v>
      </c>
      <c r="F736" s="59">
        <f t="shared" ref="F736" si="327">F735-E736+C736</f>
        <v>367</v>
      </c>
      <c r="G736" s="83">
        <v>74598</v>
      </c>
      <c r="I736" s="89"/>
      <c r="J736" s="88"/>
    </row>
    <row r="737" spans="1:10" ht="15.75" x14ac:dyDescent="0.25">
      <c r="A737" s="58">
        <v>734</v>
      </c>
      <c r="B737" s="60">
        <v>44653</v>
      </c>
      <c r="C737" s="59">
        <v>9</v>
      </c>
      <c r="D737" s="59">
        <f t="shared" ref="D737" si="328">G737+F737</f>
        <v>74974</v>
      </c>
      <c r="E737" s="59">
        <v>0</v>
      </c>
      <c r="F737" s="59">
        <f t="shared" ref="F737" si="329">F736-E737+C737</f>
        <v>376</v>
      </c>
      <c r="G737" s="83">
        <v>74598</v>
      </c>
      <c r="I737" s="90"/>
      <c r="J737" s="91"/>
    </row>
    <row r="738" spans="1:10" ht="15.75" x14ac:dyDescent="0.25">
      <c r="A738" s="58">
        <v>735</v>
      </c>
      <c r="B738" s="60">
        <v>44654</v>
      </c>
      <c r="C738" s="59">
        <v>22</v>
      </c>
      <c r="D738" s="59">
        <f t="shared" ref="D738" si="330">G738+F738</f>
        <v>74994</v>
      </c>
      <c r="E738" s="59">
        <v>1</v>
      </c>
      <c r="F738" s="59">
        <f t="shared" ref="F738" si="331">F737-E738+C738</f>
        <v>397</v>
      </c>
      <c r="G738" s="83">
        <v>74597</v>
      </c>
      <c r="I738" s="87"/>
      <c r="J738" s="88"/>
    </row>
    <row r="739" spans="1:10" ht="15.75" x14ac:dyDescent="0.25">
      <c r="A739" s="58">
        <v>736</v>
      </c>
      <c r="B739" s="60">
        <v>44655</v>
      </c>
      <c r="C739" s="59">
        <v>0</v>
      </c>
      <c r="D739" s="59">
        <f t="shared" ref="D739" si="332">G739+F739</f>
        <v>74995</v>
      </c>
      <c r="E739" s="59">
        <v>0</v>
      </c>
      <c r="F739" s="59">
        <f t="shared" ref="F739" si="333">F738-E739+C739</f>
        <v>397</v>
      </c>
      <c r="G739" s="83">
        <v>74598</v>
      </c>
      <c r="I739" s="89"/>
      <c r="J739" s="88"/>
    </row>
    <row r="740" spans="1:10" ht="15.75" x14ac:dyDescent="0.25">
      <c r="A740" s="58">
        <v>737</v>
      </c>
      <c r="B740" s="60">
        <v>44656</v>
      </c>
      <c r="C740" s="59">
        <v>45</v>
      </c>
      <c r="D740" s="59">
        <f t="shared" ref="D740" si="334">G740+F740</f>
        <v>75039</v>
      </c>
      <c r="E740" s="59">
        <v>15</v>
      </c>
      <c r="F740" s="59">
        <f t="shared" ref="F740" si="335">F739-E740+C740</f>
        <v>427</v>
      </c>
      <c r="G740" s="83">
        <v>74612</v>
      </c>
      <c r="I740" s="90"/>
      <c r="J740" s="91"/>
    </row>
    <row r="741" spans="1:10" ht="15.75" x14ac:dyDescent="0.25">
      <c r="A741" s="58">
        <v>738</v>
      </c>
      <c r="B741" s="60">
        <v>44657</v>
      </c>
      <c r="C741" s="59">
        <v>0</v>
      </c>
      <c r="D741" s="59">
        <f t="shared" ref="D741" si="336">G741+F741</f>
        <v>75037</v>
      </c>
      <c r="E741" s="59">
        <v>0</v>
      </c>
      <c r="F741" s="59">
        <f t="shared" ref="F741" si="337">F740-E741+C741</f>
        <v>427</v>
      </c>
      <c r="G741" s="83">
        <v>74610</v>
      </c>
      <c r="I741" s="90"/>
      <c r="J741" s="91"/>
    </row>
    <row r="742" spans="1:10" ht="15.75" x14ac:dyDescent="0.25">
      <c r="A742" s="58">
        <v>739</v>
      </c>
      <c r="B742" s="60">
        <v>44658</v>
      </c>
      <c r="C742" s="59">
        <v>54</v>
      </c>
      <c r="D742" s="59">
        <f t="shared" ref="D742" si="338">G742+F742</f>
        <v>75089</v>
      </c>
      <c r="E742" s="59">
        <v>81</v>
      </c>
      <c r="F742" s="59">
        <f t="shared" ref="F742" si="339">F741-E742+C742</f>
        <v>400</v>
      </c>
      <c r="G742" s="83">
        <v>74689</v>
      </c>
      <c r="I742" s="87"/>
      <c r="J742" s="88"/>
    </row>
    <row r="743" spans="1:10" ht="15.75" x14ac:dyDescent="0.25">
      <c r="A743" s="58">
        <v>740</v>
      </c>
      <c r="B743" s="60">
        <v>44659</v>
      </c>
      <c r="C743" s="59">
        <v>82</v>
      </c>
      <c r="D743" s="59">
        <f t="shared" ref="D743" si="340">G743+F743</f>
        <v>75176</v>
      </c>
      <c r="E743" s="59">
        <v>104</v>
      </c>
      <c r="F743" s="59">
        <f t="shared" ref="F743" si="341">F742-E743+C743</f>
        <v>378</v>
      </c>
      <c r="G743" s="83">
        <v>74798</v>
      </c>
      <c r="I743" s="87"/>
      <c r="J743" s="88"/>
    </row>
    <row r="744" spans="1:10" ht="15.75" x14ac:dyDescent="0.25">
      <c r="A744" s="58">
        <v>741</v>
      </c>
      <c r="B744" s="60">
        <v>44660</v>
      </c>
      <c r="C744" s="59">
        <v>55</v>
      </c>
      <c r="D744" s="59">
        <f t="shared" ref="D744" si="342">G744+F744</f>
        <v>75230</v>
      </c>
      <c r="E744" s="59">
        <v>82</v>
      </c>
      <c r="F744" s="59">
        <f t="shared" ref="F744" si="343">F743-E744+C744</f>
        <v>351</v>
      </c>
      <c r="G744" s="83">
        <v>74879</v>
      </c>
      <c r="I744" s="89"/>
      <c r="J744" s="88"/>
    </row>
    <row r="745" spans="1:10" ht="15.75" x14ac:dyDescent="0.25">
      <c r="A745" s="58">
        <v>742</v>
      </c>
      <c r="B745" s="60">
        <v>44661</v>
      </c>
      <c r="C745" s="59">
        <v>54</v>
      </c>
      <c r="D745" s="59">
        <f t="shared" ref="D745" si="344">G745+F745</f>
        <v>75282</v>
      </c>
      <c r="E745" s="59">
        <v>59</v>
      </c>
      <c r="F745" s="59">
        <f t="shared" ref="F745" si="345">F744-E745+C745</f>
        <v>346</v>
      </c>
      <c r="G745" s="83">
        <v>74936</v>
      </c>
      <c r="I745" s="87"/>
      <c r="J745" s="88"/>
    </row>
    <row r="746" spans="1:10" ht="15.75" x14ac:dyDescent="0.25">
      <c r="A746" s="58">
        <v>743</v>
      </c>
      <c r="B746" s="60">
        <v>44662</v>
      </c>
      <c r="C746" s="59">
        <v>0</v>
      </c>
      <c r="D746" s="59">
        <f t="shared" ref="D746" si="346">G746+F746</f>
        <v>75283</v>
      </c>
      <c r="E746" s="59">
        <v>0</v>
      </c>
      <c r="F746" s="59">
        <f t="shared" ref="F746" si="347">F745-E746+C746</f>
        <v>346</v>
      </c>
      <c r="G746" s="83">
        <v>74937</v>
      </c>
      <c r="I746" s="87"/>
      <c r="J746" s="88"/>
    </row>
    <row r="747" spans="1:10" ht="15.75" x14ac:dyDescent="0.25">
      <c r="A747" s="58">
        <v>744</v>
      </c>
      <c r="B747" s="60">
        <v>44663</v>
      </c>
      <c r="C747" s="59">
        <v>99</v>
      </c>
      <c r="D747" s="59">
        <f t="shared" ref="D747" si="348">G747+F747</f>
        <v>75393</v>
      </c>
      <c r="E747" s="59">
        <v>221</v>
      </c>
      <c r="F747" s="59">
        <f t="shared" ref="F747" si="349">F746-E747+C747</f>
        <v>224</v>
      </c>
      <c r="G747" s="83">
        <v>75169</v>
      </c>
      <c r="I747" s="89"/>
      <c r="J747" s="88"/>
    </row>
    <row r="748" spans="1:10" ht="15.75" x14ac:dyDescent="0.25">
      <c r="A748" s="58">
        <v>745</v>
      </c>
      <c r="B748" s="60">
        <v>44664</v>
      </c>
      <c r="C748" s="59">
        <v>61</v>
      </c>
      <c r="D748" s="59">
        <f t="shared" ref="D748" si="350">G748+F748</f>
        <v>75454</v>
      </c>
      <c r="E748" s="59">
        <v>101</v>
      </c>
      <c r="F748" s="59">
        <f t="shared" ref="F748" si="351">F747-E748+C748</f>
        <v>184</v>
      </c>
      <c r="G748" s="83">
        <v>75270</v>
      </c>
      <c r="I748" s="87"/>
      <c r="J748" s="88"/>
    </row>
    <row r="749" spans="1:10" ht="15.75" x14ac:dyDescent="0.25">
      <c r="A749" s="58">
        <v>746</v>
      </c>
      <c r="B749" s="60">
        <v>44665</v>
      </c>
      <c r="C749" s="59">
        <v>34</v>
      </c>
      <c r="D749" s="59">
        <f t="shared" ref="D749" si="352">G749+F749</f>
        <v>75486</v>
      </c>
      <c r="E749" s="59">
        <v>20</v>
      </c>
      <c r="F749" s="59">
        <f t="shared" ref="F749" si="353">F748-E749+C749</f>
        <v>198</v>
      </c>
      <c r="G749" s="83">
        <v>75288</v>
      </c>
      <c r="I749" s="87"/>
      <c r="J749" s="88"/>
    </row>
    <row r="750" spans="1:10" ht="15.75" x14ac:dyDescent="0.25">
      <c r="A750" s="58">
        <v>747</v>
      </c>
      <c r="B750" s="60">
        <v>44666</v>
      </c>
      <c r="C750" s="59">
        <v>23</v>
      </c>
      <c r="D750" s="59">
        <f t="shared" ref="D750" si="354">G750+F750</f>
        <v>75508</v>
      </c>
      <c r="E750" s="59">
        <v>7</v>
      </c>
      <c r="F750" s="59">
        <f t="shared" ref="F750" si="355">F749-E750+C750</f>
        <v>214</v>
      </c>
      <c r="G750" s="83">
        <v>75294</v>
      </c>
      <c r="I750" s="89"/>
      <c r="J750" s="88"/>
    </row>
    <row r="751" spans="1:10" ht="15.75" x14ac:dyDescent="0.25">
      <c r="A751" s="58">
        <v>748</v>
      </c>
      <c r="B751" s="60">
        <v>44667</v>
      </c>
      <c r="C751" s="59">
        <v>44</v>
      </c>
      <c r="D751" s="59">
        <f t="shared" ref="D751" si="356">G751+F751</f>
        <v>75552</v>
      </c>
      <c r="E751" s="59">
        <v>4</v>
      </c>
      <c r="F751" s="59">
        <f t="shared" ref="F751" si="357">F750-E751+C751</f>
        <v>254</v>
      </c>
      <c r="G751" s="83">
        <v>75298</v>
      </c>
      <c r="I751" s="87"/>
      <c r="J751" s="88"/>
    </row>
    <row r="752" spans="1:10" ht="15.75" x14ac:dyDescent="0.25">
      <c r="A752" s="58">
        <v>749</v>
      </c>
      <c r="B752" s="60">
        <v>44668</v>
      </c>
      <c r="C752" s="59">
        <v>60</v>
      </c>
      <c r="D752" s="59">
        <f t="shared" ref="D752" si="358">G752+F752</f>
        <v>75611</v>
      </c>
      <c r="E752" s="59">
        <v>25</v>
      </c>
      <c r="F752" s="59">
        <f t="shared" ref="F752" si="359">F751-E752+C752</f>
        <v>289</v>
      </c>
      <c r="G752" s="83">
        <v>75322</v>
      </c>
      <c r="I752" s="89"/>
      <c r="J752" s="88"/>
    </row>
    <row r="753" spans="1:10" ht="15.75" x14ac:dyDescent="0.25">
      <c r="A753" s="58">
        <v>750</v>
      </c>
      <c r="B753" s="60">
        <v>44669</v>
      </c>
      <c r="C753" s="59">
        <v>0</v>
      </c>
      <c r="D753" s="59">
        <f t="shared" ref="D753" si="360">G753+F753</f>
        <v>75612</v>
      </c>
      <c r="E753" s="59">
        <v>0</v>
      </c>
      <c r="F753" s="59">
        <f t="shared" ref="F753" si="361">F752-E753+C753</f>
        <v>289</v>
      </c>
      <c r="G753" s="83">
        <v>75323</v>
      </c>
      <c r="I753" s="87"/>
      <c r="J753" s="88"/>
    </row>
    <row r="754" spans="1:10" ht="15.75" x14ac:dyDescent="0.25">
      <c r="A754" s="58">
        <v>751</v>
      </c>
      <c r="B754" s="60">
        <v>44670</v>
      </c>
      <c r="C754" s="59">
        <v>21</v>
      </c>
      <c r="D754" s="59">
        <f t="shared" ref="D754" si="362">G754+F754</f>
        <v>75631</v>
      </c>
      <c r="E754" s="59">
        <v>198</v>
      </c>
      <c r="F754" s="59">
        <f t="shared" ref="F754" si="363">F753-E754+C754</f>
        <v>112</v>
      </c>
      <c r="G754" s="83">
        <v>75519</v>
      </c>
      <c r="I754" s="89"/>
      <c r="J754" s="88"/>
    </row>
    <row r="755" spans="1:10" ht="15.75" x14ac:dyDescent="0.25">
      <c r="A755" s="58">
        <v>752</v>
      </c>
      <c r="B755" s="60">
        <v>44671</v>
      </c>
      <c r="C755" s="59">
        <v>11</v>
      </c>
      <c r="D755" s="59">
        <f t="shared" ref="D755" si="364">G755+F755</f>
        <v>75642</v>
      </c>
      <c r="E755" s="59">
        <v>21</v>
      </c>
      <c r="F755" s="59">
        <f t="shared" ref="F755" si="365">F754-E755+C755</f>
        <v>102</v>
      </c>
      <c r="G755" s="83">
        <v>75540</v>
      </c>
      <c r="I755" s="87"/>
      <c r="J755" s="88"/>
    </row>
    <row r="756" spans="1:10" ht="15.75" x14ac:dyDescent="0.25">
      <c r="A756" s="58">
        <v>753</v>
      </c>
      <c r="B756" s="60">
        <v>44672</v>
      </c>
      <c r="C756" s="59">
        <v>0</v>
      </c>
      <c r="D756" s="59">
        <f t="shared" ref="D756" si="366">G756+F756</f>
        <v>75642</v>
      </c>
      <c r="E756" s="59">
        <v>1</v>
      </c>
      <c r="F756" s="59">
        <f t="shared" ref="F756" si="367">F755-E756+C756</f>
        <v>101</v>
      </c>
      <c r="G756" s="83">
        <v>75541</v>
      </c>
      <c r="I756"/>
      <c r="J756"/>
    </row>
    <row r="757" spans="1:10" ht="15.75" x14ac:dyDescent="0.25">
      <c r="A757" s="58">
        <v>754</v>
      </c>
      <c r="B757" s="60">
        <v>44673</v>
      </c>
      <c r="C757" s="59">
        <v>39</v>
      </c>
      <c r="D757" s="59">
        <f t="shared" ref="D757" si="368">G757+F757</f>
        <v>75680</v>
      </c>
      <c r="E757" s="59">
        <v>0</v>
      </c>
      <c r="F757" s="59">
        <f t="shared" ref="F757" si="369">F756-E757+C757</f>
        <v>140</v>
      </c>
      <c r="G757" s="83">
        <v>75540</v>
      </c>
      <c r="I757"/>
      <c r="J757"/>
    </row>
    <row r="758" spans="1:10" ht="15.75" x14ac:dyDescent="0.25">
      <c r="A758" s="58">
        <v>755</v>
      </c>
      <c r="B758" s="60">
        <v>44674</v>
      </c>
      <c r="C758" s="59">
        <v>11</v>
      </c>
      <c r="D758" s="59">
        <f t="shared" ref="D758" si="370">G758+F758</f>
        <v>75691</v>
      </c>
      <c r="E758" s="59">
        <v>49</v>
      </c>
      <c r="F758" s="59">
        <f t="shared" ref="F758" si="371">F757-E758+C758</f>
        <v>102</v>
      </c>
      <c r="G758" s="83">
        <v>75589</v>
      </c>
      <c r="I758"/>
      <c r="J758"/>
    </row>
    <row r="759" spans="1:10" ht="15.75" x14ac:dyDescent="0.25">
      <c r="A759" s="58">
        <v>756</v>
      </c>
      <c r="B759" s="60">
        <v>44675</v>
      </c>
      <c r="C759" s="59">
        <v>0</v>
      </c>
      <c r="D759" s="59">
        <f t="shared" ref="D759" si="372">G759+F759</f>
        <v>75651</v>
      </c>
      <c r="E759" s="59">
        <v>41</v>
      </c>
      <c r="F759" s="59">
        <f t="shared" ref="F759" si="373">F758-E759+C759</f>
        <v>61</v>
      </c>
      <c r="G759" s="83">
        <v>75590</v>
      </c>
      <c r="I759"/>
      <c r="J759"/>
    </row>
    <row r="760" spans="1:10" ht="15.75" x14ac:dyDescent="0.2">
      <c r="A760" s="58">
        <v>757</v>
      </c>
      <c r="B760" s="60">
        <v>44676</v>
      </c>
      <c r="C760" s="59">
        <v>24</v>
      </c>
      <c r="D760" s="59">
        <f t="shared" ref="D760" si="374">G760+F760</f>
        <v>75747</v>
      </c>
      <c r="E760" s="59">
        <v>0</v>
      </c>
      <c r="F760" s="59">
        <f t="shared" ref="F760" si="375">F759-E760+C760</f>
        <v>85</v>
      </c>
      <c r="G760" s="83">
        <v>75662</v>
      </c>
    </row>
    <row r="761" spans="1:10" ht="15.75" x14ac:dyDescent="0.2">
      <c r="A761" s="58">
        <v>758</v>
      </c>
      <c r="B761" s="60">
        <v>44677</v>
      </c>
      <c r="C761" s="59">
        <v>48</v>
      </c>
      <c r="D761" s="59">
        <f t="shared" ref="D761" si="376">G761+F761</f>
        <v>75818</v>
      </c>
      <c r="E761" s="59">
        <v>25</v>
      </c>
      <c r="F761" s="59">
        <f t="shared" ref="F761" si="377">F760-E761+C761</f>
        <v>108</v>
      </c>
      <c r="G761" s="83">
        <v>75710</v>
      </c>
    </row>
    <row r="762" spans="1:10" ht="15.75" x14ac:dyDescent="0.2">
      <c r="A762" s="58">
        <v>759</v>
      </c>
      <c r="B762" s="60">
        <v>44678</v>
      </c>
      <c r="C762" s="59">
        <v>12</v>
      </c>
      <c r="D762" s="59">
        <f t="shared" ref="D762" si="378">G762+F762</f>
        <v>75848</v>
      </c>
      <c r="E762" s="59">
        <v>75</v>
      </c>
      <c r="F762" s="59">
        <f t="shared" ref="F762" si="379">F761-E762+C762</f>
        <v>45</v>
      </c>
      <c r="G762" s="83">
        <v>75803</v>
      </c>
    </row>
    <row r="763" spans="1:10" ht="15.75" x14ac:dyDescent="0.25">
      <c r="A763" s="58">
        <v>760</v>
      </c>
      <c r="B763" s="60">
        <v>44679</v>
      </c>
      <c r="C763" s="59">
        <v>57</v>
      </c>
      <c r="D763" s="59">
        <f t="shared" ref="D763" si="380">G763+F763</f>
        <v>75903</v>
      </c>
      <c r="E763" s="59">
        <v>33</v>
      </c>
      <c r="F763" s="59">
        <f t="shared" ref="F763" si="381">F762-E763+C763</f>
        <v>69</v>
      </c>
      <c r="G763" s="83">
        <v>75834</v>
      </c>
      <c r="I763"/>
      <c r="J763"/>
    </row>
    <row r="764" spans="1:10" ht="15.75" x14ac:dyDescent="0.25">
      <c r="A764" s="58">
        <v>761</v>
      </c>
      <c r="B764" s="60">
        <v>44680</v>
      </c>
      <c r="C764" s="59">
        <v>19</v>
      </c>
      <c r="D764" s="59">
        <f t="shared" ref="D764" si="382">G764+F764</f>
        <v>75921</v>
      </c>
      <c r="E764" s="59">
        <v>56</v>
      </c>
      <c r="F764" s="59">
        <f t="shared" ref="F764" si="383">F763-E764+C764</f>
        <v>32</v>
      </c>
      <c r="G764" s="83">
        <v>75889</v>
      </c>
      <c r="I764"/>
      <c r="J764"/>
    </row>
    <row r="765" spans="1:10" ht="15.75" x14ac:dyDescent="0.25">
      <c r="A765" s="58">
        <v>762</v>
      </c>
      <c r="B765" s="60">
        <v>44681</v>
      </c>
      <c r="C765" s="59">
        <v>0</v>
      </c>
      <c r="D765" s="59">
        <f t="shared" ref="D765" si="384">G765+F765</f>
        <v>75920</v>
      </c>
      <c r="E765" s="59">
        <v>19</v>
      </c>
      <c r="F765" s="59">
        <f t="shared" ref="F765" si="385">F764-E765+C765</f>
        <v>13</v>
      </c>
      <c r="G765" s="83">
        <v>75907</v>
      </c>
      <c r="I765"/>
      <c r="J765"/>
    </row>
    <row r="766" spans="1:10" ht="15.75" x14ac:dyDescent="0.25">
      <c r="A766" s="58">
        <v>763</v>
      </c>
      <c r="B766" s="60">
        <v>44682</v>
      </c>
      <c r="C766" s="59">
        <v>0</v>
      </c>
      <c r="D766" s="59">
        <f t="shared" ref="D766" si="386">G766+F766</f>
        <v>75917</v>
      </c>
      <c r="E766" s="59">
        <v>0</v>
      </c>
      <c r="F766" s="59">
        <f t="shared" ref="F766" si="387">F765-E766+C766</f>
        <v>13</v>
      </c>
      <c r="G766" s="83">
        <v>75904</v>
      </c>
      <c r="I766"/>
      <c r="J766"/>
    </row>
    <row r="767" spans="1:10" ht="15.75" x14ac:dyDescent="0.25">
      <c r="B767" s="60">
        <v>44683</v>
      </c>
      <c r="C767" s="59">
        <v>0</v>
      </c>
      <c r="D767" s="59">
        <f t="shared" ref="D767" si="388">G767+F767</f>
        <v>75917</v>
      </c>
      <c r="E767" s="59">
        <v>0</v>
      </c>
      <c r="F767" s="59">
        <f t="shared" ref="F767" si="389">F766-E767+C767</f>
        <v>13</v>
      </c>
      <c r="G767" s="83">
        <v>75904</v>
      </c>
      <c r="I767"/>
      <c r="J767"/>
    </row>
    <row r="768" spans="1:10" ht="15.75" x14ac:dyDescent="0.25">
      <c r="B768" s="60">
        <v>44684</v>
      </c>
      <c r="C768" s="59">
        <v>0</v>
      </c>
      <c r="D768" s="59">
        <f t="shared" ref="D768" si="390">G768+F768</f>
        <v>75932</v>
      </c>
      <c r="E768" s="59">
        <v>10</v>
      </c>
      <c r="F768" s="59">
        <f t="shared" ref="F768" si="391">F767-E768+C768</f>
        <v>3</v>
      </c>
      <c r="G768" s="83">
        <v>75929</v>
      </c>
      <c r="I768"/>
      <c r="J768"/>
    </row>
    <row r="769" spans="2:10" ht="15.75" x14ac:dyDescent="0.25">
      <c r="B769" s="60">
        <v>44685</v>
      </c>
      <c r="C769" s="59">
        <v>0</v>
      </c>
      <c r="D769" s="59">
        <f t="shared" ref="D769" si="392">G769+F769</f>
        <v>75931</v>
      </c>
      <c r="E769" s="59">
        <v>0</v>
      </c>
      <c r="F769" s="59">
        <f t="shared" ref="F769" si="393">F768-E769+C769</f>
        <v>3</v>
      </c>
      <c r="G769" s="83">
        <v>75928</v>
      </c>
      <c r="I769"/>
      <c r="J769"/>
    </row>
    <row r="770" spans="2:10" ht="15.75" x14ac:dyDescent="0.25">
      <c r="B770" s="60">
        <v>44686</v>
      </c>
      <c r="C770" s="59">
        <v>0</v>
      </c>
      <c r="D770" s="59">
        <f t="shared" ref="D770" si="394">G770+F770</f>
        <v>75931</v>
      </c>
      <c r="E770" s="59">
        <v>0</v>
      </c>
      <c r="F770" s="59">
        <f t="shared" ref="F770" si="395">F769-E770+C770</f>
        <v>3</v>
      </c>
      <c r="G770" s="83">
        <v>75928</v>
      </c>
      <c r="I770"/>
      <c r="J770"/>
    </row>
    <row r="771" spans="2:10" ht="15.75" x14ac:dyDescent="0.25">
      <c r="B771" s="60">
        <v>44687</v>
      </c>
      <c r="C771" s="59">
        <v>0</v>
      </c>
      <c r="D771" s="59">
        <f t="shared" ref="D771" si="396">G771+F771</f>
        <v>75932</v>
      </c>
      <c r="E771" s="59">
        <v>0</v>
      </c>
      <c r="F771" s="59">
        <f t="shared" ref="F771" si="397">F770-E771+C771</f>
        <v>3</v>
      </c>
      <c r="G771" s="83">
        <v>75929</v>
      </c>
      <c r="I771"/>
      <c r="J771"/>
    </row>
    <row r="772" spans="2:10" ht="15.75" x14ac:dyDescent="0.25">
      <c r="B772" s="60">
        <v>44688</v>
      </c>
      <c r="C772" s="59">
        <v>13</v>
      </c>
      <c r="D772" s="59">
        <f t="shared" ref="D772" si="398">G772+F772</f>
        <v>75943</v>
      </c>
      <c r="E772" s="59">
        <v>0</v>
      </c>
      <c r="F772" s="59">
        <f t="shared" ref="F772" si="399">F771-E772+C772</f>
        <v>16</v>
      </c>
      <c r="G772" s="83">
        <v>75927</v>
      </c>
      <c r="I772"/>
      <c r="J772"/>
    </row>
    <row r="773" spans="2:10" ht="15.75" x14ac:dyDescent="0.2">
      <c r="B773" s="60">
        <v>44689</v>
      </c>
      <c r="C773" s="59">
        <v>0</v>
      </c>
      <c r="D773" s="59">
        <f t="shared" ref="D773" si="400">G773+F773</f>
        <v>75943</v>
      </c>
      <c r="E773" s="59">
        <v>0</v>
      </c>
      <c r="F773" s="59">
        <f t="shared" ref="F773" si="401">F772-E773+C773</f>
        <v>16</v>
      </c>
      <c r="G773" s="83">
        <v>75927</v>
      </c>
    </row>
    <row r="774" spans="2:10" ht="15.75" x14ac:dyDescent="0.25">
      <c r="B774" s="60">
        <v>44690</v>
      </c>
      <c r="C774" s="59">
        <v>0</v>
      </c>
      <c r="D774" s="59">
        <f t="shared" ref="D774" si="402">G774+F774</f>
        <v>75943</v>
      </c>
      <c r="E774" s="59">
        <v>13</v>
      </c>
      <c r="F774" s="59">
        <f t="shared" ref="F774" si="403">F773-E774+C774</f>
        <v>3</v>
      </c>
      <c r="G774" s="83">
        <v>75940</v>
      </c>
      <c r="I774"/>
      <c r="J774"/>
    </row>
    <row r="775" spans="2:10" ht="15.75" x14ac:dyDescent="0.25">
      <c r="B775" s="60">
        <v>44691</v>
      </c>
      <c r="C775" s="59">
        <v>0</v>
      </c>
      <c r="D775" s="59">
        <f t="shared" ref="D775" si="404">G775+F775</f>
        <v>75943</v>
      </c>
      <c r="E775" s="59">
        <v>2</v>
      </c>
      <c r="F775" s="59">
        <f t="shared" ref="F775" si="405">F774-E775+C775</f>
        <v>1</v>
      </c>
      <c r="G775" s="83">
        <v>75942</v>
      </c>
      <c r="I775"/>
      <c r="J775"/>
    </row>
    <row r="776" spans="2:10" ht="15.75" x14ac:dyDescent="0.25">
      <c r="B776" s="60">
        <v>44692</v>
      </c>
      <c r="C776" s="59">
        <v>0</v>
      </c>
      <c r="D776" s="59">
        <f t="shared" ref="D776" si="406">G776+F776</f>
        <v>75941</v>
      </c>
      <c r="E776" s="59">
        <v>1</v>
      </c>
      <c r="F776" s="59">
        <f t="shared" ref="F776" si="407">F775-E776+C776</f>
        <v>0</v>
      </c>
      <c r="G776" s="83">
        <v>75941</v>
      </c>
      <c r="I776"/>
      <c r="J776"/>
    </row>
    <row r="777" spans="2:10" ht="15.75" x14ac:dyDescent="0.25">
      <c r="B777" s="60">
        <v>44693</v>
      </c>
      <c r="C777" s="59">
        <v>0</v>
      </c>
      <c r="D777" s="59">
        <f t="shared" ref="D777" si="408">G777+F777</f>
        <v>75940</v>
      </c>
      <c r="E777" s="59">
        <v>0</v>
      </c>
      <c r="F777" s="59">
        <f t="shared" ref="F777" si="409">F776-E777+C777</f>
        <v>0</v>
      </c>
      <c r="G777" s="83">
        <v>75940</v>
      </c>
      <c r="I777"/>
      <c r="J777"/>
    </row>
    <row r="778" spans="2:10" ht="15.75" x14ac:dyDescent="0.2">
      <c r="B778" s="60">
        <v>44694</v>
      </c>
      <c r="C778" s="59">
        <v>0</v>
      </c>
      <c r="D778" s="59">
        <f t="shared" ref="D778" si="410">G778+F778</f>
        <v>75942</v>
      </c>
      <c r="E778" s="59">
        <v>0</v>
      </c>
      <c r="F778" s="59">
        <f t="shared" ref="F778" si="411">F777-E778+C778</f>
        <v>0</v>
      </c>
      <c r="G778" s="83">
        <v>75942</v>
      </c>
    </row>
    <row r="779" spans="2:10" ht="15.75" x14ac:dyDescent="0.2">
      <c r="B779" s="60">
        <v>44695</v>
      </c>
      <c r="C779" s="59">
        <v>0</v>
      </c>
      <c r="D779" s="59">
        <f t="shared" ref="D779" si="412">G779+F779</f>
        <v>75943</v>
      </c>
      <c r="E779" s="59">
        <v>0</v>
      </c>
      <c r="F779" s="59">
        <f t="shared" ref="F779" si="413">F778-E779+C779</f>
        <v>0</v>
      </c>
      <c r="G779" s="83">
        <v>75943</v>
      </c>
    </row>
    <row r="780" spans="2:10" ht="15.75" x14ac:dyDescent="0.2">
      <c r="B780" s="60">
        <v>44696</v>
      </c>
      <c r="C780" s="59">
        <v>0</v>
      </c>
      <c r="D780" s="59">
        <f t="shared" ref="D780" si="414">G780+F780</f>
        <v>75939</v>
      </c>
      <c r="E780" s="59">
        <v>0</v>
      </c>
      <c r="F780" s="59">
        <f t="shared" ref="F780:F781" si="415">F779-E780+C780</f>
        <v>0</v>
      </c>
      <c r="G780" s="83">
        <v>75939</v>
      </c>
    </row>
    <row r="781" spans="2:10" ht="15.75" x14ac:dyDescent="0.2">
      <c r="B781" s="60">
        <v>44697</v>
      </c>
      <c r="C781" s="59">
        <v>0</v>
      </c>
      <c r="D781" s="59">
        <f t="shared" ref="D781" si="416">G781+F781</f>
        <v>75939</v>
      </c>
      <c r="E781" s="59">
        <v>0</v>
      </c>
      <c r="F781" s="59">
        <f t="shared" si="415"/>
        <v>0</v>
      </c>
      <c r="G781" s="83">
        <v>75939</v>
      </c>
    </row>
    <row r="782" spans="2:10" ht="15.75" x14ac:dyDescent="0.2">
      <c r="B782" s="60">
        <v>44698</v>
      </c>
      <c r="C782" s="59">
        <v>0</v>
      </c>
      <c r="D782" s="59">
        <f t="shared" ref="D782" si="417">G782+F782</f>
        <v>75938</v>
      </c>
      <c r="E782" s="59">
        <v>0</v>
      </c>
      <c r="F782" s="59">
        <f t="shared" ref="F782" si="418">F781-E782+C782</f>
        <v>0</v>
      </c>
      <c r="G782" s="83">
        <v>75938</v>
      </c>
    </row>
    <row r="783" spans="2:10" ht="15.75" x14ac:dyDescent="0.25">
      <c r="B783" s="60">
        <v>44699</v>
      </c>
      <c r="C783" s="59">
        <v>0</v>
      </c>
      <c r="D783" s="59">
        <f t="shared" ref="D783" si="419">G783+F783</f>
        <v>75937</v>
      </c>
      <c r="E783" s="59">
        <v>0</v>
      </c>
      <c r="F783" s="59">
        <f t="shared" ref="F783" si="420">F782-E783+C783</f>
        <v>0</v>
      </c>
      <c r="G783" s="83">
        <v>75937</v>
      </c>
      <c r="I783"/>
      <c r="J783"/>
    </row>
    <row r="784" spans="2:10" ht="15.75" x14ac:dyDescent="0.25">
      <c r="B784" s="60">
        <v>44700</v>
      </c>
      <c r="C784" s="59">
        <v>0</v>
      </c>
      <c r="D784" s="59">
        <f t="shared" ref="D784" si="421">G784+F784</f>
        <v>75937</v>
      </c>
      <c r="E784" s="59">
        <v>0</v>
      </c>
      <c r="F784" s="59">
        <f t="shared" ref="F784" si="422">F783-E784+C784</f>
        <v>0</v>
      </c>
      <c r="G784" s="83">
        <v>75937</v>
      </c>
      <c r="I784"/>
      <c r="J784"/>
    </row>
    <row r="785" spans="2:10" ht="15.75" x14ac:dyDescent="0.25">
      <c r="B785" s="60">
        <v>44701</v>
      </c>
      <c r="C785" s="59">
        <v>0</v>
      </c>
      <c r="D785" s="59">
        <f t="shared" ref="D785" si="423">G785+F785</f>
        <v>75936</v>
      </c>
      <c r="E785" s="59">
        <v>0</v>
      </c>
      <c r="F785" s="59">
        <f t="shared" ref="F785" si="424">F784-E785+C785</f>
        <v>0</v>
      </c>
      <c r="G785" s="83">
        <v>75936</v>
      </c>
      <c r="I785"/>
      <c r="J785"/>
    </row>
    <row r="786" spans="2:10" ht="15.75" x14ac:dyDescent="0.25">
      <c r="B786" s="60">
        <v>44702</v>
      </c>
      <c r="C786" s="59">
        <v>0</v>
      </c>
      <c r="D786" s="59">
        <f t="shared" ref="D786" si="425">G786+F786</f>
        <v>75935</v>
      </c>
      <c r="E786" s="59">
        <v>0</v>
      </c>
      <c r="F786" s="59">
        <f t="shared" ref="F786" si="426">F785-E786+C786</f>
        <v>0</v>
      </c>
      <c r="G786" s="83">
        <v>75935</v>
      </c>
      <c r="I786"/>
      <c r="J786"/>
    </row>
    <row r="787" spans="2:10" ht="15.75" x14ac:dyDescent="0.25">
      <c r="B787" s="60">
        <v>44703</v>
      </c>
      <c r="C787" s="59">
        <v>0</v>
      </c>
      <c r="D787" s="59">
        <f t="shared" ref="D787" si="427">G787+F787</f>
        <v>75935</v>
      </c>
      <c r="E787" s="59">
        <v>0</v>
      </c>
      <c r="F787" s="59">
        <f t="shared" ref="F787" si="428">F786-E787+C787</f>
        <v>0</v>
      </c>
      <c r="G787" s="83">
        <v>75935</v>
      </c>
      <c r="I787"/>
      <c r="J787"/>
    </row>
    <row r="788" spans="2:10" ht="15.75" x14ac:dyDescent="0.25">
      <c r="B788" s="60">
        <v>44704</v>
      </c>
      <c r="C788" s="59">
        <v>1</v>
      </c>
      <c r="D788" s="59">
        <f t="shared" ref="D788:D789" si="429">G788+F788</f>
        <v>75934</v>
      </c>
      <c r="E788" s="59">
        <v>0</v>
      </c>
      <c r="F788" s="59">
        <f t="shared" ref="F788" si="430">F787-E788+C788</f>
        <v>1</v>
      </c>
      <c r="G788" s="83">
        <v>75933</v>
      </c>
      <c r="I788"/>
      <c r="J788"/>
    </row>
    <row r="789" spans="2:10" ht="15.75" x14ac:dyDescent="0.25">
      <c r="B789" s="60">
        <v>44705</v>
      </c>
      <c r="C789" s="59">
        <v>0</v>
      </c>
      <c r="D789" s="59">
        <f t="shared" si="429"/>
        <v>75934</v>
      </c>
      <c r="E789" s="59">
        <v>0</v>
      </c>
      <c r="F789" s="59">
        <f t="shared" ref="F789" si="431">F788-E789+C789</f>
        <v>1</v>
      </c>
      <c r="G789" s="83">
        <v>75933</v>
      </c>
      <c r="I789"/>
      <c r="J789"/>
    </row>
    <row r="790" spans="2:10" ht="15.75" x14ac:dyDescent="0.25">
      <c r="B790" s="60">
        <v>44706</v>
      </c>
      <c r="C790" s="59">
        <v>0</v>
      </c>
      <c r="D790" s="59">
        <f t="shared" ref="D790" si="432">G790+F790</f>
        <v>75931</v>
      </c>
      <c r="E790" s="59">
        <v>0</v>
      </c>
      <c r="F790" s="59">
        <f t="shared" ref="F790" si="433">F789-E790+C790</f>
        <v>1</v>
      </c>
      <c r="G790" s="83">
        <v>75930</v>
      </c>
      <c r="I790"/>
      <c r="J790"/>
    </row>
    <row r="791" spans="2:10" ht="15.75" x14ac:dyDescent="0.25">
      <c r="B791" s="60">
        <v>44707</v>
      </c>
      <c r="C791" s="59">
        <v>0</v>
      </c>
      <c r="D791" s="59">
        <f t="shared" ref="D791" si="434">G791+F791</f>
        <v>75929</v>
      </c>
      <c r="E791" s="59">
        <v>0</v>
      </c>
      <c r="F791" s="59">
        <f t="shared" ref="F791" si="435">F790-E791+C791</f>
        <v>1</v>
      </c>
      <c r="G791" s="83">
        <v>75928</v>
      </c>
      <c r="I791"/>
      <c r="J791"/>
    </row>
    <row r="792" spans="2:10" ht="15.75" x14ac:dyDescent="0.25">
      <c r="B792" s="60">
        <v>44708</v>
      </c>
      <c r="C792" s="59">
        <v>0</v>
      </c>
      <c r="D792" s="59">
        <f t="shared" ref="D792" si="436">G792+F792</f>
        <v>75929</v>
      </c>
      <c r="E792" s="59">
        <v>0</v>
      </c>
      <c r="F792" s="59">
        <f t="shared" ref="F792" si="437">F791-E792+C792</f>
        <v>1</v>
      </c>
      <c r="G792" s="83">
        <v>75928</v>
      </c>
      <c r="I792"/>
      <c r="J792"/>
    </row>
    <row r="793" spans="2:10" ht="15.75" x14ac:dyDescent="0.25">
      <c r="B793" s="60">
        <v>44709</v>
      </c>
      <c r="C793" s="59">
        <v>0</v>
      </c>
      <c r="D793" s="59">
        <f t="shared" ref="D793:D794" si="438">G793+F793</f>
        <v>75928</v>
      </c>
      <c r="E793" s="59">
        <v>0</v>
      </c>
      <c r="F793" s="59">
        <f t="shared" ref="F793" si="439">F792-E793+C793</f>
        <v>1</v>
      </c>
      <c r="G793" s="83">
        <v>75927</v>
      </c>
      <c r="I793"/>
      <c r="J793"/>
    </row>
    <row r="794" spans="2:10" ht="15.75" x14ac:dyDescent="0.25">
      <c r="B794" s="60">
        <v>44710</v>
      </c>
      <c r="C794" s="59">
        <v>0</v>
      </c>
      <c r="D794" s="59">
        <f t="shared" si="438"/>
        <v>75927</v>
      </c>
      <c r="E794" s="59">
        <v>0</v>
      </c>
      <c r="F794" s="59">
        <f t="shared" ref="F794" si="440">F793-E794+C794</f>
        <v>1</v>
      </c>
      <c r="G794" s="83">
        <v>75926</v>
      </c>
      <c r="I794"/>
      <c r="J794"/>
    </row>
    <row r="795" spans="2:10" ht="15.75" x14ac:dyDescent="0.25">
      <c r="B795" s="60">
        <v>44711</v>
      </c>
      <c r="C795" s="59">
        <v>0</v>
      </c>
      <c r="D795" s="59">
        <f t="shared" ref="D795" si="441">G795+F795</f>
        <v>75927</v>
      </c>
      <c r="E795" s="59">
        <v>1</v>
      </c>
      <c r="F795" s="59">
        <f t="shared" ref="F795" si="442">F794-E795+C795</f>
        <v>0</v>
      </c>
      <c r="G795" s="83">
        <v>75927</v>
      </c>
      <c r="I795"/>
      <c r="J795"/>
    </row>
    <row r="796" spans="2:10" ht="15.75" x14ac:dyDescent="0.25">
      <c r="B796" s="60">
        <v>44712</v>
      </c>
      <c r="C796" s="59">
        <v>8</v>
      </c>
      <c r="D796" s="59">
        <f t="shared" ref="D796" si="443">G796+F796</f>
        <v>75933</v>
      </c>
      <c r="E796" s="59">
        <v>0</v>
      </c>
      <c r="F796" s="59">
        <f t="shared" ref="F796" si="444">F795-E796+C796</f>
        <v>8</v>
      </c>
      <c r="G796" s="83">
        <v>75925</v>
      </c>
      <c r="I796"/>
      <c r="J796"/>
    </row>
    <row r="797" spans="2:10" ht="15.75" x14ac:dyDescent="0.25">
      <c r="B797" s="60">
        <v>44713</v>
      </c>
      <c r="C797" s="59">
        <v>3</v>
      </c>
      <c r="D797" s="59">
        <f t="shared" ref="D797" si="445">G797+F797</f>
        <v>75933</v>
      </c>
      <c r="E797" s="59">
        <v>0</v>
      </c>
      <c r="F797" s="59">
        <f t="shared" ref="F797" si="446">F796-E797+C797</f>
        <v>11</v>
      </c>
      <c r="G797" s="83">
        <v>75922</v>
      </c>
      <c r="I797"/>
      <c r="J797"/>
    </row>
    <row r="798" spans="2:10" ht="15.75" x14ac:dyDescent="0.25">
      <c r="B798" s="60">
        <v>44714</v>
      </c>
      <c r="C798" s="59">
        <v>1</v>
      </c>
      <c r="D798" s="59">
        <f t="shared" ref="D798" si="447">G798+F798</f>
        <v>75933</v>
      </c>
      <c r="E798" s="59">
        <v>0</v>
      </c>
      <c r="F798" s="59">
        <f t="shared" ref="F798" si="448">F797-E798+C798</f>
        <v>12</v>
      </c>
      <c r="G798" s="83">
        <v>75921</v>
      </c>
      <c r="I798"/>
      <c r="J798"/>
    </row>
    <row r="799" spans="2:10" ht="15.75" x14ac:dyDescent="0.25">
      <c r="B799" s="60">
        <v>44715</v>
      </c>
      <c r="C799" s="59">
        <v>0</v>
      </c>
      <c r="D799" s="59">
        <f t="shared" ref="D799" si="449">G799+F799</f>
        <v>75930</v>
      </c>
      <c r="E799" s="59">
        <v>0</v>
      </c>
      <c r="F799" s="59">
        <f t="shared" ref="F799" si="450">F798-E799+C799</f>
        <v>12</v>
      </c>
      <c r="G799" s="83">
        <v>75918</v>
      </c>
      <c r="I799"/>
      <c r="J799"/>
    </row>
    <row r="800" spans="2:10" ht="15.75" x14ac:dyDescent="0.25">
      <c r="B800" s="60">
        <v>44716</v>
      </c>
      <c r="C800" s="59">
        <v>3</v>
      </c>
      <c r="D800" s="59">
        <f t="shared" ref="D800" si="451">G800+F800</f>
        <v>75930</v>
      </c>
      <c r="E800" s="59">
        <v>0</v>
      </c>
      <c r="F800" s="59">
        <f t="shared" ref="F800" si="452">F799-E800+C800</f>
        <v>15</v>
      </c>
      <c r="G800" s="83">
        <v>75915</v>
      </c>
      <c r="I800"/>
      <c r="J800"/>
    </row>
    <row r="801" spans="2:10" ht="15.75" x14ac:dyDescent="0.25">
      <c r="B801" s="60">
        <v>44717</v>
      </c>
      <c r="C801" s="59">
        <v>0</v>
      </c>
      <c r="D801" s="59">
        <f t="shared" ref="D801" si="453">G801+F801</f>
        <v>75929</v>
      </c>
      <c r="E801" s="59">
        <v>0</v>
      </c>
      <c r="F801" s="59">
        <f t="shared" ref="F801" si="454">F800-E801+C801</f>
        <v>15</v>
      </c>
      <c r="G801" s="83">
        <v>75914</v>
      </c>
      <c r="I801"/>
      <c r="J801"/>
    </row>
    <row r="802" spans="2:10" ht="15.75" x14ac:dyDescent="0.25">
      <c r="B802" s="60">
        <v>44718</v>
      </c>
      <c r="C802" s="59">
        <v>0</v>
      </c>
      <c r="D802" s="59">
        <f t="shared" ref="D802" si="455">G802+F802</f>
        <v>75929</v>
      </c>
      <c r="E802" s="59">
        <v>0</v>
      </c>
      <c r="F802" s="59">
        <f t="shared" ref="F802" si="456">F801-E802+C802</f>
        <v>15</v>
      </c>
      <c r="G802" s="83">
        <v>75914</v>
      </c>
      <c r="I802"/>
      <c r="J802"/>
    </row>
    <row r="803" spans="2:10" ht="15.75" x14ac:dyDescent="0.25">
      <c r="B803" s="60">
        <v>44719</v>
      </c>
      <c r="C803" s="59">
        <v>0</v>
      </c>
      <c r="D803" s="59">
        <f t="shared" ref="D803" si="457">G803+F803</f>
        <v>75929</v>
      </c>
      <c r="E803" s="59">
        <v>0</v>
      </c>
      <c r="F803" s="59">
        <f t="shared" ref="F803" si="458">F802-E803+C803</f>
        <v>15</v>
      </c>
      <c r="G803" s="83">
        <v>75914</v>
      </c>
      <c r="I803"/>
      <c r="J803"/>
    </row>
    <row r="804" spans="2:10" ht="15.75" x14ac:dyDescent="0.25">
      <c r="B804" s="60">
        <v>44720</v>
      </c>
      <c r="C804" s="59">
        <v>0</v>
      </c>
      <c r="D804" s="59">
        <f t="shared" ref="D804" si="459">G804+F804</f>
        <v>75928</v>
      </c>
      <c r="E804" s="59">
        <v>0</v>
      </c>
      <c r="F804" s="59">
        <f t="shared" ref="F804" si="460">F803-E804+C804</f>
        <v>15</v>
      </c>
      <c r="G804" s="83">
        <v>75913</v>
      </c>
      <c r="I804"/>
      <c r="J804"/>
    </row>
    <row r="805" spans="2:10" ht="15.75" x14ac:dyDescent="0.25">
      <c r="B805" s="60">
        <v>44721</v>
      </c>
      <c r="C805" s="59">
        <v>0</v>
      </c>
      <c r="D805" s="59">
        <f t="shared" ref="D805" si="461">G805+F805</f>
        <v>75926</v>
      </c>
      <c r="E805" s="59">
        <v>0</v>
      </c>
      <c r="F805" s="59">
        <f t="shared" ref="F805" si="462">F804-E805+C805</f>
        <v>15</v>
      </c>
      <c r="G805" s="83">
        <v>75911</v>
      </c>
      <c r="I805"/>
      <c r="J805"/>
    </row>
    <row r="806" spans="2:10" ht="15.75" x14ac:dyDescent="0.25">
      <c r="B806" s="60">
        <v>44722</v>
      </c>
      <c r="C806" s="59">
        <v>0</v>
      </c>
      <c r="D806" s="59">
        <f t="shared" ref="D806" si="463">G806+F806</f>
        <v>75925</v>
      </c>
      <c r="E806" s="59">
        <v>0</v>
      </c>
      <c r="F806" s="59">
        <f t="shared" ref="F806" si="464">F805-E806+C806</f>
        <v>15</v>
      </c>
      <c r="G806" s="83">
        <v>75910</v>
      </c>
      <c r="I806"/>
      <c r="J806"/>
    </row>
    <row r="807" spans="2:10" ht="15.75" x14ac:dyDescent="0.25">
      <c r="B807" s="60">
        <v>44723</v>
      </c>
      <c r="C807" s="59">
        <v>0</v>
      </c>
      <c r="D807" s="59">
        <f t="shared" ref="D807" si="465">G807+F807</f>
        <v>75925</v>
      </c>
      <c r="E807" s="59">
        <v>0</v>
      </c>
      <c r="F807" s="59">
        <f t="shared" ref="F807" si="466">F806-E807+C807</f>
        <v>15</v>
      </c>
      <c r="G807" s="83">
        <v>75910</v>
      </c>
      <c r="I807"/>
      <c r="J807"/>
    </row>
    <row r="808" spans="2:10" ht="15.75" x14ac:dyDescent="0.25">
      <c r="B808" s="60">
        <v>44724</v>
      </c>
      <c r="C808" s="59">
        <v>0</v>
      </c>
      <c r="D808" s="59">
        <f t="shared" ref="D808" si="467">G808+F808</f>
        <v>75924</v>
      </c>
      <c r="E808" s="59">
        <v>0</v>
      </c>
      <c r="F808" s="59">
        <f t="shared" ref="F808" si="468">F807-E808+C808</f>
        <v>15</v>
      </c>
      <c r="G808" s="83">
        <v>75909</v>
      </c>
      <c r="I808"/>
      <c r="J808"/>
    </row>
    <row r="809" spans="2:10" ht="15.75" x14ac:dyDescent="0.25">
      <c r="B809" s="60">
        <v>44725</v>
      </c>
      <c r="C809" s="59">
        <v>2</v>
      </c>
      <c r="D809" s="59">
        <f t="shared" ref="D809" si="469">G809+F809</f>
        <v>75922</v>
      </c>
      <c r="E809" s="59">
        <v>12</v>
      </c>
      <c r="F809" s="59">
        <f t="shared" ref="F809" si="470">F808-E809+C809</f>
        <v>5</v>
      </c>
      <c r="G809" s="83">
        <v>75917</v>
      </c>
      <c r="I809"/>
      <c r="J809"/>
    </row>
    <row r="810" spans="2:10" ht="15.75" x14ac:dyDescent="0.25">
      <c r="B810" s="60">
        <v>44726</v>
      </c>
      <c r="C810" s="59">
        <v>0</v>
      </c>
      <c r="D810" s="59">
        <f t="shared" ref="D810" si="471">G810+F810</f>
        <v>75921</v>
      </c>
      <c r="E810" s="59">
        <v>0</v>
      </c>
      <c r="F810" s="59">
        <f t="shared" ref="F810" si="472">F809-E810+C810</f>
        <v>5</v>
      </c>
      <c r="G810" s="83">
        <v>75916</v>
      </c>
      <c r="I810"/>
      <c r="J810"/>
    </row>
    <row r="811" spans="2:10" ht="15.75" x14ac:dyDescent="0.25">
      <c r="B811" s="60">
        <v>44727</v>
      </c>
      <c r="C811" s="59">
        <v>0</v>
      </c>
      <c r="D811" s="59">
        <f t="shared" ref="D811" si="473">G811+F811</f>
        <v>75919</v>
      </c>
      <c r="E811" s="59">
        <v>2</v>
      </c>
      <c r="F811" s="59">
        <f t="shared" ref="F811" si="474">F810-E811+C811</f>
        <v>3</v>
      </c>
      <c r="G811" s="83">
        <v>75916</v>
      </c>
      <c r="I811"/>
      <c r="J811"/>
    </row>
    <row r="812" spans="2:10" ht="15.75" x14ac:dyDescent="0.25">
      <c r="B812" s="60">
        <v>44728</v>
      </c>
      <c r="C812" s="59">
        <v>1</v>
      </c>
      <c r="D812" s="59">
        <f t="shared" ref="D812" si="475">G812+F812</f>
        <v>75918</v>
      </c>
      <c r="E812" s="59">
        <v>1</v>
      </c>
      <c r="F812" s="59">
        <f t="shared" ref="F812" si="476">F811-E812+C812</f>
        <v>3</v>
      </c>
      <c r="G812" s="83">
        <v>75915</v>
      </c>
      <c r="I812"/>
      <c r="J812"/>
    </row>
    <row r="813" spans="2:10" ht="15.75" x14ac:dyDescent="0.25">
      <c r="B813" s="60">
        <v>44729</v>
      </c>
      <c r="C813" s="59">
        <v>0</v>
      </c>
      <c r="D813" s="59">
        <f t="shared" ref="D813" si="477">G813+F813</f>
        <v>75916</v>
      </c>
      <c r="E813" s="59">
        <v>0</v>
      </c>
      <c r="F813" s="59">
        <f t="shared" ref="F813" si="478">F812-E813+C813</f>
        <v>3</v>
      </c>
      <c r="G813" s="83">
        <v>75913</v>
      </c>
      <c r="I813"/>
      <c r="J813"/>
    </row>
    <row r="814" spans="2:10" ht="15.75" x14ac:dyDescent="0.25">
      <c r="B814" s="60">
        <v>44730</v>
      </c>
      <c r="C814" s="59">
        <v>0</v>
      </c>
      <c r="D814" s="59">
        <f t="shared" ref="D814" si="479">G814+F814</f>
        <v>75916</v>
      </c>
      <c r="E814" s="59">
        <v>0</v>
      </c>
      <c r="F814" s="59">
        <f t="shared" ref="F814" si="480">F813-E814+C814</f>
        <v>3</v>
      </c>
      <c r="G814" s="83">
        <v>75913</v>
      </c>
      <c r="I814"/>
      <c r="J814"/>
    </row>
    <row r="815" spans="2:10" ht="15.75" x14ac:dyDescent="0.25">
      <c r="B815" s="60">
        <v>44731</v>
      </c>
      <c r="C815" s="59">
        <v>0</v>
      </c>
      <c r="D815" s="59">
        <f t="shared" ref="D815" si="481">G815+F815</f>
        <v>75915</v>
      </c>
      <c r="E815" s="59">
        <v>2</v>
      </c>
      <c r="F815" s="59">
        <f t="shared" ref="F815" si="482">F814-E815+C815</f>
        <v>1</v>
      </c>
      <c r="G815" s="83">
        <v>75914</v>
      </c>
      <c r="I815"/>
      <c r="J815"/>
    </row>
    <row r="816" spans="2:10" ht="15.75" x14ac:dyDescent="0.25">
      <c r="B816" s="60">
        <v>44732</v>
      </c>
      <c r="C816" s="59">
        <v>0</v>
      </c>
      <c r="D816" s="59">
        <f t="shared" ref="D816" si="483">G816+F816</f>
        <v>75912</v>
      </c>
      <c r="E816" s="59">
        <v>0</v>
      </c>
      <c r="F816" s="59">
        <f t="shared" ref="F816" si="484">F815-E816+C816</f>
        <v>1</v>
      </c>
      <c r="G816" s="83">
        <v>75911</v>
      </c>
      <c r="I816"/>
      <c r="J816"/>
    </row>
    <row r="817" spans="2:10" ht="15.75" x14ac:dyDescent="0.25">
      <c r="B817" s="60">
        <v>44733</v>
      </c>
      <c r="C817" s="59">
        <v>0</v>
      </c>
      <c r="D817" s="59">
        <f t="shared" ref="D817" si="485">G817+F817</f>
        <v>75910</v>
      </c>
      <c r="E817" s="59">
        <v>0</v>
      </c>
      <c r="F817" s="59">
        <f t="shared" ref="F817" si="486">F816-E817+C817</f>
        <v>1</v>
      </c>
      <c r="G817" s="83">
        <v>75909</v>
      </c>
      <c r="I817"/>
      <c r="J817"/>
    </row>
    <row r="818" spans="2:10" ht="15.75" x14ac:dyDescent="0.25">
      <c r="B818" s="60">
        <v>44734</v>
      </c>
      <c r="C818" s="59">
        <v>0</v>
      </c>
      <c r="D818" s="59">
        <f t="shared" ref="D818" si="487">G818+F818</f>
        <v>75908</v>
      </c>
      <c r="E818" s="59">
        <v>0</v>
      </c>
      <c r="F818" s="59">
        <f t="shared" ref="F818" si="488">F817-E818+C818</f>
        <v>1</v>
      </c>
      <c r="G818" s="83">
        <v>75907</v>
      </c>
      <c r="I818"/>
      <c r="J818"/>
    </row>
    <row r="819" spans="2:10" ht="15.75" x14ac:dyDescent="0.25">
      <c r="B819" s="60">
        <v>44735</v>
      </c>
      <c r="C819" s="59">
        <v>0</v>
      </c>
      <c r="D819" s="59">
        <f t="shared" ref="D819" si="489">G819+F819</f>
        <v>75906</v>
      </c>
      <c r="E819" s="59">
        <v>0</v>
      </c>
      <c r="F819" s="59">
        <f t="shared" ref="F819" si="490">F818-E819+C819</f>
        <v>1</v>
      </c>
      <c r="G819" s="83">
        <v>75905</v>
      </c>
      <c r="I819"/>
      <c r="J819"/>
    </row>
    <row r="820" spans="2:10" ht="15.75" x14ac:dyDescent="0.25">
      <c r="B820" s="60">
        <v>44736</v>
      </c>
      <c r="C820" s="59">
        <v>0</v>
      </c>
      <c r="D820" s="59">
        <f t="shared" ref="D820" si="491">G820+F820</f>
        <v>75905</v>
      </c>
      <c r="E820" s="59">
        <v>0</v>
      </c>
      <c r="F820" s="59">
        <f t="shared" ref="F820" si="492">F819-E820+C820</f>
        <v>1</v>
      </c>
      <c r="G820" s="83">
        <v>75904</v>
      </c>
      <c r="I820"/>
      <c r="J820"/>
    </row>
    <row r="821" spans="2:10" ht="15.75" x14ac:dyDescent="0.2">
      <c r="B821" s="60">
        <v>44737</v>
      </c>
      <c r="C821" s="59">
        <v>0</v>
      </c>
      <c r="D821" s="59">
        <f t="shared" ref="D821" si="493">G821+F821</f>
        <v>75904</v>
      </c>
      <c r="E821" s="59">
        <v>0</v>
      </c>
      <c r="F821" s="59">
        <f t="shared" ref="F821" si="494">F820-E821+C821</f>
        <v>1</v>
      </c>
      <c r="G821" s="83">
        <v>75903</v>
      </c>
    </row>
    <row r="822" spans="2:10" ht="15.75" x14ac:dyDescent="0.2">
      <c r="B822" s="60">
        <v>44738</v>
      </c>
      <c r="C822" s="59">
        <v>0</v>
      </c>
      <c r="D822" s="59">
        <f t="shared" ref="D822" si="495">G822+F822</f>
        <v>75904</v>
      </c>
      <c r="E822" s="59">
        <v>0</v>
      </c>
      <c r="F822" s="59">
        <f t="shared" ref="F822" si="496">F821-E822+C822</f>
        <v>1</v>
      </c>
      <c r="G822" s="83">
        <v>75903</v>
      </c>
    </row>
    <row r="823" spans="2:10" ht="15.75" x14ac:dyDescent="0.25">
      <c r="B823" s="60">
        <v>44739</v>
      </c>
      <c r="C823" s="59">
        <v>1</v>
      </c>
      <c r="D823" s="59">
        <f t="shared" ref="D823" si="497">G823+F823</f>
        <v>75905</v>
      </c>
      <c r="E823" s="59">
        <v>0</v>
      </c>
      <c r="F823" s="59">
        <f t="shared" ref="F823" si="498">F822-E823+C823</f>
        <v>2</v>
      </c>
      <c r="G823" s="83">
        <v>75903</v>
      </c>
      <c r="I823"/>
      <c r="J823"/>
    </row>
    <row r="824" spans="2:10" ht="15.75" x14ac:dyDescent="0.25">
      <c r="B824" s="60">
        <v>44740</v>
      </c>
      <c r="C824" s="59">
        <v>0</v>
      </c>
      <c r="D824" s="59">
        <f t="shared" ref="D824" si="499">G824+F824</f>
        <v>75904</v>
      </c>
      <c r="E824" s="59">
        <v>0</v>
      </c>
      <c r="F824" s="59">
        <f t="shared" ref="F824" si="500">F823-E824+C824</f>
        <v>2</v>
      </c>
      <c r="G824" s="83">
        <v>75902</v>
      </c>
      <c r="I824"/>
      <c r="J824"/>
    </row>
    <row r="825" spans="2:10" ht="15.75" x14ac:dyDescent="0.25">
      <c r="B825" s="60">
        <v>44741</v>
      </c>
      <c r="C825" s="59">
        <v>0</v>
      </c>
      <c r="D825" s="59">
        <f t="shared" ref="D825" si="501">G825+F825</f>
        <v>75903</v>
      </c>
      <c r="E825" s="59">
        <v>0</v>
      </c>
      <c r="F825" s="59">
        <f t="shared" ref="F825" si="502">F824-E825+C825</f>
        <v>2</v>
      </c>
      <c r="G825" s="83">
        <v>75901</v>
      </c>
      <c r="I825"/>
      <c r="J825"/>
    </row>
    <row r="826" spans="2:10" ht="15.75" x14ac:dyDescent="0.25">
      <c r="B826" s="60">
        <v>44742</v>
      </c>
      <c r="C826" s="59">
        <v>0</v>
      </c>
      <c r="D826" s="59">
        <f t="shared" ref="D826" si="503">G826+F826</f>
        <v>75901</v>
      </c>
      <c r="E826" s="59">
        <v>1</v>
      </c>
      <c r="F826" s="59">
        <f t="shared" ref="F826" si="504">F825-E826+C826</f>
        <v>1</v>
      </c>
      <c r="G826" s="83">
        <v>75900</v>
      </c>
      <c r="I826"/>
      <c r="J826"/>
    </row>
    <row r="827" spans="2:10" ht="15.75" x14ac:dyDescent="0.25">
      <c r="B827" s="60">
        <v>44743</v>
      </c>
      <c r="C827" s="59">
        <v>0</v>
      </c>
      <c r="D827" s="59">
        <f t="shared" ref="D827" si="505">G827+F827</f>
        <v>75897</v>
      </c>
      <c r="E827" s="59">
        <v>0</v>
      </c>
      <c r="F827" s="59">
        <f t="shared" ref="F827" si="506">F826-E827+C827</f>
        <v>1</v>
      </c>
      <c r="G827" s="83">
        <v>75896</v>
      </c>
      <c r="I827"/>
      <c r="J827"/>
    </row>
    <row r="828" spans="2:10" ht="15.75" x14ac:dyDescent="0.2">
      <c r="B828" s="60">
        <v>44744</v>
      </c>
      <c r="C828" s="59">
        <v>0</v>
      </c>
      <c r="D828" s="59">
        <f t="shared" ref="D828" si="507">G828+F828</f>
        <v>75895</v>
      </c>
      <c r="E828" s="59">
        <v>0</v>
      </c>
      <c r="F828" s="59">
        <f t="shared" ref="F828" si="508">F827-E828+C828</f>
        <v>1</v>
      </c>
      <c r="G828" s="83">
        <v>75894</v>
      </c>
    </row>
    <row r="829" spans="2:10" ht="15.75" x14ac:dyDescent="0.2">
      <c r="B829" s="60">
        <v>44745</v>
      </c>
      <c r="C829" s="59">
        <v>0</v>
      </c>
      <c r="D829" s="59">
        <f t="shared" ref="D829" si="509">G829+F829</f>
        <v>75893</v>
      </c>
      <c r="E829" s="59">
        <v>0</v>
      </c>
      <c r="F829" s="59">
        <f t="shared" ref="F829" si="510">F828-E829+C829</f>
        <v>1</v>
      </c>
      <c r="G829" s="83">
        <v>75892</v>
      </c>
    </row>
    <row r="830" spans="2:10" ht="15.75" x14ac:dyDescent="0.2">
      <c r="B830" s="60">
        <v>44746</v>
      </c>
      <c r="C830" s="59">
        <v>0</v>
      </c>
      <c r="D830" s="59">
        <f t="shared" ref="D830" si="511">G830+F830</f>
        <v>75892</v>
      </c>
      <c r="E830" s="59">
        <v>0</v>
      </c>
      <c r="F830" s="59">
        <f t="shared" ref="F830" si="512">F829-E830+C830</f>
        <v>1</v>
      </c>
      <c r="G830" s="83">
        <v>75891</v>
      </c>
    </row>
    <row r="831" spans="2:10" ht="15.75" x14ac:dyDescent="0.2">
      <c r="B831" s="60">
        <v>44747</v>
      </c>
      <c r="C831" s="59">
        <v>0</v>
      </c>
      <c r="D831" s="59">
        <f t="shared" ref="D831" si="513">G831+F831</f>
        <v>75892</v>
      </c>
      <c r="E831" s="59">
        <v>0</v>
      </c>
      <c r="F831" s="59">
        <f t="shared" ref="F831" si="514">F830-E831+C831</f>
        <v>1</v>
      </c>
      <c r="G831" s="83">
        <v>75891</v>
      </c>
    </row>
    <row r="832" spans="2:10" ht="15.75" x14ac:dyDescent="0.2">
      <c r="B832" s="60">
        <v>44748</v>
      </c>
      <c r="C832" s="59">
        <v>0</v>
      </c>
      <c r="D832" s="59">
        <f t="shared" ref="D832" si="515">G832+F832</f>
        <v>75890</v>
      </c>
      <c r="E832" s="59">
        <v>0</v>
      </c>
      <c r="F832" s="59">
        <f t="shared" ref="F832" si="516">F831-E832+C832</f>
        <v>1</v>
      </c>
      <c r="G832" s="83">
        <v>75889</v>
      </c>
    </row>
    <row r="833" spans="2:7" ht="15.75" x14ac:dyDescent="0.2">
      <c r="B833" s="60">
        <v>44749</v>
      </c>
      <c r="C833" s="59">
        <v>0</v>
      </c>
      <c r="D833" s="59">
        <f t="shared" ref="D833" si="517">G833+F833</f>
        <v>75886</v>
      </c>
      <c r="E833" s="59">
        <v>0</v>
      </c>
      <c r="F833" s="59">
        <f t="shared" ref="F833" si="518">F832-E833+C833</f>
        <v>1</v>
      </c>
      <c r="G833" s="83">
        <v>75885</v>
      </c>
    </row>
    <row r="834" spans="2:7" ht="15.75" x14ac:dyDescent="0.2">
      <c r="B834" s="60">
        <v>44750</v>
      </c>
      <c r="C834" s="59">
        <v>0</v>
      </c>
      <c r="D834" s="59">
        <f t="shared" ref="D834" si="519">G834+F834</f>
        <v>75885</v>
      </c>
      <c r="E834" s="59">
        <v>0</v>
      </c>
      <c r="F834" s="59">
        <f t="shared" ref="F834" si="520">F833-E834+C834</f>
        <v>1</v>
      </c>
      <c r="G834" s="83">
        <v>75884</v>
      </c>
    </row>
    <row r="835" spans="2:7" ht="15.75" x14ac:dyDescent="0.2">
      <c r="B835" s="60">
        <v>44751</v>
      </c>
      <c r="C835" s="59">
        <v>0</v>
      </c>
      <c r="D835" s="59">
        <f t="shared" ref="D835" si="521">G835+F835</f>
        <v>75883</v>
      </c>
      <c r="E835" s="59">
        <v>1</v>
      </c>
      <c r="F835" s="59">
        <f t="shared" ref="F835" si="522">F834-E835+C835</f>
        <v>0</v>
      </c>
      <c r="G835" s="83">
        <v>75883</v>
      </c>
    </row>
    <row r="836" spans="2:7" ht="15.75" x14ac:dyDescent="0.2">
      <c r="B836" s="60">
        <v>44752</v>
      </c>
      <c r="C836" s="59">
        <v>0</v>
      </c>
      <c r="D836" s="59">
        <f t="shared" ref="D836" si="523">G836+F836</f>
        <v>75882</v>
      </c>
      <c r="E836" s="59">
        <v>0</v>
      </c>
      <c r="F836" s="59">
        <f t="shared" ref="F836" si="524">F835-E836+C836</f>
        <v>0</v>
      </c>
      <c r="G836" s="83">
        <v>75882</v>
      </c>
    </row>
    <row r="837" spans="2:7" ht="15.75" x14ac:dyDescent="0.2">
      <c r="B837" s="60">
        <v>44753</v>
      </c>
      <c r="C837" s="59">
        <v>0</v>
      </c>
      <c r="D837" s="59">
        <f t="shared" ref="D837" si="525">G837+F837</f>
        <v>75878</v>
      </c>
      <c r="E837" s="59">
        <v>0</v>
      </c>
      <c r="F837" s="59">
        <f t="shared" ref="F837" si="526">F836-E837+C837</f>
        <v>0</v>
      </c>
      <c r="G837" s="83">
        <v>75878</v>
      </c>
    </row>
    <row r="838" spans="2:7" ht="15.75" x14ac:dyDescent="0.2">
      <c r="B838" s="60">
        <v>44754</v>
      </c>
      <c r="C838" s="59">
        <v>0</v>
      </c>
      <c r="D838" s="59">
        <f t="shared" ref="D838" si="527">G838+F838</f>
        <v>75878</v>
      </c>
      <c r="E838" s="59">
        <v>0</v>
      </c>
      <c r="F838" s="59">
        <f t="shared" ref="F838" si="528">F837-E838+C838</f>
        <v>0</v>
      </c>
      <c r="G838" s="83">
        <v>75878</v>
      </c>
    </row>
    <row r="839" spans="2:7" ht="15.75" x14ac:dyDescent="0.2">
      <c r="B839" s="60">
        <v>44755</v>
      </c>
      <c r="C839" s="59">
        <v>0</v>
      </c>
      <c r="D839" s="59">
        <f t="shared" ref="D839" si="529">G839+F839</f>
        <v>75875</v>
      </c>
      <c r="E839" s="59">
        <v>0</v>
      </c>
      <c r="F839" s="59">
        <f t="shared" ref="F839" si="530">F838-E839+C839</f>
        <v>0</v>
      </c>
      <c r="G839" s="83">
        <v>75875</v>
      </c>
    </row>
    <row r="840" spans="2:7" ht="15.75" x14ac:dyDescent="0.2">
      <c r="B840" s="60">
        <v>44756</v>
      </c>
      <c r="C840" s="59">
        <v>0</v>
      </c>
      <c r="D840" s="59">
        <f t="shared" ref="D840" si="531">G840+F840</f>
        <v>75873</v>
      </c>
      <c r="E840" s="59">
        <v>0</v>
      </c>
      <c r="F840" s="59">
        <f t="shared" ref="F840" si="532">F839-E840+C840</f>
        <v>0</v>
      </c>
      <c r="G840" s="83">
        <v>75873</v>
      </c>
    </row>
    <row r="841" spans="2:7" ht="15.75" x14ac:dyDescent="0.2">
      <c r="B841" s="60">
        <v>44757</v>
      </c>
      <c r="C841" s="59">
        <v>0</v>
      </c>
      <c r="D841" s="59">
        <f t="shared" ref="D841" si="533">G841+F841</f>
        <v>75869</v>
      </c>
      <c r="E841" s="59">
        <v>0</v>
      </c>
      <c r="F841" s="59">
        <f t="shared" ref="F841" si="534">F840-E841+C841</f>
        <v>0</v>
      </c>
      <c r="G841" s="83">
        <v>75869</v>
      </c>
    </row>
    <row r="842" spans="2:7" ht="15.75" x14ac:dyDescent="0.2">
      <c r="B842" s="60">
        <v>44758</v>
      </c>
      <c r="C842" s="59">
        <v>0</v>
      </c>
      <c r="D842" s="59">
        <f t="shared" ref="D842" si="535">G842+F842</f>
        <v>75869</v>
      </c>
      <c r="E842" s="59">
        <v>0</v>
      </c>
      <c r="F842" s="59">
        <f t="shared" ref="F842" si="536">F841-E842+C842</f>
        <v>0</v>
      </c>
      <c r="G842" s="83">
        <v>75869</v>
      </c>
    </row>
    <row r="843" spans="2:7" ht="15.75" x14ac:dyDescent="0.2">
      <c r="B843" s="60">
        <v>44759</v>
      </c>
      <c r="C843" s="59">
        <v>0</v>
      </c>
      <c r="D843" s="59">
        <f t="shared" ref="D843" si="537">G843+F843</f>
        <v>75866</v>
      </c>
      <c r="E843" s="59">
        <v>0</v>
      </c>
      <c r="F843" s="59">
        <f t="shared" ref="F843" si="538">F842-E843+C843</f>
        <v>0</v>
      </c>
      <c r="G843" s="83">
        <v>75866</v>
      </c>
    </row>
    <row r="844" spans="2:7" ht="15.75" x14ac:dyDescent="0.2">
      <c r="B844" s="60">
        <v>44760</v>
      </c>
      <c r="C844" s="59">
        <v>0</v>
      </c>
      <c r="D844" s="59">
        <f t="shared" ref="D844" si="539">G844+F844</f>
        <v>75865</v>
      </c>
      <c r="E844" s="59">
        <v>0</v>
      </c>
      <c r="F844" s="59">
        <f t="shared" ref="F844" si="540">F843-E844+C844</f>
        <v>0</v>
      </c>
      <c r="G844" s="83">
        <v>75865</v>
      </c>
    </row>
    <row r="845" spans="2:7" ht="15.75" x14ac:dyDescent="0.2">
      <c r="B845" s="60">
        <v>44761</v>
      </c>
      <c r="C845" s="59">
        <v>0</v>
      </c>
      <c r="D845" s="59">
        <f t="shared" ref="D845" si="541">G845+F845</f>
        <v>75864</v>
      </c>
      <c r="E845" s="59">
        <v>0</v>
      </c>
      <c r="F845" s="59">
        <f t="shared" ref="F845" si="542">F844-E845+C845</f>
        <v>0</v>
      </c>
      <c r="G845" s="83">
        <v>75864</v>
      </c>
    </row>
    <row r="846" spans="2:7" ht="15.75" x14ac:dyDescent="0.2">
      <c r="B846" s="60">
        <v>44762</v>
      </c>
      <c r="C846" s="59">
        <v>0</v>
      </c>
      <c r="D846" s="59">
        <f t="shared" ref="D846" si="543">G846+F846</f>
        <v>75864</v>
      </c>
      <c r="E846" s="59">
        <v>0</v>
      </c>
      <c r="F846" s="59">
        <f t="shared" ref="F846" si="544">F845-E846+C846</f>
        <v>0</v>
      </c>
      <c r="G846" s="83">
        <v>75864</v>
      </c>
    </row>
    <row r="847" spans="2:7" ht="15.75" x14ac:dyDescent="0.2">
      <c r="B847" s="60">
        <v>44763</v>
      </c>
      <c r="C847" s="59">
        <v>0</v>
      </c>
      <c r="D847" s="59">
        <f t="shared" ref="D847" si="545">G847+F847</f>
        <v>75862</v>
      </c>
      <c r="E847" s="59">
        <v>0</v>
      </c>
      <c r="F847" s="59">
        <f t="shared" ref="F847" si="546">F846-E847+C847</f>
        <v>0</v>
      </c>
      <c r="G847" s="83">
        <v>75862</v>
      </c>
    </row>
    <row r="848" spans="2:7" ht="15.75" x14ac:dyDescent="0.2">
      <c r="B848" s="60">
        <v>44764</v>
      </c>
      <c r="C848" s="59">
        <v>0</v>
      </c>
      <c r="D848" s="59">
        <f t="shared" ref="D848" si="547">G848+F848</f>
        <v>75862</v>
      </c>
      <c r="E848" s="59">
        <v>0</v>
      </c>
      <c r="F848" s="59">
        <f t="shared" ref="F848" si="548">F847-E848+C848</f>
        <v>0</v>
      </c>
      <c r="G848" s="83">
        <v>75862</v>
      </c>
    </row>
    <row r="849" spans="2:7" ht="15.75" x14ac:dyDescent="0.2">
      <c r="B849" s="60">
        <v>44765</v>
      </c>
      <c r="C849" s="59">
        <v>0</v>
      </c>
      <c r="D849" s="59">
        <f t="shared" ref="D849" si="549">G849+F849</f>
        <v>75862</v>
      </c>
      <c r="E849" s="59">
        <v>0</v>
      </c>
      <c r="F849" s="59">
        <f t="shared" ref="F849" si="550">F848-E849+C849</f>
        <v>0</v>
      </c>
      <c r="G849" s="83">
        <v>75862</v>
      </c>
    </row>
    <row r="850" spans="2:7" ht="15.75" x14ac:dyDescent="0.2">
      <c r="B850" s="60">
        <v>44766</v>
      </c>
      <c r="C850" s="59">
        <v>9</v>
      </c>
      <c r="D850" s="59">
        <f t="shared" ref="D850" si="551">G850+F850</f>
        <v>75865</v>
      </c>
      <c r="E850" s="59">
        <v>0</v>
      </c>
      <c r="F850" s="59">
        <f t="shared" ref="F850" si="552">F849-E850+C850</f>
        <v>9</v>
      </c>
      <c r="G850" s="83">
        <v>75856</v>
      </c>
    </row>
    <row r="851" spans="2:7" ht="15.75" x14ac:dyDescent="0.2">
      <c r="B851" s="60">
        <v>44767</v>
      </c>
      <c r="C851" s="59">
        <v>0</v>
      </c>
      <c r="D851" s="59">
        <f t="shared" ref="D851" si="553">G851+F851</f>
        <v>75865</v>
      </c>
      <c r="E851" s="59">
        <v>0</v>
      </c>
      <c r="F851" s="59">
        <f t="shared" ref="F851" si="554">F850-E851+C851</f>
        <v>9</v>
      </c>
      <c r="G851" s="83">
        <v>75856</v>
      </c>
    </row>
    <row r="852" spans="2:7" ht="15.75" x14ac:dyDescent="0.2">
      <c r="B852" s="60">
        <v>44768</v>
      </c>
      <c r="C852" s="59">
        <v>0</v>
      </c>
      <c r="D852" s="59">
        <f t="shared" ref="D852" si="555">G852+F852</f>
        <v>75863</v>
      </c>
      <c r="E852" s="59">
        <v>0</v>
      </c>
      <c r="F852" s="59">
        <f t="shared" ref="F852" si="556">F851-E852+C852</f>
        <v>9</v>
      </c>
      <c r="G852" s="83">
        <v>75854</v>
      </c>
    </row>
    <row r="853" spans="2:7" ht="15.75" x14ac:dyDescent="0.2">
      <c r="B853" s="60">
        <v>44769</v>
      </c>
      <c r="C853" s="59">
        <v>0</v>
      </c>
      <c r="D853" s="59">
        <f t="shared" ref="D853" si="557">G853+F853</f>
        <v>75858</v>
      </c>
      <c r="E853" s="59">
        <v>0</v>
      </c>
      <c r="F853" s="59">
        <f t="shared" ref="F853" si="558">F852-E853+C853</f>
        <v>9</v>
      </c>
      <c r="G853" s="83">
        <v>75849</v>
      </c>
    </row>
    <row r="854" spans="2:7" ht="15.75" x14ac:dyDescent="0.2">
      <c r="B854" s="60">
        <v>44770</v>
      </c>
      <c r="C854" s="59">
        <v>10</v>
      </c>
      <c r="D854" s="59">
        <f t="shared" ref="D854" si="559">G854+F854</f>
        <v>75868</v>
      </c>
      <c r="E854" s="59">
        <v>0</v>
      </c>
      <c r="F854" s="59">
        <f t="shared" ref="F854" si="560">F853-E854+C854</f>
        <v>19</v>
      </c>
      <c r="G854" s="83">
        <v>75849</v>
      </c>
    </row>
    <row r="855" spans="2:7" ht="15.75" x14ac:dyDescent="0.2">
      <c r="B855" s="60">
        <v>44771</v>
      </c>
      <c r="C855" s="59">
        <v>1</v>
      </c>
      <c r="D855" s="59">
        <f t="shared" ref="D855" si="561">G855+F855</f>
        <v>75868</v>
      </c>
      <c r="E855" s="59">
        <v>0</v>
      </c>
      <c r="F855" s="59">
        <f t="shared" ref="F855" si="562">F854-E855+C855</f>
        <v>20</v>
      </c>
      <c r="G855" s="83">
        <v>75848</v>
      </c>
    </row>
    <row r="856" spans="2:7" ht="15.75" x14ac:dyDescent="0.2">
      <c r="B856" s="60">
        <v>44772</v>
      </c>
      <c r="C856" s="59">
        <v>0</v>
      </c>
      <c r="D856" s="59">
        <f t="shared" ref="D856" si="563">G856+F856</f>
        <v>75867</v>
      </c>
      <c r="E856" s="59">
        <v>0</v>
      </c>
      <c r="F856" s="59">
        <f t="shared" ref="F856" si="564">F855-E856+C856</f>
        <v>20</v>
      </c>
      <c r="G856" s="83">
        <v>75847</v>
      </c>
    </row>
    <row r="857" spans="2:7" ht="15.75" x14ac:dyDescent="0.2">
      <c r="B857" s="60">
        <v>44773</v>
      </c>
      <c r="C857" s="59">
        <v>0</v>
      </c>
      <c r="D857" s="59">
        <f t="shared" ref="D857" si="565">G857+F857</f>
        <v>75867</v>
      </c>
      <c r="E857" s="59">
        <v>0</v>
      </c>
      <c r="F857" s="59">
        <f t="shared" ref="F857" si="566">F856-E857+C857</f>
        <v>20</v>
      </c>
      <c r="G857" s="83">
        <v>75847</v>
      </c>
    </row>
    <row r="858" spans="2:7" ht="15.75" x14ac:dyDescent="0.2">
      <c r="B858" s="60">
        <v>44774</v>
      </c>
      <c r="C858" s="59">
        <v>0</v>
      </c>
      <c r="D858" s="59">
        <f t="shared" ref="D858" si="567">G858+F858</f>
        <v>75865</v>
      </c>
      <c r="E858" s="59">
        <v>1</v>
      </c>
      <c r="F858" s="59">
        <f t="shared" ref="F858" si="568">F857-E858+C858</f>
        <v>19</v>
      </c>
      <c r="G858" s="83">
        <v>75846</v>
      </c>
    </row>
    <row r="859" spans="2:7" ht="15.75" x14ac:dyDescent="0.2">
      <c r="B859" s="60">
        <v>44775</v>
      </c>
      <c r="C859" s="59">
        <v>3</v>
      </c>
      <c r="D859" s="59">
        <f t="shared" ref="D859" si="569">G859+F859</f>
        <v>75867</v>
      </c>
      <c r="E859" s="59">
        <v>0</v>
      </c>
      <c r="F859" s="59">
        <f t="shared" ref="F859" si="570">F858-E859+C859</f>
        <v>22</v>
      </c>
      <c r="G859" s="83">
        <v>75845</v>
      </c>
    </row>
    <row r="860" spans="2:7" ht="15.75" x14ac:dyDescent="0.2">
      <c r="B860" s="60">
        <v>44776</v>
      </c>
      <c r="C860" s="59">
        <v>18</v>
      </c>
      <c r="D860" s="59">
        <f t="shared" ref="D860" si="571">G860+F860</f>
        <v>75882</v>
      </c>
      <c r="E860" s="59">
        <v>0</v>
      </c>
      <c r="F860" s="59">
        <f t="shared" ref="F860" si="572">F859-E860+C860</f>
        <v>40</v>
      </c>
      <c r="G860" s="83">
        <v>75842</v>
      </c>
    </row>
    <row r="861" spans="2:7" ht="15.75" x14ac:dyDescent="0.2">
      <c r="B861" s="60">
        <v>44777</v>
      </c>
      <c r="C861" s="59">
        <v>3</v>
      </c>
      <c r="D861" s="59">
        <f t="shared" ref="D861" si="573">G861+F861</f>
        <v>75881</v>
      </c>
      <c r="E861" s="59">
        <v>1</v>
      </c>
      <c r="F861" s="59">
        <f t="shared" ref="F861" si="574">F860-E861+C861</f>
        <v>42</v>
      </c>
      <c r="G861" s="83">
        <v>75839</v>
      </c>
    </row>
    <row r="862" spans="2:7" ht="15.75" x14ac:dyDescent="0.2">
      <c r="B862" s="60">
        <v>44778</v>
      </c>
      <c r="C862" s="59">
        <v>5</v>
      </c>
      <c r="D862" s="59">
        <f t="shared" ref="D862" si="575">G862+F862</f>
        <v>75882</v>
      </c>
      <c r="E862" s="59">
        <v>8</v>
      </c>
      <c r="F862" s="59">
        <f t="shared" ref="F862" si="576">F861-E862+C862</f>
        <v>39</v>
      </c>
      <c r="G862" s="83">
        <v>75843</v>
      </c>
    </row>
    <row r="863" spans="2:7" ht="15.75" x14ac:dyDescent="0.2">
      <c r="B863" s="60">
        <v>44779</v>
      </c>
      <c r="C863" s="59">
        <v>19</v>
      </c>
      <c r="D863" s="59">
        <f t="shared" ref="D863" si="577">G863+F863</f>
        <v>75898</v>
      </c>
      <c r="E863" s="59">
        <v>0</v>
      </c>
      <c r="F863" s="59">
        <f t="shared" ref="F863" si="578">F862-E863+C863</f>
        <v>58</v>
      </c>
      <c r="G863" s="83">
        <v>75840</v>
      </c>
    </row>
    <row r="864" spans="2:7" ht="15.75" x14ac:dyDescent="0.2">
      <c r="B864" s="60">
        <v>44780</v>
      </c>
      <c r="C864" s="59">
        <v>0</v>
      </c>
      <c r="D864" s="59">
        <f t="shared" ref="D864" si="579">G864+F864</f>
        <v>75898</v>
      </c>
      <c r="E864" s="59">
        <v>3</v>
      </c>
      <c r="F864" s="59">
        <f t="shared" ref="F864" si="580">F863-E864+C864</f>
        <v>55</v>
      </c>
      <c r="G864" s="83">
        <v>75843</v>
      </c>
    </row>
    <row r="865" spans="2:7" ht="15.75" x14ac:dyDescent="0.2">
      <c r="B865" s="60">
        <v>44781</v>
      </c>
      <c r="C865" s="59">
        <v>0</v>
      </c>
      <c r="D865" s="59">
        <f t="shared" ref="D865" si="581">G865+F865</f>
        <v>75898</v>
      </c>
      <c r="E865" s="59">
        <v>10</v>
      </c>
      <c r="F865" s="59">
        <f t="shared" ref="F865" si="582">F864-E865+C865</f>
        <v>45</v>
      </c>
      <c r="G865" s="83">
        <v>75853</v>
      </c>
    </row>
    <row r="866" spans="2:7" ht="15.75" x14ac:dyDescent="0.2">
      <c r="B866" s="60">
        <v>44782</v>
      </c>
      <c r="C866" s="59">
        <v>0</v>
      </c>
      <c r="D866" s="59">
        <f t="shared" ref="D866" si="583">G866+F866</f>
        <v>75896</v>
      </c>
      <c r="E866" s="59">
        <v>0</v>
      </c>
      <c r="F866" s="59">
        <f t="shared" ref="F866" si="584">F865-E866+C866</f>
        <v>45</v>
      </c>
      <c r="G866" s="83">
        <v>75851</v>
      </c>
    </row>
    <row r="867" spans="2:7" ht="15.75" x14ac:dyDescent="0.2">
      <c r="B867" s="60">
        <v>44783</v>
      </c>
      <c r="C867" s="59">
        <v>0</v>
      </c>
      <c r="D867" s="59">
        <f t="shared" ref="D867" si="585">G867+F867</f>
        <v>75895</v>
      </c>
      <c r="E867" s="59">
        <v>0</v>
      </c>
      <c r="F867" s="59">
        <f t="shared" ref="F867" si="586">F866-E867+C867</f>
        <v>45</v>
      </c>
      <c r="G867" s="83">
        <v>75850</v>
      </c>
    </row>
    <row r="868" spans="2:7" ht="15.75" x14ac:dyDescent="0.2">
      <c r="B868" s="60">
        <v>44784</v>
      </c>
      <c r="C868" s="59">
        <v>0</v>
      </c>
      <c r="D868" s="59">
        <f t="shared" ref="D868" si="587">G868+F868</f>
        <v>75892</v>
      </c>
      <c r="E868" s="59">
        <v>1</v>
      </c>
      <c r="F868" s="59">
        <f t="shared" ref="F868" si="588">F867-E868+C868</f>
        <v>44</v>
      </c>
      <c r="G868" s="83">
        <v>75848</v>
      </c>
    </row>
    <row r="869" spans="2:7" ht="15.75" x14ac:dyDescent="0.2">
      <c r="B869" s="60">
        <v>44785</v>
      </c>
      <c r="C869" s="59">
        <v>0</v>
      </c>
      <c r="D869" s="59">
        <f t="shared" ref="D869" si="589">G869+F869</f>
        <v>75892</v>
      </c>
      <c r="E869" s="59">
        <v>0</v>
      </c>
      <c r="F869" s="59">
        <f t="shared" ref="F869" si="590">F868-E869+C869</f>
        <v>44</v>
      </c>
      <c r="G869" s="83">
        <v>75848</v>
      </c>
    </row>
    <row r="870" spans="2:7" ht="15.75" x14ac:dyDescent="0.2">
      <c r="B870" s="60">
        <v>44786</v>
      </c>
      <c r="C870" s="59">
        <v>0</v>
      </c>
      <c r="D870" s="59">
        <f t="shared" ref="D870" si="591">G870+F870</f>
        <v>75890</v>
      </c>
      <c r="E870" s="59">
        <v>0</v>
      </c>
      <c r="F870" s="59">
        <f t="shared" ref="F870" si="592">F869-E870+C870</f>
        <v>44</v>
      </c>
      <c r="G870" s="83">
        <v>75846</v>
      </c>
    </row>
    <row r="871" spans="2:7" ht="15.75" x14ac:dyDescent="0.2">
      <c r="B871" s="60">
        <v>44787</v>
      </c>
      <c r="C871" s="59">
        <v>0</v>
      </c>
      <c r="D871" s="59">
        <f t="shared" ref="D871" si="593">G871+F871</f>
        <v>75889</v>
      </c>
      <c r="E871" s="59">
        <v>0</v>
      </c>
      <c r="F871" s="59">
        <f t="shared" ref="F871" si="594">F870-E871+C871</f>
        <v>44</v>
      </c>
      <c r="G871" s="83">
        <v>75845</v>
      </c>
    </row>
    <row r="872" spans="2:7" ht="15.75" x14ac:dyDescent="0.2">
      <c r="B872" s="60">
        <v>44788</v>
      </c>
      <c r="C872" s="59">
        <v>0</v>
      </c>
      <c r="D872" s="59">
        <f t="shared" ref="D872" si="595">G872+F872</f>
        <v>75888</v>
      </c>
      <c r="E872" s="59">
        <v>17</v>
      </c>
      <c r="F872" s="59">
        <f t="shared" ref="F872" si="596">F871-E872+C872</f>
        <v>27</v>
      </c>
      <c r="G872" s="83">
        <v>75861</v>
      </c>
    </row>
    <row r="873" spans="2:7" ht="15.75" x14ac:dyDescent="0.2">
      <c r="B873" s="60">
        <v>44789</v>
      </c>
      <c r="C873" s="59">
        <v>0</v>
      </c>
      <c r="D873" s="59">
        <f t="shared" ref="D873" si="597">G873+F873</f>
        <v>75885</v>
      </c>
      <c r="E873" s="59">
        <v>0</v>
      </c>
      <c r="F873" s="59">
        <f t="shared" ref="F873" si="598">F872-E873+C873</f>
        <v>27</v>
      </c>
      <c r="G873" s="83">
        <v>75858</v>
      </c>
    </row>
    <row r="874" spans="2:7" ht="15.75" x14ac:dyDescent="0.2">
      <c r="B874" s="60">
        <v>44790</v>
      </c>
      <c r="C874" s="59">
        <v>0</v>
      </c>
      <c r="D874" s="59">
        <f t="shared" ref="D874" si="599">G874+F874</f>
        <v>75883</v>
      </c>
      <c r="E874" s="59">
        <v>3</v>
      </c>
      <c r="F874" s="59">
        <f t="shared" ref="F874" si="600">F873-E874+C874</f>
        <v>24</v>
      </c>
      <c r="G874" s="83">
        <v>75859</v>
      </c>
    </row>
    <row r="875" spans="2:7" ht="15.75" x14ac:dyDescent="0.2">
      <c r="B875" s="60">
        <v>44791</v>
      </c>
      <c r="C875" s="59">
        <v>8</v>
      </c>
      <c r="D875" s="59">
        <f t="shared" ref="D875" si="601">G875+F875</f>
        <v>75890</v>
      </c>
      <c r="E875" s="59">
        <v>18</v>
      </c>
      <c r="F875" s="59">
        <f t="shared" ref="F875" si="602">F874-E875+C875</f>
        <v>14</v>
      </c>
      <c r="G875" s="83">
        <v>75876</v>
      </c>
    </row>
    <row r="876" spans="2:7" ht="15.75" x14ac:dyDescent="0.2">
      <c r="B876" s="60">
        <v>44792</v>
      </c>
      <c r="C876" s="59">
        <v>3</v>
      </c>
      <c r="D876" s="59">
        <f t="shared" ref="D876" si="603">G876+F876</f>
        <v>75893</v>
      </c>
      <c r="E876" s="59">
        <v>6</v>
      </c>
      <c r="F876" s="59">
        <f t="shared" ref="F876" si="604">F875-E876+C876</f>
        <v>11</v>
      </c>
      <c r="G876" s="83">
        <v>75882</v>
      </c>
    </row>
    <row r="877" spans="2:7" ht="15.75" x14ac:dyDescent="0.2">
      <c r="B877" s="60">
        <v>44793</v>
      </c>
      <c r="C877" s="59">
        <v>0</v>
      </c>
      <c r="D877" s="59">
        <f t="shared" ref="D877" si="605">G877+F877</f>
        <v>75892</v>
      </c>
      <c r="E877" s="59">
        <v>0</v>
      </c>
      <c r="F877" s="59">
        <f t="shared" ref="F877" si="606">F876-E877+C877</f>
        <v>11</v>
      </c>
      <c r="G877" s="83">
        <v>75881</v>
      </c>
    </row>
    <row r="878" spans="2:7" ht="15.75" x14ac:dyDescent="0.2">
      <c r="B878" s="60">
        <v>44794</v>
      </c>
      <c r="C878" s="59">
        <v>0</v>
      </c>
      <c r="D878" s="59">
        <f t="shared" ref="D878" si="607">G878+F878</f>
        <v>75891</v>
      </c>
      <c r="E878" s="59">
        <v>0</v>
      </c>
      <c r="F878" s="59">
        <f t="shared" ref="F878" si="608">F877-E878+C878</f>
        <v>11</v>
      </c>
      <c r="G878" s="83">
        <v>75880</v>
      </c>
    </row>
    <row r="879" spans="2:7" ht="15.75" x14ac:dyDescent="0.2">
      <c r="B879" s="60">
        <v>44795</v>
      </c>
      <c r="C879" s="59">
        <v>3</v>
      </c>
      <c r="D879" s="59">
        <f t="shared" ref="D879" si="609">G879+F879</f>
        <v>75893</v>
      </c>
      <c r="E879" s="59">
        <v>0</v>
      </c>
      <c r="F879" s="59">
        <f t="shared" ref="F879" si="610">F878-E879+C879</f>
        <v>14</v>
      </c>
      <c r="G879" s="83">
        <v>75879</v>
      </c>
    </row>
    <row r="880" spans="2:7" ht="15.75" x14ac:dyDescent="0.2">
      <c r="B880" s="60">
        <v>44796</v>
      </c>
      <c r="C880" s="59">
        <v>0</v>
      </c>
      <c r="D880" s="59">
        <f t="shared" ref="D880" si="611">G880+F880</f>
        <v>75892</v>
      </c>
      <c r="E880" s="59">
        <v>0</v>
      </c>
      <c r="F880" s="59">
        <f t="shared" ref="F880" si="612">F879-E880+C880</f>
        <v>14</v>
      </c>
      <c r="G880" s="83">
        <v>75878</v>
      </c>
    </row>
    <row r="881" spans="2:7" ht="15.75" x14ac:dyDescent="0.2">
      <c r="B881" s="60">
        <v>44797</v>
      </c>
      <c r="C881" s="59">
        <v>0</v>
      </c>
      <c r="D881" s="59">
        <f t="shared" ref="D881" si="613">G881+F881</f>
        <v>75885</v>
      </c>
      <c r="E881" s="59">
        <v>0</v>
      </c>
      <c r="F881" s="59">
        <f t="shared" ref="F881" si="614">F880-E881+C881</f>
        <v>14</v>
      </c>
      <c r="G881" s="83">
        <v>75871</v>
      </c>
    </row>
    <row r="882" spans="2:7" ht="15.75" x14ac:dyDescent="0.2">
      <c r="B882" s="60">
        <v>44798</v>
      </c>
      <c r="C882" s="59">
        <v>3</v>
      </c>
      <c r="D882" s="59">
        <f t="shared" ref="D882" si="615">G882+F882</f>
        <v>75888</v>
      </c>
      <c r="E882" s="59">
        <v>0</v>
      </c>
      <c r="F882" s="59">
        <f t="shared" ref="F882" si="616">F881-E882+C882</f>
        <v>17</v>
      </c>
      <c r="G882" s="83">
        <v>75871</v>
      </c>
    </row>
    <row r="883" spans="2:7" ht="15.75" x14ac:dyDescent="0.2">
      <c r="B883" s="60">
        <v>44799</v>
      </c>
      <c r="C883" s="59">
        <v>0</v>
      </c>
      <c r="D883" s="59">
        <f t="shared" ref="D883" si="617">G883+F883</f>
        <v>75888</v>
      </c>
      <c r="E883" s="59">
        <v>0</v>
      </c>
      <c r="F883" s="59">
        <f t="shared" ref="F883" si="618">F882-E883+C883</f>
        <v>17</v>
      </c>
      <c r="G883" s="83">
        <v>75871</v>
      </c>
    </row>
    <row r="884" spans="2:7" ht="15.75" x14ac:dyDescent="0.2">
      <c r="B884" s="60">
        <v>44800</v>
      </c>
      <c r="C884" s="59">
        <v>0</v>
      </c>
      <c r="D884" s="59">
        <f t="shared" ref="D884" si="619">G884+F884</f>
        <v>75887</v>
      </c>
      <c r="E884" s="59">
        <v>0</v>
      </c>
      <c r="F884" s="59">
        <f t="shared" ref="F884" si="620">F883-E884+C884</f>
        <v>17</v>
      </c>
      <c r="G884" s="83">
        <v>75870</v>
      </c>
    </row>
    <row r="885" spans="2:7" ht="15.75" x14ac:dyDescent="0.2">
      <c r="B885" s="60">
        <v>44801</v>
      </c>
      <c r="C885" s="59">
        <v>0</v>
      </c>
      <c r="D885" s="59">
        <f t="shared" ref="D885" si="621">G885+F885</f>
        <v>75887</v>
      </c>
      <c r="E885" s="59">
        <v>0</v>
      </c>
      <c r="F885" s="59">
        <f t="shared" ref="F885" si="622">F884-E885+C885</f>
        <v>17</v>
      </c>
      <c r="G885" s="83">
        <v>75870</v>
      </c>
    </row>
    <row r="886" spans="2:7" ht="15.75" x14ac:dyDescent="0.2">
      <c r="B886" s="60">
        <v>44802</v>
      </c>
      <c r="C886" s="59">
        <v>0</v>
      </c>
      <c r="D886" s="59">
        <f t="shared" ref="D886" si="623">G886+F886</f>
        <v>75885</v>
      </c>
      <c r="E886" s="59">
        <v>0</v>
      </c>
      <c r="F886" s="59">
        <f t="shared" ref="F886" si="624">F885-E886+C886</f>
        <v>17</v>
      </c>
      <c r="G886" s="83">
        <v>75868</v>
      </c>
    </row>
    <row r="887" spans="2:7" ht="15.75" x14ac:dyDescent="0.2">
      <c r="B887" s="60">
        <v>44803</v>
      </c>
      <c r="C887" s="59">
        <v>0</v>
      </c>
      <c r="D887" s="59">
        <f t="shared" ref="D887" si="625">G887+F887</f>
        <v>75881</v>
      </c>
      <c r="E887" s="59">
        <v>14</v>
      </c>
      <c r="F887" s="59">
        <f t="shared" ref="F887" si="626">F886-E887+C887</f>
        <v>3</v>
      </c>
      <c r="G887" s="83">
        <v>75878</v>
      </c>
    </row>
    <row r="888" spans="2:7" ht="15.75" x14ac:dyDescent="0.2">
      <c r="B888" s="60">
        <v>44804</v>
      </c>
      <c r="C888" s="59">
        <v>1</v>
      </c>
      <c r="D888" s="59">
        <f t="shared" ref="D888" si="627">G888+F888</f>
        <v>75880</v>
      </c>
      <c r="E888" s="59">
        <v>0</v>
      </c>
      <c r="F888" s="59">
        <f t="shared" ref="F888" si="628">F887-E888+C888</f>
        <v>4</v>
      </c>
      <c r="G888" s="83">
        <v>75876</v>
      </c>
    </row>
    <row r="889" spans="2:7" ht="15.75" x14ac:dyDescent="0.2">
      <c r="B889" s="60">
        <v>44805</v>
      </c>
      <c r="C889" s="59">
        <v>0</v>
      </c>
      <c r="D889" s="59">
        <f t="shared" ref="D889" si="629">G889+F889</f>
        <v>75880</v>
      </c>
      <c r="E889" s="59">
        <v>0</v>
      </c>
      <c r="F889" s="59">
        <f t="shared" ref="F889" si="630">F888-E889+C889</f>
        <v>4</v>
      </c>
      <c r="G889" s="83">
        <v>75876</v>
      </c>
    </row>
    <row r="890" spans="2:7" ht="15.75" x14ac:dyDescent="0.2">
      <c r="B890" s="60">
        <v>44806</v>
      </c>
      <c r="C890" s="59">
        <v>1</v>
      </c>
      <c r="D890" s="59">
        <f t="shared" ref="D890" si="631">G890+F890</f>
        <v>75878</v>
      </c>
      <c r="E890" s="59">
        <v>0</v>
      </c>
      <c r="F890" s="59">
        <f t="shared" ref="F890" si="632">F889-E890+C890</f>
        <v>5</v>
      </c>
      <c r="G890" s="83">
        <v>75873</v>
      </c>
    </row>
    <row r="891" spans="2:7" ht="15.75" x14ac:dyDescent="0.2">
      <c r="B891" s="60">
        <v>44807</v>
      </c>
      <c r="C891" s="59">
        <v>0</v>
      </c>
      <c r="D891" s="59">
        <f t="shared" ref="D891" si="633">G891+F891</f>
        <v>75878</v>
      </c>
      <c r="E891" s="59">
        <v>0</v>
      </c>
      <c r="F891" s="59">
        <f t="shared" ref="F891" si="634">F890-E891+C891</f>
        <v>5</v>
      </c>
      <c r="G891" s="83">
        <v>75873</v>
      </c>
    </row>
    <row r="892" spans="2:7" ht="15.75" x14ac:dyDescent="0.2">
      <c r="B892" s="60">
        <v>44808</v>
      </c>
      <c r="C892" s="59">
        <v>0</v>
      </c>
      <c r="D892" s="59">
        <f t="shared" ref="D892" si="635">G892+F892</f>
        <v>75869</v>
      </c>
      <c r="E892" s="59">
        <v>0</v>
      </c>
      <c r="F892" s="59">
        <f t="shared" ref="F892" si="636">F891-E892+C892</f>
        <v>5</v>
      </c>
      <c r="G892" s="83">
        <v>75864</v>
      </c>
    </row>
    <row r="893" spans="2:7" ht="15.75" x14ac:dyDescent="0.2">
      <c r="B893" s="60">
        <v>44809</v>
      </c>
      <c r="C893" s="59">
        <v>0</v>
      </c>
      <c r="D893" s="59">
        <f t="shared" ref="D893" si="637">G893+F893</f>
        <v>75868</v>
      </c>
      <c r="E893" s="59">
        <v>0</v>
      </c>
      <c r="F893" s="59">
        <f t="shared" ref="F893" si="638">F892-E893+C893</f>
        <v>5</v>
      </c>
      <c r="G893" s="83">
        <v>75863</v>
      </c>
    </row>
    <row r="894" spans="2:7" ht="15.75" x14ac:dyDescent="0.2">
      <c r="B894" s="60">
        <v>44810</v>
      </c>
      <c r="C894" s="59">
        <v>8</v>
      </c>
      <c r="D894" s="59">
        <f t="shared" ref="D894" si="639">G894+F894</f>
        <v>75875</v>
      </c>
      <c r="E894" s="59">
        <v>0</v>
      </c>
      <c r="F894" s="59">
        <f t="shared" ref="F894:F895" si="640">F893-E894+C894</f>
        <v>13</v>
      </c>
      <c r="G894" s="83">
        <v>75862</v>
      </c>
    </row>
    <row r="895" spans="2:7" ht="15.75" x14ac:dyDescent="0.2">
      <c r="B895" s="60">
        <v>44811</v>
      </c>
      <c r="C895" s="59">
        <v>35</v>
      </c>
      <c r="D895" s="59">
        <f t="shared" ref="D895" si="641">G895+F895</f>
        <v>75909</v>
      </c>
      <c r="E895" s="59">
        <v>0</v>
      </c>
      <c r="F895" s="59">
        <f t="shared" si="640"/>
        <v>48</v>
      </c>
      <c r="G895" s="83">
        <v>75861</v>
      </c>
    </row>
    <row r="896" spans="2:7" ht="15.75" x14ac:dyDescent="0.2">
      <c r="B896" s="60">
        <v>44812</v>
      </c>
      <c r="C896" s="59">
        <v>4</v>
      </c>
      <c r="D896" s="59">
        <f t="shared" ref="D896" si="642">G896+F896</f>
        <v>75913</v>
      </c>
      <c r="E896" s="59">
        <v>3</v>
      </c>
      <c r="F896" s="59">
        <f t="shared" ref="F896" si="643">F895-E896+C896</f>
        <v>49</v>
      </c>
      <c r="G896" s="83">
        <v>75864</v>
      </c>
    </row>
    <row r="897" spans="2:7" ht="15.75" x14ac:dyDescent="0.2">
      <c r="B897" s="60">
        <v>44813</v>
      </c>
      <c r="C897" s="59">
        <v>0</v>
      </c>
      <c r="D897" s="59">
        <f t="shared" ref="D897" si="644">G897+F897</f>
        <v>75912</v>
      </c>
      <c r="E897" s="59">
        <v>1</v>
      </c>
      <c r="F897" s="59">
        <f t="shared" ref="F897:F901" si="645">F896-E897+C897</f>
        <v>48</v>
      </c>
      <c r="G897" s="83">
        <v>75864</v>
      </c>
    </row>
    <row r="898" spans="2:7" ht="15.75" x14ac:dyDescent="0.2">
      <c r="B898" s="60">
        <v>44814</v>
      </c>
      <c r="C898" s="59">
        <v>0</v>
      </c>
      <c r="D898" s="59">
        <f t="shared" ref="D898" si="646">G898+F898</f>
        <v>75907</v>
      </c>
      <c r="E898" s="59">
        <v>0</v>
      </c>
      <c r="F898" s="59">
        <f t="shared" si="645"/>
        <v>48</v>
      </c>
      <c r="G898" s="83">
        <v>75859</v>
      </c>
    </row>
    <row r="899" spans="2:7" ht="15.75" x14ac:dyDescent="0.2">
      <c r="B899" s="60">
        <v>44815</v>
      </c>
      <c r="C899" s="59">
        <v>0</v>
      </c>
      <c r="D899" s="59">
        <f t="shared" ref="D899" si="647">G899+F899</f>
        <v>75906</v>
      </c>
      <c r="E899" s="59">
        <v>0</v>
      </c>
      <c r="F899" s="59">
        <f t="shared" si="645"/>
        <v>48</v>
      </c>
      <c r="G899" s="83">
        <v>75858</v>
      </c>
    </row>
    <row r="900" spans="2:7" ht="15.75" x14ac:dyDescent="0.2">
      <c r="B900" s="60">
        <v>44816</v>
      </c>
      <c r="C900" s="59">
        <v>8</v>
      </c>
      <c r="D900" s="59">
        <f t="shared" ref="D900" si="648">G900+F900</f>
        <v>75912</v>
      </c>
      <c r="E900" s="59">
        <v>28</v>
      </c>
      <c r="F900" s="59">
        <f t="shared" si="645"/>
        <v>28</v>
      </c>
      <c r="G900" s="83">
        <v>75884</v>
      </c>
    </row>
    <row r="901" spans="2:7" ht="15.75" x14ac:dyDescent="0.2">
      <c r="B901" s="60">
        <v>44817</v>
      </c>
      <c r="C901" s="59">
        <v>0</v>
      </c>
      <c r="D901" s="59">
        <f t="shared" ref="D901" si="649">G901+F901</f>
        <v>75912</v>
      </c>
      <c r="E901" s="59">
        <v>0</v>
      </c>
      <c r="F901" s="59">
        <f t="shared" si="645"/>
        <v>28</v>
      </c>
      <c r="G901" s="83">
        <v>75884</v>
      </c>
    </row>
    <row r="902" spans="2:7" ht="15.75" x14ac:dyDescent="0.2">
      <c r="B902" s="60">
        <v>44818</v>
      </c>
      <c r="C902" s="59">
        <v>0</v>
      </c>
      <c r="D902" s="59">
        <f t="shared" ref="D902" si="650">G902+F902</f>
        <v>75910</v>
      </c>
      <c r="E902" s="59">
        <v>0</v>
      </c>
      <c r="F902" s="59">
        <f t="shared" ref="F902" si="651">F901-E902+C902</f>
        <v>28</v>
      </c>
      <c r="G902" s="83">
        <v>75882</v>
      </c>
    </row>
    <row r="903" spans="2:7" ht="15.75" x14ac:dyDescent="0.2">
      <c r="B903" s="60">
        <v>44819</v>
      </c>
      <c r="C903" s="59">
        <v>0</v>
      </c>
      <c r="D903" s="59">
        <f t="shared" ref="D903" si="652">G903+F903</f>
        <v>75909</v>
      </c>
      <c r="E903" s="59">
        <v>1</v>
      </c>
      <c r="F903" s="59">
        <f t="shared" ref="F903" si="653">F902-E903+C903</f>
        <v>27</v>
      </c>
      <c r="G903" s="83">
        <v>75882</v>
      </c>
    </row>
    <row r="904" spans="2:7" ht="15.75" x14ac:dyDescent="0.2">
      <c r="B904" s="60">
        <v>44820</v>
      </c>
      <c r="C904" s="59">
        <v>0</v>
      </c>
      <c r="D904" s="59">
        <f t="shared" ref="D904" si="654">G904+F904</f>
        <v>75907</v>
      </c>
      <c r="E904" s="59">
        <v>15</v>
      </c>
      <c r="F904" s="59">
        <f t="shared" ref="F904" si="655">F903-E904+C904</f>
        <v>12</v>
      </c>
      <c r="G904" s="83">
        <v>75895</v>
      </c>
    </row>
    <row r="905" spans="2:7" ht="15.75" x14ac:dyDescent="0.2">
      <c r="B905" s="60">
        <v>44821</v>
      </c>
      <c r="C905" s="59">
        <v>0</v>
      </c>
      <c r="D905" s="59">
        <f t="shared" ref="D905" si="656">G905+F905</f>
        <v>75907</v>
      </c>
      <c r="E905" s="59">
        <v>0</v>
      </c>
      <c r="F905" s="59">
        <f t="shared" ref="F905" si="657">F904-E905+C905</f>
        <v>12</v>
      </c>
      <c r="G905" s="83">
        <v>75895</v>
      </c>
    </row>
    <row r="906" spans="2:7" ht="15.75" x14ac:dyDescent="0.2">
      <c r="B906" s="60">
        <v>44822</v>
      </c>
      <c r="C906" s="59">
        <v>0</v>
      </c>
      <c r="D906" s="59">
        <f t="shared" ref="D906" si="658">G906+F906</f>
        <v>75907</v>
      </c>
      <c r="E906" s="59">
        <v>0</v>
      </c>
      <c r="F906" s="59">
        <f t="shared" ref="F906" si="659">F905-E906+C906</f>
        <v>12</v>
      </c>
      <c r="G906" s="83">
        <v>75895</v>
      </c>
    </row>
    <row r="907" spans="2:7" ht="15.75" x14ac:dyDescent="0.2">
      <c r="B907" s="60">
        <v>44823</v>
      </c>
      <c r="C907" s="59">
        <v>0</v>
      </c>
      <c r="D907" s="59">
        <f t="shared" ref="D907" si="660">G907+F907</f>
        <v>75907</v>
      </c>
      <c r="E907" s="59">
        <v>0</v>
      </c>
      <c r="F907" s="59">
        <f t="shared" ref="F907" si="661">F906-E907+C907</f>
        <v>12</v>
      </c>
      <c r="G907" s="83">
        <v>75895</v>
      </c>
    </row>
    <row r="908" spans="2:7" ht="15.75" x14ac:dyDescent="0.2">
      <c r="B908" s="60">
        <v>44824</v>
      </c>
      <c r="C908" s="59">
        <v>0</v>
      </c>
      <c r="D908" s="59">
        <f t="shared" ref="D908" si="662">G908+F908</f>
        <v>75907</v>
      </c>
      <c r="E908" s="59">
        <v>0</v>
      </c>
      <c r="F908" s="59">
        <f t="shared" ref="F908" si="663">F907-E908+C908</f>
        <v>12</v>
      </c>
      <c r="G908" s="83">
        <v>75895</v>
      </c>
    </row>
    <row r="909" spans="2:7" ht="15.75" x14ac:dyDescent="0.2">
      <c r="B909" s="60">
        <v>44825</v>
      </c>
      <c r="C909" s="59">
        <v>0</v>
      </c>
      <c r="D909" s="59">
        <f t="shared" ref="D909" si="664">G909+F909</f>
        <v>75905</v>
      </c>
      <c r="E909" s="59">
        <v>0</v>
      </c>
      <c r="F909" s="59">
        <f t="shared" ref="F909" si="665">F908-E909+C909</f>
        <v>12</v>
      </c>
      <c r="G909" s="83">
        <v>75893</v>
      </c>
    </row>
    <row r="910" spans="2:7" ht="15.75" x14ac:dyDescent="0.2">
      <c r="B910" s="60">
        <v>44826</v>
      </c>
      <c r="C910" s="59">
        <v>5</v>
      </c>
      <c r="D910" s="59">
        <f t="shared" ref="D910" si="666">G910+F910</f>
        <v>75909</v>
      </c>
      <c r="E910" s="59">
        <v>4</v>
      </c>
      <c r="F910" s="59">
        <f t="shared" ref="F910" si="667">F909-E910+C910</f>
        <v>13</v>
      </c>
      <c r="G910" s="83">
        <v>75896</v>
      </c>
    </row>
    <row r="911" spans="2:7" ht="15.75" x14ac:dyDescent="0.2">
      <c r="B911" s="60">
        <v>44827</v>
      </c>
      <c r="C911" s="59">
        <v>5</v>
      </c>
      <c r="D911" s="59">
        <f t="shared" ref="D911" si="668">G911+F911</f>
        <v>75912</v>
      </c>
      <c r="E911" s="59">
        <v>0</v>
      </c>
      <c r="F911" s="59">
        <f t="shared" ref="F911" si="669">F910-E911+C911</f>
        <v>18</v>
      </c>
      <c r="G911" s="83">
        <v>75894</v>
      </c>
    </row>
    <row r="912" spans="2:7" ht="15.75" x14ac:dyDescent="0.2">
      <c r="B912" s="60">
        <v>44828</v>
      </c>
      <c r="C912" s="59">
        <v>0</v>
      </c>
      <c r="D912" s="59">
        <f t="shared" ref="D912" si="670">G912+F912</f>
        <v>75911</v>
      </c>
      <c r="E912" s="59">
        <v>0</v>
      </c>
      <c r="F912" s="59">
        <f t="shared" ref="F912" si="671">F911-E912+C912</f>
        <v>18</v>
      </c>
      <c r="G912" s="83">
        <v>75893</v>
      </c>
    </row>
    <row r="913" spans="2:7" ht="15.75" x14ac:dyDescent="0.2">
      <c r="B913" s="60">
        <v>44829</v>
      </c>
      <c r="C913" s="59">
        <v>0</v>
      </c>
      <c r="D913" s="59">
        <f t="shared" ref="D913" si="672">G913+F913</f>
        <v>75910</v>
      </c>
      <c r="E913" s="59">
        <v>0</v>
      </c>
      <c r="F913" s="59">
        <f t="shared" ref="F913" si="673">F912-E913+C913</f>
        <v>18</v>
      </c>
      <c r="G913" s="83">
        <v>75892</v>
      </c>
    </row>
    <row r="914" spans="2:7" ht="15.75" x14ac:dyDescent="0.2">
      <c r="B914" s="60">
        <v>44830</v>
      </c>
      <c r="C914" s="59">
        <v>3</v>
      </c>
      <c r="D914" s="59">
        <f t="shared" ref="D914" si="674">G914+F914</f>
        <v>75910</v>
      </c>
      <c r="E914" s="59">
        <v>8</v>
      </c>
      <c r="F914" s="59">
        <f t="shared" ref="F914" si="675">F913-E914+C914</f>
        <v>13</v>
      </c>
      <c r="G914" s="83">
        <v>75897</v>
      </c>
    </row>
    <row r="915" spans="2:7" ht="15.75" x14ac:dyDescent="0.2">
      <c r="B915" s="60">
        <v>44831</v>
      </c>
      <c r="C915" s="59">
        <v>4</v>
      </c>
      <c r="D915" s="59">
        <f t="shared" ref="D915" si="676">G915+F915</f>
        <v>75911</v>
      </c>
      <c r="E915" s="59">
        <v>0</v>
      </c>
      <c r="F915" s="59">
        <f t="shared" ref="F915" si="677">F914-E915+C915</f>
        <v>17</v>
      </c>
      <c r="G915" s="83">
        <v>75894</v>
      </c>
    </row>
    <row r="916" spans="2:7" ht="15.75" x14ac:dyDescent="0.2">
      <c r="B916" s="60">
        <v>44832</v>
      </c>
      <c r="C916" s="59">
        <v>0</v>
      </c>
      <c r="D916" s="59">
        <f t="shared" ref="D916" si="678">G916+F916</f>
        <v>75909</v>
      </c>
      <c r="E916" s="59">
        <v>0</v>
      </c>
      <c r="F916" s="59">
        <f t="shared" ref="F916" si="679">F915-E916+C916</f>
        <v>17</v>
      </c>
      <c r="G916" s="83">
        <v>75892</v>
      </c>
    </row>
    <row r="917" spans="2:7" ht="15.75" x14ac:dyDescent="0.2">
      <c r="B917" s="60">
        <v>44833</v>
      </c>
      <c r="C917" s="59">
        <v>1</v>
      </c>
      <c r="D917" s="59">
        <f t="shared" ref="D917" si="680">G917+F917</f>
        <v>75910</v>
      </c>
      <c r="E917" s="59">
        <v>0</v>
      </c>
      <c r="F917" s="59">
        <f t="shared" ref="F917" si="681">F916-E917+C917</f>
        <v>18</v>
      </c>
      <c r="G917" s="83">
        <v>75892</v>
      </c>
    </row>
    <row r="918" spans="2:7" ht="15.75" x14ac:dyDescent="0.2">
      <c r="B918" s="60">
        <v>44834</v>
      </c>
      <c r="C918" s="59">
        <v>0</v>
      </c>
      <c r="D918" s="59">
        <f t="shared" ref="D918" si="682">G918+F918</f>
        <v>75909</v>
      </c>
      <c r="E918" s="59">
        <v>0</v>
      </c>
      <c r="F918" s="59">
        <f t="shared" ref="F918" si="683">F917-E918+C918</f>
        <v>18</v>
      </c>
      <c r="G918" s="83">
        <v>75891</v>
      </c>
    </row>
    <row r="919" spans="2:7" ht="15.75" x14ac:dyDescent="0.2">
      <c r="B919" s="60">
        <v>44835</v>
      </c>
      <c r="C919" s="59">
        <v>0</v>
      </c>
      <c r="D919" s="59">
        <f t="shared" ref="D919" si="684">G919+F919</f>
        <v>75907</v>
      </c>
      <c r="E919" s="59">
        <v>0</v>
      </c>
      <c r="F919" s="59">
        <f t="shared" ref="F919" si="685">F918-E919+C919</f>
        <v>18</v>
      </c>
      <c r="G919" s="83">
        <v>75889</v>
      </c>
    </row>
    <row r="920" spans="2:7" ht="15.75" x14ac:dyDescent="0.2">
      <c r="B920" s="60">
        <v>44836</v>
      </c>
      <c r="C920" s="59">
        <v>0</v>
      </c>
      <c r="D920" s="59">
        <f t="shared" ref="D920" si="686">G920+F920</f>
        <v>75907</v>
      </c>
      <c r="E920" s="59">
        <v>0</v>
      </c>
      <c r="F920" s="59">
        <f t="shared" ref="F920" si="687">F919-E920+C920</f>
        <v>18</v>
      </c>
      <c r="G920" s="83">
        <v>75889</v>
      </c>
    </row>
    <row r="921" spans="2:7" ht="15.75" x14ac:dyDescent="0.2">
      <c r="B921" s="60">
        <v>44837</v>
      </c>
      <c r="C921" s="59">
        <v>0</v>
      </c>
      <c r="D921" s="59">
        <f t="shared" ref="D921" si="688">G921+F921</f>
        <v>75907</v>
      </c>
      <c r="E921" s="59">
        <v>0</v>
      </c>
      <c r="F921" s="59">
        <f t="shared" ref="F921" si="689">F920-E921+C921</f>
        <v>18</v>
      </c>
      <c r="G921" s="83">
        <v>75889</v>
      </c>
    </row>
    <row r="922" spans="2:7" ht="15.75" x14ac:dyDescent="0.2">
      <c r="B922" s="60">
        <v>44838</v>
      </c>
      <c r="C922" s="59">
        <v>0</v>
      </c>
      <c r="D922" s="59">
        <f t="shared" ref="D922" si="690">G922+F922</f>
        <v>75901</v>
      </c>
      <c r="E922" s="59">
        <v>0</v>
      </c>
      <c r="F922" s="59">
        <f t="shared" ref="F922" si="691">F921-E922+C922</f>
        <v>18</v>
      </c>
      <c r="G922" s="83">
        <v>75883</v>
      </c>
    </row>
    <row r="923" spans="2:7" ht="15.75" x14ac:dyDescent="0.2">
      <c r="B923" s="60">
        <v>44839</v>
      </c>
      <c r="C923" s="59">
        <v>24</v>
      </c>
      <c r="D923" s="59">
        <f t="shared" ref="D923" si="692">G923+F923</f>
        <v>75923</v>
      </c>
      <c r="E923" s="59">
        <v>0</v>
      </c>
      <c r="F923" s="59">
        <f t="shared" ref="F923" si="693">F922-E923+C923</f>
        <v>42</v>
      </c>
      <c r="G923" s="83">
        <v>75881</v>
      </c>
    </row>
    <row r="924" spans="2:7" ht="15.75" x14ac:dyDescent="0.2">
      <c r="B924" s="60">
        <v>44840</v>
      </c>
      <c r="C924" s="59">
        <v>18</v>
      </c>
      <c r="D924" s="59">
        <f t="shared" ref="D924" si="694">G924+F924</f>
        <v>75936</v>
      </c>
      <c r="E924" s="59">
        <v>10</v>
      </c>
      <c r="F924" s="59">
        <f t="shared" ref="F924" si="695">F923-E924+C924</f>
        <v>50</v>
      </c>
      <c r="G924" s="83">
        <v>75886</v>
      </c>
    </row>
    <row r="925" spans="2:7" ht="15.75" x14ac:dyDescent="0.2">
      <c r="B925" s="60">
        <v>44841</v>
      </c>
      <c r="C925" s="59">
        <v>49</v>
      </c>
      <c r="D925" s="59">
        <f t="shared" ref="D925" si="696">G925+F925</f>
        <v>75984</v>
      </c>
      <c r="E925" s="59">
        <v>0</v>
      </c>
      <c r="F925" s="59">
        <f t="shared" ref="F925" si="697">F924-E925+C925</f>
        <v>99</v>
      </c>
      <c r="G925" s="83">
        <v>75885</v>
      </c>
    </row>
    <row r="926" spans="2:7" ht="15.75" x14ac:dyDescent="0.2">
      <c r="B926" s="60">
        <v>44842</v>
      </c>
      <c r="C926" s="59">
        <v>0</v>
      </c>
      <c r="D926" s="59">
        <f t="shared" ref="D926" si="698">G926+F926</f>
        <v>75984</v>
      </c>
      <c r="E926" s="59">
        <v>0</v>
      </c>
      <c r="F926" s="59">
        <f t="shared" ref="F926" si="699">F925-E926+C926</f>
        <v>99</v>
      </c>
      <c r="G926" s="83">
        <v>75885</v>
      </c>
    </row>
    <row r="927" spans="2:7" ht="15.75" x14ac:dyDescent="0.2">
      <c r="B927" s="60">
        <v>44843</v>
      </c>
      <c r="C927" s="59">
        <v>0</v>
      </c>
      <c r="D927" s="59">
        <f t="shared" ref="D927" si="700">G927+F927</f>
        <v>75979</v>
      </c>
      <c r="E927" s="59">
        <v>0</v>
      </c>
      <c r="F927" s="59">
        <f t="shared" ref="F927" si="701">F926-E927+C927</f>
        <v>99</v>
      </c>
      <c r="G927" s="83">
        <v>75880</v>
      </c>
    </row>
    <row r="928" spans="2:7" ht="15.75" x14ac:dyDescent="0.2">
      <c r="B928" s="60">
        <v>44844</v>
      </c>
      <c r="C928" s="59">
        <v>5</v>
      </c>
      <c r="D928" s="59">
        <f t="shared" ref="D928" si="702">G928+F928</f>
        <v>75982</v>
      </c>
      <c r="E928" s="59">
        <v>7</v>
      </c>
      <c r="F928" s="59">
        <f t="shared" ref="F928" si="703">F927-E928+C928</f>
        <v>97</v>
      </c>
      <c r="G928" s="83">
        <v>75885</v>
      </c>
    </row>
    <row r="929" spans="2:7" ht="15.75" x14ac:dyDescent="0.2">
      <c r="B929" s="60">
        <v>44845</v>
      </c>
      <c r="C929" s="59">
        <v>0</v>
      </c>
      <c r="D929" s="59">
        <f t="shared" ref="D929" si="704">G929+F929</f>
        <v>75980</v>
      </c>
      <c r="E929" s="59">
        <v>0</v>
      </c>
      <c r="F929" s="59">
        <f t="shared" ref="F929" si="705">F928-E929+C929</f>
        <v>97</v>
      </c>
      <c r="G929" s="83">
        <v>75883</v>
      </c>
    </row>
    <row r="930" spans="2:7" ht="15.75" x14ac:dyDescent="0.2">
      <c r="B930" s="60">
        <v>44846</v>
      </c>
      <c r="C930" s="59">
        <v>0</v>
      </c>
      <c r="D930" s="59">
        <f t="shared" ref="D930" si="706">G930+F930</f>
        <v>75978</v>
      </c>
      <c r="E930" s="59">
        <v>2</v>
      </c>
      <c r="F930" s="59">
        <f t="shared" ref="F930" si="707">F929-E930+C930</f>
        <v>95</v>
      </c>
      <c r="G930" s="83">
        <v>75883</v>
      </c>
    </row>
    <row r="931" spans="2:7" ht="15.75" x14ac:dyDescent="0.2">
      <c r="B931" s="60">
        <v>44847</v>
      </c>
      <c r="C931" s="59">
        <v>0</v>
      </c>
      <c r="D931" s="59">
        <f t="shared" ref="D931" si="708">G931+F931</f>
        <v>75975</v>
      </c>
      <c r="E931" s="59">
        <v>1</v>
      </c>
      <c r="F931" s="59">
        <f t="shared" ref="F931" si="709">F930-E931+C931</f>
        <v>94</v>
      </c>
      <c r="G931" s="83">
        <v>75881</v>
      </c>
    </row>
    <row r="932" spans="2:7" ht="15.75" x14ac:dyDescent="0.2">
      <c r="B932" s="60">
        <v>44848</v>
      </c>
      <c r="C932" s="59">
        <v>4</v>
      </c>
      <c r="D932" s="59">
        <f t="shared" ref="D932" si="710">G932+F932</f>
        <v>75977</v>
      </c>
      <c r="E932" s="59">
        <v>0</v>
      </c>
      <c r="F932" s="59">
        <f t="shared" ref="F932" si="711">F931-E932+C932</f>
        <v>98</v>
      </c>
      <c r="G932" s="83">
        <v>75879</v>
      </c>
    </row>
    <row r="933" spans="2:7" ht="15.75" x14ac:dyDescent="0.2">
      <c r="B933" s="60">
        <v>44849</v>
      </c>
      <c r="C933" s="59">
        <v>4</v>
      </c>
      <c r="D933" s="59">
        <f t="shared" ref="D933" si="712">G933+F933</f>
        <v>75979</v>
      </c>
      <c r="E933" s="59">
        <v>0</v>
      </c>
      <c r="F933" s="59">
        <f t="shared" ref="F933" si="713">F932-E933+C933</f>
        <v>102</v>
      </c>
      <c r="G933" s="83">
        <v>75877</v>
      </c>
    </row>
    <row r="934" spans="2:7" ht="15.75" x14ac:dyDescent="0.2">
      <c r="B934" s="60">
        <v>44850</v>
      </c>
      <c r="C934" s="59">
        <v>0</v>
      </c>
      <c r="D934" s="59">
        <f t="shared" ref="D934" si="714">G934+F934</f>
        <v>75977</v>
      </c>
      <c r="E934" s="59">
        <v>0</v>
      </c>
      <c r="F934" s="59">
        <f t="shared" ref="F934" si="715">F933-E934+C934</f>
        <v>102</v>
      </c>
      <c r="G934" s="83">
        <v>75875</v>
      </c>
    </row>
    <row r="935" spans="2:7" ht="15.75" x14ac:dyDescent="0.2">
      <c r="B935" s="60">
        <v>44851</v>
      </c>
      <c r="C935" s="59">
        <v>1</v>
      </c>
      <c r="D935" s="59">
        <f t="shared" ref="D935" si="716">G935+F935</f>
        <v>75976</v>
      </c>
      <c r="E935" s="59">
        <v>0</v>
      </c>
      <c r="F935" s="59">
        <f t="shared" ref="F935" si="717">F934-E935+C935</f>
        <v>103</v>
      </c>
      <c r="G935" s="83">
        <v>75873</v>
      </c>
    </row>
    <row r="936" spans="2:7" ht="15.75" x14ac:dyDescent="0.2">
      <c r="B936" s="60">
        <v>44852</v>
      </c>
      <c r="C936" s="59">
        <v>10</v>
      </c>
      <c r="D936" s="59">
        <f t="shared" ref="D936" si="718">G936+F936</f>
        <v>75984</v>
      </c>
      <c r="E936" s="59">
        <v>0</v>
      </c>
      <c r="F936" s="59">
        <f t="shared" ref="F936" si="719">F935-E936+C936</f>
        <v>113</v>
      </c>
      <c r="G936" s="83">
        <v>75871</v>
      </c>
    </row>
    <row r="937" spans="2:7" ht="15.75" x14ac:dyDescent="0.2">
      <c r="B937" s="60">
        <v>44853</v>
      </c>
      <c r="C937" s="59">
        <v>9</v>
      </c>
      <c r="D937" s="59">
        <f t="shared" ref="D937" si="720">G937+F937</f>
        <v>75997</v>
      </c>
      <c r="E937" s="59">
        <v>37</v>
      </c>
      <c r="F937" s="59">
        <f t="shared" ref="F937" si="721">F936-E937+C937</f>
        <v>85</v>
      </c>
      <c r="G937" s="83">
        <v>75912</v>
      </c>
    </row>
    <row r="938" spans="2:7" ht="15.75" x14ac:dyDescent="0.2">
      <c r="B938" s="60">
        <v>44854</v>
      </c>
      <c r="C938" s="59">
        <v>2</v>
      </c>
      <c r="D938" s="59">
        <f t="shared" ref="D938" si="722">G938+F938</f>
        <v>75999</v>
      </c>
      <c r="E938" s="59">
        <v>62</v>
      </c>
      <c r="F938" s="59">
        <f t="shared" ref="F938" si="723">F937-E938+C938</f>
        <v>25</v>
      </c>
      <c r="G938" s="83">
        <v>75974</v>
      </c>
    </row>
    <row r="939" spans="2:7" ht="15.75" x14ac:dyDescent="0.2">
      <c r="B939" s="60">
        <v>44855</v>
      </c>
      <c r="C939" s="59">
        <v>0</v>
      </c>
      <c r="D939" s="59">
        <f t="shared" ref="D939" si="724">G939+F939</f>
        <v>75994</v>
      </c>
      <c r="E939" s="59">
        <v>3</v>
      </c>
      <c r="F939" s="59">
        <f t="shared" ref="F939" si="725">F938-E939+C939</f>
        <v>22</v>
      </c>
      <c r="G939" s="83">
        <v>75972</v>
      </c>
    </row>
    <row r="940" spans="2:7" ht="15.75" x14ac:dyDescent="0.2">
      <c r="B940" s="60">
        <v>44856</v>
      </c>
      <c r="C940" s="59">
        <v>42</v>
      </c>
      <c r="D940" s="59">
        <f t="shared" ref="D940" si="726">G940+F940</f>
        <v>76033</v>
      </c>
      <c r="E940" s="59">
        <v>0</v>
      </c>
      <c r="F940" s="59">
        <f t="shared" ref="F940" si="727">F939-E940+C940</f>
        <v>64</v>
      </c>
      <c r="G940" s="83">
        <v>75969</v>
      </c>
    </row>
    <row r="941" spans="2:7" ht="15.75" x14ac:dyDescent="0.2">
      <c r="B941" s="60">
        <v>44857</v>
      </c>
      <c r="C941" s="59">
        <v>12</v>
      </c>
      <c r="D941" s="59">
        <f t="shared" ref="D941" si="728">G941+F941</f>
        <v>76045</v>
      </c>
      <c r="E941" s="59">
        <v>0</v>
      </c>
      <c r="F941" s="59">
        <f t="shared" ref="F941" si="729">F940-E941+C941</f>
        <v>76</v>
      </c>
      <c r="G941" s="83">
        <v>75969</v>
      </c>
    </row>
    <row r="942" spans="2:7" ht="15.75" x14ac:dyDescent="0.2">
      <c r="B942" s="60">
        <v>44858</v>
      </c>
      <c r="C942" s="59">
        <v>4</v>
      </c>
      <c r="D942" s="59">
        <f t="shared" ref="D942" si="730">G942+F942</f>
        <v>76047</v>
      </c>
      <c r="E942" s="59">
        <v>5</v>
      </c>
      <c r="F942" s="59">
        <f t="shared" ref="F942" si="731">F941-E942+C942</f>
        <v>75</v>
      </c>
      <c r="G942" s="83">
        <v>75972</v>
      </c>
    </row>
    <row r="943" spans="2:7" ht="15.75" x14ac:dyDescent="0.2">
      <c r="B943" s="60">
        <v>44859</v>
      </c>
      <c r="C943" s="59">
        <v>0</v>
      </c>
      <c r="D943" s="59">
        <f t="shared" ref="D943" si="732">G943+F943</f>
        <v>76042</v>
      </c>
      <c r="E943" s="59">
        <v>4</v>
      </c>
      <c r="F943" s="59">
        <f t="shared" ref="F943" si="733">F942-E943+C943</f>
        <v>71</v>
      </c>
      <c r="G943" s="83">
        <v>75971</v>
      </c>
    </row>
    <row r="944" spans="2:7" ht="15.75" x14ac:dyDescent="0.2">
      <c r="B944" s="60">
        <v>44860</v>
      </c>
      <c r="C944" s="59">
        <v>0</v>
      </c>
      <c r="D944" s="59">
        <f t="shared" ref="D944" si="734">G944+F944</f>
        <v>76039</v>
      </c>
      <c r="E944" s="59">
        <v>0</v>
      </c>
      <c r="F944" s="59">
        <f t="shared" ref="F944" si="735">F943-E944+C944</f>
        <v>71</v>
      </c>
      <c r="G944" s="83">
        <v>75968</v>
      </c>
    </row>
    <row r="945" spans="2:7" ht="15.75" x14ac:dyDescent="0.2">
      <c r="B945" s="60">
        <v>44861</v>
      </c>
      <c r="C945" s="59">
        <v>14</v>
      </c>
      <c r="D945" s="59">
        <f t="shared" ref="D945" si="736">G945+F945</f>
        <v>76050</v>
      </c>
      <c r="E945" s="59">
        <v>0</v>
      </c>
      <c r="F945" s="59">
        <f t="shared" ref="F945" si="737">F944-E945+C945</f>
        <v>85</v>
      </c>
      <c r="G945" s="83">
        <v>75965</v>
      </c>
    </row>
    <row r="946" spans="2:7" ht="15.75" x14ac:dyDescent="0.2">
      <c r="B946" s="60">
        <v>44862</v>
      </c>
      <c r="C946" s="59">
        <v>14</v>
      </c>
      <c r="D946" s="59">
        <f t="shared" ref="D946" si="738">G946+F946</f>
        <v>76061</v>
      </c>
      <c r="E946" s="59">
        <v>4</v>
      </c>
      <c r="F946" s="59">
        <f t="shared" ref="F946" si="739">F945-E946+C946</f>
        <v>95</v>
      </c>
      <c r="G946" s="83">
        <v>75966</v>
      </c>
    </row>
    <row r="947" spans="2:7" ht="15.75" x14ac:dyDescent="0.2">
      <c r="B947" s="60">
        <v>44863</v>
      </c>
      <c r="C947" s="59">
        <v>0</v>
      </c>
      <c r="D947" s="59">
        <f t="shared" ref="D947" si="740">G947+F947</f>
        <v>76058</v>
      </c>
      <c r="E947" s="59">
        <v>4</v>
      </c>
      <c r="F947" s="59">
        <f t="shared" ref="F947" si="741">F946-E947+C947</f>
        <v>91</v>
      </c>
      <c r="G947" s="83">
        <v>75967</v>
      </c>
    </row>
    <row r="948" spans="2:7" ht="15.75" x14ac:dyDescent="0.2">
      <c r="B948" s="60">
        <v>44864</v>
      </c>
      <c r="C948" s="59">
        <v>0</v>
      </c>
      <c r="D948" s="59">
        <f t="shared" ref="D948" si="742">G948+F948</f>
        <v>76056</v>
      </c>
      <c r="E948" s="59">
        <v>0</v>
      </c>
      <c r="F948" s="59">
        <f t="shared" ref="F948" si="743">F947-E948+C948</f>
        <v>91</v>
      </c>
      <c r="G948" s="83">
        <v>75965</v>
      </c>
    </row>
    <row r="949" spans="2:7" ht="15.75" x14ac:dyDescent="0.2">
      <c r="B949" s="60">
        <v>44865</v>
      </c>
      <c r="C949" s="59">
        <v>29</v>
      </c>
      <c r="D949" s="59">
        <f t="shared" ref="D949" si="744">G949+F949</f>
        <v>76083</v>
      </c>
      <c r="E949" s="59">
        <v>2</v>
      </c>
      <c r="F949" s="59">
        <f t="shared" ref="F949" si="745">F948-E949+C949</f>
        <v>118</v>
      </c>
      <c r="G949" s="83">
        <v>75965</v>
      </c>
    </row>
    <row r="950" spans="2:7" ht="15.75" x14ac:dyDescent="0.2">
      <c r="B950" s="60">
        <v>44866</v>
      </c>
      <c r="C950" s="59">
        <v>15</v>
      </c>
      <c r="D950" s="59">
        <f t="shared" ref="D950" si="746">G950+F950</f>
        <v>76093</v>
      </c>
      <c r="E950" s="59">
        <v>0</v>
      </c>
      <c r="F950" s="59">
        <f t="shared" ref="F950" si="747">F949-E950+C950</f>
        <v>133</v>
      </c>
      <c r="G950" s="83">
        <v>75960</v>
      </c>
    </row>
    <row r="951" spans="2:7" ht="15.75" x14ac:dyDescent="0.2">
      <c r="B951" s="60">
        <v>44867</v>
      </c>
      <c r="C951" s="59">
        <v>15</v>
      </c>
      <c r="D951" s="59">
        <f t="shared" ref="D951" si="748">G951+F951</f>
        <v>76106</v>
      </c>
      <c r="E951" s="59">
        <v>25</v>
      </c>
      <c r="F951" s="59">
        <f t="shared" ref="F951" si="749">F950-E951+C951</f>
        <v>123</v>
      </c>
      <c r="G951" s="83">
        <v>75983</v>
      </c>
    </row>
    <row r="952" spans="2:7" ht="15.75" x14ac:dyDescent="0.2">
      <c r="B952" s="60">
        <v>44868</v>
      </c>
      <c r="C952" s="59">
        <v>37</v>
      </c>
      <c r="D952" s="59">
        <f t="shared" ref="D952" si="750">G952+F952</f>
        <v>76142</v>
      </c>
      <c r="E952" s="59">
        <v>0</v>
      </c>
      <c r="F952" s="59">
        <f t="shared" ref="F952" si="751">F951-E952+C952</f>
        <v>160</v>
      </c>
      <c r="G952" s="83">
        <v>75982</v>
      </c>
    </row>
    <row r="953" spans="2:7" ht="15.75" x14ac:dyDescent="0.2">
      <c r="B953" s="60">
        <v>44869</v>
      </c>
      <c r="C953" s="59">
        <v>2</v>
      </c>
      <c r="D953" s="59">
        <f t="shared" ref="D953" si="752">G953+F953</f>
        <v>76139</v>
      </c>
      <c r="E953" s="59">
        <v>10</v>
      </c>
      <c r="F953" s="59">
        <f t="shared" ref="F953" si="753">F952-E953+C953</f>
        <v>152</v>
      </c>
      <c r="G953" s="83">
        <v>75987</v>
      </c>
    </row>
    <row r="954" spans="2:7" ht="15.75" x14ac:dyDescent="0.2">
      <c r="B954" s="60">
        <v>44870</v>
      </c>
      <c r="C954" s="59">
        <v>23</v>
      </c>
      <c r="D954" s="59">
        <f t="shared" ref="D954" si="754">G954+F954</f>
        <v>76160</v>
      </c>
      <c r="E954" s="59">
        <v>37</v>
      </c>
      <c r="F954" s="59">
        <f t="shared" ref="F954" si="755">F953-E954+C954</f>
        <v>138</v>
      </c>
      <c r="G954" s="83">
        <v>76022</v>
      </c>
    </row>
    <row r="955" spans="2:7" ht="15.75" x14ac:dyDescent="0.2">
      <c r="B955" s="60">
        <v>44871</v>
      </c>
      <c r="C955" s="59">
        <v>11</v>
      </c>
      <c r="D955" s="59">
        <f t="shared" ref="D955" si="756">G955+F955</f>
        <v>76169</v>
      </c>
      <c r="E955" s="59">
        <v>20</v>
      </c>
      <c r="F955" s="59">
        <f t="shared" ref="F955" si="757">F954-E955+C955</f>
        <v>129</v>
      </c>
      <c r="G955" s="83">
        <v>76040</v>
      </c>
    </row>
    <row r="956" spans="2:7" ht="15.75" x14ac:dyDescent="0.2">
      <c r="B956" s="60">
        <v>44872</v>
      </c>
      <c r="C956" s="59">
        <v>23</v>
      </c>
      <c r="D956" s="59">
        <f t="shared" ref="D956" si="758">G956+F956</f>
        <v>76191</v>
      </c>
      <c r="E956" s="59">
        <v>8</v>
      </c>
      <c r="F956" s="59">
        <f t="shared" ref="F956" si="759">F955-E956+C956</f>
        <v>144</v>
      </c>
      <c r="G956" s="83">
        <v>76047</v>
      </c>
    </row>
    <row r="957" spans="2:7" ht="15.75" x14ac:dyDescent="0.2">
      <c r="B957" s="60">
        <v>44873</v>
      </c>
      <c r="C957" s="59">
        <v>0</v>
      </c>
      <c r="D957" s="59">
        <f t="shared" ref="D957" si="760">G957+F957</f>
        <v>76184</v>
      </c>
      <c r="E957" s="59">
        <v>23</v>
      </c>
      <c r="F957" s="59">
        <f t="shared" ref="F957" si="761">F956-E957+C957</f>
        <v>121</v>
      </c>
      <c r="G957" s="83">
        <v>76063</v>
      </c>
    </row>
    <row r="958" spans="2:7" ht="15.75" x14ac:dyDescent="0.2">
      <c r="B958" s="60">
        <v>44874</v>
      </c>
      <c r="C958" s="59">
        <v>0</v>
      </c>
      <c r="D958" s="59">
        <f t="shared" ref="D958" si="762">G958+F958</f>
        <v>76177</v>
      </c>
      <c r="E958" s="59">
        <v>0</v>
      </c>
      <c r="F958" s="59">
        <f t="shared" ref="F958" si="763">F957-E958+C958</f>
        <v>121</v>
      </c>
      <c r="G958" s="83">
        <v>76056</v>
      </c>
    </row>
    <row r="959" spans="2:7" ht="15.75" x14ac:dyDescent="0.2">
      <c r="B959" s="60">
        <v>44875</v>
      </c>
      <c r="C959" s="59">
        <v>10</v>
      </c>
      <c r="D959" s="59">
        <f t="shared" ref="D959" si="764">G959+F959</f>
        <v>76186</v>
      </c>
      <c r="E959" s="59">
        <v>13</v>
      </c>
      <c r="F959" s="59">
        <f t="shared" ref="F959" si="765">F958-E959+C959</f>
        <v>118</v>
      </c>
      <c r="G959" s="83">
        <v>76068</v>
      </c>
    </row>
    <row r="960" spans="2:7" ht="15.75" x14ac:dyDescent="0.2">
      <c r="B960" s="60">
        <v>44876</v>
      </c>
      <c r="C960" s="59">
        <v>11</v>
      </c>
      <c r="D960" s="59">
        <f t="shared" ref="D960" si="766">G960+F960</f>
        <v>76194</v>
      </c>
      <c r="E960" s="59">
        <v>21</v>
      </c>
      <c r="F960" s="59">
        <f t="shared" ref="F960" si="767">F959-E960+C960</f>
        <v>108</v>
      </c>
      <c r="G960" s="83">
        <v>76086</v>
      </c>
    </row>
  </sheetData>
  <mergeCells count="2">
    <mergeCell ref="A1:G1"/>
    <mergeCell ref="A2:C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9"/>
  <sheetViews>
    <sheetView topLeftCell="A86" zoomScale="80" zoomScaleNormal="80" workbookViewId="0">
      <selection activeCell="B110" sqref="B110"/>
    </sheetView>
  </sheetViews>
  <sheetFormatPr defaultColWidth="9.140625" defaultRowHeight="12.75" x14ac:dyDescent="0.25"/>
  <cols>
    <col min="1" max="1" width="7.28515625" style="66" customWidth="1"/>
    <col min="2" max="2" width="43.85546875" style="66" customWidth="1"/>
    <col min="3" max="3" width="20" style="66" customWidth="1"/>
    <col min="4" max="4" width="14.42578125" style="66" customWidth="1"/>
    <col min="5" max="5" width="19.140625" style="66" customWidth="1"/>
    <col min="6" max="6" width="25.140625" style="66" customWidth="1"/>
    <col min="7" max="7" width="32.7109375" style="66" customWidth="1"/>
    <col min="8" max="8" width="31.42578125" style="66" customWidth="1"/>
    <col min="9" max="9" width="48.42578125" style="66" customWidth="1"/>
    <col min="10" max="10" width="22.28515625" style="66" customWidth="1"/>
    <col min="11" max="11" width="20.5703125" style="66" customWidth="1"/>
    <col min="12" max="12" width="21.140625" style="66" customWidth="1"/>
    <col min="13" max="13" width="14.7109375" style="66" customWidth="1"/>
    <col min="14" max="14" width="19" style="66" customWidth="1"/>
    <col min="15" max="15" width="12" style="66" customWidth="1"/>
    <col min="16" max="16" width="14.85546875" style="66" customWidth="1"/>
    <col min="17" max="19" width="9.140625" style="66"/>
    <col min="20" max="20" width="15.5703125" style="66" customWidth="1"/>
    <col min="21" max="21" width="15.140625" style="66" customWidth="1"/>
    <col min="22" max="22" width="18.42578125" style="66" customWidth="1"/>
    <col min="23" max="23" width="11.7109375" style="66" customWidth="1"/>
    <col min="24" max="24" width="16.7109375" style="66" customWidth="1"/>
    <col min="25" max="25" width="9.140625" style="66"/>
    <col min="26" max="26" width="22.5703125" style="66" customWidth="1"/>
    <col min="27" max="29" width="24.7109375" style="66" customWidth="1"/>
    <col min="30" max="31" width="20.140625" style="66" customWidth="1"/>
    <col min="32" max="16384" width="9.140625" style="66"/>
  </cols>
  <sheetData>
    <row r="1" spans="1:31" customFormat="1" ht="15" x14ac:dyDescent="0.25">
      <c r="A1" t="s">
        <v>464</v>
      </c>
      <c r="B1" t="s">
        <v>431</v>
      </c>
      <c r="C1" t="s">
        <v>460</v>
      </c>
      <c r="D1" t="s">
        <v>432</v>
      </c>
      <c r="E1" t="s">
        <v>2</v>
      </c>
      <c r="F1" t="s">
        <v>433</v>
      </c>
      <c r="G1" t="s">
        <v>462</v>
      </c>
      <c r="H1" t="s">
        <v>463</v>
      </c>
      <c r="I1" t="s">
        <v>434</v>
      </c>
      <c r="J1" t="s">
        <v>435</v>
      </c>
      <c r="K1" t="s">
        <v>436</v>
      </c>
      <c r="L1" t="s">
        <v>437</v>
      </c>
      <c r="M1" t="s">
        <v>443</v>
      </c>
      <c r="N1" t="s">
        <v>444</v>
      </c>
      <c r="O1" t="s">
        <v>445</v>
      </c>
      <c r="P1" t="s">
        <v>446</v>
      </c>
      <c r="Q1" t="s">
        <v>447</v>
      </c>
      <c r="R1" t="s">
        <v>448</v>
      </c>
      <c r="S1" t="s">
        <v>449</v>
      </c>
      <c r="T1" s="54" t="s">
        <v>450</v>
      </c>
      <c r="U1" t="s">
        <v>451</v>
      </c>
      <c r="V1" s="54" t="s">
        <v>452</v>
      </c>
      <c r="W1" s="54" t="s">
        <v>453</v>
      </c>
      <c r="X1" t="s">
        <v>438</v>
      </c>
      <c r="Y1" t="s">
        <v>466</v>
      </c>
      <c r="Z1" t="s">
        <v>467</v>
      </c>
      <c r="AA1" s="54" t="s">
        <v>468</v>
      </c>
      <c r="AB1" t="s">
        <v>454</v>
      </c>
      <c r="AC1" s="68" t="s">
        <v>455</v>
      </c>
      <c r="AD1" s="68" t="s">
        <v>456</v>
      </c>
      <c r="AE1" s="68" t="s">
        <v>442</v>
      </c>
    </row>
    <row r="2" spans="1:31" ht="15" x14ac:dyDescent="0.25">
      <c r="A2" s="66">
        <v>1</v>
      </c>
      <c r="B2" t="s">
        <v>614</v>
      </c>
      <c r="C2" t="s">
        <v>568</v>
      </c>
      <c r="D2" t="s">
        <v>282</v>
      </c>
      <c r="E2" t="s">
        <v>284</v>
      </c>
      <c r="F2" t="s">
        <v>348</v>
      </c>
      <c r="G2">
        <v>2</v>
      </c>
      <c r="H2">
        <v>6</v>
      </c>
      <c r="I2" t="s">
        <v>615</v>
      </c>
      <c r="J2">
        <v>51</v>
      </c>
      <c r="K2" t="s">
        <v>304</v>
      </c>
      <c r="L2" t="s">
        <v>307</v>
      </c>
      <c r="M2"/>
      <c r="N2"/>
      <c r="O2" t="s">
        <v>572</v>
      </c>
      <c r="P2"/>
      <c r="Q2"/>
      <c r="R2"/>
      <c r="S2"/>
      <c r="T2" s="54"/>
      <c r="U2" t="s">
        <v>573</v>
      </c>
      <c r="V2" s="54">
        <v>44865</v>
      </c>
      <c r="W2" s="54"/>
      <c r="X2" t="s">
        <v>457</v>
      </c>
      <c r="Y2"/>
      <c r="Z2"/>
      <c r="AA2" s="54"/>
      <c r="AB2">
        <v>3</v>
      </c>
      <c r="AC2" s="68">
        <v>44865.336342593</v>
      </c>
      <c r="AD2" s="68">
        <v>44865.336342593</v>
      </c>
      <c r="AE2" s="67" t="s">
        <v>613</v>
      </c>
    </row>
    <row r="3" spans="1:31" ht="15" x14ac:dyDescent="0.25">
      <c r="A3" s="66">
        <v>2</v>
      </c>
      <c r="B3" t="s">
        <v>617</v>
      </c>
      <c r="C3" t="s">
        <v>568</v>
      </c>
      <c r="D3" t="s">
        <v>282</v>
      </c>
      <c r="E3" t="s">
        <v>284</v>
      </c>
      <c r="F3" t="s">
        <v>348</v>
      </c>
      <c r="G3">
        <v>2</v>
      </c>
      <c r="H3">
        <v>6</v>
      </c>
      <c r="I3" t="s">
        <v>615</v>
      </c>
      <c r="J3">
        <v>10</v>
      </c>
      <c r="K3" t="s">
        <v>304</v>
      </c>
      <c r="L3" t="s">
        <v>307</v>
      </c>
      <c r="M3"/>
      <c r="N3"/>
      <c r="O3" t="s">
        <v>572</v>
      </c>
      <c r="P3"/>
      <c r="Q3"/>
      <c r="R3"/>
      <c r="S3"/>
      <c r="T3" s="54"/>
      <c r="U3" t="s">
        <v>573</v>
      </c>
      <c r="V3" s="54">
        <v>44865</v>
      </c>
      <c r="W3" s="54"/>
      <c r="X3" t="s">
        <v>457</v>
      </c>
      <c r="Y3"/>
      <c r="Z3"/>
      <c r="AA3" s="54"/>
      <c r="AB3">
        <v>3</v>
      </c>
      <c r="AC3" s="68">
        <v>44865.337569443996</v>
      </c>
      <c r="AD3" s="68">
        <v>44865.337569443996</v>
      </c>
      <c r="AE3" s="67" t="s">
        <v>616</v>
      </c>
    </row>
    <row r="4" spans="1:31" ht="15" x14ac:dyDescent="0.25">
      <c r="A4" s="66">
        <v>3</v>
      </c>
      <c r="B4" t="s">
        <v>619</v>
      </c>
      <c r="C4" t="s">
        <v>568</v>
      </c>
      <c r="D4" t="s">
        <v>282</v>
      </c>
      <c r="E4" t="s">
        <v>284</v>
      </c>
      <c r="F4" t="s">
        <v>348</v>
      </c>
      <c r="G4">
        <v>2</v>
      </c>
      <c r="H4">
        <v>6</v>
      </c>
      <c r="I4" t="s">
        <v>620</v>
      </c>
      <c r="J4">
        <v>59</v>
      </c>
      <c r="K4" t="s">
        <v>304</v>
      </c>
      <c r="L4" t="s">
        <v>307</v>
      </c>
      <c r="M4"/>
      <c r="N4"/>
      <c r="O4" t="s">
        <v>572</v>
      </c>
      <c r="P4"/>
      <c r="Q4"/>
      <c r="R4"/>
      <c r="S4"/>
      <c r="T4" s="54"/>
      <c r="U4" t="s">
        <v>573</v>
      </c>
      <c r="V4" s="54">
        <v>44865</v>
      </c>
      <c r="W4" s="54"/>
      <c r="X4" t="s">
        <v>457</v>
      </c>
      <c r="Y4"/>
      <c r="Z4"/>
      <c r="AA4" s="54"/>
      <c r="AB4">
        <v>3</v>
      </c>
      <c r="AC4" s="68">
        <v>44865.339004629997</v>
      </c>
      <c r="AD4" s="68">
        <v>44865.339004629997</v>
      </c>
      <c r="AE4" s="67" t="s">
        <v>618</v>
      </c>
    </row>
    <row r="5" spans="1:31" ht="15" x14ac:dyDescent="0.25">
      <c r="A5" s="66">
        <v>4</v>
      </c>
      <c r="B5" t="s">
        <v>622</v>
      </c>
      <c r="C5" t="s">
        <v>568</v>
      </c>
      <c r="D5" t="s">
        <v>282</v>
      </c>
      <c r="E5" t="s">
        <v>284</v>
      </c>
      <c r="F5" t="s">
        <v>348</v>
      </c>
      <c r="G5">
        <v>2</v>
      </c>
      <c r="H5">
        <v>6</v>
      </c>
      <c r="I5" t="s">
        <v>620</v>
      </c>
      <c r="J5">
        <v>55</v>
      </c>
      <c r="K5" t="s">
        <v>306</v>
      </c>
      <c r="L5" t="s">
        <v>307</v>
      </c>
      <c r="M5"/>
      <c r="N5"/>
      <c r="O5" t="s">
        <v>572</v>
      </c>
      <c r="P5"/>
      <c r="Q5"/>
      <c r="R5"/>
      <c r="S5"/>
      <c r="T5" s="54"/>
      <c r="U5" t="s">
        <v>573</v>
      </c>
      <c r="V5" s="54">
        <v>44865</v>
      </c>
      <c r="W5" s="54"/>
      <c r="X5" t="s">
        <v>457</v>
      </c>
      <c r="Y5"/>
      <c r="Z5"/>
      <c r="AA5" s="54"/>
      <c r="AB5">
        <v>3</v>
      </c>
      <c r="AC5" s="68">
        <v>44865.339884259003</v>
      </c>
      <c r="AD5" s="68">
        <v>44865.339884259003</v>
      </c>
      <c r="AE5" s="67" t="s">
        <v>621</v>
      </c>
    </row>
    <row r="6" spans="1:31" ht="15" x14ac:dyDescent="0.25">
      <c r="A6" s="66">
        <v>5</v>
      </c>
      <c r="B6" t="s">
        <v>624</v>
      </c>
      <c r="C6" t="s">
        <v>568</v>
      </c>
      <c r="D6" t="s">
        <v>282</v>
      </c>
      <c r="E6" t="s">
        <v>284</v>
      </c>
      <c r="F6" t="s">
        <v>348</v>
      </c>
      <c r="G6">
        <v>2</v>
      </c>
      <c r="H6">
        <v>6</v>
      </c>
      <c r="I6" t="s">
        <v>620</v>
      </c>
      <c r="J6">
        <v>20</v>
      </c>
      <c r="K6" t="s">
        <v>306</v>
      </c>
      <c r="L6" t="s">
        <v>307</v>
      </c>
      <c r="M6"/>
      <c r="N6"/>
      <c r="O6" t="s">
        <v>572</v>
      </c>
      <c r="P6"/>
      <c r="Q6"/>
      <c r="R6"/>
      <c r="S6"/>
      <c r="T6" s="54"/>
      <c r="U6" t="s">
        <v>573</v>
      </c>
      <c r="V6" s="54">
        <v>44865</v>
      </c>
      <c r="W6" s="54"/>
      <c r="X6" t="s">
        <v>457</v>
      </c>
      <c r="Y6"/>
      <c r="Z6"/>
      <c r="AA6" s="54"/>
      <c r="AB6">
        <v>3</v>
      </c>
      <c r="AC6" s="68">
        <v>44865.341736110997</v>
      </c>
      <c r="AD6" s="68">
        <v>44865.341736110997</v>
      </c>
      <c r="AE6" s="67" t="s">
        <v>623</v>
      </c>
    </row>
    <row r="7" spans="1:31" ht="15" x14ac:dyDescent="0.25">
      <c r="A7" s="66">
        <v>6</v>
      </c>
      <c r="B7" t="s">
        <v>626</v>
      </c>
      <c r="C7" t="s">
        <v>568</v>
      </c>
      <c r="D7" t="s">
        <v>282</v>
      </c>
      <c r="E7" t="s">
        <v>284</v>
      </c>
      <c r="F7" t="s">
        <v>348</v>
      </c>
      <c r="G7">
        <v>2</v>
      </c>
      <c r="H7">
        <v>6</v>
      </c>
      <c r="I7" t="s">
        <v>627</v>
      </c>
      <c r="J7">
        <v>44</v>
      </c>
      <c r="K7" t="s">
        <v>306</v>
      </c>
      <c r="L7" t="s">
        <v>307</v>
      </c>
      <c r="M7"/>
      <c r="N7"/>
      <c r="O7" t="s">
        <v>572</v>
      </c>
      <c r="P7"/>
      <c r="Q7"/>
      <c r="R7"/>
      <c r="S7"/>
      <c r="T7" s="54"/>
      <c r="U7" t="s">
        <v>573</v>
      </c>
      <c r="V7" s="54">
        <v>44865</v>
      </c>
      <c r="W7" s="54"/>
      <c r="X7" t="s">
        <v>457</v>
      </c>
      <c r="Y7"/>
      <c r="Z7"/>
      <c r="AA7" s="54"/>
      <c r="AB7">
        <v>3</v>
      </c>
      <c r="AC7" s="68">
        <v>44865.342731481003</v>
      </c>
      <c r="AD7" s="68">
        <v>44865.342731481003</v>
      </c>
      <c r="AE7" s="67" t="s">
        <v>625</v>
      </c>
    </row>
    <row r="8" spans="1:31" ht="15" x14ac:dyDescent="0.25">
      <c r="A8" s="66">
        <v>7</v>
      </c>
      <c r="B8" t="s">
        <v>629</v>
      </c>
      <c r="C8" t="s">
        <v>568</v>
      </c>
      <c r="D8" t="s">
        <v>282</v>
      </c>
      <c r="E8" t="s">
        <v>284</v>
      </c>
      <c r="F8" t="s">
        <v>348</v>
      </c>
      <c r="G8">
        <v>2</v>
      </c>
      <c r="H8">
        <v>6</v>
      </c>
      <c r="I8" t="s">
        <v>627</v>
      </c>
      <c r="J8">
        <v>14</v>
      </c>
      <c r="K8" t="s">
        <v>306</v>
      </c>
      <c r="L8" t="s">
        <v>307</v>
      </c>
      <c r="M8"/>
      <c r="N8"/>
      <c r="O8" t="s">
        <v>572</v>
      </c>
      <c r="P8"/>
      <c r="Q8"/>
      <c r="R8"/>
      <c r="S8"/>
      <c r="T8" s="54"/>
      <c r="U8" t="s">
        <v>573</v>
      </c>
      <c r="V8" s="54">
        <v>44865</v>
      </c>
      <c r="W8" s="54"/>
      <c r="X8" t="s">
        <v>457</v>
      </c>
      <c r="Y8"/>
      <c r="Z8"/>
      <c r="AA8" s="54"/>
      <c r="AB8">
        <v>3</v>
      </c>
      <c r="AC8" s="68">
        <v>44865.345254630003</v>
      </c>
      <c r="AD8" s="68">
        <v>44865.345254630003</v>
      </c>
      <c r="AE8" s="67" t="s">
        <v>628</v>
      </c>
    </row>
    <row r="9" spans="1:31" ht="15" x14ac:dyDescent="0.25">
      <c r="A9" s="66">
        <v>8</v>
      </c>
      <c r="B9" t="s">
        <v>631</v>
      </c>
      <c r="C9" t="s">
        <v>568</v>
      </c>
      <c r="D9" t="s">
        <v>282</v>
      </c>
      <c r="E9" t="s">
        <v>284</v>
      </c>
      <c r="F9" t="s">
        <v>348</v>
      </c>
      <c r="G9">
        <v>2</v>
      </c>
      <c r="H9">
        <v>6</v>
      </c>
      <c r="I9" t="s">
        <v>620</v>
      </c>
      <c r="J9">
        <v>55</v>
      </c>
      <c r="K9" t="s">
        <v>304</v>
      </c>
      <c r="L9" t="s">
        <v>307</v>
      </c>
      <c r="M9"/>
      <c r="N9"/>
      <c r="O9" t="s">
        <v>572</v>
      </c>
      <c r="P9"/>
      <c r="Q9"/>
      <c r="R9"/>
      <c r="S9"/>
      <c r="T9" s="54"/>
      <c r="U9" t="s">
        <v>573</v>
      </c>
      <c r="V9" s="54">
        <v>44865</v>
      </c>
      <c r="W9" s="54"/>
      <c r="X9" t="s">
        <v>457</v>
      </c>
      <c r="Y9"/>
      <c r="Z9"/>
      <c r="AA9" s="54"/>
      <c r="AB9">
        <v>0</v>
      </c>
      <c r="AC9" s="68">
        <v>44865.346261573999</v>
      </c>
      <c r="AD9" s="68">
        <v>44865.346261573999</v>
      </c>
      <c r="AE9" s="67" t="s">
        <v>630</v>
      </c>
    </row>
    <row r="10" spans="1:31" ht="15" x14ac:dyDescent="0.25">
      <c r="A10" s="66">
        <v>9</v>
      </c>
      <c r="B10" t="s">
        <v>633</v>
      </c>
      <c r="C10" t="s">
        <v>568</v>
      </c>
      <c r="D10" t="s">
        <v>282</v>
      </c>
      <c r="E10" t="s">
        <v>284</v>
      </c>
      <c r="F10" t="s">
        <v>348</v>
      </c>
      <c r="G10">
        <v>2</v>
      </c>
      <c r="H10">
        <v>6</v>
      </c>
      <c r="I10" t="s">
        <v>620</v>
      </c>
      <c r="J10">
        <v>71</v>
      </c>
      <c r="K10" t="s">
        <v>304</v>
      </c>
      <c r="L10" t="s">
        <v>307</v>
      </c>
      <c r="M10"/>
      <c r="N10"/>
      <c r="O10" t="s">
        <v>572</v>
      </c>
      <c r="P10"/>
      <c r="Q10"/>
      <c r="R10"/>
      <c r="S10"/>
      <c r="T10" s="54"/>
      <c r="U10" t="s">
        <v>573</v>
      </c>
      <c r="V10" s="54">
        <v>44865</v>
      </c>
      <c r="W10" s="54"/>
      <c r="X10" t="s">
        <v>457</v>
      </c>
      <c r="Y10"/>
      <c r="Z10"/>
      <c r="AA10" s="54"/>
      <c r="AB10">
        <v>3</v>
      </c>
      <c r="AC10" s="68">
        <v>44865.347418981</v>
      </c>
      <c r="AD10" s="68">
        <v>44865.347418981</v>
      </c>
      <c r="AE10" s="67" t="s">
        <v>632</v>
      </c>
    </row>
    <row r="11" spans="1:31" ht="15" x14ac:dyDescent="0.25">
      <c r="A11" s="66">
        <v>10</v>
      </c>
      <c r="B11" t="s">
        <v>635</v>
      </c>
      <c r="C11" t="s">
        <v>568</v>
      </c>
      <c r="D11" t="s">
        <v>282</v>
      </c>
      <c r="E11" t="s">
        <v>284</v>
      </c>
      <c r="F11" t="s">
        <v>348</v>
      </c>
      <c r="G11">
        <v>2</v>
      </c>
      <c r="H11">
        <v>6</v>
      </c>
      <c r="I11" t="s">
        <v>620</v>
      </c>
      <c r="J11">
        <v>66</v>
      </c>
      <c r="K11" t="s">
        <v>306</v>
      </c>
      <c r="L11" t="s">
        <v>307</v>
      </c>
      <c r="M11"/>
      <c r="N11"/>
      <c r="O11" t="s">
        <v>572</v>
      </c>
      <c r="P11"/>
      <c r="Q11"/>
      <c r="R11"/>
      <c r="S11"/>
      <c r="T11" s="54"/>
      <c r="U11" t="s">
        <v>573</v>
      </c>
      <c r="V11" s="54">
        <v>44865</v>
      </c>
      <c r="W11" s="54"/>
      <c r="X11" t="s">
        <v>457</v>
      </c>
      <c r="Y11"/>
      <c r="Z11"/>
      <c r="AA11" s="54"/>
      <c r="AB11">
        <v>1</v>
      </c>
      <c r="AC11" s="68">
        <v>44865.348344906997</v>
      </c>
      <c r="AD11" s="68">
        <v>44865.348344906997</v>
      </c>
      <c r="AE11" s="67" t="s">
        <v>634</v>
      </c>
    </row>
    <row r="12" spans="1:31" ht="15" x14ac:dyDescent="0.25">
      <c r="A12" s="66">
        <v>11</v>
      </c>
      <c r="B12" t="s">
        <v>637</v>
      </c>
      <c r="C12" t="s">
        <v>568</v>
      </c>
      <c r="D12" t="s">
        <v>282</v>
      </c>
      <c r="E12" t="s">
        <v>284</v>
      </c>
      <c r="F12" t="s">
        <v>352</v>
      </c>
      <c r="G12">
        <v>2</v>
      </c>
      <c r="H12">
        <v>6</v>
      </c>
      <c r="I12" t="s">
        <v>620</v>
      </c>
      <c r="J12">
        <v>23</v>
      </c>
      <c r="K12" t="s">
        <v>304</v>
      </c>
      <c r="L12" t="s">
        <v>307</v>
      </c>
      <c r="M12"/>
      <c r="N12"/>
      <c r="O12" t="s">
        <v>572</v>
      </c>
      <c r="P12"/>
      <c r="Q12"/>
      <c r="R12"/>
      <c r="S12"/>
      <c r="T12" s="54"/>
      <c r="U12" t="s">
        <v>573</v>
      </c>
      <c r="V12" s="54">
        <v>44865</v>
      </c>
      <c r="W12" s="54"/>
      <c r="X12" t="s">
        <v>457</v>
      </c>
      <c r="Y12"/>
      <c r="Z12"/>
      <c r="AA12" s="54"/>
      <c r="AB12">
        <v>1</v>
      </c>
      <c r="AC12" s="68">
        <v>44865.349212963003</v>
      </c>
      <c r="AD12" s="68">
        <v>44865.349212963003</v>
      </c>
      <c r="AE12" s="67" t="s">
        <v>636</v>
      </c>
    </row>
    <row r="13" spans="1:31" ht="15" x14ac:dyDescent="0.25">
      <c r="A13" s="66">
        <v>12</v>
      </c>
      <c r="B13" t="s">
        <v>639</v>
      </c>
      <c r="C13" t="s">
        <v>568</v>
      </c>
      <c r="D13" t="s">
        <v>282</v>
      </c>
      <c r="E13" t="s">
        <v>284</v>
      </c>
      <c r="F13" t="s">
        <v>348</v>
      </c>
      <c r="G13">
        <v>2</v>
      </c>
      <c r="H13">
        <v>6</v>
      </c>
      <c r="I13" t="s">
        <v>620</v>
      </c>
      <c r="J13">
        <v>38</v>
      </c>
      <c r="K13" t="s">
        <v>304</v>
      </c>
      <c r="L13" t="s">
        <v>307</v>
      </c>
      <c r="M13"/>
      <c r="N13"/>
      <c r="O13" t="s">
        <v>572</v>
      </c>
      <c r="P13"/>
      <c r="Q13"/>
      <c r="R13"/>
      <c r="S13"/>
      <c r="T13" s="54"/>
      <c r="U13" t="s">
        <v>573</v>
      </c>
      <c r="V13" s="54">
        <v>44865</v>
      </c>
      <c r="W13" s="54"/>
      <c r="X13" t="s">
        <v>457</v>
      </c>
      <c r="Y13"/>
      <c r="Z13"/>
      <c r="AA13" s="54"/>
      <c r="AB13">
        <v>3</v>
      </c>
      <c r="AC13" s="68">
        <v>44865.350613426002</v>
      </c>
      <c r="AD13" s="68">
        <v>44865.350613426002</v>
      </c>
      <c r="AE13" s="67" t="s">
        <v>638</v>
      </c>
    </row>
    <row r="14" spans="1:31" ht="15" x14ac:dyDescent="0.25">
      <c r="A14" s="66">
        <v>13</v>
      </c>
      <c r="B14" t="s">
        <v>641</v>
      </c>
      <c r="C14" t="s">
        <v>568</v>
      </c>
      <c r="D14" t="s">
        <v>282</v>
      </c>
      <c r="E14" t="s">
        <v>284</v>
      </c>
      <c r="F14" t="s">
        <v>348</v>
      </c>
      <c r="G14">
        <v>2</v>
      </c>
      <c r="H14">
        <v>6</v>
      </c>
      <c r="I14" t="s">
        <v>620</v>
      </c>
      <c r="J14">
        <v>11</v>
      </c>
      <c r="K14" t="s">
        <v>304</v>
      </c>
      <c r="L14" t="s">
        <v>307</v>
      </c>
      <c r="M14"/>
      <c r="N14"/>
      <c r="O14" t="s">
        <v>572</v>
      </c>
      <c r="P14"/>
      <c r="Q14"/>
      <c r="R14"/>
      <c r="S14"/>
      <c r="T14" s="54"/>
      <c r="U14" t="s">
        <v>573</v>
      </c>
      <c r="V14" s="54">
        <v>44865</v>
      </c>
      <c r="W14" s="54"/>
      <c r="X14" t="s">
        <v>457</v>
      </c>
      <c r="Y14"/>
      <c r="Z14"/>
      <c r="AA14" s="54"/>
      <c r="AB14">
        <v>3</v>
      </c>
      <c r="AC14" s="68">
        <v>44865.351377314997</v>
      </c>
      <c r="AD14" s="68">
        <v>44865.351377314997</v>
      </c>
      <c r="AE14" s="67" t="s">
        <v>640</v>
      </c>
    </row>
    <row r="15" spans="1:31" ht="15" x14ac:dyDescent="0.25">
      <c r="A15" s="66">
        <v>14</v>
      </c>
      <c r="B15" t="s">
        <v>643</v>
      </c>
      <c r="C15" t="s">
        <v>568</v>
      </c>
      <c r="D15" t="s">
        <v>282</v>
      </c>
      <c r="E15" t="s">
        <v>284</v>
      </c>
      <c r="F15" t="s">
        <v>348</v>
      </c>
      <c r="G15">
        <v>2</v>
      </c>
      <c r="H15">
        <v>6</v>
      </c>
      <c r="I15" t="s">
        <v>620</v>
      </c>
      <c r="J15">
        <v>40</v>
      </c>
      <c r="K15" t="s">
        <v>304</v>
      </c>
      <c r="L15" t="s">
        <v>307</v>
      </c>
      <c r="M15"/>
      <c r="N15"/>
      <c r="O15" t="s">
        <v>572</v>
      </c>
      <c r="P15"/>
      <c r="Q15"/>
      <c r="R15"/>
      <c r="S15"/>
      <c r="T15" s="54"/>
      <c r="U15" t="s">
        <v>573</v>
      </c>
      <c r="V15" s="54">
        <v>44865</v>
      </c>
      <c r="W15" s="54"/>
      <c r="X15" t="s">
        <v>457</v>
      </c>
      <c r="Y15"/>
      <c r="Z15"/>
      <c r="AA15" s="54"/>
      <c r="AB15">
        <v>2</v>
      </c>
      <c r="AC15" s="68">
        <v>44865.353229166998</v>
      </c>
      <c r="AD15" s="68">
        <v>44865.353229166998</v>
      </c>
      <c r="AE15" s="67" t="s">
        <v>642</v>
      </c>
    </row>
    <row r="16" spans="1:31" ht="15" x14ac:dyDescent="0.25">
      <c r="A16" s="66">
        <v>15</v>
      </c>
      <c r="B16" t="s">
        <v>645</v>
      </c>
      <c r="C16" t="s">
        <v>568</v>
      </c>
      <c r="D16" t="s">
        <v>282</v>
      </c>
      <c r="E16" t="s">
        <v>284</v>
      </c>
      <c r="F16" t="s">
        <v>340</v>
      </c>
      <c r="G16">
        <v>3</v>
      </c>
      <c r="H16">
        <v>3</v>
      </c>
      <c r="I16" t="s">
        <v>646</v>
      </c>
      <c r="J16">
        <v>3</v>
      </c>
      <c r="K16" t="s">
        <v>304</v>
      </c>
      <c r="L16" t="s">
        <v>307</v>
      </c>
      <c r="M16"/>
      <c r="N16"/>
      <c r="O16" t="s">
        <v>572</v>
      </c>
      <c r="P16"/>
      <c r="Q16"/>
      <c r="R16"/>
      <c r="S16"/>
      <c r="T16" s="54"/>
      <c r="U16" t="s">
        <v>573</v>
      </c>
      <c r="V16" s="54">
        <v>44865</v>
      </c>
      <c r="W16" s="54"/>
      <c r="X16" t="s">
        <v>457</v>
      </c>
      <c r="Y16"/>
      <c r="Z16"/>
      <c r="AA16" s="54"/>
      <c r="AB16">
        <v>2</v>
      </c>
      <c r="AC16" s="68">
        <v>44865.354664352002</v>
      </c>
      <c r="AD16" s="68">
        <v>44865.354664352002</v>
      </c>
      <c r="AE16" s="67" t="s">
        <v>644</v>
      </c>
    </row>
    <row r="17" spans="1:31" ht="15" x14ac:dyDescent="0.25">
      <c r="A17" s="66">
        <v>16</v>
      </c>
      <c r="B17" t="s">
        <v>648</v>
      </c>
      <c r="C17" t="s">
        <v>568</v>
      </c>
      <c r="D17" t="s">
        <v>282</v>
      </c>
      <c r="E17" t="s">
        <v>284</v>
      </c>
      <c r="F17" t="s">
        <v>339</v>
      </c>
      <c r="G17">
        <v>4</v>
      </c>
      <c r="H17">
        <v>1</v>
      </c>
      <c r="I17" t="s">
        <v>339</v>
      </c>
      <c r="J17">
        <v>72</v>
      </c>
      <c r="K17" t="s">
        <v>306</v>
      </c>
      <c r="L17" t="s">
        <v>307</v>
      </c>
      <c r="M17"/>
      <c r="N17"/>
      <c r="O17" t="s">
        <v>572</v>
      </c>
      <c r="P17"/>
      <c r="Q17"/>
      <c r="R17"/>
      <c r="S17"/>
      <c r="T17" s="54"/>
      <c r="U17" t="s">
        <v>573</v>
      </c>
      <c r="V17" s="54">
        <v>44865</v>
      </c>
      <c r="W17" s="54"/>
      <c r="X17" t="s">
        <v>457</v>
      </c>
      <c r="Y17"/>
      <c r="Z17"/>
      <c r="AA17" s="54"/>
      <c r="AB17">
        <v>1</v>
      </c>
      <c r="AC17" s="68">
        <v>44865.405636574003</v>
      </c>
      <c r="AD17" s="68">
        <v>44865.405636574003</v>
      </c>
      <c r="AE17" s="67" t="s">
        <v>647</v>
      </c>
    </row>
    <row r="18" spans="1:31" ht="15" x14ac:dyDescent="0.25">
      <c r="A18" s="66">
        <v>17</v>
      </c>
      <c r="B18" t="s">
        <v>650</v>
      </c>
      <c r="C18" t="s">
        <v>568</v>
      </c>
      <c r="D18" t="s">
        <v>282</v>
      </c>
      <c r="E18" t="s">
        <v>284</v>
      </c>
      <c r="F18" t="s">
        <v>348</v>
      </c>
      <c r="G18">
        <v>5</v>
      </c>
      <c r="H18">
        <v>4</v>
      </c>
      <c r="I18" t="s">
        <v>651</v>
      </c>
      <c r="J18">
        <v>56</v>
      </c>
      <c r="K18" t="s">
        <v>304</v>
      </c>
      <c r="L18" t="s">
        <v>307</v>
      </c>
      <c r="M18"/>
      <c r="N18"/>
      <c r="O18" t="s">
        <v>572</v>
      </c>
      <c r="P18"/>
      <c r="Q18"/>
      <c r="R18"/>
      <c r="S18"/>
      <c r="T18" s="54"/>
      <c r="U18" t="s">
        <v>573</v>
      </c>
      <c r="V18" s="54">
        <v>44865</v>
      </c>
      <c r="W18" s="54"/>
      <c r="X18" t="s">
        <v>457</v>
      </c>
      <c r="Y18"/>
      <c r="Z18"/>
      <c r="AA18" s="54"/>
      <c r="AB18">
        <v>1</v>
      </c>
      <c r="AC18" s="68">
        <v>44865.406851852</v>
      </c>
      <c r="AD18" s="68">
        <v>44865.406851852</v>
      </c>
      <c r="AE18" s="67" t="s">
        <v>649</v>
      </c>
    </row>
    <row r="19" spans="1:31" ht="15" x14ac:dyDescent="0.25">
      <c r="A19" s="66">
        <v>18</v>
      </c>
      <c r="B19" t="s">
        <v>653</v>
      </c>
      <c r="C19" t="s">
        <v>568</v>
      </c>
      <c r="D19" t="s">
        <v>282</v>
      </c>
      <c r="E19" t="s">
        <v>284</v>
      </c>
      <c r="F19" t="s">
        <v>348</v>
      </c>
      <c r="G19">
        <v>5</v>
      </c>
      <c r="H19">
        <v>4</v>
      </c>
      <c r="I19" t="s">
        <v>651</v>
      </c>
      <c r="J19">
        <v>8</v>
      </c>
      <c r="K19" t="s">
        <v>304</v>
      </c>
      <c r="L19" t="s">
        <v>307</v>
      </c>
      <c r="M19"/>
      <c r="N19"/>
      <c r="O19" t="s">
        <v>572</v>
      </c>
      <c r="P19"/>
      <c r="Q19"/>
      <c r="R19"/>
      <c r="S19"/>
      <c r="T19" s="54"/>
      <c r="U19" t="s">
        <v>573</v>
      </c>
      <c r="V19" s="54">
        <v>44865</v>
      </c>
      <c r="W19" s="54"/>
      <c r="X19" t="s">
        <v>457</v>
      </c>
      <c r="Y19"/>
      <c r="Z19"/>
      <c r="AA19" s="54"/>
      <c r="AB19">
        <v>1</v>
      </c>
      <c r="AC19" s="68">
        <v>44865.412071758998</v>
      </c>
      <c r="AD19" s="68">
        <v>44865.412071758998</v>
      </c>
      <c r="AE19" s="67" t="s">
        <v>652</v>
      </c>
    </row>
    <row r="20" spans="1:31" ht="15" x14ac:dyDescent="0.25">
      <c r="A20" s="66">
        <v>19</v>
      </c>
      <c r="B20" t="s">
        <v>655</v>
      </c>
      <c r="C20" t="s">
        <v>568</v>
      </c>
      <c r="D20" t="s">
        <v>282</v>
      </c>
      <c r="E20" t="s">
        <v>284</v>
      </c>
      <c r="F20" t="s">
        <v>339</v>
      </c>
      <c r="G20">
        <v>4</v>
      </c>
      <c r="H20">
        <v>1</v>
      </c>
      <c r="I20" t="s">
        <v>339</v>
      </c>
      <c r="J20">
        <v>36</v>
      </c>
      <c r="K20" t="s">
        <v>304</v>
      </c>
      <c r="L20" t="s">
        <v>307</v>
      </c>
      <c r="M20"/>
      <c r="N20"/>
      <c r="O20" t="s">
        <v>572</v>
      </c>
      <c r="P20"/>
      <c r="Q20"/>
      <c r="R20"/>
      <c r="S20"/>
      <c r="T20" s="54"/>
      <c r="U20" t="s">
        <v>573</v>
      </c>
      <c r="V20" s="54">
        <v>44865</v>
      </c>
      <c r="W20" s="54"/>
      <c r="X20" t="s">
        <v>457</v>
      </c>
      <c r="Y20"/>
      <c r="Z20"/>
      <c r="AA20" s="54"/>
      <c r="AB20">
        <v>1</v>
      </c>
      <c r="AC20" s="68">
        <v>44865.424108796004</v>
      </c>
      <c r="AD20" s="68">
        <v>44865.424108796004</v>
      </c>
      <c r="AE20" s="67" t="s">
        <v>654</v>
      </c>
    </row>
    <row r="21" spans="1:31" ht="15" x14ac:dyDescent="0.25">
      <c r="A21" s="66">
        <v>20</v>
      </c>
      <c r="B21" t="s">
        <v>657</v>
      </c>
      <c r="C21" t="s">
        <v>568</v>
      </c>
      <c r="D21" t="s">
        <v>282</v>
      </c>
      <c r="E21" t="s">
        <v>284</v>
      </c>
      <c r="F21" t="s">
        <v>339</v>
      </c>
      <c r="G21">
        <v>4</v>
      </c>
      <c r="H21">
        <v>1</v>
      </c>
      <c r="I21" t="s">
        <v>339</v>
      </c>
      <c r="J21">
        <v>53</v>
      </c>
      <c r="K21" t="s">
        <v>304</v>
      </c>
      <c r="L21" t="s">
        <v>307</v>
      </c>
      <c r="M21"/>
      <c r="N21"/>
      <c r="O21" t="s">
        <v>572</v>
      </c>
      <c r="P21"/>
      <c r="Q21"/>
      <c r="R21"/>
      <c r="S21"/>
      <c r="T21" s="54"/>
      <c r="U21" t="s">
        <v>573</v>
      </c>
      <c r="V21" s="54">
        <v>44865</v>
      </c>
      <c r="W21" s="54"/>
      <c r="X21" t="s">
        <v>457</v>
      </c>
      <c r="Y21"/>
      <c r="Z21"/>
      <c r="AA21" s="54"/>
      <c r="AB21">
        <v>1</v>
      </c>
      <c r="AC21" s="68">
        <v>44865.425219907003</v>
      </c>
      <c r="AD21" s="68">
        <v>44865.425219907003</v>
      </c>
      <c r="AE21" s="67" t="s">
        <v>656</v>
      </c>
    </row>
    <row r="22" spans="1:31" ht="15" x14ac:dyDescent="0.25">
      <c r="A22" s="66">
        <v>21</v>
      </c>
      <c r="B22" t="s">
        <v>659</v>
      </c>
      <c r="C22" t="s">
        <v>568</v>
      </c>
      <c r="D22" t="s">
        <v>282</v>
      </c>
      <c r="E22" t="s">
        <v>284</v>
      </c>
      <c r="F22" t="s">
        <v>339</v>
      </c>
      <c r="G22">
        <v>4</v>
      </c>
      <c r="H22">
        <v>1</v>
      </c>
      <c r="I22" t="s">
        <v>339</v>
      </c>
      <c r="J22">
        <v>48</v>
      </c>
      <c r="K22" t="s">
        <v>304</v>
      </c>
      <c r="L22" t="s">
        <v>307</v>
      </c>
      <c r="M22"/>
      <c r="N22"/>
      <c r="O22" t="s">
        <v>572</v>
      </c>
      <c r="P22"/>
      <c r="Q22"/>
      <c r="R22"/>
      <c r="S22"/>
      <c r="T22" s="54"/>
      <c r="U22" t="s">
        <v>573</v>
      </c>
      <c r="V22" s="54">
        <v>44865</v>
      </c>
      <c r="W22" s="54"/>
      <c r="X22" t="s">
        <v>457</v>
      </c>
      <c r="Y22"/>
      <c r="Z22"/>
      <c r="AA22" s="54"/>
      <c r="AB22">
        <v>1</v>
      </c>
      <c r="AC22" s="68">
        <v>44865.426724536999</v>
      </c>
      <c r="AD22" s="68">
        <v>44865.426724536999</v>
      </c>
      <c r="AE22" s="67" t="s">
        <v>658</v>
      </c>
    </row>
    <row r="23" spans="1:31" ht="15" x14ac:dyDescent="0.25">
      <c r="A23" s="66">
        <v>22</v>
      </c>
      <c r="B23" t="s">
        <v>661</v>
      </c>
      <c r="C23" t="s">
        <v>568</v>
      </c>
      <c r="D23" t="s">
        <v>282</v>
      </c>
      <c r="E23" t="s">
        <v>284</v>
      </c>
      <c r="F23" t="s">
        <v>339</v>
      </c>
      <c r="G23">
        <v>4</v>
      </c>
      <c r="H23">
        <v>1</v>
      </c>
      <c r="I23" t="s">
        <v>339</v>
      </c>
      <c r="J23">
        <v>20</v>
      </c>
      <c r="K23" t="s">
        <v>304</v>
      </c>
      <c r="L23" t="s">
        <v>307</v>
      </c>
      <c r="M23"/>
      <c r="N23"/>
      <c r="O23" t="s">
        <v>572</v>
      </c>
      <c r="P23"/>
      <c r="Q23"/>
      <c r="R23"/>
      <c r="S23"/>
      <c r="T23" s="54"/>
      <c r="U23" t="s">
        <v>573</v>
      </c>
      <c r="V23" s="54">
        <v>44865</v>
      </c>
      <c r="W23" s="54"/>
      <c r="X23" t="s">
        <v>457</v>
      </c>
      <c r="Y23"/>
      <c r="Z23"/>
      <c r="AA23" s="54"/>
      <c r="AB23">
        <v>1</v>
      </c>
      <c r="AC23" s="68">
        <v>44865.427488426001</v>
      </c>
      <c r="AD23" s="68">
        <v>44865.427488426001</v>
      </c>
      <c r="AE23" s="67" t="s">
        <v>660</v>
      </c>
    </row>
    <row r="24" spans="1:31" ht="15" x14ac:dyDescent="0.25">
      <c r="A24" s="66">
        <v>23</v>
      </c>
      <c r="B24" t="s">
        <v>663</v>
      </c>
      <c r="C24" t="s">
        <v>568</v>
      </c>
      <c r="D24" t="s">
        <v>282</v>
      </c>
      <c r="E24" t="s">
        <v>284</v>
      </c>
      <c r="F24" t="s">
        <v>339</v>
      </c>
      <c r="G24">
        <v>4</v>
      </c>
      <c r="H24">
        <v>1</v>
      </c>
      <c r="I24" t="s">
        <v>339</v>
      </c>
      <c r="J24">
        <v>61</v>
      </c>
      <c r="K24" t="s">
        <v>304</v>
      </c>
      <c r="L24" t="s">
        <v>307</v>
      </c>
      <c r="M24"/>
      <c r="N24"/>
      <c r="O24" t="s">
        <v>572</v>
      </c>
      <c r="P24"/>
      <c r="Q24"/>
      <c r="R24"/>
      <c r="S24"/>
      <c r="T24" s="54"/>
      <c r="U24" t="s">
        <v>573</v>
      </c>
      <c r="V24" s="54">
        <v>44865</v>
      </c>
      <c r="W24" s="54"/>
      <c r="X24" t="s">
        <v>457</v>
      </c>
      <c r="Y24"/>
      <c r="Z24"/>
      <c r="AA24" s="54"/>
      <c r="AB24">
        <v>1</v>
      </c>
      <c r="AC24" s="68">
        <v>44865.428217592998</v>
      </c>
      <c r="AD24" s="68">
        <v>44865.428217592998</v>
      </c>
      <c r="AE24" s="67" t="s">
        <v>662</v>
      </c>
    </row>
    <row r="25" spans="1:31" ht="15" x14ac:dyDescent="0.25">
      <c r="A25" s="66">
        <v>24</v>
      </c>
      <c r="B25" t="s">
        <v>665</v>
      </c>
      <c r="C25" t="s">
        <v>568</v>
      </c>
      <c r="D25" t="s">
        <v>282</v>
      </c>
      <c r="E25" t="s">
        <v>284</v>
      </c>
      <c r="F25" t="s">
        <v>339</v>
      </c>
      <c r="G25">
        <v>4</v>
      </c>
      <c r="H25">
        <v>1</v>
      </c>
      <c r="I25" t="s">
        <v>339</v>
      </c>
      <c r="J25">
        <v>56</v>
      </c>
      <c r="K25" t="s">
        <v>304</v>
      </c>
      <c r="L25" t="s">
        <v>307</v>
      </c>
      <c r="M25"/>
      <c r="N25"/>
      <c r="O25" t="s">
        <v>572</v>
      </c>
      <c r="P25"/>
      <c r="Q25"/>
      <c r="R25"/>
      <c r="S25"/>
      <c r="T25" s="54"/>
      <c r="U25" t="s">
        <v>573</v>
      </c>
      <c r="V25" s="54">
        <v>44865</v>
      </c>
      <c r="W25" s="54"/>
      <c r="X25" t="s">
        <v>457</v>
      </c>
      <c r="Y25"/>
      <c r="Z25"/>
      <c r="AA25" s="54"/>
      <c r="AB25">
        <v>1</v>
      </c>
      <c r="AC25" s="68">
        <v>44865.4296875</v>
      </c>
      <c r="AD25" s="68">
        <v>44865.4296875</v>
      </c>
      <c r="AE25" s="67" t="s">
        <v>664</v>
      </c>
    </row>
    <row r="26" spans="1:31" ht="15" x14ac:dyDescent="0.25">
      <c r="A26" s="66">
        <v>25</v>
      </c>
      <c r="B26" t="s">
        <v>667</v>
      </c>
      <c r="C26" t="s">
        <v>568</v>
      </c>
      <c r="D26" t="s">
        <v>282</v>
      </c>
      <c r="E26" t="s">
        <v>284</v>
      </c>
      <c r="F26" t="s">
        <v>339</v>
      </c>
      <c r="G26">
        <v>4</v>
      </c>
      <c r="H26">
        <v>1</v>
      </c>
      <c r="I26" t="s">
        <v>339</v>
      </c>
      <c r="J26">
        <v>37</v>
      </c>
      <c r="K26" t="s">
        <v>304</v>
      </c>
      <c r="L26" t="s">
        <v>307</v>
      </c>
      <c r="M26"/>
      <c r="N26"/>
      <c r="O26" t="s">
        <v>572</v>
      </c>
      <c r="P26"/>
      <c r="Q26"/>
      <c r="R26"/>
      <c r="S26"/>
      <c r="T26" s="54"/>
      <c r="U26" t="s">
        <v>573</v>
      </c>
      <c r="V26" s="54">
        <v>44865</v>
      </c>
      <c r="W26" s="54"/>
      <c r="X26" t="s">
        <v>457</v>
      </c>
      <c r="Y26"/>
      <c r="Z26"/>
      <c r="AA26" s="54"/>
      <c r="AB26">
        <v>1</v>
      </c>
      <c r="AC26" s="68">
        <v>44865.430462962999</v>
      </c>
      <c r="AD26" s="68">
        <v>44865.430462962999</v>
      </c>
      <c r="AE26" s="67" t="s">
        <v>666</v>
      </c>
    </row>
    <row r="27" spans="1:31" ht="15" x14ac:dyDescent="0.25">
      <c r="A27" s="66">
        <v>26</v>
      </c>
      <c r="B27" t="s">
        <v>669</v>
      </c>
      <c r="C27" t="s">
        <v>568</v>
      </c>
      <c r="D27" t="s">
        <v>282</v>
      </c>
      <c r="E27" t="s">
        <v>284</v>
      </c>
      <c r="F27" t="s">
        <v>339</v>
      </c>
      <c r="G27">
        <v>4</v>
      </c>
      <c r="H27">
        <v>1</v>
      </c>
      <c r="I27" t="s">
        <v>339</v>
      </c>
      <c r="J27">
        <v>5</v>
      </c>
      <c r="K27" t="s">
        <v>304</v>
      </c>
      <c r="L27" t="s">
        <v>307</v>
      </c>
      <c r="M27"/>
      <c r="N27"/>
      <c r="O27" t="s">
        <v>572</v>
      </c>
      <c r="P27"/>
      <c r="Q27"/>
      <c r="R27"/>
      <c r="S27"/>
      <c r="T27" s="54"/>
      <c r="U27" t="s">
        <v>573</v>
      </c>
      <c r="V27" s="54">
        <v>44865</v>
      </c>
      <c r="W27" s="54"/>
      <c r="X27" t="s">
        <v>457</v>
      </c>
      <c r="Y27"/>
      <c r="Z27"/>
      <c r="AA27" s="54"/>
      <c r="AB27">
        <v>1</v>
      </c>
      <c r="AC27" s="68">
        <v>44865.431296296003</v>
      </c>
      <c r="AD27" s="68">
        <v>44865.431296296003</v>
      </c>
      <c r="AE27" s="67" t="s">
        <v>668</v>
      </c>
    </row>
    <row r="28" spans="1:31" ht="15" x14ac:dyDescent="0.25">
      <c r="A28" s="66">
        <v>27</v>
      </c>
      <c r="B28" t="s">
        <v>671</v>
      </c>
      <c r="C28" t="s">
        <v>568</v>
      </c>
      <c r="D28" t="s">
        <v>282</v>
      </c>
      <c r="E28" t="s">
        <v>284</v>
      </c>
      <c r="F28" t="s">
        <v>339</v>
      </c>
      <c r="G28">
        <v>4</v>
      </c>
      <c r="H28">
        <v>1</v>
      </c>
      <c r="I28" t="s">
        <v>339</v>
      </c>
      <c r="J28">
        <v>34</v>
      </c>
      <c r="K28" t="s">
        <v>304</v>
      </c>
      <c r="L28" t="s">
        <v>307</v>
      </c>
      <c r="M28"/>
      <c r="N28"/>
      <c r="O28" t="s">
        <v>572</v>
      </c>
      <c r="P28"/>
      <c r="Q28"/>
      <c r="R28"/>
      <c r="S28"/>
      <c r="T28" s="54"/>
      <c r="U28" t="s">
        <v>573</v>
      </c>
      <c r="V28" s="54">
        <v>44865</v>
      </c>
      <c r="W28" s="54"/>
      <c r="X28" t="s">
        <v>457</v>
      </c>
      <c r="Y28"/>
      <c r="Z28"/>
      <c r="AA28" s="54"/>
      <c r="AB28">
        <v>1</v>
      </c>
      <c r="AC28" s="68">
        <v>44865.432025463</v>
      </c>
      <c r="AD28" s="68">
        <v>44865.432025463</v>
      </c>
      <c r="AE28" s="67" t="s">
        <v>670</v>
      </c>
    </row>
    <row r="29" spans="1:31" ht="15" x14ac:dyDescent="0.25">
      <c r="A29" s="66">
        <v>28</v>
      </c>
      <c r="B29" t="s">
        <v>673</v>
      </c>
      <c r="C29" t="s">
        <v>568</v>
      </c>
      <c r="D29" t="s">
        <v>282</v>
      </c>
      <c r="E29" t="s">
        <v>284</v>
      </c>
      <c r="F29" t="s">
        <v>339</v>
      </c>
      <c r="G29">
        <v>4</v>
      </c>
      <c r="H29">
        <v>1</v>
      </c>
      <c r="I29" t="s">
        <v>339</v>
      </c>
      <c r="J29">
        <v>12</v>
      </c>
      <c r="K29" t="s">
        <v>304</v>
      </c>
      <c r="L29" t="s">
        <v>307</v>
      </c>
      <c r="M29"/>
      <c r="N29"/>
      <c r="O29" t="s">
        <v>572</v>
      </c>
      <c r="P29"/>
      <c r="Q29"/>
      <c r="R29"/>
      <c r="S29"/>
      <c r="T29" s="54"/>
      <c r="U29" t="s">
        <v>573</v>
      </c>
      <c r="V29" s="54">
        <v>44865</v>
      </c>
      <c r="W29" s="54"/>
      <c r="X29" t="s">
        <v>457</v>
      </c>
      <c r="Y29"/>
      <c r="Z29"/>
      <c r="AA29" s="54"/>
      <c r="AB29">
        <v>1</v>
      </c>
      <c r="AC29" s="68">
        <v>44865.432766204001</v>
      </c>
      <c r="AD29" s="68">
        <v>44865.432766204001</v>
      </c>
      <c r="AE29" s="67" t="s">
        <v>672</v>
      </c>
    </row>
    <row r="30" spans="1:31" ht="15" x14ac:dyDescent="0.25">
      <c r="A30" s="66">
        <v>29</v>
      </c>
      <c r="B30" t="s">
        <v>675</v>
      </c>
      <c r="C30" t="s">
        <v>568</v>
      </c>
      <c r="D30" t="s">
        <v>282</v>
      </c>
      <c r="E30" t="s">
        <v>284</v>
      </c>
      <c r="F30" t="s">
        <v>339</v>
      </c>
      <c r="G30">
        <v>4</v>
      </c>
      <c r="H30">
        <v>1</v>
      </c>
      <c r="I30" t="s">
        <v>676</v>
      </c>
      <c r="J30">
        <v>55</v>
      </c>
      <c r="K30" t="s">
        <v>304</v>
      </c>
      <c r="L30" t="s">
        <v>307</v>
      </c>
      <c r="M30"/>
      <c r="N30"/>
      <c r="O30" t="s">
        <v>572</v>
      </c>
      <c r="P30"/>
      <c r="Q30"/>
      <c r="R30"/>
      <c r="S30"/>
      <c r="T30" s="54"/>
      <c r="U30" t="s">
        <v>573</v>
      </c>
      <c r="V30" s="54">
        <v>44865</v>
      </c>
      <c r="W30" s="54"/>
      <c r="X30" t="s">
        <v>457</v>
      </c>
      <c r="Y30"/>
      <c r="Z30"/>
      <c r="AA30" s="54"/>
      <c r="AB30">
        <v>1</v>
      </c>
      <c r="AC30" s="68">
        <v>44865.433541667</v>
      </c>
      <c r="AD30" s="68">
        <v>44865.433541667</v>
      </c>
      <c r="AE30" s="67" t="s">
        <v>674</v>
      </c>
    </row>
    <row r="31" spans="1:31" ht="15" x14ac:dyDescent="0.25">
      <c r="A31" s="66">
        <v>30</v>
      </c>
      <c r="B31" t="s">
        <v>678</v>
      </c>
      <c r="C31" t="s">
        <v>568</v>
      </c>
      <c r="D31" t="s">
        <v>282</v>
      </c>
      <c r="E31" t="s">
        <v>284</v>
      </c>
      <c r="F31" t="s">
        <v>679</v>
      </c>
      <c r="G31">
        <v>4</v>
      </c>
      <c r="H31">
        <v>6</v>
      </c>
      <c r="I31" t="s">
        <v>679</v>
      </c>
      <c r="J31">
        <v>44</v>
      </c>
      <c r="K31" t="s">
        <v>304</v>
      </c>
      <c r="L31" t="s">
        <v>307</v>
      </c>
      <c r="M31"/>
      <c r="N31"/>
      <c r="O31" t="s">
        <v>572</v>
      </c>
      <c r="P31"/>
      <c r="Q31"/>
      <c r="R31"/>
      <c r="S31"/>
      <c r="T31" s="54"/>
      <c r="U31" t="s">
        <v>573</v>
      </c>
      <c r="V31" s="54">
        <v>44866</v>
      </c>
      <c r="W31" s="54"/>
      <c r="X31" t="s">
        <v>457</v>
      </c>
      <c r="Y31"/>
      <c r="Z31"/>
      <c r="AA31" s="54"/>
      <c r="AB31">
        <v>1</v>
      </c>
      <c r="AC31" s="68">
        <v>44866.393472222</v>
      </c>
      <c r="AD31" s="68">
        <v>44866.393472222</v>
      </c>
      <c r="AE31" s="67" t="s">
        <v>677</v>
      </c>
    </row>
    <row r="32" spans="1:31" ht="15" x14ac:dyDescent="0.25">
      <c r="A32" s="66">
        <v>31</v>
      </c>
      <c r="B32" t="s">
        <v>681</v>
      </c>
      <c r="C32" t="s">
        <v>568</v>
      </c>
      <c r="D32" t="s">
        <v>282</v>
      </c>
      <c r="E32" t="s">
        <v>284</v>
      </c>
      <c r="F32" t="s">
        <v>679</v>
      </c>
      <c r="G32">
        <v>4</v>
      </c>
      <c r="H32">
        <v>6</v>
      </c>
      <c r="I32" t="s">
        <v>679</v>
      </c>
      <c r="J32">
        <v>22</v>
      </c>
      <c r="K32" t="s">
        <v>304</v>
      </c>
      <c r="L32" t="s">
        <v>307</v>
      </c>
      <c r="M32"/>
      <c r="N32"/>
      <c r="O32" t="s">
        <v>572</v>
      </c>
      <c r="P32"/>
      <c r="Q32"/>
      <c r="R32"/>
      <c r="S32"/>
      <c r="T32" s="54"/>
      <c r="U32" t="s">
        <v>573</v>
      </c>
      <c r="V32" s="54">
        <v>44866</v>
      </c>
      <c r="W32" s="54"/>
      <c r="X32" t="s">
        <v>457</v>
      </c>
      <c r="Y32"/>
      <c r="Z32"/>
      <c r="AA32" s="54"/>
      <c r="AB32">
        <v>1</v>
      </c>
      <c r="AC32" s="68">
        <v>44866.394444443999</v>
      </c>
      <c r="AD32" s="68">
        <v>44866.394444443999</v>
      </c>
      <c r="AE32" s="67" t="s">
        <v>680</v>
      </c>
    </row>
    <row r="33" spans="1:31" ht="15" x14ac:dyDescent="0.25">
      <c r="A33" s="66">
        <v>32</v>
      </c>
      <c r="B33" t="s">
        <v>683</v>
      </c>
      <c r="C33" t="s">
        <v>568</v>
      </c>
      <c r="D33" t="s">
        <v>282</v>
      </c>
      <c r="E33" t="s">
        <v>284</v>
      </c>
      <c r="F33" t="s">
        <v>679</v>
      </c>
      <c r="G33">
        <v>4</v>
      </c>
      <c r="H33">
        <v>6</v>
      </c>
      <c r="I33" t="s">
        <v>679</v>
      </c>
      <c r="J33">
        <v>18</v>
      </c>
      <c r="K33" t="s">
        <v>306</v>
      </c>
      <c r="L33" t="s">
        <v>307</v>
      </c>
      <c r="M33"/>
      <c r="N33"/>
      <c r="O33" t="s">
        <v>572</v>
      </c>
      <c r="P33"/>
      <c r="Q33"/>
      <c r="R33"/>
      <c r="S33"/>
      <c r="T33" s="54"/>
      <c r="U33" t="s">
        <v>573</v>
      </c>
      <c r="V33" s="54">
        <v>44866</v>
      </c>
      <c r="W33" s="54"/>
      <c r="X33" t="s">
        <v>457</v>
      </c>
      <c r="Y33"/>
      <c r="Z33"/>
      <c r="AA33" s="54"/>
      <c r="AB33">
        <v>1</v>
      </c>
      <c r="AC33" s="68">
        <v>44866.395335647998</v>
      </c>
      <c r="AD33" s="68">
        <v>44866.395335647998</v>
      </c>
      <c r="AE33" s="67" t="s">
        <v>682</v>
      </c>
    </row>
    <row r="34" spans="1:31" ht="15" x14ac:dyDescent="0.25">
      <c r="A34" s="66">
        <v>33</v>
      </c>
      <c r="B34" t="s">
        <v>685</v>
      </c>
      <c r="C34" t="s">
        <v>568</v>
      </c>
      <c r="D34" t="s">
        <v>282</v>
      </c>
      <c r="E34" t="s">
        <v>284</v>
      </c>
      <c r="F34" t="s">
        <v>679</v>
      </c>
      <c r="G34">
        <v>4</v>
      </c>
      <c r="H34">
        <v>6</v>
      </c>
      <c r="I34" t="s">
        <v>679</v>
      </c>
      <c r="J34">
        <v>10</v>
      </c>
      <c r="K34" t="s">
        <v>304</v>
      </c>
      <c r="L34" t="s">
        <v>307</v>
      </c>
      <c r="M34"/>
      <c r="N34"/>
      <c r="O34" t="s">
        <v>572</v>
      </c>
      <c r="P34"/>
      <c r="Q34"/>
      <c r="R34"/>
      <c r="S34"/>
      <c r="T34" s="54"/>
      <c r="U34" t="s">
        <v>573</v>
      </c>
      <c r="V34" s="54">
        <v>44866</v>
      </c>
      <c r="W34" s="54"/>
      <c r="X34" t="s">
        <v>457</v>
      </c>
      <c r="Y34"/>
      <c r="Z34"/>
      <c r="AA34" s="54"/>
      <c r="AB34">
        <v>1</v>
      </c>
      <c r="AC34" s="68">
        <v>44866.401805556001</v>
      </c>
      <c r="AD34" s="68">
        <v>44866.401805556001</v>
      </c>
      <c r="AE34" s="67" t="s">
        <v>684</v>
      </c>
    </row>
    <row r="35" spans="1:31" ht="15" x14ac:dyDescent="0.25">
      <c r="A35" s="66">
        <v>34</v>
      </c>
      <c r="B35" t="s">
        <v>687</v>
      </c>
      <c r="C35" t="s">
        <v>568</v>
      </c>
      <c r="D35" t="s">
        <v>282</v>
      </c>
      <c r="E35" t="s">
        <v>284</v>
      </c>
      <c r="F35" t="s">
        <v>679</v>
      </c>
      <c r="G35">
        <v>4</v>
      </c>
      <c r="H35">
        <v>6</v>
      </c>
      <c r="I35" t="s">
        <v>679</v>
      </c>
      <c r="J35">
        <v>43</v>
      </c>
      <c r="K35" t="s">
        <v>304</v>
      </c>
      <c r="L35" t="s">
        <v>307</v>
      </c>
      <c r="M35"/>
      <c r="N35"/>
      <c r="O35" t="s">
        <v>572</v>
      </c>
      <c r="P35"/>
      <c r="Q35"/>
      <c r="R35"/>
      <c r="S35"/>
      <c r="T35" s="54"/>
      <c r="U35" t="s">
        <v>573</v>
      </c>
      <c r="V35" s="54">
        <v>44866</v>
      </c>
      <c r="W35" s="54"/>
      <c r="X35" t="s">
        <v>457</v>
      </c>
      <c r="Y35"/>
      <c r="Z35"/>
      <c r="AA35" s="54"/>
      <c r="AB35">
        <v>1</v>
      </c>
      <c r="AC35" s="68">
        <v>44866.403020833</v>
      </c>
      <c r="AD35" s="68">
        <v>44866.403020833</v>
      </c>
      <c r="AE35" s="67" t="s">
        <v>686</v>
      </c>
    </row>
    <row r="36" spans="1:31" ht="15" x14ac:dyDescent="0.25">
      <c r="A36" s="66">
        <v>35</v>
      </c>
      <c r="B36" t="s">
        <v>689</v>
      </c>
      <c r="C36" t="s">
        <v>568</v>
      </c>
      <c r="D36" t="s">
        <v>282</v>
      </c>
      <c r="E36" t="s">
        <v>284</v>
      </c>
      <c r="F36" t="s">
        <v>679</v>
      </c>
      <c r="G36">
        <v>4</v>
      </c>
      <c r="H36">
        <v>6</v>
      </c>
      <c r="I36" t="s">
        <v>679</v>
      </c>
      <c r="J36">
        <v>37</v>
      </c>
      <c r="K36" t="s">
        <v>306</v>
      </c>
      <c r="L36" t="s">
        <v>307</v>
      </c>
      <c r="M36"/>
      <c r="N36"/>
      <c r="O36" t="s">
        <v>572</v>
      </c>
      <c r="P36"/>
      <c r="Q36"/>
      <c r="R36"/>
      <c r="S36"/>
      <c r="T36" s="54"/>
      <c r="U36" t="s">
        <v>573</v>
      </c>
      <c r="V36" s="54">
        <v>44866</v>
      </c>
      <c r="W36" s="54"/>
      <c r="X36" t="s">
        <v>457</v>
      </c>
      <c r="Y36"/>
      <c r="Z36"/>
      <c r="AA36" s="54"/>
      <c r="AB36">
        <v>1</v>
      </c>
      <c r="AC36" s="68">
        <v>44866.403865740998</v>
      </c>
      <c r="AD36" s="68">
        <v>44866.403865740998</v>
      </c>
      <c r="AE36" s="67" t="s">
        <v>688</v>
      </c>
    </row>
    <row r="37" spans="1:31" ht="15" x14ac:dyDescent="0.25">
      <c r="A37" s="66">
        <v>36</v>
      </c>
      <c r="B37" t="s">
        <v>691</v>
      </c>
      <c r="C37" t="s">
        <v>568</v>
      </c>
      <c r="D37" t="s">
        <v>282</v>
      </c>
      <c r="E37" t="s">
        <v>284</v>
      </c>
      <c r="F37" t="s">
        <v>679</v>
      </c>
      <c r="G37">
        <v>4</v>
      </c>
      <c r="H37">
        <v>6</v>
      </c>
      <c r="I37" t="s">
        <v>679</v>
      </c>
      <c r="J37">
        <v>19</v>
      </c>
      <c r="K37" t="s">
        <v>304</v>
      </c>
      <c r="L37" t="s">
        <v>307</v>
      </c>
      <c r="M37"/>
      <c r="N37"/>
      <c r="O37" t="s">
        <v>572</v>
      </c>
      <c r="P37"/>
      <c r="Q37"/>
      <c r="R37"/>
      <c r="S37"/>
      <c r="T37" s="54"/>
      <c r="U37" t="s">
        <v>573</v>
      </c>
      <c r="V37" s="54">
        <v>44866</v>
      </c>
      <c r="W37" s="54"/>
      <c r="X37" t="s">
        <v>457</v>
      </c>
      <c r="Y37"/>
      <c r="Z37"/>
      <c r="AA37" s="54"/>
      <c r="AB37">
        <v>1</v>
      </c>
      <c r="AC37" s="68">
        <v>44866.405833333003</v>
      </c>
      <c r="AD37" s="68">
        <v>44866.405833333003</v>
      </c>
      <c r="AE37" s="67" t="s">
        <v>690</v>
      </c>
    </row>
    <row r="38" spans="1:31" ht="15" x14ac:dyDescent="0.25">
      <c r="A38" s="66">
        <v>37</v>
      </c>
      <c r="B38" t="s">
        <v>693</v>
      </c>
      <c r="C38" t="s">
        <v>568</v>
      </c>
      <c r="D38" t="s">
        <v>282</v>
      </c>
      <c r="E38" t="s">
        <v>284</v>
      </c>
      <c r="F38" t="s">
        <v>679</v>
      </c>
      <c r="G38">
        <v>4</v>
      </c>
      <c r="H38">
        <v>6</v>
      </c>
      <c r="I38" t="s">
        <v>679</v>
      </c>
      <c r="J38">
        <v>10</v>
      </c>
      <c r="K38" t="s">
        <v>304</v>
      </c>
      <c r="L38" t="s">
        <v>307</v>
      </c>
      <c r="M38"/>
      <c r="N38"/>
      <c r="O38" t="s">
        <v>572</v>
      </c>
      <c r="P38"/>
      <c r="Q38"/>
      <c r="R38"/>
      <c r="S38"/>
      <c r="T38" s="54"/>
      <c r="U38" t="s">
        <v>573</v>
      </c>
      <c r="V38" s="54">
        <v>44866</v>
      </c>
      <c r="W38" s="54"/>
      <c r="X38" t="s">
        <v>457</v>
      </c>
      <c r="Y38"/>
      <c r="Z38"/>
      <c r="AA38" s="54"/>
      <c r="AB38">
        <v>1</v>
      </c>
      <c r="AC38" s="68">
        <v>44866.406863425997</v>
      </c>
      <c r="AD38" s="68">
        <v>44866.406863425997</v>
      </c>
      <c r="AE38" s="67" t="s">
        <v>692</v>
      </c>
    </row>
    <row r="39" spans="1:31" ht="15" x14ac:dyDescent="0.25">
      <c r="A39" s="66">
        <v>38</v>
      </c>
      <c r="B39" t="s">
        <v>698</v>
      </c>
      <c r="C39" t="s">
        <v>568</v>
      </c>
      <c r="D39" t="s">
        <v>282</v>
      </c>
      <c r="E39" t="s">
        <v>284</v>
      </c>
      <c r="F39" t="s">
        <v>679</v>
      </c>
      <c r="G39">
        <v>4</v>
      </c>
      <c r="H39">
        <v>6</v>
      </c>
      <c r="I39" t="s">
        <v>679</v>
      </c>
      <c r="J39">
        <v>4</v>
      </c>
      <c r="K39" t="s">
        <v>306</v>
      </c>
      <c r="L39" t="s">
        <v>307</v>
      </c>
      <c r="M39"/>
      <c r="N39"/>
      <c r="O39" t="s">
        <v>572</v>
      </c>
      <c r="P39"/>
      <c r="Q39"/>
      <c r="R39"/>
      <c r="S39"/>
      <c r="T39" s="54"/>
      <c r="U39" t="s">
        <v>573</v>
      </c>
      <c r="V39" s="54">
        <v>44866</v>
      </c>
      <c r="W39" s="54"/>
      <c r="X39" t="s">
        <v>457</v>
      </c>
      <c r="Y39"/>
      <c r="Z39"/>
      <c r="AA39" s="54"/>
      <c r="AB39">
        <v>1</v>
      </c>
      <c r="AC39" s="68">
        <v>44866.408368056</v>
      </c>
      <c r="AD39" s="68">
        <v>44866.408368056</v>
      </c>
      <c r="AE39" s="67" t="s">
        <v>697</v>
      </c>
    </row>
    <row r="40" spans="1:31" ht="15" x14ac:dyDescent="0.25">
      <c r="A40" s="66">
        <v>39</v>
      </c>
      <c r="B40" t="s">
        <v>700</v>
      </c>
      <c r="C40" t="s">
        <v>568</v>
      </c>
      <c r="D40" t="s">
        <v>282</v>
      </c>
      <c r="E40" t="s">
        <v>289</v>
      </c>
      <c r="F40" t="s">
        <v>694</v>
      </c>
      <c r="G40">
        <v>1</v>
      </c>
      <c r="H40">
        <v>1</v>
      </c>
      <c r="I40" t="s">
        <v>695</v>
      </c>
      <c r="J40">
        <v>43</v>
      </c>
      <c r="K40" t="s">
        <v>304</v>
      </c>
      <c r="L40" t="s">
        <v>701</v>
      </c>
      <c r="M40"/>
      <c r="N40"/>
      <c r="O40" t="s">
        <v>569</v>
      </c>
      <c r="P40"/>
      <c r="Q40"/>
      <c r="R40"/>
      <c r="S40"/>
      <c r="T40" s="54"/>
      <c r="U40" t="s">
        <v>696</v>
      </c>
      <c r="V40" s="54">
        <v>44865</v>
      </c>
      <c r="W40" s="54"/>
      <c r="X40" t="s">
        <v>457</v>
      </c>
      <c r="Y40" t="s">
        <v>702</v>
      </c>
      <c r="Z40" t="s">
        <v>571</v>
      </c>
      <c r="AA40" s="54">
        <v>44865</v>
      </c>
      <c r="AB40">
        <v>0</v>
      </c>
      <c r="AC40" s="68">
        <v>44866.408402777997</v>
      </c>
      <c r="AD40" s="68">
        <v>44866.408402777997</v>
      </c>
      <c r="AE40" s="67" t="s">
        <v>699</v>
      </c>
    </row>
    <row r="41" spans="1:31" ht="15" x14ac:dyDescent="0.25">
      <c r="A41" s="66">
        <v>40</v>
      </c>
      <c r="B41" t="s">
        <v>704</v>
      </c>
      <c r="C41" t="s">
        <v>568</v>
      </c>
      <c r="D41" t="s">
        <v>282</v>
      </c>
      <c r="E41" t="s">
        <v>284</v>
      </c>
      <c r="F41" t="s">
        <v>679</v>
      </c>
      <c r="G41">
        <v>4</v>
      </c>
      <c r="H41">
        <v>6</v>
      </c>
      <c r="I41" t="s">
        <v>679</v>
      </c>
      <c r="J41">
        <v>4</v>
      </c>
      <c r="K41" t="s">
        <v>304</v>
      </c>
      <c r="L41" t="s">
        <v>307</v>
      </c>
      <c r="M41"/>
      <c r="N41"/>
      <c r="O41" t="s">
        <v>572</v>
      </c>
      <c r="P41"/>
      <c r="Q41"/>
      <c r="R41"/>
      <c r="S41"/>
      <c r="T41" s="54"/>
      <c r="U41" t="s">
        <v>573</v>
      </c>
      <c r="V41" s="54">
        <v>44866</v>
      </c>
      <c r="W41" s="54"/>
      <c r="X41" t="s">
        <v>457</v>
      </c>
      <c r="Y41"/>
      <c r="Z41"/>
      <c r="AA41" s="54"/>
      <c r="AB41">
        <v>1</v>
      </c>
      <c r="AC41" s="68">
        <v>44866.409189815</v>
      </c>
      <c r="AD41" s="68">
        <v>44866.409189815</v>
      </c>
      <c r="AE41" s="67" t="s">
        <v>703</v>
      </c>
    </row>
    <row r="42" spans="1:31" ht="15" x14ac:dyDescent="0.25">
      <c r="A42" s="66">
        <v>41</v>
      </c>
      <c r="B42" t="s">
        <v>706</v>
      </c>
      <c r="C42" t="s">
        <v>568</v>
      </c>
      <c r="D42" t="s">
        <v>282</v>
      </c>
      <c r="E42" t="s">
        <v>284</v>
      </c>
      <c r="F42" t="s">
        <v>679</v>
      </c>
      <c r="G42">
        <v>4</v>
      </c>
      <c r="H42">
        <v>6</v>
      </c>
      <c r="I42" t="s">
        <v>679</v>
      </c>
      <c r="J42">
        <v>41</v>
      </c>
      <c r="K42" t="s">
        <v>306</v>
      </c>
      <c r="L42" t="s">
        <v>307</v>
      </c>
      <c r="M42"/>
      <c r="N42"/>
      <c r="O42" t="s">
        <v>572</v>
      </c>
      <c r="P42"/>
      <c r="Q42"/>
      <c r="R42"/>
      <c r="S42"/>
      <c r="T42" s="54"/>
      <c r="U42" t="s">
        <v>573</v>
      </c>
      <c r="V42" s="54">
        <v>44866</v>
      </c>
      <c r="W42" s="54"/>
      <c r="X42" t="s">
        <v>457</v>
      </c>
      <c r="Y42"/>
      <c r="Z42"/>
      <c r="AA42" s="54"/>
      <c r="AB42">
        <v>1</v>
      </c>
      <c r="AC42" s="68">
        <v>44866.410034722001</v>
      </c>
      <c r="AD42" s="68">
        <v>44866.410034722001</v>
      </c>
      <c r="AE42" s="67" t="s">
        <v>705</v>
      </c>
    </row>
    <row r="43" spans="1:31" ht="15" x14ac:dyDescent="0.25">
      <c r="A43" s="66">
        <v>42</v>
      </c>
      <c r="B43" t="s">
        <v>708</v>
      </c>
      <c r="C43" t="s">
        <v>568</v>
      </c>
      <c r="D43" t="s">
        <v>282</v>
      </c>
      <c r="E43" t="s">
        <v>284</v>
      </c>
      <c r="F43" t="s">
        <v>679</v>
      </c>
      <c r="G43">
        <v>4</v>
      </c>
      <c r="H43">
        <v>6</v>
      </c>
      <c r="I43" t="s">
        <v>679</v>
      </c>
      <c r="J43">
        <v>16</v>
      </c>
      <c r="K43" t="s">
        <v>304</v>
      </c>
      <c r="L43" t="s">
        <v>307</v>
      </c>
      <c r="M43"/>
      <c r="N43"/>
      <c r="O43" t="s">
        <v>572</v>
      </c>
      <c r="P43"/>
      <c r="Q43"/>
      <c r="R43"/>
      <c r="S43"/>
      <c r="T43" s="54"/>
      <c r="U43" t="s">
        <v>573</v>
      </c>
      <c r="V43" s="54">
        <v>44866</v>
      </c>
      <c r="W43" s="54"/>
      <c r="X43" t="s">
        <v>457</v>
      </c>
      <c r="Y43"/>
      <c r="Z43"/>
      <c r="AA43" s="54"/>
      <c r="AB43">
        <v>1</v>
      </c>
      <c r="AC43" s="68">
        <v>44866.410787036999</v>
      </c>
      <c r="AD43" s="68">
        <v>44866.410787036999</v>
      </c>
      <c r="AE43" s="67" t="s">
        <v>707</v>
      </c>
    </row>
    <row r="44" spans="1:31" ht="15" x14ac:dyDescent="0.25">
      <c r="A44" s="66">
        <v>43</v>
      </c>
      <c r="B44" t="s">
        <v>710</v>
      </c>
      <c r="C44" t="s">
        <v>568</v>
      </c>
      <c r="D44" t="s">
        <v>282</v>
      </c>
      <c r="E44" t="s">
        <v>284</v>
      </c>
      <c r="F44" t="s">
        <v>679</v>
      </c>
      <c r="G44">
        <v>3</v>
      </c>
      <c r="H44">
        <v>5</v>
      </c>
      <c r="I44" t="s">
        <v>679</v>
      </c>
      <c r="J44">
        <v>26</v>
      </c>
      <c r="K44" t="s">
        <v>304</v>
      </c>
      <c r="L44" t="s">
        <v>307</v>
      </c>
      <c r="M44"/>
      <c r="N44"/>
      <c r="O44" t="s">
        <v>572</v>
      </c>
      <c r="P44"/>
      <c r="Q44"/>
      <c r="R44"/>
      <c r="S44"/>
      <c r="T44" s="54"/>
      <c r="U44" t="s">
        <v>573</v>
      </c>
      <c r="V44" s="54">
        <v>44866</v>
      </c>
      <c r="W44" s="54"/>
      <c r="X44" t="s">
        <v>457</v>
      </c>
      <c r="Y44"/>
      <c r="Z44"/>
      <c r="AA44" s="54"/>
      <c r="AB44">
        <v>1</v>
      </c>
      <c r="AC44" s="68">
        <v>44866.411805556003</v>
      </c>
      <c r="AD44" s="68">
        <v>44866.411805556003</v>
      </c>
      <c r="AE44" s="67" t="s">
        <v>709</v>
      </c>
    </row>
    <row r="45" spans="1:31" ht="15" x14ac:dyDescent="0.25">
      <c r="A45" s="66">
        <v>44</v>
      </c>
      <c r="B45" t="s">
        <v>715</v>
      </c>
      <c r="C45" t="s">
        <v>568</v>
      </c>
      <c r="D45" t="s">
        <v>282</v>
      </c>
      <c r="E45" t="s">
        <v>289</v>
      </c>
      <c r="F45" t="s">
        <v>711</v>
      </c>
      <c r="G45">
        <v>2</v>
      </c>
      <c r="H45">
        <v>1</v>
      </c>
      <c r="I45" t="s">
        <v>712</v>
      </c>
      <c r="J45">
        <v>42</v>
      </c>
      <c r="K45" t="s">
        <v>306</v>
      </c>
      <c r="L45" t="s">
        <v>713</v>
      </c>
      <c r="M45"/>
      <c r="N45"/>
      <c r="O45" t="s">
        <v>569</v>
      </c>
      <c r="P45"/>
      <c r="Q45"/>
      <c r="R45"/>
      <c r="S45"/>
      <c r="T45" s="54"/>
      <c r="U45" t="s">
        <v>696</v>
      </c>
      <c r="V45" s="54">
        <v>44865</v>
      </c>
      <c r="W45" s="54"/>
      <c r="X45" t="s">
        <v>457</v>
      </c>
      <c r="Y45" t="s">
        <v>716</v>
      </c>
      <c r="Z45" t="s">
        <v>571</v>
      </c>
      <c r="AA45" s="54">
        <v>44865</v>
      </c>
      <c r="AB45">
        <v>0</v>
      </c>
      <c r="AC45" s="68">
        <v>44867.326550926002</v>
      </c>
      <c r="AD45" s="68">
        <v>44867.326550926002</v>
      </c>
      <c r="AE45" s="67" t="s">
        <v>714</v>
      </c>
    </row>
    <row r="46" spans="1:31" ht="15" x14ac:dyDescent="0.25">
      <c r="A46" s="66">
        <v>45</v>
      </c>
      <c r="B46" t="s">
        <v>718</v>
      </c>
      <c r="C46" t="s">
        <v>568</v>
      </c>
      <c r="D46" t="s">
        <v>282</v>
      </c>
      <c r="E46" t="s">
        <v>288</v>
      </c>
      <c r="F46" t="s">
        <v>719</v>
      </c>
      <c r="G46">
        <v>1</v>
      </c>
      <c r="H46">
        <v>1</v>
      </c>
      <c r="I46" t="s">
        <v>720</v>
      </c>
      <c r="J46">
        <v>43</v>
      </c>
      <c r="K46" t="s">
        <v>306</v>
      </c>
      <c r="L46" t="s">
        <v>721</v>
      </c>
      <c r="M46"/>
      <c r="N46"/>
      <c r="O46" t="s">
        <v>569</v>
      </c>
      <c r="P46"/>
      <c r="Q46"/>
      <c r="R46"/>
      <c r="S46"/>
      <c r="T46" s="54"/>
      <c r="U46" t="s">
        <v>574</v>
      </c>
      <c r="V46" s="54">
        <v>44865</v>
      </c>
      <c r="W46" s="54"/>
      <c r="X46" t="s">
        <v>457</v>
      </c>
      <c r="Y46" t="s">
        <v>722</v>
      </c>
      <c r="Z46" t="s">
        <v>571</v>
      </c>
      <c r="AA46" s="54">
        <v>44867</v>
      </c>
      <c r="AB46">
        <v>1</v>
      </c>
      <c r="AC46" s="68">
        <v>44867.462731480999</v>
      </c>
      <c r="AD46" s="68">
        <v>44867.462731480999</v>
      </c>
      <c r="AE46" s="67" t="s">
        <v>717</v>
      </c>
    </row>
    <row r="47" spans="1:31" ht="15" x14ac:dyDescent="0.25">
      <c r="A47" s="66">
        <v>46</v>
      </c>
      <c r="B47" t="s">
        <v>724</v>
      </c>
      <c r="C47" t="s">
        <v>568</v>
      </c>
      <c r="D47" t="s">
        <v>282</v>
      </c>
      <c r="E47" t="s">
        <v>288</v>
      </c>
      <c r="F47" t="s">
        <v>719</v>
      </c>
      <c r="G47">
        <v>1</v>
      </c>
      <c r="H47">
        <v>1</v>
      </c>
      <c r="I47" t="s">
        <v>720</v>
      </c>
      <c r="J47">
        <v>8</v>
      </c>
      <c r="K47" t="s">
        <v>304</v>
      </c>
      <c r="L47" t="s">
        <v>721</v>
      </c>
      <c r="M47"/>
      <c r="N47"/>
      <c r="O47" t="s">
        <v>569</v>
      </c>
      <c r="P47"/>
      <c r="Q47"/>
      <c r="R47"/>
      <c r="S47"/>
      <c r="T47" s="54"/>
      <c r="U47" t="s">
        <v>574</v>
      </c>
      <c r="V47" s="54">
        <v>44865</v>
      </c>
      <c r="W47" s="54"/>
      <c r="X47" t="s">
        <v>457</v>
      </c>
      <c r="Y47" t="s">
        <v>725</v>
      </c>
      <c r="Z47" t="s">
        <v>571</v>
      </c>
      <c r="AA47" s="54">
        <v>44867</v>
      </c>
      <c r="AB47">
        <v>1</v>
      </c>
      <c r="AC47" s="68">
        <v>44867.467303240999</v>
      </c>
      <c r="AD47" s="68">
        <v>44867.467303240999</v>
      </c>
      <c r="AE47" s="67" t="s">
        <v>723</v>
      </c>
    </row>
    <row r="48" spans="1:31" ht="15" x14ac:dyDescent="0.25">
      <c r="A48" s="66">
        <v>47</v>
      </c>
      <c r="B48" t="s">
        <v>727</v>
      </c>
      <c r="C48" t="s">
        <v>568</v>
      </c>
      <c r="D48" t="s">
        <v>282</v>
      </c>
      <c r="E48" t="s">
        <v>288</v>
      </c>
      <c r="F48" t="s">
        <v>719</v>
      </c>
      <c r="G48">
        <v>1</v>
      </c>
      <c r="H48">
        <v>1</v>
      </c>
      <c r="I48" t="s">
        <v>720</v>
      </c>
      <c r="J48">
        <v>23</v>
      </c>
      <c r="K48" t="s">
        <v>304</v>
      </c>
      <c r="L48" t="s">
        <v>721</v>
      </c>
      <c r="M48"/>
      <c r="N48"/>
      <c r="O48" t="s">
        <v>569</v>
      </c>
      <c r="P48"/>
      <c r="Q48"/>
      <c r="R48"/>
      <c r="S48"/>
      <c r="T48" s="54"/>
      <c r="U48" t="s">
        <v>574</v>
      </c>
      <c r="V48" s="54">
        <v>44865</v>
      </c>
      <c r="W48" s="54"/>
      <c r="X48" t="s">
        <v>457</v>
      </c>
      <c r="Y48" t="s">
        <v>728</v>
      </c>
      <c r="Z48" t="s">
        <v>571</v>
      </c>
      <c r="AA48" s="54">
        <v>44867</v>
      </c>
      <c r="AB48">
        <v>1</v>
      </c>
      <c r="AC48" s="68">
        <v>44867.469085648001</v>
      </c>
      <c r="AD48" s="68">
        <v>44867.469085648001</v>
      </c>
      <c r="AE48" s="67" t="s">
        <v>726</v>
      </c>
    </row>
    <row r="49" spans="1:31" ht="15" x14ac:dyDescent="0.25">
      <c r="A49" s="66">
        <v>48</v>
      </c>
      <c r="B49" t="s">
        <v>730</v>
      </c>
      <c r="C49" t="s">
        <v>568</v>
      </c>
      <c r="D49" t="s">
        <v>282</v>
      </c>
      <c r="E49" t="s">
        <v>288</v>
      </c>
      <c r="F49" t="s">
        <v>719</v>
      </c>
      <c r="G49">
        <v>1</v>
      </c>
      <c r="H49">
        <v>1</v>
      </c>
      <c r="I49" t="s">
        <v>720</v>
      </c>
      <c r="J49">
        <v>19</v>
      </c>
      <c r="K49" t="s">
        <v>306</v>
      </c>
      <c r="L49" t="s">
        <v>721</v>
      </c>
      <c r="M49"/>
      <c r="N49"/>
      <c r="O49" t="s">
        <v>569</v>
      </c>
      <c r="P49"/>
      <c r="Q49"/>
      <c r="R49"/>
      <c r="S49"/>
      <c r="T49" s="54"/>
      <c r="U49" t="s">
        <v>574</v>
      </c>
      <c r="V49" s="54">
        <v>44865</v>
      </c>
      <c r="W49" s="54"/>
      <c r="X49" t="s">
        <v>457</v>
      </c>
      <c r="Y49" t="s">
        <v>731</v>
      </c>
      <c r="Z49" t="s">
        <v>571</v>
      </c>
      <c r="AA49" s="54">
        <v>44867</v>
      </c>
      <c r="AB49">
        <v>1</v>
      </c>
      <c r="AC49" s="68">
        <v>44867.470833332998</v>
      </c>
      <c r="AD49" s="68">
        <v>44867.470833332998</v>
      </c>
      <c r="AE49" s="67" t="s">
        <v>729</v>
      </c>
    </row>
    <row r="50" spans="1:31" ht="15" x14ac:dyDescent="0.25">
      <c r="A50" s="66">
        <v>49</v>
      </c>
      <c r="B50" t="s">
        <v>733</v>
      </c>
      <c r="C50" t="s">
        <v>568</v>
      </c>
      <c r="D50" t="s">
        <v>282</v>
      </c>
      <c r="E50" t="s">
        <v>288</v>
      </c>
      <c r="F50" t="s">
        <v>719</v>
      </c>
      <c r="G50">
        <v>1</v>
      </c>
      <c r="H50">
        <v>1</v>
      </c>
      <c r="I50" t="s">
        <v>720</v>
      </c>
      <c r="J50">
        <v>63</v>
      </c>
      <c r="K50" t="s">
        <v>306</v>
      </c>
      <c r="L50" t="s">
        <v>721</v>
      </c>
      <c r="M50"/>
      <c r="N50"/>
      <c r="O50" t="s">
        <v>569</v>
      </c>
      <c r="P50"/>
      <c r="Q50"/>
      <c r="R50"/>
      <c r="S50"/>
      <c r="T50" s="54"/>
      <c r="U50" t="s">
        <v>574</v>
      </c>
      <c r="V50" s="54">
        <v>44865</v>
      </c>
      <c r="W50" s="54"/>
      <c r="X50" t="s">
        <v>457</v>
      </c>
      <c r="Y50" t="s">
        <v>734</v>
      </c>
      <c r="Z50" t="s">
        <v>571</v>
      </c>
      <c r="AA50" s="54">
        <v>44867</v>
      </c>
      <c r="AB50">
        <v>1</v>
      </c>
      <c r="AC50" s="68">
        <v>44867.474282406998</v>
      </c>
      <c r="AD50" s="68">
        <v>44867.474282406998</v>
      </c>
      <c r="AE50" s="67" t="s">
        <v>732</v>
      </c>
    </row>
    <row r="51" spans="1:31" ht="15" x14ac:dyDescent="0.25">
      <c r="A51" s="66">
        <v>50</v>
      </c>
      <c r="B51" t="s">
        <v>736</v>
      </c>
      <c r="C51" t="s">
        <v>568</v>
      </c>
      <c r="D51" t="s">
        <v>282</v>
      </c>
      <c r="E51" t="s">
        <v>288</v>
      </c>
      <c r="F51" t="s">
        <v>719</v>
      </c>
      <c r="G51">
        <v>1</v>
      </c>
      <c r="H51">
        <v>1</v>
      </c>
      <c r="I51" t="s">
        <v>720</v>
      </c>
      <c r="J51">
        <v>37</v>
      </c>
      <c r="K51" t="s">
        <v>304</v>
      </c>
      <c r="L51" t="s">
        <v>721</v>
      </c>
      <c r="M51"/>
      <c r="N51"/>
      <c r="O51" t="s">
        <v>569</v>
      </c>
      <c r="P51"/>
      <c r="Q51"/>
      <c r="R51"/>
      <c r="S51"/>
      <c r="T51" s="54"/>
      <c r="U51" t="s">
        <v>574</v>
      </c>
      <c r="V51" s="54">
        <v>44865</v>
      </c>
      <c r="W51" s="54"/>
      <c r="X51" t="s">
        <v>457</v>
      </c>
      <c r="Y51" t="s">
        <v>737</v>
      </c>
      <c r="Z51" t="s">
        <v>571</v>
      </c>
      <c r="AA51" s="54">
        <v>44867</v>
      </c>
      <c r="AB51">
        <v>1</v>
      </c>
      <c r="AC51" s="68">
        <v>44867.476099537002</v>
      </c>
      <c r="AD51" s="68">
        <v>44867.476087962998</v>
      </c>
      <c r="AE51" s="67" t="s">
        <v>735</v>
      </c>
    </row>
    <row r="52" spans="1:31" ht="15" x14ac:dyDescent="0.25">
      <c r="A52" s="66">
        <v>51</v>
      </c>
      <c r="B52" t="s">
        <v>739</v>
      </c>
      <c r="C52" t="s">
        <v>568</v>
      </c>
      <c r="D52" t="s">
        <v>282</v>
      </c>
      <c r="E52" t="s">
        <v>288</v>
      </c>
      <c r="F52" t="s">
        <v>719</v>
      </c>
      <c r="G52">
        <v>1</v>
      </c>
      <c r="H52">
        <v>1</v>
      </c>
      <c r="I52" t="s">
        <v>720</v>
      </c>
      <c r="J52">
        <v>31</v>
      </c>
      <c r="K52" t="s">
        <v>304</v>
      </c>
      <c r="L52" t="s">
        <v>721</v>
      </c>
      <c r="M52"/>
      <c r="N52"/>
      <c r="O52" t="s">
        <v>569</v>
      </c>
      <c r="P52"/>
      <c r="Q52"/>
      <c r="R52"/>
      <c r="S52"/>
      <c r="T52" s="54"/>
      <c r="U52" t="s">
        <v>574</v>
      </c>
      <c r="V52" s="54">
        <v>44865</v>
      </c>
      <c r="W52" s="54"/>
      <c r="X52" t="s">
        <v>457</v>
      </c>
      <c r="Y52" t="s">
        <v>740</v>
      </c>
      <c r="Z52" t="s">
        <v>571</v>
      </c>
      <c r="AA52" s="54">
        <v>44867</v>
      </c>
      <c r="AB52">
        <v>1</v>
      </c>
      <c r="AC52" s="68">
        <v>44867.477442130003</v>
      </c>
      <c r="AD52" s="68">
        <v>44867.477442130003</v>
      </c>
      <c r="AE52" s="67" t="s">
        <v>738</v>
      </c>
    </row>
    <row r="53" spans="1:31" ht="15" x14ac:dyDescent="0.25">
      <c r="A53" s="66">
        <v>52</v>
      </c>
      <c r="B53" t="s">
        <v>742</v>
      </c>
      <c r="C53" t="s">
        <v>568</v>
      </c>
      <c r="D53" t="s">
        <v>282</v>
      </c>
      <c r="E53" t="s">
        <v>288</v>
      </c>
      <c r="F53" t="s">
        <v>719</v>
      </c>
      <c r="G53">
        <v>1</v>
      </c>
      <c r="H53">
        <v>1</v>
      </c>
      <c r="I53" t="s">
        <v>720</v>
      </c>
      <c r="J53">
        <v>36</v>
      </c>
      <c r="K53" t="s">
        <v>306</v>
      </c>
      <c r="L53" t="s">
        <v>721</v>
      </c>
      <c r="M53"/>
      <c r="N53"/>
      <c r="O53" t="s">
        <v>569</v>
      </c>
      <c r="P53"/>
      <c r="Q53"/>
      <c r="R53"/>
      <c r="S53"/>
      <c r="T53" s="54"/>
      <c r="U53" t="s">
        <v>574</v>
      </c>
      <c r="V53" s="54">
        <v>44865</v>
      </c>
      <c r="W53" s="54"/>
      <c r="X53" t="s">
        <v>457</v>
      </c>
      <c r="Y53" t="s">
        <v>743</v>
      </c>
      <c r="Z53" t="s">
        <v>571</v>
      </c>
      <c r="AA53" s="54">
        <v>44867</v>
      </c>
      <c r="AB53">
        <v>1</v>
      </c>
      <c r="AC53" s="68">
        <v>44867.479143518998</v>
      </c>
      <c r="AD53" s="68">
        <v>44867.479143518998</v>
      </c>
      <c r="AE53" s="67" t="s">
        <v>741</v>
      </c>
    </row>
    <row r="54" spans="1:31" ht="15" x14ac:dyDescent="0.25">
      <c r="A54" s="66">
        <v>53</v>
      </c>
      <c r="B54" t="s">
        <v>745</v>
      </c>
      <c r="C54" t="s">
        <v>568</v>
      </c>
      <c r="D54" t="s">
        <v>282</v>
      </c>
      <c r="E54" t="s">
        <v>288</v>
      </c>
      <c r="F54" t="s">
        <v>719</v>
      </c>
      <c r="G54">
        <v>1</v>
      </c>
      <c r="H54">
        <v>1</v>
      </c>
      <c r="I54" t="s">
        <v>720</v>
      </c>
      <c r="J54">
        <v>5</v>
      </c>
      <c r="K54" t="s">
        <v>306</v>
      </c>
      <c r="L54" t="s">
        <v>721</v>
      </c>
      <c r="M54"/>
      <c r="N54"/>
      <c r="O54" t="s">
        <v>569</v>
      </c>
      <c r="P54"/>
      <c r="Q54"/>
      <c r="R54"/>
      <c r="S54"/>
      <c r="T54" s="54"/>
      <c r="U54" t="s">
        <v>574</v>
      </c>
      <c r="V54" s="54">
        <v>44865</v>
      </c>
      <c r="W54" s="54"/>
      <c r="X54" t="s">
        <v>457</v>
      </c>
      <c r="Y54" t="s">
        <v>746</v>
      </c>
      <c r="Z54" t="s">
        <v>571</v>
      </c>
      <c r="AA54" s="54">
        <v>44867</v>
      </c>
      <c r="AB54">
        <v>1</v>
      </c>
      <c r="AC54" s="68">
        <v>44867.480358795998</v>
      </c>
      <c r="AD54" s="68">
        <v>44867.480358795998</v>
      </c>
      <c r="AE54" s="67" t="s">
        <v>744</v>
      </c>
    </row>
    <row r="55" spans="1:31" ht="15" x14ac:dyDescent="0.25">
      <c r="A55" s="66">
        <v>54</v>
      </c>
      <c r="B55" t="s">
        <v>748</v>
      </c>
      <c r="C55" t="s">
        <v>568</v>
      </c>
      <c r="D55" t="s">
        <v>282</v>
      </c>
      <c r="E55" t="s">
        <v>288</v>
      </c>
      <c r="F55" t="s">
        <v>719</v>
      </c>
      <c r="G55">
        <v>1</v>
      </c>
      <c r="H55">
        <v>1</v>
      </c>
      <c r="I55" t="s">
        <v>720</v>
      </c>
      <c r="J55">
        <v>53</v>
      </c>
      <c r="K55" t="s">
        <v>304</v>
      </c>
      <c r="L55" t="s">
        <v>721</v>
      </c>
      <c r="M55"/>
      <c r="N55"/>
      <c r="O55" t="s">
        <v>569</v>
      </c>
      <c r="P55"/>
      <c r="Q55"/>
      <c r="R55"/>
      <c r="S55"/>
      <c r="T55" s="54"/>
      <c r="U55" t="s">
        <v>574</v>
      </c>
      <c r="V55" s="54">
        <v>44865</v>
      </c>
      <c r="W55" s="54"/>
      <c r="X55" t="s">
        <v>457</v>
      </c>
      <c r="Y55" t="s">
        <v>749</v>
      </c>
      <c r="Z55" t="s">
        <v>571</v>
      </c>
      <c r="AA55" s="54">
        <v>44867</v>
      </c>
      <c r="AB55">
        <v>1</v>
      </c>
      <c r="AC55" s="68">
        <v>44867.481550926001</v>
      </c>
      <c r="AD55" s="68">
        <v>44867.481550926001</v>
      </c>
      <c r="AE55" s="67" t="s">
        <v>747</v>
      </c>
    </row>
    <row r="56" spans="1:31" ht="15" x14ac:dyDescent="0.25">
      <c r="A56" s="66">
        <v>55</v>
      </c>
      <c r="B56" t="s">
        <v>751</v>
      </c>
      <c r="C56" t="s">
        <v>568</v>
      </c>
      <c r="D56" t="s">
        <v>282</v>
      </c>
      <c r="E56" t="s">
        <v>288</v>
      </c>
      <c r="F56" t="s">
        <v>719</v>
      </c>
      <c r="G56">
        <v>1</v>
      </c>
      <c r="H56">
        <v>1</v>
      </c>
      <c r="I56" t="s">
        <v>720</v>
      </c>
      <c r="J56">
        <v>43</v>
      </c>
      <c r="K56" t="s">
        <v>306</v>
      </c>
      <c r="L56" t="s">
        <v>721</v>
      </c>
      <c r="M56"/>
      <c r="N56"/>
      <c r="O56" t="s">
        <v>569</v>
      </c>
      <c r="P56"/>
      <c r="Q56"/>
      <c r="R56"/>
      <c r="S56"/>
      <c r="T56" s="54"/>
      <c r="U56" t="s">
        <v>574</v>
      </c>
      <c r="V56" s="54">
        <v>44865</v>
      </c>
      <c r="W56" s="54"/>
      <c r="X56" t="s">
        <v>457</v>
      </c>
      <c r="Y56" t="s">
        <v>752</v>
      </c>
      <c r="Z56" t="s">
        <v>571</v>
      </c>
      <c r="AA56" s="54">
        <v>44867</v>
      </c>
      <c r="AB56">
        <v>1</v>
      </c>
      <c r="AC56" s="68">
        <v>44867.483043981003</v>
      </c>
      <c r="AD56" s="68">
        <v>44867.483043981003</v>
      </c>
      <c r="AE56" s="67" t="s">
        <v>750</v>
      </c>
    </row>
    <row r="57" spans="1:31" ht="15" x14ac:dyDescent="0.25">
      <c r="A57" s="66">
        <v>56</v>
      </c>
      <c r="B57" t="s">
        <v>754</v>
      </c>
      <c r="C57" t="s">
        <v>568</v>
      </c>
      <c r="D57" t="s">
        <v>282</v>
      </c>
      <c r="E57" t="s">
        <v>288</v>
      </c>
      <c r="F57" t="s">
        <v>719</v>
      </c>
      <c r="G57">
        <v>1</v>
      </c>
      <c r="H57">
        <v>1</v>
      </c>
      <c r="I57" t="s">
        <v>720</v>
      </c>
      <c r="J57">
        <v>19</v>
      </c>
      <c r="K57" t="s">
        <v>306</v>
      </c>
      <c r="L57" t="s">
        <v>721</v>
      </c>
      <c r="M57"/>
      <c r="N57"/>
      <c r="O57" t="s">
        <v>569</v>
      </c>
      <c r="P57"/>
      <c r="Q57"/>
      <c r="R57"/>
      <c r="S57"/>
      <c r="T57" s="54"/>
      <c r="U57" t="s">
        <v>574</v>
      </c>
      <c r="V57" s="54">
        <v>44865</v>
      </c>
      <c r="W57" s="54"/>
      <c r="X57" t="s">
        <v>457</v>
      </c>
      <c r="Y57" t="s">
        <v>755</v>
      </c>
      <c r="Z57" t="s">
        <v>571</v>
      </c>
      <c r="AA57" s="54">
        <v>44867</v>
      </c>
      <c r="AB57">
        <v>1</v>
      </c>
      <c r="AC57" s="68">
        <v>44867.484571759</v>
      </c>
      <c r="AD57" s="68">
        <v>44867.484537037002</v>
      </c>
      <c r="AE57" s="67" t="s">
        <v>753</v>
      </c>
    </row>
    <row r="58" spans="1:31" ht="15" x14ac:dyDescent="0.25">
      <c r="A58" s="66">
        <v>57</v>
      </c>
      <c r="B58" t="s">
        <v>757</v>
      </c>
      <c r="C58" t="s">
        <v>568</v>
      </c>
      <c r="D58" t="s">
        <v>282</v>
      </c>
      <c r="E58" t="s">
        <v>288</v>
      </c>
      <c r="F58" t="s">
        <v>719</v>
      </c>
      <c r="G58">
        <v>1</v>
      </c>
      <c r="H58">
        <v>1</v>
      </c>
      <c r="I58" t="s">
        <v>720</v>
      </c>
      <c r="J58">
        <v>24</v>
      </c>
      <c r="K58" t="s">
        <v>306</v>
      </c>
      <c r="L58" t="s">
        <v>721</v>
      </c>
      <c r="M58"/>
      <c r="N58"/>
      <c r="O58" t="s">
        <v>569</v>
      </c>
      <c r="P58"/>
      <c r="Q58"/>
      <c r="R58"/>
      <c r="S58"/>
      <c r="T58" s="54"/>
      <c r="U58" t="s">
        <v>574</v>
      </c>
      <c r="V58" s="54">
        <v>44865</v>
      </c>
      <c r="W58" s="54"/>
      <c r="X58" t="s">
        <v>457</v>
      </c>
      <c r="Y58" t="s">
        <v>758</v>
      </c>
      <c r="Z58" t="s">
        <v>571</v>
      </c>
      <c r="AA58" s="54">
        <v>44867</v>
      </c>
      <c r="AB58">
        <v>1</v>
      </c>
      <c r="AC58" s="68">
        <v>44867.486354166998</v>
      </c>
      <c r="AD58" s="68">
        <v>44867.486354166998</v>
      </c>
      <c r="AE58" s="67" t="s">
        <v>756</v>
      </c>
    </row>
    <row r="59" spans="1:31" ht="15" x14ac:dyDescent="0.25">
      <c r="A59" s="66">
        <v>58</v>
      </c>
      <c r="B59" t="s">
        <v>760</v>
      </c>
      <c r="C59" t="s">
        <v>568</v>
      </c>
      <c r="D59" t="s">
        <v>282</v>
      </c>
      <c r="E59" t="s">
        <v>291</v>
      </c>
      <c r="F59" t="s">
        <v>512</v>
      </c>
      <c r="G59">
        <v>1</v>
      </c>
      <c r="H59">
        <v>4</v>
      </c>
      <c r="I59" t="s">
        <v>761</v>
      </c>
      <c r="J59">
        <v>29</v>
      </c>
      <c r="K59" t="s">
        <v>304</v>
      </c>
      <c r="L59" t="s">
        <v>762</v>
      </c>
      <c r="M59"/>
      <c r="N59"/>
      <c r="O59" t="s">
        <v>572</v>
      </c>
      <c r="P59"/>
      <c r="Q59"/>
      <c r="R59"/>
      <c r="S59"/>
      <c r="T59" s="54"/>
      <c r="U59" t="s">
        <v>763</v>
      </c>
      <c r="V59" s="54">
        <v>44863</v>
      </c>
      <c r="W59" s="54"/>
      <c r="X59" t="s">
        <v>457</v>
      </c>
      <c r="Y59"/>
      <c r="Z59"/>
      <c r="AA59" s="54"/>
      <c r="AB59">
        <v>1</v>
      </c>
      <c r="AC59" s="68">
        <v>44867.788275462997</v>
      </c>
      <c r="AD59" s="68">
        <v>44867.788275462997</v>
      </c>
      <c r="AE59" s="67" t="s">
        <v>759</v>
      </c>
    </row>
    <row r="60" spans="1:31" ht="15" x14ac:dyDescent="0.25">
      <c r="A60" s="66">
        <v>59</v>
      </c>
      <c r="B60" t="s">
        <v>765</v>
      </c>
      <c r="C60" t="s">
        <v>568</v>
      </c>
      <c r="D60" t="s">
        <v>282</v>
      </c>
      <c r="E60" t="s">
        <v>291</v>
      </c>
      <c r="F60" t="s">
        <v>512</v>
      </c>
      <c r="G60">
        <v>1</v>
      </c>
      <c r="H60">
        <v>4</v>
      </c>
      <c r="I60" t="s">
        <v>761</v>
      </c>
      <c r="J60">
        <v>59</v>
      </c>
      <c r="K60" t="s">
        <v>304</v>
      </c>
      <c r="L60" t="s">
        <v>762</v>
      </c>
      <c r="M60"/>
      <c r="N60"/>
      <c r="O60" t="s">
        <v>572</v>
      </c>
      <c r="P60"/>
      <c r="Q60"/>
      <c r="R60"/>
      <c r="S60"/>
      <c r="T60" s="54"/>
      <c r="U60" t="s">
        <v>763</v>
      </c>
      <c r="V60" s="54">
        <v>44863</v>
      </c>
      <c r="W60" s="54"/>
      <c r="X60" t="s">
        <v>457</v>
      </c>
      <c r="Y60"/>
      <c r="Z60"/>
      <c r="AA60" s="54"/>
      <c r="AB60">
        <v>1</v>
      </c>
      <c r="AC60" s="68">
        <v>44867.791423611001</v>
      </c>
      <c r="AD60" s="68">
        <v>44867.791423611001</v>
      </c>
      <c r="AE60" s="67" t="s">
        <v>764</v>
      </c>
    </row>
    <row r="61" spans="1:31" ht="15" x14ac:dyDescent="0.25">
      <c r="A61" s="66">
        <v>60</v>
      </c>
      <c r="B61" t="s">
        <v>767</v>
      </c>
      <c r="C61" t="s">
        <v>568</v>
      </c>
      <c r="D61" t="s">
        <v>282</v>
      </c>
      <c r="E61" t="s">
        <v>291</v>
      </c>
      <c r="F61" t="s">
        <v>512</v>
      </c>
      <c r="G61">
        <v>4</v>
      </c>
      <c r="H61">
        <v>1</v>
      </c>
      <c r="I61" t="s">
        <v>761</v>
      </c>
      <c r="J61">
        <v>80</v>
      </c>
      <c r="K61" t="s">
        <v>306</v>
      </c>
      <c r="L61" t="s">
        <v>762</v>
      </c>
      <c r="M61"/>
      <c r="N61"/>
      <c r="O61" t="s">
        <v>572</v>
      </c>
      <c r="P61"/>
      <c r="Q61"/>
      <c r="R61"/>
      <c r="S61"/>
      <c r="T61" s="54"/>
      <c r="U61" t="s">
        <v>763</v>
      </c>
      <c r="V61" s="54">
        <v>44863</v>
      </c>
      <c r="W61" s="54"/>
      <c r="X61" t="s">
        <v>457</v>
      </c>
      <c r="Y61"/>
      <c r="Z61"/>
      <c r="AA61" s="54"/>
      <c r="AB61">
        <v>1</v>
      </c>
      <c r="AC61" s="68">
        <v>44867.795648148</v>
      </c>
      <c r="AD61" s="68">
        <v>44867.795648148</v>
      </c>
      <c r="AE61" s="67" t="s">
        <v>766</v>
      </c>
    </row>
    <row r="62" spans="1:31" ht="15" x14ac:dyDescent="0.25">
      <c r="A62" s="66">
        <v>61</v>
      </c>
      <c r="B62" t="s">
        <v>769</v>
      </c>
      <c r="C62" t="s">
        <v>568</v>
      </c>
      <c r="D62" t="s">
        <v>282</v>
      </c>
      <c r="E62" t="s">
        <v>291</v>
      </c>
      <c r="F62" t="s">
        <v>512</v>
      </c>
      <c r="G62">
        <v>1</v>
      </c>
      <c r="H62">
        <v>4</v>
      </c>
      <c r="I62" t="s">
        <v>761</v>
      </c>
      <c r="J62">
        <v>70</v>
      </c>
      <c r="K62" t="s">
        <v>304</v>
      </c>
      <c r="L62" t="s">
        <v>762</v>
      </c>
      <c r="M62"/>
      <c r="N62"/>
      <c r="O62" t="s">
        <v>572</v>
      </c>
      <c r="P62"/>
      <c r="Q62"/>
      <c r="R62"/>
      <c r="S62"/>
      <c r="T62" s="54"/>
      <c r="U62" t="s">
        <v>763</v>
      </c>
      <c r="V62" s="54">
        <v>44863</v>
      </c>
      <c r="W62" s="54"/>
      <c r="X62" t="s">
        <v>457</v>
      </c>
      <c r="Y62"/>
      <c r="Z62"/>
      <c r="AA62" s="54"/>
      <c r="AB62">
        <v>1</v>
      </c>
      <c r="AC62" s="68">
        <v>44867.807164352002</v>
      </c>
      <c r="AD62" s="68">
        <v>44867.807164352002</v>
      </c>
      <c r="AE62" s="67" t="s">
        <v>768</v>
      </c>
    </row>
    <row r="63" spans="1:31" ht="15" x14ac:dyDescent="0.25">
      <c r="A63" s="66">
        <v>62</v>
      </c>
      <c r="B63" t="s">
        <v>771</v>
      </c>
      <c r="C63" t="s">
        <v>568</v>
      </c>
      <c r="D63" t="s">
        <v>282</v>
      </c>
      <c r="E63" t="s">
        <v>291</v>
      </c>
      <c r="F63" t="s">
        <v>512</v>
      </c>
      <c r="G63">
        <v>1</v>
      </c>
      <c r="H63">
        <v>4</v>
      </c>
      <c r="I63" t="s">
        <v>761</v>
      </c>
      <c r="J63">
        <v>32</v>
      </c>
      <c r="K63" t="s">
        <v>304</v>
      </c>
      <c r="L63" t="s">
        <v>762</v>
      </c>
      <c r="M63"/>
      <c r="N63"/>
      <c r="O63" t="s">
        <v>572</v>
      </c>
      <c r="P63"/>
      <c r="Q63"/>
      <c r="R63"/>
      <c r="S63"/>
      <c r="T63" s="54"/>
      <c r="U63" t="s">
        <v>763</v>
      </c>
      <c r="V63" s="54">
        <v>44863</v>
      </c>
      <c r="W63" s="54"/>
      <c r="X63" t="s">
        <v>457</v>
      </c>
      <c r="Y63"/>
      <c r="Z63"/>
      <c r="AA63" s="54"/>
      <c r="AB63">
        <v>1</v>
      </c>
      <c r="AC63" s="68">
        <v>44867.809803240998</v>
      </c>
      <c r="AD63" s="68">
        <v>44867.809803240998</v>
      </c>
      <c r="AE63" s="67" t="s">
        <v>770</v>
      </c>
    </row>
    <row r="64" spans="1:31" ht="15" x14ac:dyDescent="0.25">
      <c r="A64" s="66">
        <v>63</v>
      </c>
      <c r="B64" t="s">
        <v>773</v>
      </c>
      <c r="C64" t="s">
        <v>568</v>
      </c>
      <c r="D64" t="s">
        <v>282</v>
      </c>
      <c r="E64" t="s">
        <v>291</v>
      </c>
      <c r="F64" t="s">
        <v>512</v>
      </c>
      <c r="G64">
        <v>1</v>
      </c>
      <c r="H64">
        <v>4</v>
      </c>
      <c r="I64" t="s">
        <v>761</v>
      </c>
      <c r="J64">
        <v>30</v>
      </c>
      <c r="K64" t="s">
        <v>304</v>
      </c>
      <c r="L64" t="s">
        <v>762</v>
      </c>
      <c r="M64"/>
      <c r="N64"/>
      <c r="O64" t="s">
        <v>572</v>
      </c>
      <c r="P64"/>
      <c r="Q64"/>
      <c r="R64"/>
      <c r="S64"/>
      <c r="T64" s="54"/>
      <c r="U64" t="s">
        <v>763</v>
      </c>
      <c r="V64" s="54">
        <v>44863</v>
      </c>
      <c r="W64" s="54"/>
      <c r="X64" t="s">
        <v>457</v>
      </c>
      <c r="Y64"/>
      <c r="Z64"/>
      <c r="AA64" s="54"/>
      <c r="AB64">
        <v>1</v>
      </c>
      <c r="AC64" s="68">
        <v>44867.811412037001</v>
      </c>
      <c r="AD64" s="68">
        <v>44867.811412037001</v>
      </c>
      <c r="AE64" s="67" t="s">
        <v>772</v>
      </c>
    </row>
    <row r="65" spans="1:31" ht="15" x14ac:dyDescent="0.25">
      <c r="A65" s="66">
        <v>64</v>
      </c>
      <c r="B65" t="s">
        <v>775</v>
      </c>
      <c r="C65" t="s">
        <v>568</v>
      </c>
      <c r="D65" t="s">
        <v>282</v>
      </c>
      <c r="E65" t="s">
        <v>291</v>
      </c>
      <c r="F65" t="s">
        <v>512</v>
      </c>
      <c r="G65">
        <v>1</v>
      </c>
      <c r="H65">
        <v>4</v>
      </c>
      <c r="I65" t="s">
        <v>761</v>
      </c>
      <c r="J65">
        <v>45</v>
      </c>
      <c r="K65" t="s">
        <v>306</v>
      </c>
      <c r="L65" t="s">
        <v>762</v>
      </c>
      <c r="M65"/>
      <c r="N65"/>
      <c r="O65" t="s">
        <v>572</v>
      </c>
      <c r="P65"/>
      <c r="Q65"/>
      <c r="R65"/>
      <c r="S65"/>
      <c r="T65" s="54"/>
      <c r="U65" t="s">
        <v>763</v>
      </c>
      <c r="V65" s="54">
        <v>44863</v>
      </c>
      <c r="W65" s="54"/>
      <c r="X65" t="s">
        <v>457</v>
      </c>
      <c r="Y65"/>
      <c r="Z65"/>
      <c r="AA65" s="54"/>
      <c r="AB65">
        <v>0</v>
      </c>
      <c r="AC65" s="68">
        <v>44867.819606481004</v>
      </c>
      <c r="AD65" s="68">
        <v>44867.819606481004</v>
      </c>
      <c r="AE65" s="67" t="s">
        <v>774</v>
      </c>
    </row>
    <row r="66" spans="1:31" ht="15" x14ac:dyDescent="0.25">
      <c r="A66" s="66">
        <v>65</v>
      </c>
      <c r="B66" t="s">
        <v>777</v>
      </c>
      <c r="C66" t="s">
        <v>568</v>
      </c>
      <c r="D66" t="s">
        <v>282</v>
      </c>
      <c r="E66" t="s">
        <v>291</v>
      </c>
      <c r="F66" t="s">
        <v>512</v>
      </c>
      <c r="G66">
        <v>1</v>
      </c>
      <c r="H66">
        <v>4</v>
      </c>
      <c r="I66" t="s">
        <v>761</v>
      </c>
      <c r="J66">
        <v>35</v>
      </c>
      <c r="K66" t="s">
        <v>304</v>
      </c>
      <c r="L66" t="s">
        <v>762</v>
      </c>
      <c r="M66"/>
      <c r="N66"/>
      <c r="O66" t="s">
        <v>572</v>
      </c>
      <c r="P66"/>
      <c r="Q66"/>
      <c r="R66"/>
      <c r="S66"/>
      <c r="T66" s="54"/>
      <c r="U66" t="s">
        <v>763</v>
      </c>
      <c r="V66" s="54">
        <v>44863</v>
      </c>
      <c r="W66" s="54"/>
      <c r="X66" t="s">
        <v>457</v>
      </c>
      <c r="Y66"/>
      <c r="Z66"/>
      <c r="AA66" s="54"/>
      <c r="AB66">
        <v>1</v>
      </c>
      <c r="AC66" s="68">
        <v>44867.821493055999</v>
      </c>
      <c r="AD66" s="68">
        <v>44867.821493055999</v>
      </c>
      <c r="AE66" s="67" t="s">
        <v>776</v>
      </c>
    </row>
    <row r="67" spans="1:31" ht="15" x14ac:dyDescent="0.25">
      <c r="A67" s="66">
        <v>66</v>
      </c>
      <c r="B67" t="s">
        <v>779</v>
      </c>
      <c r="C67" t="s">
        <v>568</v>
      </c>
      <c r="D67" t="s">
        <v>282</v>
      </c>
      <c r="E67" t="s">
        <v>291</v>
      </c>
      <c r="F67" t="s">
        <v>512</v>
      </c>
      <c r="G67">
        <v>1</v>
      </c>
      <c r="H67">
        <v>4</v>
      </c>
      <c r="I67" t="s">
        <v>761</v>
      </c>
      <c r="J67">
        <v>35</v>
      </c>
      <c r="K67" t="s">
        <v>306</v>
      </c>
      <c r="L67" t="s">
        <v>762</v>
      </c>
      <c r="M67"/>
      <c r="N67"/>
      <c r="O67" t="s">
        <v>572</v>
      </c>
      <c r="P67"/>
      <c r="Q67"/>
      <c r="R67"/>
      <c r="S67"/>
      <c r="T67" s="54"/>
      <c r="U67" t="s">
        <v>763</v>
      </c>
      <c r="V67" s="54">
        <v>44863</v>
      </c>
      <c r="W67" s="54"/>
      <c r="X67" t="s">
        <v>457</v>
      </c>
      <c r="Y67"/>
      <c r="Z67"/>
      <c r="AA67" s="54"/>
      <c r="AB67">
        <v>1</v>
      </c>
      <c r="AC67" s="68">
        <v>44867.824814815001</v>
      </c>
      <c r="AD67" s="68">
        <v>44867.824814815001</v>
      </c>
      <c r="AE67" s="67" t="s">
        <v>778</v>
      </c>
    </row>
    <row r="68" spans="1:31" ht="15" x14ac:dyDescent="0.25">
      <c r="A68" s="66">
        <v>67</v>
      </c>
      <c r="B68" t="s">
        <v>781</v>
      </c>
      <c r="C68" t="s">
        <v>568</v>
      </c>
      <c r="D68" t="s">
        <v>282</v>
      </c>
      <c r="E68" t="s">
        <v>291</v>
      </c>
      <c r="F68" t="s">
        <v>512</v>
      </c>
      <c r="G68">
        <v>1</v>
      </c>
      <c r="H68">
        <v>4</v>
      </c>
      <c r="I68" t="s">
        <v>761</v>
      </c>
      <c r="J68">
        <v>36</v>
      </c>
      <c r="K68" t="s">
        <v>304</v>
      </c>
      <c r="L68" t="s">
        <v>762</v>
      </c>
      <c r="M68"/>
      <c r="N68"/>
      <c r="O68" t="s">
        <v>572</v>
      </c>
      <c r="P68"/>
      <c r="Q68"/>
      <c r="R68"/>
      <c r="S68"/>
      <c r="T68" s="54"/>
      <c r="U68" t="s">
        <v>763</v>
      </c>
      <c r="V68" s="54">
        <v>44863</v>
      </c>
      <c r="W68" s="54"/>
      <c r="X68" t="s">
        <v>457</v>
      </c>
      <c r="Y68"/>
      <c r="Z68"/>
      <c r="AA68" s="54"/>
      <c r="AB68">
        <v>1</v>
      </c>
      <c r="AC68" s="68">
        <v>44867.832592592997</v>
      </c>
      <c r="AD68" s="68">
        <v>44867.832592592997</v>
      </c>
      <c r="AE68" s="67" t="s">
        <v>780</v>
      </c>
    </row>
    <row r="69" spans="1:31" ht="15" x14ac:dyDescent="0.25">
      <c r="A69" s="66">
        <v>68</v>
      </c>
      <c r="B69" t="s">
        <v>783</v>
      </c>
      <c r="C69" t="s">
        <v>568</v>
      </c>
      <c r="D69" t="s">
        <v>282</v>
      </c>
      <c r="E69" t="s">
        <v>291</v>
      </c>
      <c r="F69" t="s">
        <v>512</v>
      </c>
      <c r="G69">
        <v>1</v>
      </c>
      <c r="H69">
        <v>4</v>
      </c>
      <c r="I69" t="s">
        <v>761</v>
      </c>
      <c r="J69">
        <v>5</v>
      </c>
      <c r="K69" t="s">
        <v>306</v>
      </c>
      <c r="L69" t="s">
        <v>762</v>
      </c>
      <c r="M69"/>
      <c r="N69"/>
      <c r="O69" t="s">
        <v>572</v>
      </c>
      <c r="P69"/>
      <c r="Q69"/>
      <c r="R69"/>
      <c r="S69"/>
      <c r="T69" s="54"/>
      <c r="U69" t="s">
        <v>763</v>
      </c>
      <c r="V69" s="54">
        <v>44863</v>
      </c>
      <c r="W69" s="54"/>
      <c r="X69" t="s">
        <v>457</v>
      </c>
      <c r="Y69"/>
      <c r="Z69"/>
      <c r="AA69" s="54"/>
      <c r="AB69">
        <v>1</v>
      </c>
      <c r="AC69" s="68">
        <v>44867.83787037</v>
      </c>
      <c r="AD69" s="68">
        <v>44867.83787037</v>
      </c>
      <c r="AE69" s="67" t="s">
        <v>782</v>
      </c>
    </row>
    <row r="70" spans="1:31" ht="15" x14ac:dyDescent="0.25">
      <c r="A70" s="66">
        <v>69</v>
      </c>
      <c r="B70" t="s">
        <v>785</v>
      </c>
      <c r="C70" t="s">
        <v>568</v>
      </c>
      <c r="D70" t="s">
        <v>282</v>
      </c>
      <c r="E70" t="s">
        <v>291</v>
      </c>
      <c r="F70" t="s">
        <v>512</v>
      </c>
      <c r="G70">
        <v>1</v>
      </c>
      <c r="H70">
        <v>4</v>
      </c>
      <c r="I70" t="s">
        <v>761</v>
      </c>
      <c r="J70">
        <v>56</v>
      </c>
      <c r="K70" t="s">
        <v>306</v>
      </c>
      <c r="L70" t="s">
        <v>762</v>
      </c>
      <c r="M70"/>
      <c r="N70"/>
      <c r="O70" t="s">
        <v>572</v>
      </c>
      <c r="P70"/>
      <c r="Q70"/>
      <c r="R70"/>
      <c r="S70"/>
      <c r="T70" s="54"/>
      <c r="U70" t="s">
        <v>763</v>
      </c>
      <c r="V70" s="54">
        <v>44863</v>
      </c>
      <c r="W70" s="54"/>
      <c r="X70" t="s">
        <v>457</v>
      </c>
      <c r="Y70"/>
      <c r="Z70"/>
      <c r="AA70" s="54"/>
      <c r="AB70">
        <v>1</v>
      </c>
      <c r="AC70" s="68">
        <v>44867.839826388998</v>
      </c>
      <c r="AD70" s="68">
        <v>44867.839826388998</v>
      </c>
      <c r="AE70" s="67" t="s">
        <v>784</v>
      </c>
    </row>
    <row r="71" spans="1:31" ht="15" x14ac:dyDescent="0.25">
      <c r="A71" s="66">
        <v>70</v>
      </c>
      <c r="B71" t="s">
        <v>787</v>
      </c>
      <c r="C71" t="s">
        <v>568</v>
      </c>
      <c r="D71" t="s">
        <v>282</v>
      </c>
      <c r="E71" t="s">
        <v>291</v>
      </c>
      <c r="F71" t="s">
        <v>550</v>
      </c>
      <c r="G71">
        <v>3</v>
      </c>
      <c r="H71">
        <v>4</v>
      </c>
      <c r="I71" t="s">
        <v>788</v>
      </c>
      <c r="J71">
        <v>42</v>
      </c>
      <c r="K71" t="s">
        <v>304</v>
      </c>
      <c r="L71" t="s">
        <v>762</v>
      </c>
      <c r="M71"/>
      <c r="N71"/>
      <c r="O71" t="s">
        <v>572</v>
      </c>
      <c r="P71"/>
      <c r="Q71"/>
      <c r="R71"/>
      <c r="S71"/>
      <c r="T71" s="54"/>
      <c r="U71" t="s">
        <v>763</v>
      </c>
      <c r="V71" s="54">
        <v>44863</v>
      </c>
      <c r="W71" s="54"/>
      <c r="X71" t="s">
        <v>457</v>
      </c>
      <c r="Y71"/>
      <c r="Z71"/>
      <c r="AA71" s="54"/>
      <c r="AB71">
        <v>1</v>
      </c>
      <c r="AC71" s="68">
        <v>44867.849490740999</v>
      </c>
      <c r="AD71" s="68">
        <v>44867.849490740999</v>
      </c>
      <c r="AE71" s="67" t="s">
        <v>786</v>
      </c>
    </row>
    <row r="72" spans="1:31" ht="15" x14ac:dyDescent="0.25">
      <c r="A72" s="66">
        <v>71</v>
      </c>
      <c r="B72" t="s">
        <v>790</v>
      </c>
      <c r="C72" t="s">
        <v>568</v>
      </c>
      <c r="D72" t="s">
        <v>282</v>
      </c>
      <c r="E72" t="s">
        <v>291</v>
      </c>
      <c r="F72" t="s">
        <v>550</v>
      </c>
      <c r="G72">
        <v>3</v>
      </c>
      <c r="H72">
        <v>4</v>
      </c>
      <c r="I72" t="s">
        <v>788</v>
      </c>
      <c r="J72">
        <v>17</v>
      </c>
      <c r="K72" t="s">
        <v>306</v>
      </c>
      <c r="L72" t="s">
        <v>762</v>
      </c>
      <c r="M72"/>
      <c r="N72"/>
      <c r="O72" t="s">
        <v>572</v>
      </c>
      <c r="P72"/>
      <c r="Q72"/>
      <c r="R72"/>
      <c r="S72"/>
      <c r="T72" s="54"/>
      <c r="U72" t="s">
        <v>763</v>
      </c>
      <c r="V72" s="54">
        <v>44863</v>
      </c>
      <c r="W72" s="54"/>
      <c r="X72" t="s">
        <v>457</v>
      </c>
      <c r="Y72"/>
      <c r="Z72"/>
      <c r="AA72" s="54"/>
      <c r="AB72">
        <v>1</v>
      </c>
      <c r="AC72" s="68">
        <v>44867.851747685003</v>
      </c>
      <c r="AD72" s="68">
        <v>44867.851747685003</v>
      </c>
      <c r="AE72" s="67" t="s">
        <v>789</v>
      </c>
    </row>
    <row r="73" spans="1:31" ht="15" x14ac:dyDescent="0.25">
      <c r="A73" s="66">
        <v>72</v>
      </c>
      <c r="B73" t="s">
        <v>792</v>
      </c>
      <c r="C73" t="s">
        <v>568</v>
      </c>
      <c r="D73" t="s">
        <v>282</v>
      </c>
      <c r="E73" t="s">
        <v>291</v>
      </c>
      <c r="F73" t="s">
        <v>550</v>
      </c>
      <c r="G73">
        <v>3</v>
      </c>
      <c r="H73">
        <v>4</v>
      </c>
      <c r="I73" t="s">
        <v>788</v>
      </c>
      <c r="J73">
        <v>66</v>
      </c>
      <c r="K73" t="s">
        <v>304</v>
      </c>
      <c r="L73" t="s">
        <v>762</v>
      </c>
      <c r="M73"/>
      <c r="N73"/>
      <c r="O73" t="s">
        <v>572</v>
      </c>
      <c r="P73"/>
      <c r="Q73"/>
      <c r="R73"/>
      <c r="S73"/>
      <c r="T73" s="54"/>
      <c r="U73" t="s">
        <v>763</v>
      </c>
      <c r="V73" s="54">
        <v>44863</v>
      </c>
      <c r="W73" s="54"/>
      <c r="X73" t="s">
        <v>457</v>
      </c>
      <c r="Y73"/>
      <c r="Z73"/>
      <c r="AA73" s="54"/>
      <c r="AB73">
        <v>1</v>
      </c>
      <c r="AC73" s="68">
        <v>44867.853564814999</v>
      </c>
      <c r="AD73" s="68">
        <v>44867.853564814999</v>
      </c>
      <c r="AE73" s="67" t="s">
        <v>791</v>
      </c>
    </row>
    <row r="74" spans="1:31" ht="15" x14ac:dyDescent="0.25">
      <c r="A74" s="66">
        <v>73</v>
      </c>
      <c r="B74" t="s">
        <v>794</v>
      </c>
      <c r="C74" t="s">
        <v>568</v>
      </c>
      <c r="D74" t="s">
        <v>282</v>
      </c>
      <c r="E74" t="s">
        <v>291</v>
      </c>
      <c r="F74" t="s">
        <v>550</v>
      </c>
      <c r="G74">
        <v>3</v>
      </c>
      <c r="H74">
        <v>4</v>
      </c>
      <c r="I74" t="s">
        <v>788</v>
      </c>
      <c r="J74">
        <v>11</v>
      </c>
      <c r="K74" t="s">
        <v>306</v>
      </c>
      <c r="L74" t="s">
        <v>762</v>
      </c>
      <c r="M74"/>
      <c r="N74"/>
      <c r="O74" t="s">
        <v>572</v>
      </c>
      <c r="P74"/>
      <c r="Q74"/>
      <c r="R74"/>
      <c r="S74"/>
      <c r="T74" s="54"/>
      <c r="U74" t="s">
        <v>763</v>
      </c>
      <c r="V74" s="54">
        <v>44863</v>
      </c>
      <c r="W74" s="54"/>
      <c r="X74" t="s">
        <v>457</v>
      </c>
      <c r="Y74"/>
      <c r="Z74"/>
      <c r="AA74" s="54"/>
      <c r="AB74">
        <v>1</v>
      </c>
      <c r="AC74" s="68">
        <v>44867.858819444002</v>
      </c>
      <c r="AD74" s="68">
        <v>44867.858819444002</v>
      </c>
      <c r="AE74" s="67" t="s">
        <v>793</v>
      </c>
    </row>
    <row r="75" spans="1:31" ht="15" x14ac:dyDescent="0.25">
      <c r="A75" s="66">
        <v>74</v>
      </c>
      <c r="B75" t="s">
        <v>796</v>
      </c>
      <c r="C75" t="s">
        <v>568</v>
      </c>
      <c r="D75" t="s">
        <v>282</v>
      </c>
      <c r="E75" t="s">
        <v>291</v>
      </c>
      <c r="F75" t="s">
        <v>550</v>
      </c>
      <c r="G75">
        <v>3</v>
      </c>
      <c r="H75">
        <v>4</v>
      </c>
      <c r="I75" t="s">
        <v>788</v>
      </c>
      <c r="J75">
        <v>43</v>
      </c>
      <c r="K75" t="s">
        <v>304</v>
      </c>
      <c r="L75" t="s">
        <v>762</v>
      </c>
      <c r="M75"/>
      <c r="N75"/>
      <c r="O75" t="s">
        <v>572</v>
      </c>
      <c r="P75"/>
      <c r="Q75"/>
      <c r="R75"/>
      <c r="S75"/>
      <c r="T75" s="54"/>
      <c r="U75" t="s">
        <v>763</v>
      </c>
      <c r="V75" s="54">
        <v>44863</v>
      </c>
      <c r="W75" s="54"/>
      <c r="X75" t="s">
        <v>457</v>
      </c>
      <c r="Y75"/>
      <c r="Z75"/>
      <c r="AA75" s="54"/>
      <c r="AB75">
        <v>1</v>
      </c>
      <c r="AC75" s="68">
        <v>44867.862303241003</v>
      </c>
      <c r="AD75" s="68">
        <v>44867.862303241003</v>
      </c>
      <c r="AE75" s="67" t="s">
        <v>795</v>
      </c>
    </row>
    <row r="76" spans="1:31" ht="15" x14ac:dyDescent="0.25">
      <c r="A76" s="66">
        <v>75</v>
      </c>
      <c r="B76" t="s">
        <v>798</v>
      </c>
      <c r="C76" t="s">
        <v>568</v>
      </c>
      <c r="D76" t="s">
        <v>282</v>
      </c>
      <c r="E76" t="s">
        <v>291</v>
      </c>
      <c r="F76" t="s">
        <v>550</v>
      </c>
      <c r="G76">
        <v>3</v>
      </c>
      <c r="H76">
        <v>4</v>
      </c>
      <c r="I76" t="s">
        <v>788</v>
      </c>
      <c r="J76">
        <v>22</v>
      </c>
      <c r="K76" t="s">
        <v>304</v>
      </c>
      <c r="L76" t="s">
        <v>762</v>
      </c>
      <c r="M76"/>
      <c r="N76"/>
      <c r="O76" t="s">
        <v>572</v>
      </c>
      <c r="P76"/>
      <c r="Q76"/>
      <c r="R76"/>
      <c r="S76"/>
      <c r="T76" s="54"/>
      <c r="U76" t="s">
        <v>763</v>
      </c>
      <c r="V76" s="54">
        <v>44863</v>
      </c>
      <c r="W76" s="54"/>
      <c r="X76" t="s">
        <v>457</v>
      </c>
      <c r="Y76"/>
      <c r="Z76"/>
      <c r="AA76" s="54"/>
      <c r="AB76">
        <v>1</v>
      </c>
      <c r="AC76" s="68">
        <v>44867.863865740997</v>
      </c>
      <c r="AD76" s="68">
        <v>44867.863865740997</v>
      </c>
      <c r="AE76" s="67" t="s">
        <v>797</v>
      </c>
    </row>
    <row r="77" spans="1:31" ht="15" x14ac:dyDescent="0.25">
      <c r="A77" s="66">
        <v>76</v>
      </c>
      <c r="B77" t="s">
        <v>805</v>
      </c>
      <c r="C77" t="s">
        <v>568</v>
      </c>
      <c r="D77" t="s">
        <v>282</v>
      </c>
      <c r="E77" t="s">
        <v>282</v>
      </c>
      <c r="F77" t="s">
        <v>806</v>
      </c>
      <c r="G77">
        <v>2</v>
      </c>
      <c r="H77">
        <v>3</v>
      </c>
      <c r="I77" t="s">
        <v>806</v>
      </c>
      <c r="J77">
        <v>17</v>
      </c>
      <c r="K77" t="s">
        <v>306</v>
      </c>
      <c r="L77" t="s">
        <v>807</v>
      </c>
      <c r="M77"/>
      <c r="N77"/>
      <c r="O77" t="s">
        <v>569</v>
      </c>
      <c r="P77"/>
      <c r="Q77"/>
      <c r="R77"/>
      <c r="S77"/>
      <c r="T77" s="54"/>
      <c r="U77" t="s">
        <v>808</v>
      </c>
      <c r="V77" s="54">
        <v>44868</v>
      </c>
      <c r="W77" s="54"/>
      <c r="X77" t="s">
        <v>457</v>
      </c>
      <c r="Y77"/>
      <c r="Z77"/>
      <c r="AA77" s="54"/>
      <c r="AB77">
        <v>0</v>
      </c>
      <c r="AC77" s="68">
        <v>44868.424583332999</v>
      </c>
      <c r="AD77" s="68">
        <v>44868.424583332999</v>
      </c>
      <c r="AE77" s="67" t="s">
        <v>804</v>
      </c>
    </row>
    <row r="78" spans="1:31" ht="15" x14ac:dyDescent="0.25">
      <c r="A78" s="66">
        <v>77</v>
      </c>
      <c r="B78" t="s">
        <v>810</v>
      </c>
      <c r="C78" t="s">
        <v>568</v>
      </c>
      <c r="D78" t="s">
        <v>282</v>
      </c>
      <c r="E78" t="s">
        <v>282</v>
      </c>
      <c r="F78" t="s">
        <v>806</v>
      </c>
      <c r="G78">
        <v>2</v>
      </c>
      <c r="H78">
        <v>3</v>
      </c>
      <c r="I78" t="s">
        <v>806</v>
      </c>
      <c r="J78">
        <v>45</v>
      </c>
      <c r="K78" t="s">
        <v>306</v>
      </c>
      <c r="L78" t="s">
        <v>807</v>
      </c>
      <c r="M78"/>
      <c r="N78"/>
      <c r="O78" t="s">
        <v>569</v>
      </c>
      <c r="P78"/>
      <c r="Q78"/>
      <c r="R78"/>
      <c r="S78"/>
      <c r="T78" s="54"/>
      <c r="U78" t="s">
        <v>808</v>
      </c>
      <c r="V78" s="54">
        <v>44868</v>
      </c>
      <c r="W78" s="54"/>
      <c r="X78" t="s">
        <v>457</v>
      </c>
      <c r="Y78"/>
      <c r="Z78"/>
      <c r="AA78" s="54"/>
      <c r="AB78">
        <v>0</v>
      </c>
      <c r="AC78" s="68">
        <v>44868.427071758997</v>
      </c>
      <c r="AD78" s="68">
        <v>44868.427071758997</v>
      </c>
      <c r="AE78" s="67" t="s">
        <v>809</v>
      </c>
    </row>
    <row r="79" spans="1:31" ht="15" x14ac:dyDescent="0.25">
      <c r="A79" s="66">
        <v>78</v>
      </c>
      <c r="B79" t="s">
        <v>812</v>
      </c>
      <c r="C79" t="s">
        <v>568</v>
      </c>
      <c r="D79" t="s">
        <v>282</v>
      </c>
      <c r="E79" t="s">
        <v>291</v>
      </c>
      <c r="F79" t="s">
        <v>495</v>
      </c>
      <c r="G79">
        <v>3</v>
      </c>
      <c r="H79">
        <v>1</v>
      </c>
      <c r="I79" t="s">
        <v>813</v>
      </c>
      <c r="J79">
        <v>28</v>
      </c>
      <c r="K79" t="s">
        <v>304</v>
      </c>
      <c r="L79" t="s">
        <v>814</v>
      </c>
      <c r="M79"/>
      <c r="N79"/>
      <c r="O79" t="s">
        <v>572</v>
      </c>
      <c r="P79"/>
      <c r="Q79"/>
      <c r="R79"/>
      <c r="S79"/>
      <c r="T79" s="54"/>
      <c r="U79" t="s">
        <v>815</v>
      </c>
      <c r="V79" s="54">
        <v>44866</v>
      </c>
      <c r="W79" s="54"/>
      <c r="X79" t="s">
        <v>457</v>
      </c>
      <c r="Y79"/>
      <c r="Z79"/>
      <c r="AA79" s="54"/>
      <c r="AB79">
        <v>0</v>
      </c>
      <c r="AC79" s="68">
        <v>44868.509560184997</v>
      </c>
      <c r="AD79" s="68">
        <v>44868.509560184997</v>
      </c>
      <c r="AE79" s="67" t="s">
        <v>811</v>
      </c>
    </row>
    <row r="80" spans="1:31" ht="15" x14ac:dyDescent="0.25">
      <c r="A80" s="66">
        <v>79</v>
      </c>
      <c r="B80" t="s">
        <v>817</v>
      </c>
      <c r="C80" t="s">
        <v>568</v>
      </c>
      <c r="D80" t="s">
        <v>282</v>
      </c>
      <c r="E80" t="s">
        <v>291</v>
      </c>
      <c r="F80" t="s">
        <v>495</v>
      </c>
      <c r="G80">
        <v>3</v>
      </c>
      <c r="H80">
        <v>1</v>
      </c>
      <c r="I80" t="s">
        <v>813</v>
      </c>
      <c r="J80">
        <v>28</v>
      </c>
      <c r="K80" t="s">
        <v>304</v>
      </c>
      <c r="L80" t="s">
        <v>814</v>
      </c>
      <c r="M80"/>
      <c r="N80"/>
      <c r="O80" t="s">
        <v>572</v>
      </c>
      <c r="P80"/>
      <c r="Q80"/>
      <c r="R80"/>
      <c r="S80"/>
      <c r="T80" s="54"/>
      <c r="U80" t="s">
        <v>815</v>
      </c>
      <c r="V80" s="54">
        <v>44866</v>
      </c>
      <c r="W80" s="54"/>
      <c r="X80" t="s">
        <v>457</v>
      </c>
      <c r="Y80" t="s">
        <v>818</v>
      </c>
      <c r="Z80" t="s">
        <v>571</v>
      </c>
      <c r="AA80" s="54">
        <v>44866</v>
      </c>
      <c r="AB80">
        <v>0</v>
      </c>
      <c r="AC80" s="68">
        <v>44868.513368056003</v>
      </c>
      <c r="AD80" s="68">
        <v>44868.513368056003</v>
      </c>
      <c r="AE80" s="67" t="s">
        <v>816</v>
      </c>
    </row>
    <row r="81" spans="1:31" ht="15" x14ac:dyDescent="0.25">
      <c r="A81" s="66">
        <v>80</v>
      </c>
      <c r="B81" t="s">
        <v>820</v>
      </c>
      <c r="C81" t="s">
        <v>568</v>
      </c>
      <c r="D81" t="s">
        <v>282</v>
      </c>
      <c r="E81" t="s">
        <v>291</v>
      </c>
      <c r="F81" t="s">
        <v>495</v>
      </c>
      <c r="G81">
        <v>1</v>
      </c>
      <c r="H81">
        <v>1</v>
      </c>
      <c r="I81" t="s">
        <v>821</v>
      </c>
      <c r="J81">
        <v>40</v>
      </c>
      <c r="K81" t="s">
        <v>304</v>
      </c>
      <c r="L81" t="s">
        <v>814</v>
      </c>
      <c r="M81"/>
      <c r="N81"/>
      <c r="O81" t="s">
        <v>572</v>
      </c>
      <c r="P81"/>
      <c r="Q81"/>
      <c r="R81"/>
      <c r="S81"/>
      <c r="T81" s="54"/>
      <c r="U81" t="s">
        <v>815</v>
      </c>
      <c r="V81" s="54">
        <v>44866</v>
      </c>
      <c r="W81" s="54"/>
      <c r="X81" t="s">
        <v>457</v>
      </c>
      <c r="Y81" t="s">
        <v>822</v>
      </c>
      <c r="Z81" t="s">
        <v>571</v>
      </c>
      <c r="AA81" s="54">
        <v>44866</v>
      </c>
      <c r="AB81">
        <v>0</v>
      </c>
      <c r="AC81" s="68">
        <v>44868.514606481003</v>
      </c>
      <c r="AD81" s="68">
        <v>44868.514606481003</v>
      </c>
      <c r="AE81" s="67" t="s">
        <v>819</v>
      </c>
    </row>
    <row r="82" spans="1:31" ht="15" x14ac:dyDescent="0.25">
      <c r="A82" s="66">
        <v>81</v>
      </c>
      <c r="B82" t="s">
        <v>824</v>
      </c>
      <c r="C82" t="s">
        <v>568</v>
      </c>
      <c r="D82" t="s">
        <v>282</v>
      </c>
      <c r="E82" t="s">
        <v>291</v>
      </c>
      <c r="F82" t="s">
        <v>495</v>
      </c>
      <c r="G82">
        <v>1</v>
      </c>
      <c r="H82">
        <v>1</v>
      </c>
      <c r="I82" t="s">
        <v>821</v>
      </c>
      <c r="J82">
        <v>35</v>
      </c>
      <c r="K82" t="s">
        <v>306</v>
      </c>
      <c r="L82" t="s">
        <v>814</v>
      </c>
      <c r="M82"/>
      <c r="N82"/>
      <c r="O82" t="s">
        <v>572</v>
      </c>
      <c r="P82"/>
      <c r="Q82"/>
      <c r="R82"/>
      <c r="S82"/>
      <c r="T82" s="54"/>
      <c r="U82" t="s">
        <v>815</v>
      </c>
      <c r="V82" s="54">
        <v>44866</v>
      </c>
      <c r="W82" s="54"/>
      <c r="X82" t="s">
        <v>457</v>
      </c>
      <c r="Y82" t="s">
        <v>825</v>
      </c>
      <c r="Z82" t="s">
        <v>571</v>
      </c>
      <c r="AA82" s="54">
        <v>44866</v>
      </c>
      <c r="AB82">
        <v>0</v>
      </c>
      <c r="AC82" s="68">
        <v>44868.515659721998</v>
      </c>
      <c r="AD82" s="68">
        <v>44868.515659721998</v>
      </c>
      <c r="AE82" s="67" t="s">
        <v>823</v>
      </c>
    </row>
    <row r="83" spans="1:31" ht="15" x14ac:dyDescent="0.25">
      <c r="A83" s="66">
        <v>82</v>
      </c>
      <c r="B83" t="s">
        <v>827</v>
      </c>
      <c r="C83" t="s">
        <v>568</v>
      </c>
      <c r="D83" t="s">
        <v>282</v>
      </c>
      <c r="E83" t="s">
        <v>291</v>
      </c>
      <c r="F83" t="s">
        <v>495</v>
      </c>
      <c r="G83">
        <v>2</v>
      </c>
      <c r="H83">
        <v>3</v>
      </c>
      <c r="I83" t="s">
        <v>828</v>
      </c>
      <c r="J83">
        <v>69</v>
      </c>
      <c r="K83" t="s">
        <v>304</v>
      </c>
      <c r="L83" t="s">
        <v>814</v>
      </c>
      <c r="M83"/>
      <c r="N83"/>
      <c r="O83" t="s">
        <v>572</v>
      </c>
      <c r="P83"/>
      <c r="Q83"/>
      <c r="R83"/>
      <c r="S83"/>
      <c r="T83" s="54"/>
      <c r="U83" t="s">
        <v>815</v>
      </c>
      <c r="V83" s="54">
        <v>44866</v>
      </c>
      <c r="W83" s="54"/>
      <c r="X83" t="s">
        <v>457</v>
      </c>
      <c r="Y83" t="s">
        <v>829</v>
      </c>
      <c r="Z83" t="s">
        <v>571</v>
      </c>
      <c r="AA83" s="54">
        <v>44866</v>
      </c>
      <c r="AB83">
        <v>0</v>
      </c>
      <c r="AC83" s="68">
        <v>44868.519467593003</v>
      </c>
      <c r="AD83" s="68">
        <v>44868.519467593003</v>
      </c>
      <c r="AE83" s="67" t="s">
        <v>826</v>
      </c>
    </row>
    <row r="84" spans="1:31" ht="15" x14ac:dyDescent="0.25">
      <c r="A84" s="66">
        <v>83</v>
      </c>
      <c r="B84" t="s">
        <v>831</v>
      </c>
      <c r="C84" t="s">
        <v>568</v>
      </c>
      <c r="D84" t="s">
        <v>282</v>
      </c>
      <c r="E84" t="s">
        <v>291</v>
      </c>
      <c r="F84" t="s">
        <v>495</v>
      </c>
      <c r="G84">
        <v>2</v>
      </c>
      <c r="H84">
        <v>3</v>
      </c>
      <c r="I84" t="s">
        <v>828</v>
      </c>
      <c r="J84">
        <v>60</v>
      </c>
      <c r="K84" t="s">
        <v>306</v>
      </c>
      <c r="L84" t="s">
        <v>814</v>
      </c>
      <c r="M84"/>
      <c r="N84"/>
      <c r="O84" t="s">
        <v>572</v>
      </c>
      <c r="P84"/>
      <c r="Q84"/>
      <c r="R84"/>
      <c r="S84"/>
      <c r="T84" s="54"/>
      <c r="U84" t="s">
        <v>815</v>
      </c>
      <c r="V84" s="54">
        <v>44866</v>
      </c>
      <c r="W84" s="54"/>
      <c r="X84" t="s">
        <v>457</v>
      </c>
      <c r="Y84" t="s">
        <v>832</v>
      </c>
      <c r="Z84" t="s">
        <v>571</v>
      </c>
      <c r="AA84" s="54">
        <v>44866</v>
      </c>
      <c r="AB84">
        <v>0</v>
      </c>
      <c r="AC84" s="68">
        <v>44868.520925926001</v>
      </c>
      <c r="AD84" s="68">
        <v>44868.520925926001</v>
      </c>
      <c r="AE84" s="67" t="s">
        <v>830</v>
      </c>
    </row>
    <row r="85" spans="1:31" ht="15" x14ac:dyDescent="0.25">
      <c r="A85" s="66">
        <v>84</v>
      </c>
      <c r="B85" t="s">
        <v>834</v>
      </c>
      <c r="C85" t="s">
        <v>568</v>
      </c>
      <c r="D85" t="s">
        <v>282</v>
      </c>
      <c r="E85" t="s">
        <v>291</v>
      </c>
      <c r="F85" t="s">
        <v>495</v>
      </c>
      <c r="G85">
        <v>1</v>
      </c>
      <c r="H85">
        <v>6</v>
      </c>
      <c r="I85" t="s">
        <v>835</v>
      </c>
      <c r="J85">
        <v>40</v>
      </c>
      <c r="K85" t="s">
        <v>304</v>
      </c>
      <c r="L85" t="s">
        <v>836</v>
      </c>
      <c r="M85"/>
      <c r="N85"/>
      <c r="O85" t="s">
        <v>569</v>
      </c>
      <c r="P85"/>
      <c r="Q85"/>
      <c r="R85"/>
      <c r="S85"/>
      <c r="T85" s="54"/>
      <c r="U85" t="s">
        <v>815</v>
      </c>
      <c r="V85" s="54">
        <v>44866</v>
      </c>
      <c r="W85" s="54"/>
      <c r="X85" t="s">
        <v>457</v>
      </c>
      <c r="Y85" t="s">
        <v>837</v>
      </c>
      <c r="Z85" t="s">
        <v>571</v>
      </c>
      <c r="AA85" s="54">
        <v>44866</v>
      </c>
      <c r="AB85">
        <v>0</v>
      </c>
      <c r="AC85" s="68">
        <v>44868.558298611002</v>
      </c>
      <c r="AD85" s="68">
        <v>44868.558298611002</v>
      </c>
      <c r="AE85" s="67" t="s">
        <v>833</v>
      </c>
    </row>
    <row r="86" spans="1:31" ht="15" x14ac:dyDescent="0.25">
      <c r="A86" s="66">
        <v>85</v>
      </c>
      <c r="B86" t="s">
        <v>839</v>
      </c>
      <c r="C86" t="s">
        <v>568</v>
      </c>
      <c r="D86" t="s">
        <v>282</v>
      </c>
      <c r="E86" t="s">
        <v>291</v>
      </c>
      <c r="F86" t="s">
        <v>495</v>
      </c>
      <c r="G86">
        <v>1</v>
      </c>
      <c r="H86">
        <v>6</v>
      </c>
      <c r="I86" t="s">
        <v>835</v>
      </c>
      <c r="J86">
        <v>35</v>
      </c>
      <c r="K86" t="s">
        <v>306</v>
      </c>
      <c r="L86" t="s">
        <v>836</v>
      </c>
      <c r="M86"/>
      <c r="N86"/>
      <c r="O86" t="s">
        <v>569</v>
      </c>
      <c r="P86"/>
      <c r="Q86"/>
      <c r="R86"/>
      <c r="S86"/>
      <c r="T86" s="54"/>
      <c r="U86" t="s">
        <v>815</v>
      </c>
      <c r="V86" s="54">
        <v>44866</v>
      </c>
      <c r="W86" s="54"/>
      <c r="X86" t="s">
        <v>457</v>
      </c>
      <c r="Y86" t="s">
        <v>840</v>
      </c>
      <c r="Z86" t="s">
        <v>571</v>
      </c>
      <c r="AA86" s="54">
        <v>44866</v>
      </c>
      <c r="AB86">
        <v>0</v>
      </c>
      <c r="AC86" s="68">
        <v>44868.559548611003</v>
      </c>
      <c r="AD86" s="68">
        <v>44868.559548611003</v>
      </c>
      <c r="AE86" s="67" t="s">
        <v>838</v>
      </c>
    </row>
    <row r="87" spans="1:31" ht="15" x14ac:dyDescent="0.25">
      <c r="A87" s="66">
        <v>86</v>
      </c>
      <c r="B87" t="s">
        <v>842</v>
      </c>
      <c r="C87" t="s">
        <v>568</v>
      </c>
      <c r="D87" t="s">
        <v>282</v>
      </c>
      <c r="E87" t="s">
        <v>291</v>
      </c>
      <c r="F87" t="s">
        <v>495</v>
      </c>
      <c r="G87">
        <v>1</v>
      </c>
      <c r="H87">
        <v>5</v>
      </c>
      <c r="I87" t="s">
        <v>843</v>
      </c>
      <c r="J87">
        <v>37</v>
      </c>
      <c r="K87" t="s">
        <v>306</v>
      </c>
      <c r="L87" t="s">
        <v>836</v>
      </c>
      <c r="M87"/>
      <c r="N87"/>
      <c r="O87" t="s">
        <v>569</v>
      </c>
      <c r="P87"/>
      <c r="Q87"/>
      <c r="R87"/>
      <c r="S87"/>
      <c r="T87" s="54"/>
      <c r="U87" t="s">
        <v>815</v>
      </c>
      <c r="V87" s="54">
        <v>44866</v>
      </c>
      <c r="W87" s="54"/>
      <c r="X87" t="s">
        <v>457</v>
      </c>
      <c r="Y87" t="s">
        <v>844</v>
      </c>
      <c r="Z87" t="s">
        <v>571</v>
      </c>
      <c r="AA87" s="54">
        <v>44866</v>
      </c>
      <c r="AB87">
        <v>0</v>
      </c>
      <c r="AC87" s="68">
        <v>44868.560983796</v>
      </c>
      <c r="AD87" s="68">
        <v>44868.560983796</v>
      </c>
      <c r="AE87" s="67" t="s">
        <v>841</v>
      </c>
    </row>
    <row r="88" spans="1:31" ht="15" x14ac:dyDescent="0.25">
      <c r="A88" s="66">
        <v>87</v>
      </c>
      <c r="B88" t="s">
        <v>803</v>
      </c>
      <c r="C88" t="s">
        <v>568</v>
      </c>
      <c r="D88" t="s">
        <v>282</v>
      </c>
      <c r="E88" t="s">
        <v>291</v>
      </c>
      <c r="F88" t="s">
        <v>495</v>
      </c>
      <c r="G88">
        <v>2</v>
      </c>
      <c r="H88">
        <v>4</v>
      </c>
      <c r="I88" t="s">
        <v>846</v>
      </c>
      <c r="J88">
        <v>59</v>
      </c>
      <c r="K88" t="s">
        <v>304</v>
      </c>
      <c r="L88" t="s">
        <v>836</v>
      </c>
      <c r="M88"/>
      <c r="N88"/>
      <c r="O88" t="s">
        <v>569</v>
      </c>
      <c r="P88"/>
      <c r="Q88"/>
      <c r="R88"/>
      <c r="S88"/>
      <c r="T88" s="54"/>
      <c r="U88" t="s">
        <v>815</v>
      </c>
      <c r="V88" s="54">
        <v>44866</v>
      </c>
      <c r="W88" s="54"/>
      <c r="X88" t="s">
        <v>457</v>
      </c>
      <c r="Y88" t="s">
        <v>847</v>
      </c>
      <c r="Z88" t="s">
        <v>571</v>
      </c>
      <c r="AA88" s="54">
        <v>44866</v>
      </c>
      <c r="AB88">
        <v>0</v>
      </c>
      <c r="AC88" s="68">
        <v>44868.567268519</v>
      </c>
      <c r="AD88" s="68">
        <v>44868.567268519</v>
      </c>
      <c r="AE88" s="67" t="s">
        <v>845</v>
      </c>
    </row>
    <row r="89" spans="1:31" ht="15" x14ac:dyDescent="0.25">
      <c r="A89" s="66">
        <v>88</v>
      </c>
      <c r="B89" t="s">
        <v>849</v>
      </c>
      <c r="C89" t="s">
        <v>568</v>
      </c>
      <c r="D89" t="s">
        <v>282</v>
      </c>
      <c r="E89" t="s">
        <v>291</v>
      </c>
      <c r="F89" t="s">
        <v>495</v>
      </c>
      <c r="G89">
        <v>2</v>
      </c>
      <c r="H89">
        <v>4</v>
      </c>
      <c r="I89" t="s">
        <v>846</v>
      </c>
      <c r="J89">
        <v>57</v>
      </c>
      <c r="K89" t="s">
        <v>306</v>
      </c>
      <c r="L89" t="s">
        <v>836</v>
      </c>
      <c r="M89"/>
      <c r="N89"/>
      <c r="O89" t="s">
        <v>569</v>
      </c>
      <c r="P89"/>
      <c r="Q89"/>
      <c r="R89"/>
      <c r="S89"/>
      <c r="T89" s="54"/>
      <c r="U89" t="s">
        <v>815</v>
      </c>
      <c r="V89" s="54">
        <v>44866</v>
      </c>
      <c r="W89" s="54"/>
      <c r="X89" t="s">
        <v>457</v>
      </c>
      <c r="Y89" t="s">
        <v>850</v>
      </c>
      <c r="Z89" t="s">
        <v>571</v>
      </c>
      <c r="AA89" s="54">
        <v>44866</v>
      </c>
      <c r="AB89">
        <v>0</v>
      </c>
      <c r="AC89" s="68">
        <v>44868.568553240999</v>
      </c>
      <c r="AD89" s="68">
        <v>44868.568553240999</v>
      </c>
      <c r="AE89" s="67" t="s">
        <v>848</v>
      </c>
    </row>
    <row r="90" spans="1:31" ht="15" x14ac:dyDescent="0.25">
      <c r="A90" s="66">
        <v>89</v>
      </c>
      <c r="B90" t="s">
        <v>852</v>
      </c>
      <c r="C90" t="s">
        <v>568</v>
      </c>
      <c r="D90" t="s">
        <v>282</v>
      </c>
      <c r="E90" t="s">
        <v>290</v>
      </c>
      <c r="F90" t="s">
        <v>799</v>
      </c>
      <c r="G90">
        <v>3</v>
      </c>
      <c r="H90">
        <v>1</v>
      </c>
      <c r="I90" t="s">
        <v>853</v>
      </c>
      <c r="J90">
        <v>25</v>
      </c>
      <c r="K90" t="s">
        <v>304</v>
      </c>
      <c r="L90" t="s">
        <v>800</v>
      </c>
      <c r="M90"/>
      <c r="N90"/>
      <c r="O90" t="s">
        <v>802</v>
      </c>
      <c r="P90"/>
      <c r="Q90"/>
      <c r="R90"/>
      <c r="S90"/>
      <c r="T90" s="54"/>
      <c r="U90" t="s">
        <v>801</v>
      </c>
      <c r="V90" s="54">
        <v>44870</v>
      </c>
      <c r="W90" s="54"/>
      <c r="X90" t="s">
        <v>457</v>
      </c>
      <c r="Y90"/>
      <c r="Z90"/>
      <c r="AA90" s="54"/>
      <c r="AB90">
        <v>0</v>
      </c>
      <c r="AC90" s="68">
        <v>44870.436678241</v>
      </c>
      <c r="AD90" s="68">
        <v>44870.436678241</v>
      </c>
      <c r="AE90" s="67" t="s">
        <v>851</v>
      </c>
    </row>
    <row r="91" spans="1:31" ht="15" x14ac:dyDescent="0.25">
      <c r="A91" s="66">
        <v>90</v>
      </c>
      <c r="B91" t="s">
        <v>855</v>
      </c>
      <c r="C91" t="s">
        <v>568</v>
      </c>
      <c r="D91" t="s">
        <v>282</v>
      </c>
      <c r="E91" t="s">
        <v>290</v>
      </c>
      <c r="F91" t="s">
        <v>799</v>
      </c>
      <c r="G91">
        <v>3</v>
      </c>
      <c r="H91">
        <v>1</v>
      </c>
      <c r="I91" t="s">
        <v>853</v>
      </c>
      <c r="J91">
        <v>23</v>
      </c>
      <c r="K91" t="s">
        <v>306</v>
      </c>
      <c r="L91" t="s">
        <v>800</v>
      </c>
      <c r="M91"/>
      <c r="N91"/>
      <c r="O91" t="s">
        <v>802</v>
      </c>
      <c r="P91"/>
      <c r="Q91"/>
      <c r="R91"/>
      <c r="S91"/>
      <c r="T91" s="54"/>
      <c r="U91" t="s">
        <v>801</v>
      </c>
      <c r="V91" s="54">
        <v>44870</v>
      </c>
      <c r="W91" s="54"/>
      <c r="X91" t="s">
        <v>457</v>
      </c>
      <c r="Y91"/>
      <c r="Z91"/>
      <c r="AA91" s="54"/>
      <c r="AB91">
        <v>0</v>
      </c>
      <c r="AC91" s="68">
        <v>44870.437453703998</v>
      </c>
      <c r="AD91" s="68">
        <v>44870.437453703998</v>
      </c>
      <c r="AE91" s="67" t="s">
        <v>854</v>
      </c>
    </row>
    <row r="92" spans="1:31" ht="15" x14ac:dyDescent="0.25">
      <c r="A92" s="66">
        <v>91</v>
      </c>
      <c r="B92" t="s">
        <v>857</v>
      </c>
      <c r="C92" t="s">
        <v>568</v>
      </c>
      <c r="D92" t="s">
        <v>282</v>
      </c>
      <c r="E92" t="s">
        <v>290</v>
      </c>
      <c r="F92" t="s">
        <v>799</v>
      </c>
      <c r="G92">
        <v>3</v>
      </c>
      <c r="H92">
        <v>1</v>
      </c>
      <c r="I92" t="s">
        <v>853</v>
      </c>
      <c r="J92">
        <v>43</v>
      </c>
      <c r="K92" t="s">
        <v>306</v>
      </c>
      <c r="L92" t="s">
        <v>800</v>
      </c>
      <c r="M92"/>
      <c r="N92"/>
      <c r="O92" t="s">
        <v>802</v>
      </c>
      <c r="P92"/>
      <c r="Q92"/>
      <c r="R92"/>
      <c r="S92"/>
      <c r="T92" s="54"/>
      <c r="U92" t="s">
        <v>801</v>
      </c>
      <c r="V92" s="54">
        <v>44870</v>
      </c>
      <c r="W92" s="54"/>
      <c r="X92" t="s">
        <v>457</v>
      </c>
      <c r="Y92"/>
      <c r="Z92"/>
      <c r="AA92" s="54"/>
      <c r="AB92">
        <v>0</v>
      </c>
      <c r="AC92" s="68">
        <v>44870.441261574</v>
      </c>
      <c r="AD92" s="68">
        <v>44870.441261574</v>
      </c>
      <c r="AE92" s="67" t="s">
        <v>856</v>
      </c>
    </row>
    <row r="93" spans="1:31" ht="15" x14ac:dyDescent="0.25">
      <c r="A93" s="66">
        <v>92</v>
      </c>
      <c r="B93" t="s">
        <v>859</v>
      </c>
      <c r="C93" t="s">
        <v>568</v>
      </c>
      <c r="D93" t="s">
        <v>282</v>
      </c>
      <c r="E93" t="s">
        <v>290</v>
      </c>
      <c r="F93" t="s">
        <v>290</v>
      </c>
      <c r="G93">
        <v>1</v>
      </c>
      <c r="H93">
        <v>3</v>
      </c>
      <c r="I93" t="s">
        <v>860</v>
      </c>
      <c r="J93">
        <v>53</v>
      </c>
      <c r="K93" t="s">
        <v>306</v>
      </c>
      <c r="L93" t="s">
        <v>861</v>
      </c>
      <c r="M93"/>
      <c r="N93"/>
      <c r="O93" t="s">
        <v>569</v>
      </c>
      <c r="P93"/>
      <c r="Q93"/>
      <c r="R93"/>
      <c r="S93"/>
      <c r="T93" s="54"/>
      <c r="U93" t="s">
        <v>862</v>
      </c>
      <c r="V93" s="54">
        <v>44870</v>
      </c>
      <c r="W93" s="54"/>
      <c r="X93" t="s">
        <v>457</v>
      </c>
      <c r="Y93"/>
      <c r="Z93"/>
      <c r="AA93" s="54"/>
      <c r="AB93">
        <v>1</v>
      </c>
      <c r="AC93" s="68">
        <v>44870.590925926001</v>
      </c>
      <c r="AD93" s="68">
        <v>44870.590925926001</v>
      </c>
      <c r="AE93" s="67" t="s">
        <v>858</v>
      </c>
    </row>
    <row r="94" spans="1:31" ht="15" x14ac:dyDescent="0.25">
      <c r="A94" s="66">
        <v>93</v>
      </c>
      <c r="B94" t="s">
        <v>864</v>
      </c>
      <c r="C94" t="s">
        <v>568</v>
      </c>
      <c r="D94" t="s">
        <v>282</v>
      </c>
      <c r="E94" t="s">
        <v>290</v>
      </c>
      <c r="F94" t="s">
        <v>290</v>
      </c>
      <c r="G94">
        <v>1</v>
      </c>
      <c r="H94">
        <v>3</v>
      </c>
      <c r="I94" t="s">
        <v>860</v>
      </c>
      <c r="J94">
        <v>44</v>
      </c>
      <c r="K94" t="s">
        <v>306</v>
      </c>
      <c r="L94" t="s">
        <v>861</v>
      </c>
      <c r="M94"/>
      <c r="N94"/>
      <c r="O94" t="s">
        <v>569</v>
      </c>
      <c r="P94"/>
      <c r="Q94"/>
      <c r="R94"/>
      <c r="S94"/>
      <c r="T94" s="54"/>
      <c r="U94" t="s">
        <v>862</v>
      </c>
      <c r="V94" s="54">
        <v>44870</v>
      </c>
      <c r="W94" s="54"/>
      <c r="X94" t="s">
        <v>457</v>
      </c>
      <c r="Y94"/>
      <c r="Z94"/>
      <c r="AA94" s="54"/>
      <c r="AB94">
        <v>0</v>
      </c>
      <c r="AC94" s="68">
        <v>44870.592650462997</v>
      </c>
      <c r="AD94" s="68">
        <v>44870.592650462997</v>
      </c>
      <c r="AE94" s="67" t="s">
        <v>863</v>
      </c>
    </row>
    <row r="95" spans="1:31" ht="15" x14ac:dyDescent="0.25">
      <c r="A95" s="66">
        <v>94</v>
      </c>
      <c r="B95" t="s">
        <v>866</v>
      </c>
      <c r="C95" t="s">
        <v>568</v>
      </c>
      <c r="D95" t="s">
        <v>282</v>
      </c>
      <c r="E95" t="s">
        <v>289</v>
      </c>
      <c r="F95" t="s">
        <v>514</v>
      </c>
      <c r="G95">
        <v>1</v>
      </c>
      <c r="H95">
        <v>3</v>
      </c>
      <c r="I95" t="s">
        <v>867</v>
      </c>
      <c r="J95">
        <v>44</v>
      </c>
      <c r="K95" t="s">
        <v>306</v>
      </c>
      <c r="L95" t="s">
        <v>868</v>
      </c>
      <c r="M95"/>
      <c r="N95"/>
      <c r="O95" t="s">
        <v>569</v>
      </c>
      <c r="P95"/>
      <c r="Q95"/>
      <c r="R95"/>
      <c r="S95"/>
      <c r="T95" s="54"/>
      <c r="U95" t="s">
        <v>696</v>
      </c>
      <c r="V95" s="54">
        <v>44865</v>
      </c>
      <c r="W95" s="54"/>
      <c r="X95" t="s">
        <v>457</v>
      </c>
      <c r="Y95" t="s">
        <v>869</v>
      </c>
      <c r="Z95" t="s">
        <v>571</v>
      </c>
      <c r="AA95" s="54">
        <v>44865</v>
      </c>
      <c r="AB95">
        <v>1</v>
      </c>
      <c r="AC95" s="68">
        <v>44871.498923610998</v>
      </c>
      <c r="AD95" s="68">
        <v>44871.498923610998</v>
      </c>
      <c r="AE95" s="67" t="s">
        <v>865</v>
      </c>
    </row>
    <row r="96" spans="1:31" ht="15" x14ac:dyDescent="0.25">
      <c r="A96" s="66">
        <v>95</v>
      </c>
      <c r="B96" t="s">
        <v>871</v>
      </c>
      <c r="C96" t="s">
        <v>568</v>
      </c>
      <c r="D96" t="s">
        <v>282</v>
      </c>
      <c r="E96" t="s">
        <v>308</v>
      </c>
      <c r="F96" t="s">
        <v>357</v>
      </c>
      <c r="G96">
        <v>5</v>
      </c>
      <c r="H96">
        <v>3</v>
      </c>
      <c r="I96" t="s">
        <v>872</v>
      </c>
      <c r="J96">
        <v>45</v>
      </c>
      <c r="K96" t="s">
        <v>304</v>
      </c>
      <c r="L96" t="s">
        <v>873</v>
      </c>
      <c r="M96"/>
      <c r="N96"/>
      <c r="O96" t="s">
        <v>569</v>
      </c>
      <c r="P96"/>
      <c r="Q96"/>
      <c r="R96"/>
      <c r="S96"/>
      <c r="T96" s="54"/>
      <c r="U96" t="s">
        <v>874</v>
      </c>
      <c r="V96" s="54">
        <v>44874</v>
      </c>
      <c r="W96" s="54"/>
      <c r="X96" t="s">
        <v>457</v>
      </c>
      <c r="Y96" t="s">
        <v>875</v>
      </c>
      <c r="Z96" t="s">
        <v>571</v>
      </c>
      <c r="AA96" s="54">
        <v>44874</v>
      </c>
      <c r="AB96">
        <v>0</v>
      </c>
      <c r="AC96" s="68">
        <v>44875.395555556002</v>
      </c>
      <c r="AD96" s="68">
        <v>44875.395555556002</v>
      </c>
      <c r="AE96" s="67" t="s">
        <v>870</v>
      </c>
    </row>
    <row r="97" spans="1:31" ht="15" x14ac:dyDescent="0.25">
      <c r="A97" s="66">
        <v>96</v>
      </c>
      <c r="B97" t="s">
        <v>877</v>
      </c>
      <c r="C97" t="s">
        <v>568</v>
      </c>
      <c r="D97" t="s">
        <v>282</v>
      </c>
      <c r="E97" t="s">
        <v>308</v>
      </c>
      <c r="F97" t="s">
        <v>357</v>
      </c>
      <c r="G97">
        <v>5</v>
      </c>
      <c r="H97">
        <v>3</v>
      </c>
      <c r="I97" t="s">
        <v>872</v>
      </c>
      <c r="J97">
        <v>13</v>
      </c>
      <c r="K97" t="s">
        <v>304</v>
      </c>
      <c r="L97" t="s">
        <v>878</v>
      </c>
      <c r="M97"/>
      <c r="N97"/>
      <c r="O97" t="s">
        <v>569</v>
      </c>
      <c r="P97"/>
      <c r="Q97"/>
      <c r="R97"/>
      <c r="S97"/>
      <c r="T97" s="54"/>
      <c r="U97" t="s">
        <v>874</v>
      </c>
      <c r="V97" s="54">
        <v>44874</v>
      </c>
      <c r="W97" s="54"/>
      <c r="X97" t="s">
        <v>457</v>
      </c>
      <c r="Y97" t="s">
        <v>879</v>
      </c>
      <c r="Z97" t="s">
        <v>571</v>
      </c>
      <c r="AA97" s="54">
        <v>44874</v>
      </c>
      <c r="AB97">
        <v>0</v>
      </c>
      <c r="AC97" s="68">
        <v>44875.401168981</v>
      </c>
      <c r="AD97" s="68">
        <v>44875.401168981</v>
      </c>
      <c r="AE97" s="67" t="s">
        <v>876</v>
      </c>
    </row>
    <row r="98" spans="1:31" ht="15" x14ac:dyDescent="0.25">
      <c r="A98" s="66">
        <v>97</v>
      </c>
      <c r="B98" t="s">
        <v>881</v>
      </c>
      <c r="C98" t="s">
        <v>568</v>
      </c>
      <c r="D98" t="s">
        <v>282</v>
      </c>
      <c r="E98" t="s">
        <v>308</v>
      </c>
      <c r="F98" t="s">
        <v>357</v>
      </c>
      <c r="G98">
        <v>5</v>
      </c>
      <c r="H98">
        <v>3</v>
      </c>
      <c r="I98" t="s">
        <v>872</v>
      </c>
      <c r="J98">
        <v>9</v>
      </c>
      <c r="K98" t="s">
        <v>304</v>
      </c>
      <c r="L98" t="s">
        <v>873</v>
      </c>
      <c r="M98"/>
      <c r="N98"/>
      <c r="O98" t="s">
        <v>569</v>
      </c>
      <c r="P98"/>
      <c r="Q98"/>
      <c r="R98"/>
      <c r="S98"/>
      <c r="T98" s="54"/>
      <c r="U98" t="s">
        <v>874</v>
      </c>
      <c r="V98" s="54">
        <v>44874</v>
      </c>
      <c r="W98" s="54"/>
      <c r="X98" t="s">
        <v>457</v>
      </c>
      <c r="Y98" t="s">
        <v>882</v>
      </c>
      <c r="Z98" t="s">
        <v>571</v>
      </c>
      <c r="AA98" s="54">
        <v>44874</v>
      </c>
      <c r="AB98">
        <v>0</v>
      </c>
      <c r="AC98" s="68">
        <v>44875.402222222001</v>
      </c>
      <c r="AD98" s="68">
        <v>44875.402222222001</v>
      </c>
      <c r="AE98" s="67" t="s">
        <v>880</v>
      </c>
    </row>
    <row r="99" spans="1:31" ht="15" x14ac:dyDescent="0.25">
      <c r="A99" s="66">
        <v>98</v>
      </c>
      <c r="B99" t="s">
        <v>902</v>
      </c>
      <c r="C99" t="s">
        <v>568</v>
      </c>
      <c r="D99" t="s">
        <v>282</v>
      </c>
      <c r="E99" t="s">
        <v>282</v>
      </c>
      <c r="F99" t="s">
        <v>885</v>
      </c>
      <c r="G99">
        <v>2</v>
      </c>
      <c r="H99">
        <v>5</v>
      </c>
      <c r="I99" t="s">
        <v>886</v>
      </c>
      <c r="J99">
        <v>5</v>
      </c>
      <c r="K99" t="s">
        <v>304</v>
      </c>
      <c r="L99" t="s">
        <v>570</v>
      </c>
      <c r="M99"/>
      <c r="N99"/>
      <c r="O99" t="s">
        <v>569</v>
      </c>
      <c r="P99"/>
      <c r="Q99"/>
      <c r="R99"/>
      <c r="S99"/>
      <c r="T99" s="54"/>
      <c r="U99" t="s">
        <v>887</v>
      </c>
      <c r="V99" s="54">
        <v>44846</v>
      </c>
      <c r="W99" s="54"/>
      <c r="X99" t="s">
        <v>457</v>
      </c>
      <c r="Y99"/>
      <c r="Z99"/>
      <c r="AA99" s="54"/>
      <c r="AB99">
        <v>0</v>
      </c>
      <c r="AC99" s="68">
        <v>44876.417488425999</v>
      </c>
      <c r="AD99" s="68">
        <v>44876.417488425999</v>
      </c>
      <c r="AE99" s="67" t="s">
        <v>901</v>
      </c>
    </row>
    <row r="100" spans="1:31" ht="15" x14ac:dyDescent="0.25">
      <c r="A100" s="66">
        <v>99</v>
      </c>
      <c r="B100" t="s">
        <v>904</v>
      </c>
      <c r="C100" t="s">
        <v>568</v>
      </c>
      <c r="D100" t="s">
        <v>282</v>
      </c>
      <c r="E100" t="s">
        <v>282</v>
      </c>
      <c r="F100" t="s">
        <v>885</v>
      </c>
      <c r="G100">
        <v>2</v>
      </c>
      <c r="H100">
        <v>5</v>
      </c>
      <c r="I100" t="s">
        <v>886</v>
      </c>
      <c r="J100">
        <v>49</v>
      </c>
      <c r="K100" t="s">
        <v>304</v>
      </c>
      <c r="L100" t="s">
        <v>570</v>
      </c>
      <c r="M100"/>
      <c r="N100"/>
      <c r="O100" t="s">
        <v>569</v>
      </c>
      <c r="P100"/>
      <c r="Q100"/>
      <c r="R100"/>
      <c r="S100"/>
      <c r="T100" s="54"/>
      <c r="U100" t="s">
        <v>887</v>
      </c>
      <c r="V100" s="54">
        <v>44846</v>
      </c>
      <c r="W100" s="54"/>
      <c r="X100" t="s">
        <v>457</v>
      </c>
      <c r="Y100"/>
      <c r="Z100"/>
      <c r="AA100" s="54"/>
      <c r="AB100">
        <v>0</v>
      </c>
      <c r="AC100" s="68">
        <v>44876.420138889</v>
      </c>
      <c r="AD100" s="68">
        <v>44876.420138889</v>
      </c>
      <c r="AE100" s="67" t="s">
        <v>903</v>
      </c>
    </row>
    <row r="101" spans="1:31" ht="15" x14ac:dyDescent="0.25">
      <c r="A101" s="66">
        <v>100</v>
      </c>
      <c r="B101" t="s">
        <v>906</v>
      </c>
      <c r="C101" t="s">
        <v>568</v>
      </c>
      <c r="D101" t="s">
        <v>282</v>
      </c>
      <c r="E101" t="s">
        <v>282</v>
      </c>
      <c r="F101" t="s">
        <v>885</v>
      </c>
      <c r="G101">
        <v>2</v>
      </c>
      <c r="H101">
        <v>5</v>
      </c>
      <c r="I101" t="s">
        <v>886</v>
      </c>
      <c r="J101">
        <v>24</v>
      </c>
      <c r="K101" t="s">
        <v>304</v>
      </c>
      <c r="L101" t="s">
        <v>570</v>
      </c>
      <c r="M101"/>
      <c r="N101"/>
      <c r="O101" t="s">
        <v>569</v>
      </c>
      <c r="P101"/>
      <c r="Q101"/>
      <c r="R101"/>
      <c r="S101"/>
      <c r="T101" s="54"/>
      <c r="U101" t="s">
        <v>887</v>
      </c>
      <c r="V101" s="54">
        <v>44846</v>
      </c>
      <c r="W101" s="54"/>
      <c r="X101" t="s">
        <v>457</v>
      </c>
      <c r="Y101"/>
      <c r="Z101"/>
      <c r="AA101" s="54"/>
      <c r="AB101">
        <v>0</v>
      </c>
      <c r="AC101" s="68">
        <v>44876.427870369997</v>
      </c>
      <c r="AD101" s="68">
        <v>44876.427870369997</v>
      </c>
      <c r="AE101" s="67" t="s">
        <v>905</v>
      </c>
    </row>
    <row r="102" spans="1:31" ht="15" x14ac:dyDescent="0.25">
      <c r="A102" s="66">
        <v>101</v>
      </c>
      <c r="B102" t="s">
        <v>908</v>
      </c>
      <c r="C102" t="s">
        <v>568</v>
      </c>
      <c r="D102" t="s">
        <v>282</v>
      </c>
      <c r="E102" t="s">
        <v>282</v>
      </c>
      <c r="F102" t="s">
        <v>885</v>
      </c>
      <c r="G102">
        <v>2</v>
      </c>
      <c r="H102">
        <v>5</v>
      </c>
      <c r="I102" t="s">
        <v>886</v>
      </c>
      <c r="J102">
        <v>47</v>
      </c>
      <c r="K102" t="s">
        <v>304</v>
      </c>
      <c r="L102" t="s">
        <v>570</v>
      </c>
      <c r="M102"/>
      <c r="N102"/>
      <c r="O102" t="s">
        <v>569</v>
      </c>
      <c r="P102"/>
      <c r="Q102"/>
      <c r="R102"/>
      <c r="S102"/>
      <c r="T102" s="54"/>
      <c r="U102" t="s">
        <v>887</v>
      </c>
      <c r="V102" s="54">
        <v>44846</v>
      </c>
      <c r="W102" s="54"/>
      <c r="X102" t="s">
        <v>457</v>
      </c>
      <c r="Y102"/>
      <c r="Z102"/>
      <c r="AA102" s="54"/>
      <c r="AB102">
        <v>0</v>
      </c>
      <c r="AC102" s="68">
        <v>44876.475439815003</v>
      </c>
      <c r="AD102" s="68">
        <v>44876.475439815003</v>
      </c>
      <c r="AE102" s="67" t="s">
        <v>907</v>
      </c>
    </row>
    <row r="103" spans="1:31" ht="15" x14ac:dyDescent="0.25">
      <c r="A103" s="66">
        <v>102</v>
      </c>
      <c r="B103" t="s">
        <v>910</v>
      </c>
      <c r="C103" t="s">
        <v>568</v>
      </c>
      <c r="D103" t="s">
        <v>282</v>
      </c>
      <c r="E103" t="s">
        <v>282</v>
      </c>
      <c r="F103" t="s">
        <v>885</v>
      </c>
      <c r="G103">
        <v>2</v>
      </c>
      <c r="H103">
        <v>5</v>
      </c>
      <c r="I103" t="s">
        <v>886</v>
      </c>
      <c r="J103">
        <v>45</v>
      </c>
      <c r="K103" t="s">
        <v>306</v>
      </c>
      <c r="L103" t="s">
        <v>570</v>
      </c>
      <c r="M103"/>
      <c r="N103"/>
      <c r="O103" t="s">
        <v>569</v>
      </c>
      <c r="P103"/>
      <c r="Q103"/>
      <c r="R103"/>
      <c r="S103"/>
      <c r="T103" s="54"/>
      <c r="U103" t="s">
        <v>887</v>
      </c>
      <c r="V103" s="54">
        <v>44846</v>
      </c>
      <c r="W103" s="54"/>
      <c r="X103" t="s">
        <v>457</v>
      </c>
      <c r="Y103"/>
      <c r="Z103"/>
      <c r="AA103" s="54"/>
      <c r="AB103">
        <v>0</v>
      </c>
      <c r="AC103" s="68">
        <v>44876.478402777997</v>
      </c>
      <c r="AD103" s="68">
        <v>44876.478402777997</v>
      </c>
      <c r="AE103" s="67" t="s">
        <v>909</v>
      </c>
    </row>
    <row r="104" spans="1:31" ht="15" x14ac:dyDescent="0.25">
      <c r="A104" s="66">
        <v>103</v>
      </c>
      <c r="B104" t="s">
        <v>912</v>
      </c>
      <c r="C104" t="s">
        <v>568</v>
      </c>
      <c r="D104" t="s">
        <v>282</v>
      </c>
      <c r="E104" t="s">
        <v>282</v>
      </c>
      <c r="F104" t="s">
        <v>885</v>
      </c>
      <c r="G104">
        <v>2</v>
      </c>
      <c r="H104">
        <v>5</v>
      </c>
      <c r="I104" t="s">
        <v>886</v>
      </c>
      <c r="J104">
        <v>16</v>
      </c>
      <c r="K104" t="s">
        <v>306</v>
      </c>
      <c r="L104" t="s">
        <v>570</v>
      </c>
      <c r="M104"/>
      <c r="N104"/>
      <c r="O104" t="s">
        <v>569</v>
      </c>
      <c r="P104"/>
      <c r="Q104"/>
      <c r="R104"/>
      <c r="S104"/>
      <c r="T104" s="54"/>
      <c r="U104" t="s">
        <v>887</v>
      </c>
      <c r="V104" s="54">
        <v>44846</v>
      </c>
      <c r="W104" s="54"/>
      <c r="X104" t="s">
        <v>457</v>
      </c>
      <c r="Y104"/>
      <c r="Z104"/>
      <c r="AA104" s="54"/>
      <c r="AB104">
        <v>0</v>
      </c>
      <c r="AC104" s="68">
        <v>44876.481863426001</v>
      </c>
      <c r="AD104" s="68">
        <v>44876.481863426001</v>
      </c>
      <c r="AE104" s="67" t="s">
        <v>911</v>
      </c>
    </row>
    <row r="105" spans="1:31" ht="15" x14ac:dyDescent="0.25">
      <c r="A105" s="66">
        <v>104</v>
      </c>
      <c r="B105" t="s">
        <v>914</v>
      </c>
      <c r="C105" t="s">
        <v>568</v>
      </c>
      <c r="D105" t="s">
        <v>282</v>
      </c>
      <c r="E105" t="s">
        <v>282</v>
      </c>
      <c r="F105" t="s">
        <v>885</v>
      </c>
      <c r="G105">
        <v>2</v>
      </c>
      <c r="H105">
        <v>5</v>
      </c>
      <c r="I105" t="s">
        <v>886</v>
      </c>
      <c r="J105">
        <v>6</v>
      </c>
      <c r="K105" t="s">
        <v>306</v>
      </c>
      <c r="L105" t="s">
        <v>570</v>
      </c>
      <c r="M105"/>
      <c r="N105"/>
      <c r="O105" t="s">
        <v>569</v>
      </c>
      <c r="P105"/>
      <c r="Q105"/>
      <c r="R105"/>
      <c r="S105"/>
      <c r="T105" s="54"/>
      <c r="U105" t="s">
        <v>887</v>
      </c>
      <c r="V105" s="54">
        <v>44846</v>
      </c>
      <c r="W105" s="54"/>
      <c r="X105" t="s">
        <v>457</v>
      </c>
      <c r="Y105"/>
      <c r="Z105"/>
      <c r="AA105" s="54"/>
      <c r="AB105">
        <v>0</v>
      </c>
      <c r="AC105" s="68">
        <v>44876.483935185002</v>
      </c>
      <c r="AD105" s="68">
        <v>44876.483935185002</v>
      </c>
      <c r="AE105" s="67" t="s">
        <v>913</v>
      </c>
    </row>
    <row r="106" spans="1:31" ht="15" x14ac:dyDescent="0.25">
      <c r="A106" s="66">
        <v>105</v>
      </c>
      <c r="B106" t="s">
        <v>916</v>
      </c>
      <c r="C106" t="s">
        <v>568</v>
      </c>
      <c r="D106" t="s">
        <v>282</v>
      </c>
      <c r="E106" t="s">
        <v>282</v>
      </c>
      <c r="F106" t="s">
        <v>885</v>
      </c>
      <c r="G106">
        <v>2</v>
      </c>
      <c r="H106">
        <v>5</v>
      </c>
      <c r="I106" t="s">
        <v>886</v>
      </c>
      <c r="J106">
        <v>33</v>
      </c>
      <c r="K106" t="s">
        <v>306</v>
      </c>
      <c r="L106" t="s">
        <v>570</v>
      </c>
      <c r="M106"/>
      <c r="N106"/>
      <c r="O106" t="s">
        <v>569</v>
      </c>
      <c r="P106"/>
      <c r="Q106"/>
      <c r="R106"/>
      <c r="S106"/>
      <c r="T106" s="54"/>
      <c r="U106" t="s">
        <v>887</v>
      </c>
      <c r="V106" s="54">
        <v>44846</v>
      </c>
      <c r="W106" s="54"/>
      <c r="X106" t="s">
        <v>457</v>
      </c>
      <c r="Y106"/>
      <c r="Z106"/>
      <c r="AA106" s="54"/>
      <c r="AB106">
        <v>0</v>
      </c>
      <c r="AC106" s="68">
        <v>44876.487094907003</v>
      </c>
      <c r="AD106" s="68">
        <v>44876.487094907003</v>
      </c>
      <c r="AE106" s="67" t="s">
        <v>915</v>
      </c>
    </row>
    <row r="107" spans="1:31" ht="15" x14ac:dyDescent="0.25">
      <c r="A107" s="66">
        <v>106</v>
      </c>
      <c r="B107" t="s">
        <v>918</v>
      </c>
      <c r="C107" t="s">
        <v>568</v>
      </c>
      <c r="D107" t="s">
        <v>282</v>
      </c>
      <c r="E107" t="s">
        <v>282</v>
      </c>
      <c r="F107" t="s">
        <v>885</v>
      </c>
      <c r="G107">
        <v>2</v>
      </c>
      <c r="H107">
        <v>5</v>
      </c>
      <c r="I107" t="s">
        <v>886</v>
      </c>
      <c r="J107">
        <v>57</v>
      </c>
      <c r="K107" t="s">
        <v>304</v>
      </c>
      <c r="L107" t="s">
        <v>570</v>
      </c>
      <c r="M107"/>
      <c r="N107"/>
      <c r="O107" t="s">
        <v>569</v>
      </c>
      <c r="P107"/>
      <c r="Q107"/>
      <c r="R107"/>
      <c r="S107"/>
      <c r="T107" s="54"/>
      <c r="U107" t="s">
        <v>887</v>
      </c>
      <c r="V107" s="54">
        <v>44846</v>
      </c>
      <c r="W107" s="54"/>
      <c r="X107" t="s">
        <v>457</v>
      </c>
      <c r="Y107"/>
      <c r="Z107"/>
      <c r="AA107" s="54"/>
      <c r="AB107">
        <v>0</v>
      </c>
      <c r="AC107" s="68">
        <v>44876.492627314998</v>
      </c>
      <c r="AD107" s="68">
        <v>44876.492627314998</v>
      </c>
      <c r="AE107" s="67" t="s">
        <v>917</v>
      </c>
    </row>
    <row r="108" spans="1:31" ht="15" x14ac:dyDescent="0.25">
      <c r="A108" s="66">
        <v>107</v>
      </c>
      <c r="B108" t="s">
        <v>920</v>
      </c>
      <c r="C108" t="s">
        <v>568</v>
      </c>
      <c r="D108" t="s">
        <v>282</v>
      </c>
      <c r="E108" t="s">
        <v>282</v>
      </c>
      <c r="F108" t="s">
        <v>885</v>
      </c>
      <c r="G108">
        <v>2</v>
      </c>
      <c r="H108">
        <v>5</v>
      </c>
      <c r="I108" t="s">
        <v>886</v>
      </c>
      <c r="J108">
        <v>53</v>
      </c>
      <c r="K108" t="s">
        <v>304</v>
      </c>
      <c r="L108" t="s">
        <v>570</v>
      </c>
      <c r="M108"/>
      <c r="N108"/>
      <c r="O108" t="s">
        <v>569</v>
      </c>
      <c r="P108"/>
      <c r="Q108"/>
      <c r="R108"/>
      <c r="S108"/>
      <c r="T108" s="54"/>
      <c r="U108" t="s">
        <v>887</v>
      </c>
      <c r="V108" s="54">
        <v>44846</v>
      </c>
      <c r="W108" s="54"/>
      <c r="X108" t="s">
        <v>457</v>
      </c>
      <c r="Y108"/>
      <c r="Z108"/>
      <c r="AA108" s="54"/>
      <c r="AB108">
        <v>0</v>
      </c>
      <c r="AC108" s="68">
        <v>44876.494305556</v>
      </c>
      <c r="AD108" s="68">
        <v>44876.494305556</v>
      </c>
      <c r="AE108" s="67" t="s">
        <v>919</v>
      </c>
    </row>
    <row r="109" spans="1:31" ht="15" x14ac:dyDescent="0.25">
      <c r="A109" s="66">
        <v>108</v>
      </c>
      <c r="B109" t="s">
        <v>922</v>
      </c>
      <c r="C109" t="s">
        <v>568</v>
      </c>
      <c r="D109" t="s">
        <v>282</v>
      </c>
      <c r="E109" t="s">
        <v>282</v>
      </c>
      <c r="F109" t="s">
        <v>885</v>
      </c>
      <c r="G109">
        <v>2</v>
      </c>
      <c r="H109">
        <v>5</v>
      </c>
      <c r="I109" t="s">
        <v>886</v>
      </c>
      <c r="J109">
        <v>25</v>
      </c>
      <c r="K109" t="s">
        <v>304</v>
      </c>
      <c r="L109" t="s">
        <v>570</v>
      </c>
      <c r="M109"/>
      <c r="N109"/>
      <c r="O109" t="s">
        <v>569</v>
      </c>
      <c r="P109"/>
      <c r="Q109"/>
      <c r="R109"/>
      <c r="S109"/>
      <c r="T109" s="54"/>
      <c r="U109" t="s">
        <v>887</v>
      </c>
      <c r="V109" s="54">
        <v>44846</v>
      </c>
      <c r="W109" s="54"/>
      <c r="X109" t="s">
        <v>457</v>
      </c>
      <c r="Y109"/>
      <c r="Z109"/>
      <c r="AA109" s="54"/>
      <c r="AB109">
        <v>0</v>
      </c>
      <c r="AC109" s="68">
        <v>44876.496365740997</v>
      </c>
      <c r="AD109" s="68">
        <v>44876.496365740997</v>
      </c>
      <c r="AE109" s="67" t="s">
        <v>921</v>
      </c>
    </row>
  </sheetData>
  <autoFilter ref="F1"/>
  <phoneticPr fontId="18" type="noConversion"/>
  <conditionalFormatting sqref="R1">
    <cfRule type="cellIs" dxfId="58" priority="2165" operator="lessThan">
      <formula>14</formula>
    </cfRule>
    <cfRule type="cellIs" dxfId="57" priority="2166" operator="greaterThan">
      <formula>14</formula>
    </cfRule>
  </conditionalFormatting>
  <conditionalFormatting sqref="AE1 AE110:AE1048576">
    <cfRule type="duplicateValues" dxfId="56" priority="4269"/>
  </conditionalFormatting>
  <conditionalFormatting sqref="AE110:AE1048576">
    <cfRule type="duplicateValues" dxfId="55" priority="4272"/>
  </conditionalFormatting>
  <conditionalFormatting sqref="AE1 AE110:AE1048576">
    <cfRule type="duplicateValues" dxfId="54" priority="4274"/>
    <cfRule type="duplicateValues" dxfId="53" priority="4275"/>
  </conditionalFormatting>
  <conditionalFormatting sqref="B1 B110:B1048576">
    <cfRule type="duplicateValues" dxfId="52" priority="4280"/>
  </conditionalFormatting>
  <conditionalFormatting sqref="B110:B1048576">
    <cfRule type="duplicateValues" dxfId="51" priority="4283"/>
  </conditionalFormatting>
  <conditionalFormatting sqref="B2:B109">
    <cfRule type="duplicateValues" dxfId="50" priority="8"/>
  </conditionalFormatting>
  <conditionalFormatting sqref="B2:B109">
    <cfRule type="duplicateValues" dxfId="49" priority="9"/>
  </conditionalFormatting>
  <conditionalFormatting sqref="AE2:AE109">
    <cfRule type="duplicateValues" dxfId="48" priority="1"/>
    <cfRule type="duplicateValues" dxfId="47" priority="2"/>
  </conditionalFormatting>
  <conditionalFormatting sqref="AE2:AE109">
    <cfRule type="duplicateValues" dxfId="46" priority="3"/>
  </conditionalFormatting>
  <conditionalFormatting sqref="AE2:AE109">
    <cfRule type="duplicateValues" dxfId="45" priority="4"/>
  </conditionalFormatting>
  <conditionalFormatting sqref="AE2:AE109">
    <cfRule type="duplicateValues" dxfId="44" priority="5"/>
    <cfRule type="duplicateValues" dxfId="43" priority="6"/>
  </conditionalFormatting>
  <conditionalFormatting sqref="AE2:AE109">
    <cfRule type="duplicateValues" dxfId="42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1"/>
  <sheetViews>
    <sheetView tabSelected="1" zoomScale="98" zoomScaleNormal="98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T52" sqref="T52"/>
    </sheetView>
  </sheetViews>
  <sheetFormatPr defaultRowHeight="15" x14ac:dyDescent="0.25"/>
  <cols>
    <col min="1" max="1" width="0" hidden="1" customWidth="1"/>
    <col min="2" max="2" width="4.85546875" customWidth="1"/>
    <col min="3" max="3" width="14.85546875" customWidth="1"/>
    <col min="4" max="4" width="16.5703125" customWidth="1"/>
    <col min="5" max="5" width="2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21" hidden="1" customWidth="1"/>
    <col min="17" max="17" width="2" hidden="1" customWidth="1"/>
    <col min="18" max="18" width="23" customWidth="1"/>
  </cols>
  <sheetData>
    <row r="1" spans="1:18" x14ac:dyDescent="0.25">
      <c r="A1" s="109" t="s">
        <v>440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x14ac:dyDescent="0.25">
      <c r="B2" s="1"/>
      <c r="C2" s="1"/>
      <c r="D2" s="1"/>
      <c r="E2" s="1"/>
    </row>
    <row r="3" spans="1:18" x14ac:dyDescent="0.25">
      <c r="B3" s="1"/>
      <c r="C3" s="1"/>
      <c r="D3" s="1"/>
      <c r="E3" s="1"/>
    </row>
    <row r="4" spans="1:18" x14ac:dyDescent="0.25">
      <c r="B4" s="15" t="s">
        <v>297</v>
      </c>
      <c r="C4" s="41" t="s">
        <v>900</v>
      </c>
      <c r="D4" s="11"/>
      <c r="E4" s="11"/>
    </row>
    <row r="5" spans="1:18" ht="60" customHeight="1" x14ac:dyDescent="0.25">
      <c r="B5" s="105" t="s">
        <v>1</v>
      </c>
      <c r="C5" s="105" t="s">
        <v>2</v>
      </c>
      <c r="D5" s="105" t="s">
        <v>3</v>
      </c>
      <c r="E5" s="107" t="s">
        <v>459</v>
      </c>
      <c r="F5" s="100" t="s">
        <v>271</v>
      </c>
      <c r="G5" s="100" t="s">
        <v>272</v>
      </c>
      <c r="H5" s="101" t="s">
        <v>299</v>
      </c>
      <c r="I5" s="104" t="s">
        <v>298</v>
      </c>
      <c r="J5" s="104" t="s">
        <v>296</v>
      </c>
      <c r="K5" s="100" t="s">
        <v>295</v>
      </c>
      <c r="L5" s="101" t="s">
        <v>302</v>
      </c>
      <c r="M5" s="101" t="s">
        <v>303</v>
      </c>
      <c r="N5" s="100" t="s">
        <v>301</v>
      </c>
      <c r="R5" s="94" t="s">
        <v>439</v>
      </c>
    </row>
    <row r="6" spans="1:18" ht="15" customHeight="1" x14ac:dyDescent="0.25">
      <c r="B6" s="106"/>
      <c r="C6" s="106"/>
      <c r="D6" s="106"/>
      <c r="E6" s="108"/>
      <c r="F6" s="100"/>
      <c r="G6" s="100"/>
      <c r="H6" s="102"/>
      <c r="I6" s="104"/>
      <c r="J6" s="104"/>
      <c r="K6" s="100"/>
      <c r="L6" s="102"/>
      <c r="M6" s="102"/>
      <c r="N6" s="100"/>
      <c r="R6" s="95"/>
    </row>
    <row r="7" spans="1:18" ht="15.75" customHeight="1" x14ac:dyDescent="0.25">
      <c r="B7" s="106"/>
      <c r="C7" s="106"/>
      <c r="D7" s="106"/>
      <c r="E7" s="108"/>
      <c r="F7" s="100"/>
      <c r="G7" s="100"/>
      <c r="H7" s="103"/>
      <c r="I7" s="104"/>
      <c r="J7" s="104"/>
      <c r="K7" s="100"/>
      <c r="L7" s="103"/>
      <c r="M7" s="103"/>
      <c r="N7" s="100"/>
      <c r="R7" s="96"/>
    </row>
    <row r="8" spans="1:18" x14ac:dyDescent="0.25">
      <c r="B8" s="43">
        <v>1</v>
      </c>
      <c r="C8" s="44" t="s">
        <v>4</v>
      </c>
      <c r="D8" s="8" t="s">
        <v>393</v>
      </c>
      <c r="E8" s="53">
        <f>COUNTIFS('TOTAL KONTAK ERAT'!$F:$F,"Kembangarum")</f>
        <v>0</v>
      </c>
      <c r="F8" s="16" t="e">
        <f>SUM(#REF!)</f>
        <v>#REF!</v>
      </c>
      <c r="G8" s="16" t="e">
        <f>SUM(#REF!)</f>
        <v>#REF!</v>
      </c>
      <c r="H8" s="16" t="e">
        <f>SUM(#REF!)</f>
        <v>#REF!</v>
      </c>
      <c r="I8" s="16" t="e">
        <f>SUM(#REF!)</f>
        <v>#REF!</v>
      </c>
      <c r="J8" s="16" t="e">
        <f>SUM(#REF!)</f>
        <v>#REF!</v>
      </c>
      <c r="K8" s="16" t="e">
        <f>SUM(#REF!)</f>
        <v>#REF!</v>
      </c>
      <c r="L8" s="16" t="e">
        <f>SUM(#REF!)</f>
        <v>#REF!</v>
      </c>
      <c r="M8" s="16">
        <f>SUM(E8:E26)</f>
        <v>3</v>
      </c>
      <c r="N8" s="16" t="e">
        <f>SUM(#REF!)</f>
        <v>#REF!</v>
      </c>
      <c r="Q8" s="34">
        <f t="shared" ref="Q8:Q71" si="0">SUM(E8:E8)</f>
        <v>0</v>
      </c>
      <c r="R8" s="113">
        <f>SUM(Q8:Q26)</f>
        <v>3</v>
      </c>
    </row>
    <row r="9" spans="1:18" x14ac:dyDescent="0.25">
      <c r="B9" s="43"/>
      <c r="C9" s="44" t="s">
        <v>4</v>
      </c>
      <c r="D9" s="8" t="s">
        <v>4</v>
      </c>
      <c r="E9" s="53">
        <f>COUNTIFS('TOTAL KONTAK ERAT'!$F:$F,"mranggen")</f>
        <v>0</v>
      </c>
      <c r="F9" s="17"/>
      <c r="G9" s="18"/>
      <c r="H9" s="18"/>
      <c r="I9" s="18"/>
      <c r="J9" s="18"/>
      <c r="K9" s="18"/>
      <c r="L9" s="19"/>
      <c r="M9" s="19"/>
      <c r="N9" s="19"/>
      <c r="Q9" s="34">
        <f t="shared" si="0"/>
        <v>0</v>
      </c>
      <c r="R9" s="8"/>
    </row>
    <row r="10" spans="1:18" x14ac:dyDescent="0.25">
      <c r="B10" s="43"/>
      <c r="C10" s="44" t="s">
        <v>4</v>
      </c>
      <c r="D10" s="8" t="s">
        <v>5</v>
      </c>
      <c r="E10" s="53">
        <f>COUNTIFS('TOTAL KONTAK ERAT'!$F:$F,"kangkung")</f>
        <v>3</v>
      </c>
      <c r="F10" s="17"/>
      <c r="G10" s="18"/>
      <c r="H10" s="18"/>
      <c r="I10" s="18"/>
      <c r="J10" s="18"/>
      <c r="K10" s="18"/>
      <c r="L10" s="19"/>
      <c r="M10" s="19"/>
      <c r="N10" s="19"/>
      <c r="Q10" s="34">
        <f t="shared" si="0"/>
        <v>3</v>
      </c>
      <c r="R10" s="8"/>
    </row>
    <row r="11" spans="1:18" x14ac:dyDescent="0.25">
      <c r="B11" s="43"/>
      <c r="C11" s="44" t="s">
        <v>4</v>
      </c>
      <c r="D11" s="8" t="s">
        <v>6</v>
      </c>
      <c r="E11" s="53">
        <f>COUNTIFS('TOTAL KONTAK ERAT'!$F:$F,"Kalitengah")</f>
        <v>0</v>
      </c>
      <c r="F11" s="17"/>
      <c r="G11" s="18"/>
      <c r="H11" s="18"/>
      <c r="I11" s="18"/>
      <c r="J11" s="18"/>
      <c r="K11" s="18"/>
      <c r="L11" s="19"/>
      <c r="M11" s="19"/>
      <c r="N11" s="19"/>
      <c r="Q11" s="34">
        <f t="shared" si="0"/>
        <v>0</v>
      </c>
      <c r="R11" s="8"/>
    </row>
    <row r="12" spans="1:18" x14ac:dyDescent="0.25">
      <c r="B12" s="43"/>
      <c r="C12" s="44" t="s">
        <v>4</v>
      </c>
      <c r="D12" s="8" t="s">
        <v>7</v>
      </c>
      <c r="E12" s="53">
        <f>COUNTIFS('TOTAL KONTAK ERAT'!$F:$F,"brumbung")</f>
        <v>0</v>
      </c>
      <c r="F12" s="17"/>
      <c r="G12" s="18"/>
      <c r="H12" s="18"/>
      <c r="I12" s="18"/>
      <c r="J12" s="18"/>
      <c r="K12" s="18"/>
      <c r="L12" s="19"/>
      <c r="M12" s="19"/>
      <c r="N12" s="19"/>
      <c r="Q12" s="34">
        <f t="shared" si="0"/>
        <v>0</v>
      </c>
      <c r="R12" s="8"/>
    </row>
    <row r="13" spans="1:18" x14ac:dyDescent="0.25">
      <c r="B13" s="43"/>
      <c r="C13" s="44" t="s">
        <v>4</v>
      </c>
      <c r="D13" s="8" t="s">
        <v>8</v>
      </c>
      <c r="E13" s="53">
        <f>COUNTIFS('TOTAL KONTAK ERAT'!$F:$F,"Sumberejo",'TOTAL KONTAK ERAT'!$E:$E,"mranggen")</f>
        <v>0</v>
      </c>
      <c r="F13" s="17"/>
      <c r="G13" s="18"/>
      <c r="H13" s="18"/>
      <c r="I13" s="18"/>
      <c r="J13" s="18"/>
      <c r="K13" s="18"/>
      <c r="L13" s="19"/>
      <c r="M13" s="19"/>
      <c r="N13" s="19"/>
      <c r="Q13" s="34">
        <f t="shared" si="0"/>
        <v>0</v>
      </c>
      <c r="R13" s="8"/>
    </row>
    <row r="14" spans="1:18" x14ac:dyDescent="0.25">
      <c r="B14" s="43"/>
      <c r="C14" s="44" t="s">
        <v>4</v>
      </c>
      <c r="D14" s="8" t="s">
        <v>9</v>
      </c>
      <c r="E14" s="53">
        <f>COUNTIFS('TOTAL KONTAK ERAT'!$F:$F,"Bandungrejo",'TOTAL KONTAK ERAT'!$E:$E,"mranggen")</f>
        <v>0</v>
      </c>
      <c r="F14" s="17"/>
      <c r="G14" s="18"/>
      <c r="H14" s="18"/>
      <c r="I14" s="18"/>
      <c r="J14" s="18"/>
      <c r="K14" s="18"/>
      <c r="L14" s="19"/>
      <c r="M14" s="19"/>
      <c r="N14" s="19"/>
      <c r="Q14" s="34">
        <f t="shared" si="0"/>
        <v>0</v>
      </c>
      <c r="R14" s="8"/>
    </row>
    <row r="15" spans="1:18" x14ac:dyDescent="0.25">
      <c r="B15" s="43"/>
      <c r="C15" s="44" t="s">
        <v>4</v>
      </c>
      <c r="D15" s="8" t="s">
        <v>10</v>
      </c>
      <c r="E15" s="53">
        <f>COUNTIFS('TOTAL KONTAK ERAT'!$F:$F,"menur")</f>
        <v>0</v>
      </c>
      <c r="F15" s="17"/>
      <c r="G15" s="18"/>
      <c r="H15" s="18"/>
      <c r="I15" s="18"/>
      <c r="J15" s="18"/>
      <c r="K15" s="18"/>
      <c r="L15" s="19"/>
      <c r="M15" s="19"/>
      <c r="N15" s="19"/>
      <c r="Q15" s="34">
        <f t="shared" si="0"/>
        <v>0</v>
      </c>
      <c r="R15" s="8"/>
    </row>
    <row r="16" spans="1:18" x14ac:dyDescent="0.25">
      <c r="B16" s="43"/>
      <c r="C16" s="44" t="s">
        <v>4</v>
      </c>
      <c r="D16" s="8" t="s">
        <v>11</v>
      </c>
      <c r="E16" s="53">
        <f>COUNTIFS('TOTAL KONTAK ERAT'!$F:$F,"wringinjajar")</f>
        <v>0</v>
      </c>
      <c r="F16" s="17"/>
      <c r="G16" s="18"/>
      <c r="H16" s="18"/>
      <c r="I16" s="18"/>
      <c r="J16" s="18"/>
      <c r="K16" s="18"/>
      <c r="L16" s="19"/>
      <c r="M16" s="19"/>
      <c r="N16" s="19"/>
      <c r="Q16" s="34">
        <f t="shared" si="0"/>
        <v>0</v>
      </c>
      <c r="R16" s="8"/>
    </row>
    <row r="17" spans="2:18" x14ac:dyDescent="0.25">
      <c r="B17" s="43"/>
      <c r="C17" s="44" t="s">
        <v>4</v>
      </c>
      <c r="D17" s="8" t="s">
        <v>12</v>
      </c>
      <c r="E17" s="53">
        <f>COUNTIFS('TOTAL KONTAK ERAT'!$F:$F,"candisari")</f>
        <v>0</v>
      </c>
      <c r="F17" s="17"/>
      <c r="G17" s="18"/>
      <c r="H17" s="18"/>
      <c r="I17" s="18"/>
      <c r="J17" s="18"/>
      <c r="K17" s="18"/>
      <c r="L17" s="19"/>
      <c r="M17" s="19"/>
      <c r="N17" s="19"/>
      <c r="Q17" s="34">
        <f t="shared" si="0"/>
        <v>0</v>
      </c>
      <c r="R17" s="8"/>
    </row>
    <row r="18" spans="2:18" x14ac:dyDescent="0.25">
      <c r="B18" s="43"/>
      <c r="C18" s="44" t="s">
        <v>4</v>
      </c>
      <c r="D18" s="8" t="s">
        <v>13</v>
      </c>
      <c r="E18" s="53">
        <f>COUNTIFS('TOTAL KONTAK ERAT'!$F:$F,"ngemplak")</f>
        <v>0</v>
      </c>
      <c r="F18" s="17"/>
      <c r="G18" s="18"/>
      <c r="H18" s="18"/>
      <c r="I18" s="18"/>
      <c r="J18" s="18"/>
      <c r="K18" s="18"/>
      <c r="L18" s="19"/>
      <c r="M18" s="19"/>
      <c r="N18" s="19"/>
      <c r="Q18" s="34">
        <f t="shared" si="0"/>
        <v>0</v>
      </c>
      <c r="R18" s="8"/>
    </row>
    <row r="19" spans="2:18" x14ac:dyDescent="0.25">
      <c r="B19" s="43"/>
      <c r="C19" s="44" t="s">
        <v>4</v>
      </c>
      <c r="D19" s="8" t="s">
        <v>14</v>
      </c>
      <c r="E19" s="53">
        <f>COUNTIFS('TOTAL KONTAK ERAT'!$F:$F,"karangsono")</f>
        <v>0</v>
      </c>
      <c r="F19" s="17"/>
      <c r="G19" s="18"/>
      <c r="H19" s="18"/>
      <c r="I19" s="18"/>
      <c r="J19" s="18"/>
      <c r="K19" s="18"/>
      <c r="L19" s="19"/>
      <c r="M19" s="19"/>
      <c r="N19" s="19"/>
      <c r="Q19" s="34">
        <f t="shared" si="0"/>
        <v>0</v>
      </c>
      <c r="R19" s="8"/>
    </row>
    <row r="20" spans="2:18" x14ac:dyDescent="0.25">
      <c r="B20" s="43"/>
      <c r="C20" s="44" t="s">
        <v>4</v>
      </c>
      <c r="D20" s="8" t="s">
        <v>15</v>
      </c>
      <c r="E20" s="53">
        <f>COUNTIFS('TOTAL KONTAK ERAT'!$F:$F,"jamus")</f>
        <v>0</v>
      </c>
      <c r="F20" s="17"/>
      <c r="G20" s="18"/>
      <c r="H20" s="18"/>
      <c r="I20" s="18"/>
      <c r="J20" s="18"/>
      <c r="K20" s="18"/>
      <c r="L20" s="19"/>
      <c r="M20" s="19"/>
      <c r="N20" s="19"/>
      <c r="Q20" s="34">
        <f t="shared" si="0"/>
        <v>0</v>
      </c>
      <c r="R20" s="8"/>
    </row>
    <row r="21" spans="2:18" x14ac:dyDescent="0.25">
      <c r="B21" s="43"/>
      <c r="C21" s="44" t="s">
        <v>4</v>
      </c>
      <c r="D21" s="8" t="s">
        <v>16</v>
      </c>
      <c r="E21" s="53">
        <f>COUNTIFS('TOTAL KONTAK ERAT'!$F:$F,"waru")</f>
        <v>0</v>
      </c>
      <c r="F21" s="17"/>
      <c r="G21" s="18"/>
      <c r="H21" s="18"/>
      <c r="I21" s="18"/>
      <c r="J21" s="18"/>
      <c r="K21" s="18"/>
      <c r="L21" s="19"/>
      <c r="M21" s="19"/>
      <c r="N21" s="19"/>
      <c r="Q21" s="34">
        <f t="shared" si="0"/>
        <v>0</v>
      </c>
      <c r="R21" s="8"/>
    </row>
    <row r="22" spans="2:18" x14ac:dyDescent="0.25">
      <c r="B22" s="43"/>
      <c r="C22" s="44" t="s">
        <v>4</v>
      </c>
      <c r="D22" s="8" t="s">
        <v>17</v>
      </c>
      <c r="E22" s="53">
        <f>COUNTIFS('TOTAL KONTAK ERAT'!$F:$F,"tegalarum")</f>
        <v>0</v>
      </c>
      <c r="F22" s="17"/>
      <c r="G22" s="18"/>
      <c r="H22" s="18"/>
      <c r="I22" s="18"/>
      <c r="J22" s="18"/>
      <c r="K22" s="18"/>
      <c r="L22" s="19"/>
      <c r="M22" s="19"/>
      <c r="N22" s="19"/>
      <c r="Q22" s="34">
        <f t="shared" si="0"/>
        <v>0</v>
      </c>
      <c r="R22" s="8"/>
    </row>
    <row r="23" spans="2:18" x14ac:dyDescent="0.25">
      <c r="B23" s="43"/>
      <c r="C23" s="44" t="s">
        <v>4</v>
      </c>
      <c r="D23" s="8" t="s">
        <v>18</v>
      </c>
      <c r="E23" s="53">
        <f>COUNTIFS('TOTAL KONTAK ERAT'!$F:$F,"tamansari")</f>
        <v>0</v>
      </c>
      <c r="F23" s="17"/>
      <c r="G23" s="18"/>
      <c r="H23" s="18"/>
      <c r="I23" s="18"/>
      <c r="J23" s="18"/>
      <c r="K23" s="18"/>
      <c r="L23" s="19"/>
      <c r="M23" s="19"/>
      <c r="N23" s="19"/>
      <c r="Q23" s="34">
        <f t="shared" si="0"/>
        <v>0</v>
      </c>
      <c r="R23" s="8"/>
    </row>
    <row r="24" spans="2:18" x14ac:dyDescent="0.25">
      <c r="B24" s="43"/>
      <c r="C24" s="44" t="s">
        <v>4</v>
      </c>
      <c r="D24" s="8" t="s">
        <v>19</v>
      </c>
      <c r="E24" s="53">
        <f>COUNTIFS('TOTAL KONTAK ERAT'!$F:$F,"banyumeneng")</f>
        <v>0</v>
      </c>
      <c r="F24" s="17"/>
      <c r="G24" s="18"/>
      <c r="H24" s="18"/>
      <c r="I24" s="18"/>
      <c r="J24" s="18"/>
      <c r="K24" s="18"/>
      <c r="L24" s="19"/>
      <c r="M24" s="19"/>
      <c r="N24" s="19"/>
      <c r="Q24" s="34">
        <f t="shared" si="0"/>
        <v>0</v>
      </c>
      <c r="R24" s="8"/>
    </row>
    <row r="25" spans="2:18" x14ac:dyDescent="0.25">
      <c r="B25" s="43"/>
      <c r="C25" s="44" t="s">
        <v>4</v>
      </c>
      <c r="D25" s="8" t="s">
        <v>20</v>
      </c>
      <c r="E25" s="53">
        <f>COUNTIFS('TOTAL KONTAK ERAT'!$F:$F,"kebonbatur")</f>
        <v>0</v>
      </c>
      <c r="F25" s="17"/>
      <c r="G25" s="18"/>
      <c r="H25" s="18"/>
      <c r="I25" s="18"/>
      <c r="J25" s="18"/>
      <c r="K25" s="18"/>
      <c r="L25" s="19"/>
      <c r="M25" s="19"/>
      <c r="N25" s="19"/>
      <c r="Q25" s="34">
        <f t="shared" si="0"/>
        <v>0</v>
      </c>
      <c r="R25" s="8"/>
    </row>
    <row r="26" spans="2:18" x14ac:dyDescent="0.25">
      <c r="B26" s="43"/>
      <c r="C26" s="44" t="s">
        <v>4</v>
      </c>
      <c r="D26" s="8" t="s">
        <v>21</v>
      </c>
      <c r="E26" s="53">
        <f>COUNTIFS('TOTAL KONTAK ERAT'!$F:$F,"batursari")</f>
        <v>0</v>
      </c>
      <c r="F26" s="17"/>
      <c r="G26" s="18"/>
      <c r="H26" s="18"/>
      <c r="I26" s="18"/>
      <c r="J26" s="18"/>
      <c r="K26" s="18"/>
      <c r="L26" s="19"/>
      <c r="M26" s="19"/>
      <c r="N26" s="19"/>
      <c r="Q26" s="34">
        <f t="shared" si="0"/>
        <v>0</v>
      </c>
      <c r="R26" s="8"/>
    </row>
    <row r="27" spans="2:18" ht="15" customHeight="1" x14ac:dyDescent="0.25">
      <c r="B27" s="43">
        <v>2</v>
      </c>
      <c r="C27" s="44" t="s">
        <v>22</v>
      </c>
      <c r="D27" s="8" t="s">
        <v>23</v>
      </c>
      <c r="E27" s="53">
        <f>COUNTIFS('TOTAL KONTAK ERAT'!$F:$F,"wonowoso")</f>
        <v>0</v>
      </c>
      <c r="F27" s="17" t="e">
        <f>SUM(#REF!)</f>
        <v>#REF!</v>
      </c>
      <c r="G27" s="17" t="e">
        <f>SUM(#REF!)</f>
        <v>#REF!</v>
      </c>
      <c r="H27" s="17" t="e">
        <f>SUM(#REF!)</f>
        <v>#REF!</v>
      </c>
      <c r="I27" s="17" t="e">
        <f>SUM(#REF!)</f>
        <v>#REF!</v>
      </c>
      <c r="J27" s="17" t="e">
        <f>SUM(#REF!)</f>
        <v>#REF!</v>
      </c>
      <c r="K27" s="17" t="e">
        <f>SUM(#REF!)</f>
        <v>#REF!</v>
      </c>
      <c r="L27" s="17" t="e">
        <f>SUM(#REF!)</f>
        <v>#REF!</v>
      </c>
      <c r="M27" s="17">
        <f>SUM(E27:E43)</f>
        <v>0</v>
      </c>
      <c r="N27" s="17" t="e">
        <f>SUM(#REF!)</f>
        <v>#REF!</v>
      </c>
      <c r="Q27" s="34">
        <f t="shared" si="0"/>
        <v>0</v>
      </c>
      <c r="R27" s="113">
        <f>SUM(Q27:Q43)</f>
        <v>0</v>
      </c>
    </row>
    <row r="28" spans="2:18" ht="15" customHeight="1" x14ac:dyDescent="0.25">
      <c r="B28" s="43"/>
      <c r="C28" s="44" t="s">
        <v>22</v>
      </c>
      <c r="D28" s="8" t="s">
        <v>24</v>
      </c>
      <c r="E28" s="53">
        <f>COUNTIFS('TOTAL KONTAK ERAT'!$F:$F,"sampang")</f>
        <v>0</v>
      </c>
      <c r="F28" s="17"/>
      <c r="G28" s="18"/>
      <c r="H28" s="18"/>
      <c r="I28" s="18"/>
      <c r="J28" s="18"/>
      <c r="K28" s="18"/>
      <c r="L28" s="19"/>
      <c r="M28" s="19"/>
      <c r="N28" s="19"/>
      <c r="Q28" s="34">
        <f t="shared" si="0"/>
        <v>0</v>
      </c>
      <c r="R28" s="8"/>
    </row>
    <row r="29" spans="2:18" ht="15" customHeight="1" x14ac:dyDescent="0.25">
      <c r="B29" s="43"/>
      <c r="C29" s="44" t="s">
        <v>22</v>
      </c>
      <c r="D29" s="8" t="s">
        <v>241</v>
      </c>
      <c r="E29" s="53">
        <f>COUNTIFS('TOTAL KONTAK ERAT'!$F:$F,"tambakbulusan")</f>
        <v>0</v>
      </c>
      <c r="F29" s="17"/>
      <c r="G29" s="18"/>
      <c r="H29" s="18"/>
      <c r="I29" s="18"/>
      <c r="J29" s="18"/>
      <c r="K29" s="18"/>
      <c r="L29" s="19"/>
      <c r="M29" s="19"/>
      <c r="N29" s="19"/>
      <c r="Q29" s="34">
        <f t="shared" si="0"/>
        <v>0</v>
      </c>
      <c r="R29" s="8"/>
    </row>
    <row r="30" spans="2:18" ht="15" customHeight="1" x14ac:dyDescent="0.25">
      <c r="B30" s="43"/>
      <c r="C30" s="44" t="s">
        <v>22</v>
      </c>
      <c r="D30" s="8" t="s">
        <v>25</v>
      </c>
      <c r="E30" s="53">
        <f>COUNTIFS('TOTAL KONTAK ERAT'!$F:$F,"pulosari")</f>
        <v>0</v>
      </c>
      <c r="F30" s="17"/>
      <c r="G30" s="18"/>
      <c r="H30" s="18"/>
      <c r="I30" s="18"/>
      <c r="J30" s="18"/>
      <c r="K30" s="18"/>
      <c r="L30" s="19"/>
      <c r="M30" s="19"/>
      <c r="N30" s="19"/>
      <c r="Q30" s="34">
        <f t="shared" si="0"/>
        <v>0</v>
      </c>
      <c r="R30" s="8"/>
    </row>
    <row r="31" spans="2:18" ht="15" customHeight="1" x14ac:dyDescent="0.25">
      <c r="B31" s="43"/>
      <c r="C31" s="44" t="s">
        <v>22</v>
      </c>
      <c r="D31" s="8" t="s">
        <v>26</v>
      </c>
      <c r="E31" s="53">
        <f>COUNTIFS('TOTAL KONTAK ERAT'!$F:$F,"Rejosari",'TOTAL KONTAK ERAT'!$E:$E,"karangtengah")</f>
        <v>0</v>
      </c>
      <c r="F31" s="17"/>
      <c r="G31" s="18"/>
      <c r="H31" s="18"/>
      <c r="I31" s="18"/>
      <c r="J31" s="18"/>
      <c r="K31" s="18"/>
      <c r="L31" s="19"/>
      <c r="M31" s="19"/>
      <c r="N31" s="19"/>
      <c r="Q31" s="34">
        <f t="shared" si="0"/>
        <v>0</v>
      </c>
      <c r="R31" s="8"/>
    </row>
    <row r="32" spans="2:18" ht="15" customHeight="1" x14ac:dyDescent="0.25">
      <c r="B32" s="43"/>
      <c r="C32" s="44" t="s">
        <v>22</v>
      </c>
      <c r="D32" s="8" t="s">
        <v>27</v>
      </c>
      <c r="E32" s="53">
        <f>COUNTIFS('TOTAL KONTAK ERAT'!$F:$F,"Ploso")</f>
        <v>0</v>
      </c>
      <c r="F32" s="17"/>
      <c r="G32" s="18"/>
      <c r="H32" s="18"/>
      <c r="I32" s="18"/>
      <c r="J32" s="18"/>
      <c r="K32" s="18"/>
      <c r="L32" s="19"/>
      <c r="M32" s="19"/>
      <c r="N32" s="19"/>
      <c r="Q32" s="34">
        <f t="shared" si="0"/>
        <v>0</v>
      </c>
      <c r="R32" s="8"/>
    </row>
    <row r="33" spans="2:18" ht="15" customHeight="1" x14ac:dyDescent="0.25">
      <c r="B33" s="43"/>
      <c r="C33" s="44" t="s">
        <v>22</v>
      </c>
      <c r="D33" s="8" t="s">
        <v>28</v>
      </c>
      <c r="E33" s="53">
        <f>COUNTIFS('TOTAL KONTAK ERAT'!$F:$F,"Wonokerto")</f>
        <v>0</v>
      </c>
      <c r="F33" s="17"/>
      <c r="G33" s="18"/>
      <c r="H33" s="18"/>
      <c r="I33" s="18"/>
      <c r="J33" s="18"/>
      <c r="K33" s="18"/>
      <c r="L33" s="19"/>
      <c r="M33" s="19"/>
      <c r="N33" s="19"/>
      <c r="Q33" s="34">
        <f t="shared" si="0"/>
        <v>0</v>
      </c>
      <c r="R33" s="8"/>
    </row>
    <row r="34" spans="2:18" ht="15" customHeight="1" x14ac:dyDescent="0.25">
      <c r="B34" s="43"/>
      <c r="C34" s="44" t="s">
        <v>22</v>
      </c>
      <c r="D34" s="8" t="s">
        <v>239</v>
      </c>
      <c r="E34" s="53">
        <f>COUNTIFS('TOTAL KONTAK ERAT'!$F:$F,"Karangsari")</f>
        <v>0</v>
      </c>
      <c r="F34" s="17"/>
      <c r="G34" s="18"/>
      <c r="H34" s="18"/>
      <c r="I34" s="18"/>
      <c r="J34" s="18"/>
      <c r="K34" s="18"/>
      <c r="L34" s="19"/>
      <c r="M34" s="19"/>
      <c r="N34" s="19"/>
      <c r="Q34" s="34">
        <f t="shared" si="0"/>
        <v>0</v>
      </c>
      <c r="R34" s="8"/>
    </row>
    <row r="35" spans="2:18" ht="15" customHeight="1" x14ac:dyDescent="0.25">
      <c r="B35" s="43"/>
      <c r="C35" s="44" t="s">
        <v>22</v>
      </c>
      <c r="D35" s="8" t="s">
        <v>29</v>
      </c>
      <c r="E35" s="53">
        <f>COUNTIFS('TOTAL KONTAK ERAT'!$F:$F,"Batu")</f>
        <v>0</v>
      </c>
      <c r="F35" s="17"/>
      <c r="G35" s="18"/>
      <c r="H35" s="18"/>
      <c r="I35" s="18"/>
      <c r="J35" s="18"/>
      <c r="K35" s="18"/>
      <c r="L35" s="19"/>
      <c r="M35" s="19"/>
      <c r="N35" s="19"/>
      <c r="Q35" s="34">
        <f t="shared" si="0"/>
        <v>0</v>
      </c>
      <c r="R35" s="8"/>
    </row>
    <row r="36" spans="2:18" ht="15" customHeight="1" x14ac:dyDescent="0.25">
      <c r="B36" s="43"/>
      <c r="C36" s="44" t="s">
        <v>22</v>
      </c>
      <c r="D36" s="8" t="s">
        <v>30</v>
      </c>
      <c r="E36" s="53">
        <f>COUNTIFS('TOTAL KONTAK ERAT'!$F:$F,"Donorejo")</f>
        <v>0</v>
      </c>
      <c r="F36" s="17"/>
      <c r="G36" s="18"/>
      <c r="H36" s="18"/>
      <c r="I36" s="18"/>
      <c r="J36" s="18"/>
      <c r="K36" s="18"/>
      <c r="L36" s="19"/>
      <c r="M36" s="19"/>
      <c r="N36" s="19"/>
      <c r="Q36" s="34">
        <f t="shared" si="0"/>
        <v>0</v>
      </c>
      <c r="R36" s="8"/>
    </row>
    <row r="37" spans="2:18" ht="15" customHeight="1" x14ac:dyDescent="0.25">
      <c r="B37" s="43"/>
      <c r="C37" s="44" t="s">
        <v>22</v>
      </c>
      <c r="D37" s="8" t="s">
        <v>275</v>
      </c>
      <c r="E37" s="53">
        <f>COUNTIFS('TOTAL KONTAK ERAT'!$F:$F,"Kedunguter")</f>
        <v>0</v>
      </c>
      <c r="F37" s="17"/>
      <c r="G37" s="18"/>
      <c r="H37" s="18"/>
      <c r="I37" s="18"/>
      <c r="J37" s="18"/>
      <c r="K37" s="18"/>
      <c r="L37" s="19"/>
      <c r="M37" s="19"/>
      <c r="N37" s="19"/>
      <c r="Q37" s="34">
        <f t="shared" si="0"/>
        <v>0</v>
      </c>
      <c r="R37" s="8"/>
    </row>
    <row r="38" spans="2:18" ht="15" customHeight="1" x14ac:dyDescent="0.25">
      <c r="B38" s="43"/>
      <c r="C38" s="44" t="s">
        <v>22</v>
      </c>
      <c r="D38" s="8" t="s">
        <v>276</v>
      </c>
      <c r="E38" s="53">
        <f>COUNTIFS('TOTAL KONTAK ERAT'!$F:$F,"Karangtowo")</f>
        <v>0</v>
      </c>
      <c r="F38" s="17"/>
      <c r="G38" s="18"/>
      <c r="H38" s="18"/>
      <c r="I38" s="18"/>
      <c r="J38" s="18"/>
      <c r="K38" s="18"/>
      <c r="L38" s="19"/>
      <c r="M38" s="19"/>
      <c r="N38" s="19"/>
      <c r="Q38" s="34">
        <f t="shared" si="0"/>
        <v>0</v>
      </c>
      <c r="R38" s="8"/>
    </row>
    <row r="39" spans="2:18" ht="15" customHeight="1" x14ac:dyDescent="0.25">
      <c r="B39" s="43"/>
      <c r="C39" s="44" t="s">
        <v>22</v>
      </c>
      <c r="D39" s="8" t="s">
        <v>31</v>
      </c>
      <c r="E39" s="53">
        <f>COUNTIFS('TOTAL KONTAK ERAT'!$F:$F,"Wonoagung")</f>
        <v>0</v>
      </c>
      <c r="F39" s="17"/>
      <c r="G39" s="18"/>
      <c r="H39" s="18"/>
      <c r="I39" s="18"/>
      <c r="J39" s="18"/>
      <c r="K39" s="18"/>
      <c r="L39" s="19"/>
      <c r="M39" s="19"/>
      <c r="N39" s="19"/>
      <c r="Q39" s="34">
        <f t="shared" si="0"/>
        <v>0</v>
      </c>
      <c r="R39" s="8"/>
    </row>
    <row r="40" spans="2:18" ht="15" customHeight="1" x14ac:dyDescent="0.25">
      <c r="B40" s="43"/>
      <c r="C40" s="44" t="s">
        <v>22</v>
      </c>
      <c r="D40" s="8" t="s">
        <v>32</v>
      </c>
      <c r="E40" s="53">
        <f>COUNTIFS('TOTAL KONTAK ERAT'!$F:$F,"Klitih")</f>
        <v>0</v>
      </c>
      <c r="F40" s="17"/>
      <c r="G40" s="18"/>
      <c r="H40" s="18"/>
      <c r="I40" s="18"/>
      <c r="J40" s="18"/>
      <c r="K40" s="18"/>
      <c r="L40" s="19"/>
      <c r="M40" s="19"/>
      <c r="N40" s="19"/>
      <c r="Q40" s="34">
        <f t="shared" si="0"/>
        <v>0</v>
      </c>
      <c r="R40" s="8"/>
    </row>
    <row r="41" spans="2:18" ht="15" customHeight="1" x14ac:dyDescent="0.25">
      <c r="B41" s="43"/>
      <c r="C41" s="44" t="s">
        <v>22</v>
      </c>
      <c r="D41" s="8" t="s">
        <v>33</v>
      </c>
      <c r="E41" s="53">
        <f>COUNTIFS('TOTAL KONTAK ERAT'!$F:$F,"Grogol")</f>
        <v>0</v>
      </c>
      <c r="F41" s="17"/>
      <c r="G41" s="18"/>
      <c r="H41" s="18"/>
      <c r="I41" s="18"/>
      <c r="J41" s="18"/>
      <c r="K41" s="18"/>
      <c r="L41" s="19"/>
      <c r="M41" s="19"/>
      <c r="N41" s="19"/>
      <c r="Q41" s="34">
        <f t="shared" si="0"/>
        <v>0</v>
      </c>
      <c r="R41" s="8"/>
    </row>
    <row r="42" spans="2:18" ht="15" customHeight="1" x14ac:dyDescent="0.25">
      <c r="B42" s="43"/>
      <c r="C42" s="44" t="s">
        <v>22</v>
      </c>
      <c r="D42" s="8" t="s">
        <v>34</v>
      </c>
      <c r="E42" s="53">
        <f>COUNTIFS('TOTAL KONTAK ERAT'!$F:$F,"Pidodo")</f>
        <v>0</v>
      </c>
      <c r="F42" s="17"/>
      <c r="G42" s="18"/>
      <c r="H42" s="18"/>
      <c r="I42" s="18"/>
      <c r="J42" s="18"/>
      <c r="K42" s="18"/>
      <c r="L42" s="19"/>
      <c r="M42" s="19"/>
      <c r="N42" s="19"/>
      <c r="Q42" s="34">
        <f t="shared" si="0"/>
        <v>0</v>
      </c>
      <c r="R42" s="8"/>
    </row>
    <row r="43" spans="2:18" ht="15" customHeight="1" x14ac:dyDescent="0.25">
      <c r="B43" s="43"/>
      <c r="C43" s="44" t="s">
        <v>22</v>
      </c>
      <c r="D43" s="8" t="s">
        <v>35</v>
      </c>
      <c r="E43" s="53">
        <f>COUNTIFS('TOTAL KONTAK ERAT'!$F:$F,"Dukun")</f>
        <v>0</v>
      </c>
      <c r="F43" s="17"/>
      <c r="G43" s="18"/>
      <c r="H43" s="18"/>
      <c r="I43" s="18"/>
      <c r="J43" s="18"/>
      <c r="K43" s="18"/>
      <c r="L43" s="19"/>
      <c r="M43" s="19"/>
      <c r="N43" s="19"/>
      <c r="Q43" s="34">
        <f t="shared" si="0"/>
        <v>0</v>
      </c>
      <c r="R43" s="8"/>
    </row>
    <row r="44" spans="2:18" x14ac:dyDescent="0.25">
      <c r="B44" s="38">
        <v>3</v>
      </c>
      <c r="C44" s="45" t="s">
        <v>36</v>
      </c>
      <c r="D44" s="8" t="s">
        <v>37</v>
      </c>
      <c r="E44" s="53">
        <f>COUNTIFS('TOTAL KONTAK ERAT'!$F:$F,"Botorejo")</f>
        <v>0</v>
      </c>
      <c r="F44" s="17" t="e">
        <f>SUM(#REF!)</f>
        <v>#REF!</v>
      </c>
      <c r="G44" s="17" t="e">
        <f>SUM(#REF!)</f>
        <v>#REF!</v>
      </c>
      <c r="H44" s="17" t="e">
        <f>SUM(#REF!)</f>
        <v>#REF!</v>
      </c>
      <c r="I44" s="17" t="e">
        <f>SUM(#REF!)</f>
        <v>#REF!</v>
      </c>
      <c r="J44" s="17" t="e">
        <f>SUM(#REF!)</f>
        <v>#REF!</v>
      </c>
      <c r="K44" s="17" t="e">
        <f>SUM(#REF!)</f>
        <v>#REF!</v>
      </c>
      <c r="L44" s="17" t="e">
        <f>SUM(#REF!)</f>
        <v>#REF!</v>
      </c>
      <c r="M44" s="17">
        <f>SUM(E44:E64)</f>
        <v>0</v>
      </c>
      <c r="N44" s="17" t="e">
        <f>SUM(#REF!)</f>
        <v>#REF!</v>
      </c>
      <c r="Q44" s="34">
        <f t="shared" si="0"/>
        <v>0</v>
      </c>
      <c r="R44" s="113">
        <f>SUM(Q44:Q64)</f>
        <v>0</v>
      </c>
    </row>
    <row r="45" spans="2:18" x14ac:dyDescent="0.25">
      <c r="B45" s="38"/>
      <c r="C45" s="45" t="s">
        <v>36</v>
      </c>
      <c r="D45" s="8" t="s">
        <v>38</v>
      </c>
      <c r="E45" s="53">
        <f>COUNTIFS('TOTAL KONTAK ERAT'!$F:$F,"Getas")</f>
        <v>0</v>
      </c>
      <c r="F45" s="17"/>
      <c r="G45" s="18"/>
      <c r="H45" s="18"/>
      <c r="I45" s="18"/>
      <c r="J45" s="18"/>
      <c r="K45" s="18"/>
      <c r="L45" s="19"/>
      <c r="M45" s="19"/>
      <c r="N45" s="19"/>
      <c r="Q45" s="34">
        <f t="shared" si="0"/>
        <v>0</v>
      </c>
      <c r="R45" s="8"/>
    </row>
    <row r="46" spans="2:18" x14ac:dyDescent="0.25">
      <c r="B46" s="38"/>
      <c r="C46" s="45" t="s">
        <v>36</v>
      </c>
      <c r="D46" s="8" t="s">
        <v>39</v>
      </c>
      <c r="E46" s="53">
        <f>COUNTIFS('TOTAL KONTAK ERAT'!$F:$F,"Kuncir")</f>
        <v>0</v>
      </c>
      <c r="F46" s="17"/>
      <c r="G46" s="18"/>
      <c r="H46" s="18"/>
      <c r="I46" s="18"/>
      <c r="J46" s="18"/>
      <c r="K46" s="18"/>
      <c r="L46" s="19"/>
      <c r="M46" s="19"/>
      <c r="N46" s="19"/>
      <c r="Q46" s="34">
        <f t="shared" si="0"/>
        <v>0</v>
      </c>
      <c r="R46" s="8"/>
    </row>
    <row r="47" spans="2:18" x14ac:dyDescent="0.25">
      <c r="B47" s="38"/>
      <c r="C47" s="45" t="s">
        <v>36</v>
      </c>
      <c r="D47" s="8" t="s">
        <v>40</v>
      </c>
      <c r="E47" s="53">
        <f>COUNTIFS('TOTAL KONTAK ERAT'!$F:$F,"trengguli")</f>
        <v>0</v>
      </c>
      <c r="F47" s="17"/>
      <c r="G47" s="18"/>
      <c r="H47" s="18"/>
      <c r="I47" s="18"/>
      <c r="J47" s="18"/>
      <c r="K47" s="18"/>
      <c r="L47" s="19"/>
      <c r="M47" s="19"/>
      <c r="N47" s="19"/>
      <c r="Q47" s="34">
        <f t="shared" si="0"/>
        <v>0</v>
      </c>
      <c r="R47" s="8"/>
    </row>
    <row r="48" spans="2:18" x14ac:dyDescent="0.25">
      <c r="B48" s="38"/>
      <c r="C48" s="45" t="s">
        <v>36</v>
      </c>
      <c r="D48" s="8" t="s">
        <v>41</v>
      </c>
      <c r="E48" s="53">
        <f>COUNTIFS('TOTAL KONTAK ERAT'!$F:$F,"Mranak")</f>
        <v>0</v>
      </c>
      <c r="F48" s="17"/>
      <c r="G48" s="18"/>
      <c r="H48" s="18"/>
      <c r="I48" s="18"/>
      <c r="J48" s="18"/>
      <c r="K48" s="18"/>
      <c r="L48" s="19"/>
      <c r="M48" s="19"/>
      <c r="N48" s="19"/>
      <c r="Q48" s="34">
        <f t="shared" si="0"/>
        <v>0</v>
      </c>
      <c r="R48" s="8"/>
    </row>
    <row r="49" spans="2:18" x14ac:dyDescent="0.25">
      <c r="B49" s="38"/>
      <c r="C49" s="45" t="s">
        <v>36</v>
      </c>
      <c r="D49" s="8" t="s">
        <v>42</v>
      </c>
      <c r="E49" s="53">
        <f>COUNTIFS('TOTAL KONTAK ERAT'!$F:$F,"Pilangrejo")</f>
        <v>0</v>
      </c>
      <c r="F49" s="17"/>
      <c r="G49" s="18"/>
      <c r="H49" s="18"/>
      <c r="I49" s="18"/>
      <c r="J49" s="18"/>
      <c r="K49" s="18"/>
      <c r="L49" s="19"/>
      <c r="M49" s="19"/>
      <c r="N49" s="19"/>
      <c r="Q49" s="34">
        <f t="shared" si="0"/>
        <v>0</v>
      </c>
      <c r="R49" s="8"/>
    </row>
    <row r="50" spans="2:18" x14ac:dyDescent="0.25">
      <c r="B50" s="38"/>
      <c r="C50" s="45" t="s">
        <v>36</v>
      </c>
      <c r="D50" s="8" t="s">
        <v>43</v>
      </c>
      <c r="E50" s="53">
        <f>COUNTIFS('TOTAL KONTAK ERAT'!$F:$F,"Kerang kulon")</f>
        <v>0</v>
      </c>
      <c r="F50" s="17"/>
      <c r="G50" s="18"/>
      <c r="H50" s="18"/>
      <c r="I50" s="18"/>
      <c r="J50" s="18"/>
      <c r="K50" s="18"/>
      <c r="L50" s="19"/>
      <c r="M50" s="19"/>
      <c r="N50" s="19"/>
      <c r="Q50" s="34">
        <f t="shared" si="0"/>
        <v>0</v>
      </c>
      <c r="R50" s="8"/>
    </row>
    <row r="51" spans="2:18" x14ac:dyDescent="0.25">
      <c r="B51" s="38"/>
      <c r="C51" s="45" t="s">
        <v>36</v>
      </c>
      <c r="D51" s="8" t="s">
        <v>44</v>
      </c>
      <c r="E51" s="53">
        <f>COUNTIFS('TOTAL KONTAK ERAT'!$F:$F,"Sidomulyo",'TOTAL KONTAK ERAT'!$E:$E,"wonosalam")</f>
        <v>0</v>
      </c>
      <c r="F51" s="17"/>
      <c r="G51" s="18"/>
      <c r="H51" s="18"/>
      <c r="I51" s="18"/>
      <c r="J51" s="18"/>
      <c r="K51" s="18"/>
      <c r="L51" s="19"/>
      <c r="M51" s="19"/>
      <c r="N51" s="19"/>
      <c r="Q51" s="34">
        <f t="shared" si="0"/>
        <v>0</v>
      </c>
      <c r="R51" s="8"/>
    </row>
    <row r="52" spans="2:18" x14ac:dyDescent="0.25">
      <c r="B52" s="38"/>
      <c r="C52" s="45" t="s">
        <v>36</v>
      </c>
      <c r="D52" s="8" t="s">
        <v>45</v>
      </c>
      <c r="E52" s="53">
        <f>COUNTIFS('TOTAL KONTAK ERAT'!$F:$F,"Bunderan")</f>
        <v>0</v>
      </c>
      <c r="F52" s="17"/>
      <c r="G52" s="18"/>
      <c r="H52" s="18"/>
      <c r="I52" s="18"/>
      <c r="J52" s="18"/>
      <c r="K52" s="18"/>
      <c r="L52" s="19"/>
      <c r="M52" s="19"/>
      <c r="N52" s="19"/>
      <c r="Q52" s="34">
        <f t="shared" si="0"/>
        <v>0</v>
      </c>
      <c r="R52" s="8"/>
    </row>
    <row r="53" spans="2:18" x14ac:dyDescent="0.25">
      <c r="B53" s="38"/>
      <c r="C53" s="45" t="s">
        <v>36</v>
      </c>
      <c r="D53" s="8" t="s">
        <v>46</v>
      </c>
      <c r="E53" s="53">
        <f>COUNTIFS('TOTAL KONTAK ERAT'!$F:$F,"Mojodemak")</f>
        <v>0</v>
      </c>
      <c r="F53" s="17"/>
      <c r="G53" s="18"/>
      <c r="H53" s="18"/>
      <c r="I53" s="18"/>
      <c r="J53" s="18"/>
      <c r="K53" s="18"/>
      <c r="L53" s="19"/>
      <c r="M53" s="19"/>
      <c r="N53" s="19"/>
      <c r="Q53" s="34">
        <f t="shared" si="0"/>
        <v>0</v>
      </c>
      <c r="R53" s="8"/>
    </row>
    <row r="54" spans="2:18" x14ac:dyDescent="0.25">
      <c r="B54" s="38"/>
      <c r="C54" s="45" t="s">
        <v>36</v>
      </c>
      <c r="D54" s="8" t="s">
        <v>47</v>
      </c>
      <c r="E54" s="53">
        <f>COUNTIFS('TOTAL KONTAK ERAT'!$F:$F,"Mrisen")</f>
        <v>0</v>
      </c>
      <c r="F54" s="17"/>
      <c r="G54" s="18"/>
      <c r="H54" s="18"/>
      <c r="I54" s="18"/>
      <c r="J54" s="18"/>
      <c r="K54" s="18"/>
      <c r="L54" s="19"/>
      <c r="M54" s="19"/>
      <c r="N54" s="19"/>
      <c r="Q54" s="34">
        <f t="shared" si="0"/>
        <v>0</v>
      </c>
      <c r="R54" s="8"/>
    </row>
    <row r="55" spans="2:18" x14ac:dyDescent="0.25">
      <c r="B55" s="38"/>
      <c r="C55" s="45" t="s">
        <v>36</v>
      </c>
      <c r="D55" s="8" t="s">
        <v>48</v>
      </c>
      <c r="E55" s="53">
        <f>COUNTIFS('TOTAL KONTAK ERAT'!$F:$F,"Doreng")</f>
        <v>0</v>
      </c>
      <c r="F55" s="17"/>
      <c r="G55" s="18"/>
      <c r="H55" s="18"/>
      <c r="I55" s="18"/>
      <c r="J55" s="18"/>
      <c r="K55" s="18"/>
      <c r="L55" s="19"/>
      <c r="M55" s="19"/>
      <c r="N55" s="19"/>
      <c r="Q55" s="34">
        <f t="shared" si="0"/>
        <v>0</v>
      </c>
      <c r="R55" s="8"/>
    </row>
    <row r="56" spans="2:18" x14ac:dyDescent="0.25">
      <c r="B56" s="38"/>
      <c r="C56" s="45" t="s">
        <v>36</v>
      </c>
      <c r="D56" s="8" t="s">
        <v>273</v>
      </c>
      <c r="E56" s="53">
        <f>COUNTIFS('TOTAL KONTAK ERAT'!$F:$F,"Karangrowo")</f>
        <v>0</v>
      </c>
      <c r="F56" s="17"/>
      <c r="G56" s="18"/>
      <c r="H56" s="18"/>
      <c r="I56" s="18"/>
      <c r="J56" s="18"/>
      <c r="K56" s="18"/>
      <c r="L56" s="19"/>
      <c r="M56" s="19"/>
      <c r="N56" s="19"/>
      <c r="Q56" s="34">
        <f t="shared" si="0"/>
        <v>0</v>
      </c>
      <c r="R56" s="8"/>
    </row>
    <row r="57" spans="2:18" x14ac:dyDescent="0.25">
      <c r="B57" s="38"/>
      <c r="C57" s="45" t="s">
        <v>36</v>
      </c>
      <c r="D57" s="8" t="s">
        <v>49</v>
      </c>
      <c r="E57" s="53">
        <f>COUNTIFS('TOTAL KONTAK ERAT'!$F:$F,"Kalianyar")</f>
        <v>0</v>
      </c>
      <c r="F57" s="17"/>
      <c r="G57" s="18"/>
      <c r="H57" s="18"/>
      <c r="I57" s="18"/>
      <c r="J57" s="18"/>
      <c r="K57" s="18"/>
      <c r="L57" s="19"/>
      <c r="M57" s="19"/>
      <c r="N57" s="19"/>
      <c r="Q57" s="34">
        <f t="shared" si="0"/>
        <v>0</v>
      </c>
      <c r="R57" s="8"/>
    </row>
    <row r="58" spans="2:18" x14ac:dyDescent="0.25">
      <c r="B58" s="38"/>
      <c r="C58" s="45" t="s">
        <v>36</v>
      </c>
      <c r="D58" s="8" t="s">
        <v>36</v>
      </c>
      <c r="E58" s="53">
        <f>COUNTIFS('TOTAL KONTAK ERAT'!$F:$F,"Wonosalam")</f>
        <v>0</v>
      </c>
      <c r="F58" s="17"/>
      <c r="G58" s="18"/>
      <c r="H58" s="18"/>
      <c r="I58" s="18"/>
      <c r="J58" s="18"/>
      <c r="K58" s="18"/>
      <c r="L58" s="19"/>
      <c r="M58" s="19"/>
      <c r="N58" s="19"/>
      <c r="Q58" s="34">
        <f t="shared" si="0"/>
        <v>0</v>
      </c>
      <c r="R58" s="8"/>
    </row>
    <row r="59" spans="2:18" x14ac:dyDescent="0.25">
      <c r="B59" s="38"/>
      <c r="C59" s="45" t="s">
        <v>36</v>
      </c>
      <c r="D59" s="8" t="s">
        <v>50</v>
      </c>
      <c r="E59" s="53">
        <f>COUNTIFS('TOTAL KONTAK ERAT'!$F:$F,"Tlogorejo",'TOTAL KONTAK ERAT'!$E:$E,"wonosalam")</f>
        <v>0</v>
      </c>
      <c r="F59" s="17"/>
      <c r="G59" s="18"/>
      <c r="H59" s="18"/>
      <c r="I59" s="18"/>
      <c r="J59" s="18"/>
      <c r="K59" s="18"/>
      <c r="L59" s="19"/>
      <c r="M59" s="19"/>
      <c r="N59" s="19"/>
      <c r="Q59" s="34">
        <f t="shared" si="0"/>
        <v>0</v>
      </c>
      <c r="R59" s="8"/>
    </row>
    <row r="60" spans="2:18" x14ac:dyDescent="0.25">
      <c r="B60" s="38"/>
      <c r="C60" s="45" t="s">
        <v>36</v>
      </c>
      <c r="D60" s="8" t="s">
        <v>51</v>
      </c>
      <c r="E60" s="53">
        <f>COUNTIFS('TOTAL KONTAK ERAT'!$F:$F,"Tlogodowo")</f>
        <v>0</v>
      </c>
      <c r="F60" s="17"/>
      <c r="G60" s="18"/>
      <c r="H60" s="18"/>
      <c r="I60" s="18"/>
      <c r="J60" s="18"/>
      <c r="K60" s="18"/>
      <c r="L60" s="19"/>
      <c r="M60" s="19"/>
      <c r="N60" s="19"/>
      <c r="Q60" s="34">
        <f t="shared" si="0"/>
        <v>0</v>
      </c>
      <c r="R60" s="8"/>
    </row>
    <row r="61" spans="2:18" x14ac:dyDescent="0.25">
      <c r="B61" s="38"/>
      <c r="C61" s="45" t="s">
        <v>36</v>
      </c>
      <c r="D61" s="8" t="s">
        <v>52</v>
      </c>
      <c r="E61" s="53">
        <f>COUNTIFS('TOTAL KONTAK ERAT'!$F:$F,"Lempuyang")</f>
        <v>0</v>
      </c>
      <c r="F61" s="17"/>
      <c r="G61" s="18"/>
      <c r="H61" s="18"/>
      <c r="I61" s="18"/>
      <c r="J61" s="18"/>
      <c r="K61" s="18"/>
      <c r="L61" s="19"/>
      <c r="M61" s="19"/>
      <c r="N61" s="19"/>
      <c r="Q61" s="34">
        <f t="shared" si="0"/>
        <v>0</v>
      </c>
      <c r="R61" s="8"/>
    </row>
    <row r="62" spans="2:18" x14ac:dyDescent="0.25">
      <c r="B62" s="38"/>
      <c r="C62" s="45" t="s">
        <v>36</v>
      </c>
      <c r="D62" s="8" t="s">
        <v>53</v>
      </c>
      <c r="E62" s="53">
        <f>COUNTIFS('TOTAL KONTAK ERAT'!$F:$F,"Karangrejo",'TOTAL KONTAK ERAT'!$E:$E,"Wonosalam")</f>
        <v>0</v>
      </c>
      <c r="F62" s="17"/>
      <c r="G62" s="18"/>
      <c r="H62" s="18"/>
      <c r="I62" s="18"/>
      <c r="J62" s="18"/>
      <c r="K62" s="18"/>
      <c r="L62" s="19"/>
      <c r="M62" s="19"/>
      <c r="N62" s="19"/>
      <c r="Q62" s="34">
        <f t="shared" si="0"/>
        <v>0</v>
      </c>
      <c r="R62" s="8"/>
    </row>
    <row r="63" spans="2:18" x14ac:dyDescent="0.25">
      <c r="B63" s="38"/>
      <c r="C63" s="45" t="s">
        <v>36</v>
      </c>
      <c r="D63" s="8" t="s">
        <v>274</v>
      </c>
      <c r="E63" s="53">
        <f>COUNTIFS('TOTAL KONTAK ERAT'!$F:$F,"Kendaldoyong")</f>
        <v>0</v>
      </c>
      <c r="F63" s="17"/>
      <c r="G63" s="18"/>
      <c r="H63" s="18"/>
      <c r="I63" s="18"/>
      <c r="J63" s="18"/>
      <c r="K63" s="18"/>
      <c r="L63" s="19"/>
      <c r="M63" s="19"/>
      <c r="N63" s="19"/>
      <c r="Q63" s="34">
        <f t="shared" si="0"/>
        <v>0</v>
      </c>
      <c r="R63" s="8"/>
    </row>
    <row r="64" spans="2:18" x14ac:dyDescent="0.25">
      <c r="B64" s="38"/>
      <c r="C64" s="45" t="s">
        <v>36</v>
      </c>
      <c r="D64" s="8" t="s">
        <v>54</v>
      </c>
      <c r="E64" s="53">
        <f>COUNTIFS('TOTAL KONTAK ERAT'!$F:$F,"Jogoloyo")</f>
        <v>0</v>
      </c>
      <c r="F64" s="17"/>
      <c r="G64" s="18"/>
      <c r="H64" s="18"/>
      <c r="I64" s="18"/>
      <c r="J64" s="18"/>
      <c r="K64" s="18"/>
      <c r="L64" s="19"/>
      <c r="M64" s="19"/>
      <c r="N64" s="19"/>
      <c r="Q64" s="34">
        <f t="shared" si="0"/>
        <v>0</v>
      </c>
      <c r="R64" s="8"/>
    </row>
    <row r="65" spans="2:18" x14ac:dyDescent="0.25">
      <c r="B65" s="43">
        <v>4</v>
      </c>
      <c r="C65" s="44" t="s">
        <v>55</v>
      </c>
      <c r="D65" s="46" t="s">
        <v>56</v>
      </c>
      <c r="E65" s="53">
        <f>COUNTIFS('TOTAL KONTAK ERAT'!$F:$F,"Kedondong",'TOTAL KONTAK ERAT'!$E:$E,"gajah")</f>
        <v>0</v>
      </c>
      <c r="F65" s="17" t="e">
        <f>SUM(#REF!)</f>
        <v>#REF!</v>
      </c>
      <c r="G65" s="17" t="e">
        <f>SUM(#REF!)</f>
        <v>#REF!</v>
      </c>
      <c r="H65" s="17" t="e">
        <f>SUM(#REF!)</f>
        <v>#REF!</v>
      </c>
      <c r="I65" s="17" t="e">
        <f>SUM(#REF!)</f>
        <v>#REF!</v>
      </c>
      <c r="J65" s="17" t="e">
        <f>SUM(#REF!)</f>
        <v>#REF!</v>
      </c>
      <c r="K65" s="17" t="e">
        <f>SUM(#REF!)</f>
        <v>#REF!</v>
      </c>
      <c r="L65" s="17" t="e">
        <f>SUM(#REF!)</f>
        <v>#REF!</v>
      </c>
      <c r="M65" s="17">
        <f>SUM(E65:E82)</f>
        <v>13</v>
      </c>
      <c r="N65" s="17" t="e">
        <f>SUM(#REF!)</f>
        <v>#REF!</v>
      </c>
      <c r="Q65" s="34">
        <f t="shared" si="0"/>
        <v>0</v>
      </c>
      <c r="R65" s="113">
        <f>SUM(Q65:Q82)</f>
        <v>13</v>
      </c>
    </row>
    <row r="66" spans="2:18" x14ac:dyDescent="0.25">
      <c r="B66" s="43"/>
      <c r="C66" s="44" t="s">
        <v>55</v>
      </c>
      <c r="D66" s="47" t="s">
        <v>57</v>
      </c>
      <c r="E66" s="53">
        <f>COUNTIFS('TOTAL KONTAK ERAT'!$F:$F,"Banjarsari",'TOTAL KONTAK ERAT'!$E:$E,"gajah")</f>
        <v>0</v>
      </c>
      <c r="F66" s="17"/>
      <c r="G66" s="18"/>
      <c r="H66" s="18"/>
      <c r="I66" s="18"/>
      <c r="J66" s="18"/>
      <c r="K66" s="18"/>
      <c r="L66" s="19"/>
      <c r="M66" s="19"/>
      <c r="N66" s="19"/>
      <c r="Q66" s="34">
        <f t="shared" si="0"/>
        <v>0</v>
      </c>
      <c r="R66" s="8"/>
    </row>
    <row r="67" spans="2:18" x14ac:dyDescent="0.25">
      <c r="B67" s="43"/>
      <c r="C67" s="44" t="s">
        <v>55</v>
      </c>
      <c r="D67" s="46" t="s">
        <v>55</v>
      </c>
      <c r="E67" s="53">
        <f>COUNTIFS('TOTAL KONTAK ERAT'!$F:$F,"Gajah")</f>
        <v>0</v>
      </c>
      <c r="F67" s="17"/>
      <c r="G67" s="18"/>
      <c r="H67" s="18"/>
      <c r="I67" s="18"/>
      <c r="J67" s="18"/>
      <c r="K67" s="18"/>
      <c r="L67" s="19"/>
      <c r="M67" s="19"/>
      <c r="N67" s="19"/>
      <c r="Q67" s="34">
        <f t="shared" si="0"/>
        <v>0</v>
      </c>
      <c r="R67" s="8"/>
    </row>
    <row r="68" spans="2:18" x14ac:dyDescent="0.25">
      <c r="B68" s="43"/>
      <c r="C68" s="44" t="s">
        <v>55</v>
      </c>
      <c r="D68" s="46" t="s">
        <v>58</v>
      </c>
      <c r="E68" s="53">
        <f>COUNTIFS('TOTAL KONTAK ERAT'!$F:$F,"Sari")</f>
        <v>0</v>
      </c>
      <c r="F68" s="17"/>
      <c r="G68" s="18"/>
      <c r="H68" s="18"/>
      <c r="I68" s="18"/>
      <c r="J68" s="18"/>
      <c r="K68" s="18"/>
      <c r="L68" s="19"/>
      <c r="M68" s="19"/>
      <c r="N68" s="19"/>
      <c r="Q68" s="34">
        <f t="shared" si="0"/>
        <v>0</v>
      </c>
      <c r="R68" s="8"/>
    </row>
    <row r="69" spans="2:18" x14ac:dyDescent="0.25">
      <c r="B69" s="43"/>
      <c r="C69" s="44" t="s">
        <v>55</v>
      </c>
      <c r="D69" s="46" t="s">
        <v>59</v>
      </c>
      <c r="E69" s="53">
        <f>COUNTIFS('TOTAL KONTAK ERAT'!$F:$F,"Boyolali")</f>
        <v>0</v>
      </c>
      <c r="F69" s="17"/>
      <c r="G69" s="18"/>
      <c r="H69" s="18"/>
      <c r="I69" s="18"/>
      <c r="J69" s="18"/>
      <c r="K69" s="18"/>
      <c r="L69" s="19"/>
      <c r="M69" s="19"/>
      <c r="N69" s="19"/>
      <c r="Q69" s="34">
        <f t="shared" si="0"/>
        <v>0</v>
      </c>
      <c r="R69" s="8"/>
    </row>
    <row r="70" spans="2:18" x14ac:dyDescent="0.25">
      <c r="B70" s="43"/>
      <c r="C70" s="44" t="s">
        <v>55</v>
      </c>
      <c r="D70" s="46" t="s">
        <v>60</v>
      </c>
      <c r="E70" s="53">
        <f>COUNTIFS('TOTAL KONTAK ERAT'!$F:$F,"Jatisono")</f>
        <v>0</v>
      </c>
      <c r="F70" s="17"/>
      <c r="G70" s="18"/>
      <c r="H70" s="18"/>
      <c r="I70" s="18"/>
      <c r="J70" s="18"/>
      <c r="K70" s="18"/>
      <c r="L70" s="19"/>
      <c r="M70" s="19"/>
      <c r="N70" s="19"/>
      <c r="Q70" s="34">
        <f t="shared" si="0"/>
        <v>0</v>
      </c>
      <c r="R70" s="8"/>
    </row>
    <row r="71" spans="2:18" x14ac:dyDescent="0.25">
      <c r="B71" s="43"/>
      <c r="C71" s="44" t="s">
        <v>55</v>
      </c>
      <c r="D71" s="46" t="s">
        <v>61</v>
      </c>
      <c r="E71" s="53">
        <f>COUNTIFS('TOTAL KONTAK ERAT'!$F:$F,"Sambiroto")</f>
        <v>0</v>
      </c>
      <c r="F71" s="17"/>
      <c r="G71" s="18"/>
      <c r="H71" s="18"/>
      <c r="I71" s="18"/>
      <c r="J71" s="18"/>
      <c r="K71" s="18"/>
      <c r="L71" s="19"/>
      <c r="M71" s="19"/>
      <c r="N71" s="19"/>
      <c r="Q71" s="34">
        <f t="shared" si="0"/>
        <v>0</v>
      </c>
      <c r="R71" s="8"/>
    </row>
    <row r="72" spans="2:18" x14ac:dyDescent="0.25">
      <c r="B72" s="43"/>
      <c r="C72" s="44" t="s">
        <v>55</v>
      </c>
      <c r="D72" s="46" t="s">
        <v>62</v>
      </c>
      <c r="E72" s="53">
        <f>COUNTIFS('TOTAL KONTAK ERAT'!$F:$F,"Tlogopandogan")</f>
        <v>0</v>
      </c>
      <c r="F72" s="17"/>
      <c r="G72" s="18"/>
      <c r="H72" s="18"/>
      <c r="I72" s="18"/>
      <c r="J72" s="18"/>
      <c r="K72" s="18"/>
      <c r="L72" s="19"/>
      <c r="M72" s="19"/>
      <c r="N72" s="19"/>
      <c r="Q72" s="34">
        <f t="shared" ref="Q72:Q135" si="1">SUM(E72:E72)</f>
        <v>0</v>
      </c>
      <c r="R72" s="8"/>
    </row>
    <row r="73" spans="2:18" x14ac:dyDescent="0.25">
      <c r="B73" s="43"/>
      <c r="C73" s="44" t="s">
        <v>55</v>
      </c>
      <c r="D73" s="46" t="s">
        <v>63</v>
      </c>
      <c r="E73" s="53">
        <f>COUNTIFS('TOTAL KONTAK ERAT'!$F:$F,"Surodadi",'TOTAL KONTAK ERAT'!$E:$E,"gajah")</f>
        <v>0</v>
      </c>
      <c r="F73" s="17"/>
      <c r="G73" s="18"/>
      <c r="H73" s="18"/>
      <c r="I73" s="18"/>
      <c r="J73" s="18"/>
      <c r="K73" s="18"/>
      <c r="L73" s="19"/>
      <c r="M73" s="19"/>
      <c r="N73" s="19"/>
      <c r="Q73" s="34">
        <f t="shared" si="1"/>
        <v>0</v>
      </c>
      <c r="R73" s="8"/>
    </row>
    <row r="74" spans="2:18" x14ac:dyDescent="0.25">
      <c r="B74" s="43"/>
      <c r="C74" s="44" t="s">
        <v>55</v>
      </c>
      <c r="D74" s="46" t="s">
        <v>64</v>
      </c>
      <c r="E74" s="53">
        <f>COUNTIFS('TOTAL KONTAK ERAT'!$F:$F,"Gedangalas")</f>
        <v>0</v>
      </c>
      <c r="F74" s="17"/>
      <c r="G74" s="18"/>
      <c r="H74" s="18"/>
      <c r="I74" s="18"/>
      <c r="J74" s="18"/>
      <c r="K74" s="18"/>
      <c r="L74" s="19"/>
      <c r="M74" s="19"/>
      <c r="N74" s="19"/>
      <c r="Q74" s="34">
        <f t="shared" si="1"/>
        <v>0</v>
      </c>
      <c r="R74" s="8"/>
    </row>
    <row r="75" spans="2:18" x14ac:dyDescent="0.25">
      <c r="B75" s="43"/>
      <c r="C75" s="44" t="s">
        <v>55</v>
      </c>
      <c r="D75" s="46" t="s">
        <v>65</v>
      </c>
      <c r="E75" s="53">
        <f>COUNTIFS('TOTAL KONTAK ERAT'!$F:$F,"Sambung")</f>
        <v>0</v>
      </c>
      <c r="F75" s="17"/>
      <c r="G75" s="18"/>
      <c r="H75" s="18"/>
      <c r="I75" s="18"/>
      <c r="J75" s="18"/>
      <c r="K75" s="18"/>
      <c r="L75" s="19"/>
      <c r="M75" s="19"/>
      <c r="N75" s="19"/>
      <c r="Q75" s="34">
        <f t="shared" si="1"/>
        <v>0</v>
      </c>
      <c r="R75" s="8"/>
    </row>
    <row r="76" spans="2:18" x14ac:dyDescent="0.25">
      <c r="B76" s="43"/>
      <c r="C76" s="44" t="s">
        <v>55</v>
      </c>
      <c r="D76" s="46" t="s">
        <v>66</v>
      </c>
      <c r="E76" s="53">
        <f>COUNTIFS('TOTAL KONTAK ERAT'!$F:$F,"Tambirejo")</f>
        <v>0</v>
      </c>
      <c r="F76" s="17"/>
      <c r="G76" s="18"/>
      <c r="H76" s="18"/>
      <c r="I76" s="18"/>
      <c r="J76" s="18"/>
      <c r="K76" s="18"/>
      <c r="L76" s="19"/>
      <c r="M76" s="19"/>
      <c r="N76" s="19"/>
      <c r="Q76" s="34">
        <f t="shared" si="1"/>
        <v>0</v>
      </c>
      <c r="R76" s="8"/>
    </row>
    <row r="77" spans="2:18" x14ac:dyDescent="0.25">
      <c r="B77" s="43"/>
      <c r="C77" s="44" t="s">
        <v>55</v>
      </c>
      <c r="D77" s="46" t="s">
        <v>67</v>
      </c>
      <c r="E77" s="53">
        <f>COUNTIFS('TOTAL KONTAK ERAT'!$F:$F,"Mlatiharjo")</f>
        <v>13</v>
      </c>
      <c r="F77" s="17"/>
      <c r="G77" s="18"/>
      <c r="H77" s="18"/>
      <c r="I77" s="18"/>
      <c r="J77" s="18"/>
      <c r="K77" s="18"/>
      <c r="L77" s="19"/>
      <c r="M77" s="19"/>
      <c r="N77" s="19"/>
      <c r="Q77" s="34">
        <f t="shared" si="1"/>
        <v>13</v>
      </c>
      <c r="R77" s="8"/>
    </row>
    <row r="78" spans="2:18" x14ac:dyDescent="0.25">
      <c r="B78" s="43"/>
      <c r="C78" s="44" t="s">
        <v>55</v>
      </c>
      <c r="D78" s="46" t="s">
        <v>68</v>
      </c>
      <c r="E78" s="53">
        <f>COUNTIFS('TOTAL KONTAK ERAT'!$F:$F,"Mojosimo")</f>
        <v>0</v>
      </c>
      <c r="F78" s="17"/>
      <c r="G78" s="18"/>
      <c r="H78" s="18"/>
      <c r="I78" s="18"/>
      <c r="J78" s="18"/>
      <c r="K78" s="18"/>
      <c r="L78" s="19"/>
      <c r="M78" s="19"/>
      <c r="N78" s="19"/>
      <c r="Q78" s="34">
        <f t="shared" si="1"/>
        <v>0</v>
      </c>
      <c r="R78" s="8"/>
    </row>
    <row r="79" spans="2:18" x14ac:dyDescent="0.25">
      <c r="B79" s="43"/>
      <c r="C79" s="44" t="s">
        <v>55</v>
      </c>
      <c r="D79" s="46" t="s">
        <v>69</v>
      </c>
      <c r="E79" s="53">
        <f>COUNTIFS('TOTAL KONTAK ERAT'!$F:$F,"Medini")</f>
        <v>0</v>
      </c>
      <c r="F79" s="17"/>
      <c r="G79" s="18"/>
      <c r="H79" s="18"/>
      <c r="I79" s="18"/>
      <c r="J79" s="18"/>
      <c r="K79" s="18"/>
      <c r="L79" s="19"/>
      <c r="M79" s="19"/>
      <c r="N79" s="19"/>
      <c r="Q79" s="34">
        <f t="shared" si="1"/>
        <v>0</v>
      </c>
      <c r="R79" s="8"/>
    </row>
    <row r="80" spans="2:18" x14ac:dyDescent="0.25">
      <c r="B80" s="43"/>
      <c r="C80" s="44" t="s">
        <v>55</v>
      </c>
      <c r="D80" s="46" t="s">
        <v>70</v>
      </c>
      <c r="E80" s="53">
        <f>COUNTIFS('TOTAL KONTAK ERAT'!$F:$F,"Wilalung")</f>
        <v>0</v>
      </c>
      <c r="F80" s="17"/>
      <c r="G80" s="18"/>
      <c r="H80" s="18"/>
      <c r="I80" s="18"/>
      <c r="J80" s="18"/>
      <c r="K80" s="18"/>
      <c r="L80" s="19"/>
      <c r="M80" s="19"/>
      <c r="N80" s="19"/>
      <c r="Q80" s="34">
        <f t="shared" si="1"/>
        <v>0</v>
      </c>
      <c r="R80" s="8"/>
    </row>
    <row r="81" spans="2:18" x14ac:dyDescent="0.25">
      <c r="B81" s="43"/>
      <c r="C81" s="44" t="s">
        <v>55</v>
      </c>
      <c r="D81" s="46" t="s">
        <v>71</v>
      </c>
      <c r="E81" s="53">
        <f>COUNTIFS('TOTAL KONTAK ERAT'!$F:$F,"Tanjunganyar")</f>
        <v>0</v>
      </c>
      <c r="F81" s="17"/>
      <c r="G81" s="18"/>
      <c r="H81" s="18"/>
      <c r="I81" s="18"/>
      <c r="J81" s="18"/>
      <c r="K81" s="18"/>
      <c r="L81" s="19"/>
      <c r="M81" s="19"/>
      <c r="N81" s="19"/>
      <c r="Q81" s="34">
        <f t="shared" si="1"/>
        <v>0</v>
      </c>
      <c r="R81" s="8"/>
    </row>
    <row r="82" spans="2:18" x14ac:dyDescent="0.25">
      <c r="B82" s="43"/>
      <c r="C82" s="44" t="s">
        <v>55</v>
      </c>
      <c r="D82" s="46" t="s">
        <v>72</v>
      </c>
      <c r="E82" s="53">
        <f>COUNTIFS('TOTAL KONTAK ERAT'!$F:$F,"Mlekang")</f>
        <v>0</v>
      </c>
      <c r="F82" s="17"/>
      <c r="G82" s="18"/>
      <c r="H82" s="18"/>
      <c r="I82" s="18"/>
      <c r="J82" s="18"/>
      <c r="K82" s="18"/>
      <c r="L82" s="19"/>
      <c r="M82" s="19"/>
      <c r="N82" s="19"/>
      <c r="Q82" s="34">
        <f t="shared" si="1"/>
        <v>0</v>
      </c>
      <c r="R82" s="8"/>
    </row>
    <row r="83" spans="2:18" ht="15" customHeight="1" x14ac:dyDescent="0.25">
      <c r="B83" s="43">
        <v>5</v>
      </c>
      <c r="C83" s="14" t="s">
        <v>73</v>
      </c>
      <c r="D83" s="8" t="s">
        <v>74</v>
      </c>
      <c r="E83" s="53">
        <f>COUNTIFS('TOTAL KONTAK ERAT'!$F:$F,"Cangkring B")</f>
        <v>0</v>
      </c>
      <c r="F83" s="17" t="e">
        <f>SUM(#REF!)</f>
        <v>#REF!</v>
      </c>
      <c r="G83" s="17" t="e">
        <f>SUM(#REF!)</f>
        <v>#REF!</v>
      </c>
      <c r="H83" s="17" t="e">
        <f>SUM(#REF!)</f>
        <v>#REF!</v>
      </c>
      <c r="I83" s="17" t="e">
        <f>SUM(#REF!)</f>
        <v>#REF!</v>
      </c>
      <c r="J83" s="17" t="e">
        <f>SUM(#REF!)</f>
        <v>#REF!</v>
      </c>
      <c r="K83" s="17" t="e">
        <f>SUM(#REF!)</f>
        <v>#REF!</v>
      </c>
      <c r="L83" s="17" t="e">
        <f>SUM(#REF!)</f>
        <v>#REF!</v>
      </c>
      <c r="M83" s="17">
        <f>SUM(E83:E99)</f>
        <v>5</v>
      </c>
      <c r="N83" s="17" t="e">
        <f>SUM(#REF!)</f>
        <v>#REF!</v>
      </c>
      <c r="Q83" s="34">
        <f t="shared" si="1"/>
        <v>0</v>
      </c>
      <c r="R83" s="113">
        <f>SUM(Q83:Q99)</f>
        <v>5</v>
      </c>
    </row>
    <row r="84" spans="2:18" ht="15" customHeight="1" x14ac:dyDescent="0.25">
      <c r="B84" s="43"/>
      <c r="C84" s="14" t="s">
        <v>73</v>
      </c>
      <c r="D84" s="8" t="s">
        <v>75</v>
      </c>
      <c r="E84" s="53">
        <f>COUNTIFS('TOTAL KONTAK ERAT'!$F:$F,"Undaan Lor")</f>
        <v>0</v>
      </c>
      <c r="F84" s="17"/>
      <c r="G84" s="18"/>
      <c r="H84" s="18"/>
      <c r="I84" s="18"/>
      <c r="J84" s="18"/>
      <c r="K84" s="18"/>
      <c r="L84" s="19"/>
      <c r="M84" s="19"/>
      <c r="N84" s="19"/>
      <c r="Q84" s="34">
        <f t="shared" si="1"/>
        <v>0</v>
      </c>
      <c r="R84" s="8"/>
    </row>
    <row r="85" spans="2:18" ht="15" customHeight="1" x14ac:dyDescent="0.25">
      <c r="B85" s="43"/>
      <c r="C85" s="14" t="s">
        <v>73</v>
      </c>
      <c r="D85" s="8" t="s">
        <v>76</v>
      </c>
      <c r="E85" s="53">
        <f>COUNTIFS('TOTAL KONTAK ERAT'!$F:$F,"Undaan Kidul")</f>
        <v>0</v>
      </c>
      <c r="F85" s="17"/>
      <c r="G85" s="18"/>
      <c r="H85" s="18"/>
      <c r="I85" s="18"/>
      <c r="J85" s="18"/>
      <c r="K85" s="18"/>
      <c r="L85" s="19"/>
      <c r="M85" s="19"/>
      <c r="N85" s="19"/>
      <c r="Q85" s="34">
        <f t="shared" si="1"/>
        <v>0</v>
      </c>
      <c r="R85" s="8"/>
    </row>
    <row r="86" spans="2:18" ht="15" customHeight="1" x14ac:dyDescent="0.25">
      <c r="B86" s="43"/>
      <c r="C86" s="14" t="s">
        <v>73</v>
      </c>
      <c r="D86" s="8" t="s">
        <v>77</v>
      </c>
      <c r="E86" s="53">
        <f>COUNTIFS('TOTAL KONTAK ERAT'!$F:$F,"Ketanjung")</f>
        <v>0</v>
      </c>
      <c r="F86" s="17"/>
      <c r="G86" s="18"/>
      <c r="H86" s="18"/>
      <c r="I86" s="18"/>
      <c r="J86" s="18"/>
      <c r="K86" s="18"/>
      <c r="L86" s="19"/>
      <c r="M86" s="19"/>
      <c r="N86" s="19"/>
      <c r="Q86" s="34">
        <f t="shared" si="1"/>
        <v>0</v>
      </c>
      <c r="R86" s="8"/>
    </row>
    <row r="87" spans="2:18" ht="15" customHeight="1" x14ac:dyDescent="0.25">
      <c r="B87" s="43"/>
      <c r="C87" s="14" t="s">
        <v>73</v>
      </c>
      <c r="D87" s="8" t="s">
        <v>279</v>
      </c>
      <c r="E87" s="53">
        <f>COUNTIFS('TOTAL KONTAK ERAT'!$F:$F,"Cangkring Rembang")</f>
        <v>0</v>
      </c>
      <c r="F87" s="17"/>
      <c r="G87" s="18"/>
      <c r="H87" s="18"/>
      <c r="I87" s="18"/>
      <c r="J87" s="18"/>
      <c r="K87" s="18"/>
      <c r="L87" s="19"/>
      <c r="M87" s="19"/>
      <c r="N87" s="19"/>
      <c r="Q87" s="34">
        <f t="shared" si="1"/>
        <v>0</v>
      </c>
      <c r="R87" s="8"/>
    </row>
    <row r="88" spans="2:18" ht="15" customHeight="1" x14ac:dyDescent="0.25">
      <c r="B88" s="43"/>
      <c r="C88" s="14" t="s">
        <v>73</v>
      </c>
      <c r="D88" s="8" t="s">
        <v>79</v>
      </c>
      <c r="E88" s="53">
        <f>COUNTIFS('TOTAL KONTAK ERAT'!$F:$F,"Tuwang")</f>
        <v>0</v>
      </c>
      <c r="F88" s="17"/>
      <c r="G88" s="18"/>
      <c r="H88" s="18"/>
      <c r="I88" s="18"/>
      <c r="J88" s="18"/>
      <c r="K88" s="18"/>
      <c r="L88" s="19"/>
      <c r="M88" s="19"/>
      <c r="N88" s="19"/>
      <c r="Q88" s="34">
        <f t="shared" si="1"/>
        <v>0</v>
      </c>
      <c r="R88" s="8"/>
    </row>
    <row r="89" spans="2:18" ht="15" customHeight="1" x14ac:dyDescent="0.25">
      <c r="B89" s="43"/>
      <c r="C89" s="14" t="s">
        <v>73</v>
      </c>
      <c r="D89" s="8" t="s">
        <v>80</v>
      </c>
      <c r="E89" s="53">
        <f>COUNTIFS('TOTAL KONTAK ERAT'!$F:$F,"Wonorejo",'TOTAL KONTAK ERAT'!$E:$E,"karanganyar")</f>
        <v>0</v>
      </c>
      <c r="F89" s="17"/>
      <c r="G89" s="18"/>
      <c r="H89" s="18"/>
      <c r="I89" s="18"/>
      <c r="J89" s="18"/>
      <c r="K89" s="18"/>
      <c r="L89" s="19"/>
      <c r="M89" s="19"/>
      <c r="N89" s="19"/>
      <c r="Q89" s="34">
        <f t="shared" si="1"/>
        <v>0</v>
      </c>
      <c r="R89" s="8"/>
    </row>
    <row r="90" spans="2:18" ht="15" customHeight="1" x14ac:dyDescent="0.25">
      <c r="B90" s="43"/>
      <c r="C90" s="14" t="s">
        <v>73</v>
      </c>
      <c r="D90" s="8" t="s">
        <v>280</v>
      </c>
      <c r="E90" s="53">
        <f>COUNTIFS('TOTAL KONTAK ERAT'!$F:$F,"Ngemplik Wetan")</f>
        <v>0</v>
      </c>
      <c r="F90" s="17"/>
      <c r="G90" s="18"/>
      <c r="H90" s="18"/>
      <c r="I90" s="18"/>
      <c r="J90" s="18"/>
      <c r="K90" s="18"/>
      <c r="L90" s="19"/>
      <c r="M90" s="19"/>
      <c r="N90" s="19"/>
      <c r="Q90" s="34">
        <f t="shared" si="1"/>
        <v>0</v>
      </c>
      <c r="R90" s="8"/>
    </row>
    <row r="91" spans="2:18" ht="15" customHeight="1" x14ac:dyDescent="0.25">
      <c r="B91" s="43"/>
      <c r="C91" s="14" t="s">
        <v>73</v>
      </c>
      <c r="D91" s="8" t="s">
        <v>73</v>
      </c>
      <c r="E91" s="53">
        <f>COUNTIFS('TOTAL KONTAK ERAT'!$F:$F,"Karanganyar")</f>
        <v>2</v>
      </c>
      <c r="F91" s="17"/>
      <c r="G91" s="18"/>
      <c r="H91" s="18"/>
      <c r="I91" s="18"/>
      <c r="J91" s="18"/>
      <c r="K91" s="18"/>
      <c r="L91" s="19"/>
      <c r="M91" s="19"/>
      <c r="N91" s="19"/>
      <c r="Q91" s="34">
        <f t="shared" si="1"/>
        <v>2</v>
      </c>
      <c r="R91" s="8"/>
    </row>
    <row r="92" spans="2:18" ht="15" customHeight="1" x14ac:dyDescent="0.25">
      <c r="B92" s="43"/>
      <c r="C92" s="14" t="s">
        <v>73</v>
      </c>
      <c r="D92" s="8" t="s">
        <v>81</v>
      </c>
      <c r="E92" s="53">
        <f>COUNTIFS('TOTAL KONTAK ERAT'!$F:$F,"Ngaluran")</f>
        <v>3</v>
      </c>
      <c r="F92" s="17"/>
      <c r="G92" s="18"/>
      <c r="H92" s="18"/>
      <c r="I92" s="18"/>
      <c r="J92" s="18"/>
      <c r="K92" s="18"/>
      <c r="L92" s="19"/>
      <c r="M92" s="19"/>
      <c r="N92" s="19"/>
      <c r="Q92" s="34">
        <f t="shared" si="1"/>
        <v>3</v>
      </c>
      <c r="R92" s="8"/>
    </row>
    <row r="93" spans="2:18" ht="15" customHeight="1" x14ac:dyDescent="0.25">
      <c r="B93" s="43"/>
      <c r="C93" s="14" t="s">
        <v>73</v>
      </c>
      <c r="D93" s="8" t="s">
        <v>82</v>
      </c>
      <c r="E93" s="53">
        <f>COUNTIFS('TOTAL KONTAK ERAT'!$F:$F,"Kedungwaru Kidul")</f>
        <v>0</v>
      </c>
      <c r="F93" s="17"/>
      <c r="G93" s="18"/>
      <c r="H93" s="18"/>
      <c r="I93" s="18"/>
      <c r="J93" s="18"/>
      <c r="K93" s="18"/>
      <c r="L93" s="19"/>
      <c r="M93" s="19"/>
      <c r="N93" s="19"/>
      <c r="Q93" s="34">
        <f t="shared" si="1"/>
        <v>0</v>
      </c>
      <c r="R93" s="8"/>
    </row>
    <row r="94" spans="2:18" ht="15" customHeight="1" x14ac:dyDescent="0.25">
      <c r="B94" s="43"/>
      <c r="C94" s="14" t="s">
        <v>73</v>
      </c>
      <c r="D94" s="8" t="s">
        <v>83</v>
      </c>
      <c r="E94" s="53">
        <f>COUNTIFS('TOTAL KONTAK ERAT'!$F:$F,"Kedungwaru Lor")</f>
        <v>0</v>
      </c>
      <c r="F94" s="17"/>
      <c r="G94" s="18"/>
      <c r="H94" s="18"/>
      <c r="I94" s="18"/>
      <c r="J94" s="18"/>
      <c r="K94" s="18"/>
      <c r="L94" s="19"/>
      <c r="M94" s="19"/>
      <c r="N94" s="19"/>
      <c r="Q94" s="34">
        <f t="shared" si="1"/>
        <v>0</v>
      </c>
      <c r="R94" s="8"/>
    </row>
    <row r="95" spans="2:18" ht="15" customHeight="1" x14ac:dyDescent="0.25">
      <c r="B95" s="43"/>
      <c r="C95" s="14" t="s">
        <v>73</v>
      </c>
      <c r="D95" s="8" t="s">
        <v>84</v>
      </c>
      <c r="E95" s="53">
        <f>COUNTIFS('TOTAL KONTAK ERAT'!$F:$F,"Tugu Lor")</f>
        <v>0</v>
      </c>
      <c r="F95" s="17"/>
      <c r="G95" s="18"/>
      <c r="H95" s="18"/>
      <c r="I95" s="18"/>
      <c r="J95" s="18"/>
      <c r="K95" s="18"/>
      <c r="L95" s="19"/>
      <c r="M95" s="19"/>
      <c r="N95" s="19"/>
      <c r="Q95" s="34">
        <f t="shared" si="1"/>
        <v>0</v>
      </c>
      <c r="R95" s="8"/>
    </row>
    <row r="96" spans="2:18" ht="15" customHeight="1" x14ac:dyDescent="0.25">
      <c r="B96" s="43"/>
      <c r="C96" s="14" t="s">
        <v>73</v>
      </c>
      <c r="D96" s="8" t="s">
        <v>294</v>
      </c>
      <c r="E96" s="53">
        <f>COUNTIFS('TOTAL KONTAK ERAT'!$F:$F,"Kotakan")</f>
        <v>0</v>
      </c>
      <c r="F96" s="17"/>
      <c r="G96" s="18"/>
      <c r="H96" s="18"/>
      <c r="I96" s="18"/>
      <c r="J96" s="18"/>
      <c r="K96" s="18"/>
      <c r="L96" s="19"/>
      <c r="M96" s="19"/>
      <c r="N96" s="19"/>
      <c r="Q96" s="34">
        <f t="shared" si="1"/>
        <v>0</v>
      </c>
      <c r="R96" s="8"/>
    </row>
    <row r="97" spans="2:18" ht="15" customHeight="1" x14ac:dyDescent="0.25">
      <c r="B97" s="43"/>
      <c r="C97" s="14" t="s">
        <v>73</v>
      </c>
      <c r="D97" s="8" t="s">
        <v>85</v>
      </c>
      <c r="E97" s="53">
        <f>COUNTIFS('TOTAL KONTAK ERAT'!$F:$F,"Wonoketingal")</f>
        <v>0</v>
      </c>
      <c r="F97" s="17"/>
      <c r="G97" s="18"/>
      <c r="H97" s="18"/>
      <c r="I97" s="18"/>
      <c r="J97" s="18"/>
      <c r="K97" s="18"/>
      <c r="L97" s="19"/>
      <c r="M97" s="19"/>
      <c r="N97" s="19"/>
      <c r="Q97" s="34">
        <f t="shared" si="1"/>
        <v>0</v>
      </c>
      <c r="R97" s="8"/>
    </row>
    <row r="98" spans="2:18" ht="15" customHeight="1" x14ac:dyDescent="0.25">
      <c r="B98" s="43"/>
      <c r="C98" s="14" t="s">
        <v>73</v>
      </c>
      <c r="D98" s="8" t="s">
        <v>86</v>
      </c>
      <c r="E98" s="53">
        <f>COUNTIFS('TOTAL KONTAK ERAT'!$F:$F,"Jatirejo")</f>
        <v>0</v>
      </c>
      <c r="F98" s="17"/>
      <c r="G98" s="18"/>
      <c r="H98" s="18"/>
      <c r="I98" s="18"/>
      <c r="J98" s="18"/>
      <c r="K98" s="18"/>
      <c r="L98" s="19"/>
      <c r="M98" s="19"/>
      <c r="N98" s="19"/>
      <c r="Q98" s="34">
        <f t="shared" si="1"/>
        <v>0</v>
      </c>
      <c r="R98" s="8"/>
    </row>
    <row r="99" spans="2:18" ht="15" customHeight="1" x14ac:dyDescent="0.25">
      <c r="B99" s="43"/>
      <c r="C99" s="14" t="s">
        <v>73</v>
      </c>
      <c r="D99" s="8" t="s">
        <v>9</v>
      </c>
      <c r="E99" s="53">
        <f>COUNTIFS('TOTAL KONTAK ERAT'!$F:$F,"Bandungrejo",'TOTAL KONTAK ERAT'!$E:$E,"Karanganyar")</f>
        <v>0</v>
      </c>
      <c r="F99" s="17"/>
      <c r="G99" s="18"/>
      <c r="H99" s="18"/>
      <c r="I99" s="18"/>
      <c r="J99" s="18"/>
      <c r="K99" s="18"/>
      <c r="L99" s="19"/>
      <c r="M99" s="19"/>
      <c r="N99" s="19"/>
      <c r="Q99" s="34">
        <f t="shared" si="1"/>
        <v>0</v>
      </c>
      <c r="R99" s="8"/>
    </row>
    <row r="100" spans="2:18" ht="15" customHeight="1" x14ac:dyDescent="0.25">
      <c r="B100" s="43">
        <v>6</v>
      </c>
      <c r="C100" s="14" t="s">
        <v>87</v>
      </c>
      <c r="D100" s="8" t="s">
        <v>88</v>
      </c>
      <c r="E100" s="53">
        <f>COUNTIFS('TOTAL KONTAK ERAT'!$F:$F,"Mijen",'TOTAL KONTAK ERAT'!$E:$E,"mijen")</f>
        <v>0</v>
      </c>
      <c r="F100" s="17" t="e">
        <f>SUM(#REF!)</f>
        <v>#REF!</v>
      </c>
      <c r="G100" s="17" t="e">
        <f>SUM(#REF!)</f>
        <v>#REF!</v>
      </c>
      <c r="H100" s="17" t="e">
        <f>SUM(#REF!)</f>
        <v>#REF!</v>
      </c>
      <c r="I100" s="17" t="e">
        <f>SUM(#REF!)</f>
        <v>#REF!</v>
      </c>
      <c r="J100" s="17" t="e">
        <f>SUM(#REF!)</f>
        <v>#REF!</v>
      </c>
      <c r="K100" s="17" t="e">
        <f>SUM(#REF!)</f>
        <v>#REF!</v>
      </c>
      <c r="L100" s="17" t="e">
        <f>SUM(#REF!)</f>
        <v>#REF!</v>
      </c>
      <c r="M100" s="17">
        <f>SUM(E100:E114)</f>
        <v>3</v>
      </c>
      <c r="N100" s="17" t="e">
        <f>SUM(#REF!)</f>
        <v>#REF!</v>
      </c>
      <c r="Q100" s="34">
        <f t="shared" si="1"/>
        <v>0</v>
      </c>
      <c r="R100" s="113">
        <f>SUM(Q100:Q114)</f>
        <v>3</v>
      </c>
    </row>
    <row r="101" spans="2:18" ht="15" customHeight="1" x14ac:dyDescent="0.25">
      <c r="B101" s="43"/>
      <c r="C101" s="14" t="s">
        <v>87</v>
      </c>
      <c r="D101" s="8" t="s">
        <v>89</v>
      </c>
      <c r="E101" s="53">
        <f>COUNTIFS('TOTAL KONTAK ERAT'!$F:$F,"Geneng")</f>
        <v>0</v>
      </c>
      <c r="F101" s="17"/>
      <c r="G101" s="18"/>
      <c r="H101" s="18"/>
      <c r="I101" s="18"/>
      <c r="J101" s="18"/>
      <c r="K101" s="18"/>
      <c r="L101" s="19"/>
      <c r="M101" s="19"/>
      <c r="N101" s="19"/>
      <c r="Q101" s="34">
        <f t="shared" si="1"/>
        <v>0</v>
      </c>
      <c r="R101" s="8"/>
    </row>
    <row r="102" spans="2:18" ht="15" customHeight="1" x14ac:dyDescent="0.25">
      <c r="B102" s="43"/>
      <c r="C102" s="14" t="s">
        <v>87</v>
      </c>
      <c r="D102" s="8" t="s">
        <v>90</v>
      </c>
      <c r="E102" s="53">
        <f>COUNTIFS('TOTAL KONTAK ERAT'!$F:$F,"Tanggul")</f>
        <v>1</v>
      </c>
      <c r="F102" s="17"/>
      <c r="G102" s="18"/>
      <c r="H102" s="18"/>
      <c r="I102" s="18"/>
      <c r="J102" s="18"/>
      <c r="K102" s="18"/>
      <c r="L102" s="19"/>
      <c r="M102" s="19"/>
      <c r="N102" s="19"/>
      <c r="Q102" s="34">
        <f t="shared" si="1"/>
        <v>1</v>
      </c>
      <c r="R102" s="8"/>
    </row>
    <row r="103" spans="2:18" ht="15" customHeight="1" x14ac:dyDescent="0.25">
      <c r="B103" s="43"/>
      <c r="C103" s="14" t="s">
        <v>87</v>
      </c>
      <c r="D103" s="8" t="s">
        <v>470</v>
      </c>
      <c r="E103" s="53">
        <f>COUNTIFS('TOTAL KONTAK ERAT'!$F:$F,"Bantengmati")</f>
        <v>0</v>
      </c>
      <c r="F103" s="17"/>
      <c r="G103" s="18"/>
      <c r="H103" s="18"/>
      <c r="I103" s="18"/>
      <c r="J103" s="18"/>
      <c r="K103" s="18"/>
      <c r="L103" s="19"/>
      <c r="M103" s="19"/>
      <c r="N103" s="19"/>
      <c r="Q103" s="34">
        <f t="shared" si="1"/>
        <v>0</v>
      </c>
      <c r="R103" s="8"/>
    </row>
    <row r="104" spans="2:18" ht="15" customHeight="1" x14ac:dyDescent="0.25">
      <c r="B104" s="43"/>
      <c r="C104" s="14" t="s">
        <v>87</v>
      </c>
      <c r="D104" s="8" t="s">
        <v>91</v>
      </c>
      <c r="E104" s="53">
        <f>COUNTIFS('TOTAL KONTAK ERAT'!$F:$F,"Mlaten")</f>
        <v>0</v>
      </c>
      <c r="F104" s="17"/>
      <c r="G104" s="18"/>
      <c r="H104" s="18"/>
      <c r="I104" s="18"/>
      <c r="J104" s="18"/>
      <c r="K104" s="18"/>
      <c r="L104" s="19"/>
      <c r="M104" s="19"/>
      <c r="N104" s="19"/>
      <c r="Q104" s="34">
        <f t="shared" si="1"/>
        <v>0</v>
      </c>
      <c r="R104" s="8"/>
    </row>
    <row r="105" spans="2:18" ht="15" customHeight="1" x14ac:dyDescent="0.25">
      <c r="B105" s="43"/>
      <c r="C105" s="14" t="s">
        <v>87</v>
      </c>
      <c r="D105" s="8" t="s">
        <v>92</v>
      </c>
      <c r="E105" s="53">
        <f>COUNTIFS('TOTAL KONTAK ERAT'!$F:$F,"Bermi")</f>
        <v>0</v>
      </c>
      <c r="F105" s="17"/>
      <c r="G105" s="18"/>
      <c r="H105" s="18"/>
      <c r="I105" s="18"/>
      <c r="J105" s="18"/>
      <c r="K105" s="18"/>
      <c r="L105" s="19"/>
      <c r="M105" s="19"/>
      <c r="N105" s="19"/>
      <c r="Q105" s="34">
        <f t="shared" si="1"/>
        <v>0</v>
      </c>
      <c r="R105" s="8"/>
    </row>
    <row r="106" spans="2:18" ht="15" customHeight="1" x14ac:dyDescent="0.25">
      <c r="B106" s="43"/>
      <c r="C106" s="14" t="s">
        <v>87</v>
      </c>
      <c r="D106" s="8" t="s">
        <v>93</v>
      </c>
      <c r="E106" s="53">
        <f>COUNTIFS('TOTAL KONTAK ERAT'!$F:$F,"Gempolsongo")</f>
        <v>1</v>
      </c>
      <c r="F106" s="17"/>
      <c r="G106" s="18"/>
      <c r="H106" s="18"/>
      <c r="I106" s="18"/>
      <c r="J106" s="18"/>
      <c r="K106" s="18"/>
      <c r="L106" s="19"/>
      <c r="M106" s="19"/>
      <c r="N106" s="19"/>
      <c r="Q106" s="34">
        <f t="shared" si="1"/>
        <v>1</v>
      </c>
      <c r="R106" s="8"/>
    </row>
    <row r="107" spans="2:18" ht="15" customHeight="1" x14ac:dyDescent="0.25">
      <c r="B107" s="43"/>
      <c r="C107" s="14" t="s">
        <v>87</v>
      </c>
      <c r="D107" s="8" t="s">
        <v>94</v>
      </c>
      <c r="E107" s="53">
        <f>COUNTIFS('TOTAL KONTAK ERAT'!$F:$F,"Ngelo wetan")</f>
        <v>1</v>
      </c>
      <c r="F107" s="17"/>
      <c r="G107" s="18"/>
      <c r="H107" s="18"/>
      <c r="I107" s="18"/>
      <c r="J107" s="18"/>
      <c r="K107" s="18"/>
      <c r="L107" s="19"/>
      <c r="M107" s="19"/>
      <c r="N107" s="19"/>
      <c r="Q107" s="34">
        <f t="shared" si="1"/>
        <v>1</v>
      </c>
      <c r="R107" s="8"/>
    </row>
    <row r="108" spans="2:18" ht="15" customHeight="1" x14ac:dyDescent="0.25">
      <c r="B108" s="43"/>
      <c r="C108" s="14" t="s">
        <v>87</v>
      </c>
      <c r="D108" s="8" t="s">
        <v>95</v>
      </c>
      <c r="E108" s="53">
        <f>COUNTIFS('TOTAL KONTAK ERAT'!$F:$F,"Bakung")</f>
        <v>0</v>
      </c>
      <c r="F108" s="17"/>
      <c r="G108" s="18"/>
      <c r="H108" s="18"/>
      <c r="I108" s="18"/>
      <c r="J108" s="18"/>
      <c r="K108" s="18"/>
      <c r="L108" s="19"/>
      <c r="M108" s="19"/>
      <c r="N108" s="19"/>
      <c r="Q108" s="34">
        <f t="shared" si="1"/>
        <v>0</v>
      </c>
      <c r="R108" s="8"/>
    </row>
    <row r="109" spans="2:18" ht="15" customHeight="1" x14ac:dyDescent="0.25">
      <c r="B109" s="43"/>
      <c r="C109" s="14" t="s">
        <v>87</v>
      </c>
      <c r="D109" s="8" t="s">
        <v>96</v>
      </c>
      <c r="E109" s="53">
        <f>COUNTIFS('TOTAL KONTAK ERAT'!$F:$F,"Pasir")</f>
        <v>0</v>
      </c>
      <c r="F109" s="17"/>
      <c r="G109" s="18"/>
      <c r="H109" s="18"/>
      <c r="I109" s="18"/>
      <c r="J109" s="18"/>
      <c r="K109" s="18"/>
      <c r="L109" s="19"/>
      <c r="M109" s="19"/>
      <c r="N109" s="19"/>
      <c r="Q109" s="34">
        <f t="shared" si="1"/>
        <v>0</v>
      </c>
      <c r="R109" s="8"/>
    </row>
    <row r="110" spans="2:18" ht="15" customHeight="1" x14ac:dyDescent="0.25">
      <c r="B110" s="43"/>
      <c r="C110" s="14" t="s">
        <v>87</v>
      </c>
      <c r="D110" s="8" t="s">
        <v>97</v>
      </c>
      <c r="E110" s="53">
        <f>COUNTIFS('TOTAL KONTAK ERAT'!$F:$F,"Jleper")</f>
        <v>0</v>
      </c>
      <c r="F110" s="17"/>
      <c r="G110" s="18"/>
      <c r="H110" s="18"/>
      <c r="I110" s="18"/>
      <c r="J110" s="18"/>
      <c r="K110" s="18"/>
      <c r="L110" s="19"/>
      <c r="M110" s="19"/>
      <c r="N110" s="19"/>
      <c r="Q110" s="34">
        <f t="shared" si="1"/>
        <v>0</v>
      </c>
      <c r="R110" s="8"/>
    </row>
    <row r="111" spans="2:18" ht="15" customHeight="1" x14ac:dyDescent="0.25">
      <c r="B111" s="43"/>
      <c r="C111" s="14" t="s">
        <v>87</v>
      </c>
      <c r="D111" s="8" t="s">
        <v>26</v>
      </c>
      <c r="E111" s="53">
        <f>COUNTIFS('TOTAL KONTAK ERAT'!$F:$F,"Rejosari",'TOTAL KONTAK ERAT'!$E:$E,"mijen")</f>
        <v>0</v>
      </c>
      <c r="F111" s="17"/>
      <c r="G111" s="18"/>
      <c r="H111" s="18"/>
      <c r="I111" s="18"/>
      <c r="J111" s="18"/>
      <c r="K111" s="18"/>
      <c r="L111" s="19"/>
      <c r="M111" s="19"/>
      <c r="N111" s="19"/>
      <c r="Q111" s="34">
        <f t="shared" si="1"/>
        <v>0</v>
      </c>
      <c r="R111" s="8"/>
    </row>
    <row r="112" spans="2:18" ht="15" customHeight="1" x14ac:dyDescent="0.25">
      <c r="B112" s="43"/>
      <c r="C112" s="14" t="s">
        <v>87</v>
      </c>
      <c r="D112" s="8" t="s">
        <v>98</v>
      </c>
      <c r="E112" s="53">
        <f>COUNTIFS('TOTAL KONTAK ERAT'!$F:$F,"Ngegot")</f>
        <v>0</v>
      </c>
      <c r="F112" s="17"/>
      <c r="G112" s="18"/>
      <c r="H112" s="18"/>
      <c r="I112" s="18"/>
      <c r="J112" s="18"/>
      <c r="K112" s="18"/>
      <c r="L112" s="19"/>
      <c r="M112" s="19"/>
      <c r="N112" s="19"/>
      <c r="Q112" s="34">
        <f t="shared" si="1"/>
        <v>0</v>
      </c>
      <c r="R112" s="8"/>
    </row>
    <row r="113" spans="2:18" ht="15" customHeight="1" x14ac:dyDescent="0.25">
      <c r="B113" s="43"/>
      <c r="C113" s="14" t="s">
        <v>87</v>
      </c>
      <c r="D113" s="8" t="s">
        <v>99</v>
      </c>
      <c r="E113" s="53">
        <f>COUNTIFS('TOTAL KONTAK ERAT'!$F:$F,"Pecuk")</f>
        <v>0</v>
      </c>
      <c r="F113" s="17"/>
      <c r="G113" s="18"/>
      <c r="H113" s="18"/>
      <c r="I113" s="18"/>
      <c r="J113" s="18"/>
      <c r="K113" s="18"/>
      <c r="L113" s="19"/>
      <c r="M113" s="19"/>
      <c r="N113" s="19"/>
      <c r="Q113" s="34">
        <f t="shared" si="1"/>
        <v>0</v>
      </c>
      <c r="R113" s="8"/>
    </row>
    <row r="114" spans="2:18" ht="15" customHeight="1" x14ac:dyDescent="0.25">
      <c r="B114" s="43"/>
      <c r="C114" s="14" t="s">
        <v>87</v>
      </c>
      <c r="D114" s="8" t="s">
        <v>100</v>
      </c>
      <c r="E114" s="53">
        <f>COUNTIFS('TOTAL KONTAK ERAT'!$F:$F,"Ngelo Kulon")</f>
        <v>0</v>
      </c>
      <c r="F114" s="17"/>
      <c r="G114" s="18"/>
      <c r="H114" s="18"/>
      <c r="I114" s="18"/>
      <c r="J114" s="18"/>
      <c r="K114" s="18"/>
      <c r="L114" s="19"/>
      <c r="M114" s="19"/>
      <c r="N114" s="19"/>
      <c r="Q114" s="34">
        <f t="shared" si="1"/>
        <v>0</v>
      </c>
      <c r="R114" s="8"/>
    </row>
    <row r="115" spans="2:18" x14ac:dyDescent="0.25">
      <c r="B115" s="43">
        <v>7</v>
      </c>
      <c r="C115" s="14" t="s">
        <v>101</v>
      </c>
      <c r="D115" s="8" t="s">
        <v>102</v>
      </c>
      <c r="E115" s="53">
        <f>COUNTIFS('TOTAL KONTAK ERAT'!$F:$F,"Betokan")</f>
        <v>0</v>
      </c>
      <c r="F115" s="17" t="e">
        <f>SUM(#REF!)</f>
        <v>#REF!</v>
      </c>
      <c r="G115" s="17" t="e">
        <f>SUM(#REF!)</f>
        <v>#REF!</v>
      </c>
      <c r="H115" s="17" t="e">
        <f>SUM(#REF!)</f>
        <v>#REF!</v>
      </c>
      <c r="I115" s="17" t="e">
        <f>SUM(#REF!)</f>
        <v>#REF!</v>
      </c>
      <c r="J115" s="17" t="e">
        <f>SUM(#REF!)</f>
        <v>#REF!</v>
      </c>
      <c r="K115" s="17" t="e">
        <f>SUM(#REF!)</f>
        <v>#REF!</v>
      </c>
      <c r="L115" s="17" t="e">
        <f>SUM(#REF!)</f>
        <v>#REF!</v>
      </c>
      <c r="M115" s="17">
        <f>SUM(E115:E133)</f>
        <v>13</v>
      </c>
      <c r="N115" s="17" t="e">
        <f>SUM(#REF!)</f>
        <v>#REF!</v>
      </c>
      <c r="Q115" s="34">
        <f t="shared" si="1"/>
        <v>0</v>
      </c>
      <c r="R115" s="113">
        <f>SUM(Q115:Q133)</f>
        <v>13</v>
      </c>
    </row>
    <row r="116" spans="2:18" x14ac:dyDescent="0.25">
      <c r="B116" s="43"/>
      <c r="C116" s="14" t="s">
        <v>101</v>
      </c>
      <c r="D116" s="8" t="s">
        <v>103</v>
      </c>
      <c r="E116" s="53">
        <f>COUNTIFS('TOTAL KONTAK ERAT'!$F:$F,"Kalicilik")</f>
        <v>0</v>
      </c>
      <c r="F116" s="17"/>
      <c r="G116" s="18"/>
      <c r="H116" s="18"/>
      <c r="I116" s="18"/>
      <c r="J116" s="18"/>
      <c r="K116" s="18"/>
      <c r="L116" s="19"/>
      <c r="M116" s="19"/>
      <c r="N116" s="19"/>
      <c r="Q116" s="34">
        <f t="shared" si="1"/>
        <v>0</v>
      </c>
      <c r="R116" s="8"/>
    </row>
    <row r="117" spans="2:18" x14ac:dyDescent="0.25">
      <c r="B117" s="43"/>
      <c r="C117" s="14" t="s">
        <v>101</v>
      </c>
      <c r="D117" s="8" t="s">
        <v>104</v>
      </c>
      <c r="E117" s="53">
        <f>COUNTIFS('TOTAL KONTAK ERAT'!$F:$F,"Kadilangu")</f>
        <v>11</v>
      </c>
      <c r="F117" s="17"/>
      <c r="G117" s="18"/>
      <c r="H117" s="18"/>
      <c r="I117" s="18"/>
      <c r="J117" s="18"/>
      <c r="K117" s="18"/>
      <c r="L117" s="19"/>
      <c r="M117" s="19"/>
      <c r="N117" s="19"/>
      <c r="Q117" s="34">
        <f t="shared" si="1"/>
        <v>11</v>
      </c>
      <c r="R117" s="8"/>
    </row>
    <row r="118" spans="2:18" x14ac:dyDescent="0.25">
      <c r="B118" s="43"/>
      <c r="C118" s="14" t="s">
        <v>101</v>
      </c>
      <c r="D118" s="8" t="s">
        <v>105</v>
      </c>
      <c r="E118" s="53">
        <f>COUNTIFS('TOTAL KONTAK ERAT'!$F:$F,"Singorejo")</f>
        <v>0</v>
      </c>
      <c r="F118" s="17"/>
      <c r="G118" s="18"/>
      <c r="H118" s="18"/>
      <c r="I118" s="18"/>
      <c r="J118" s="18"/>
      <c r="K118" s="18"/>
      <c r="L118" s="19"/>
      <c r="M118" s="19"/>
      <c r="N118" s="19"/>
      <c r="Q118" s="34">
        <f t="shared" si="1"/>
        <v>0</v>
      </c>
      <c r="R118" s="8"/>
    </row>
    <row r="119" spans="2:18" x14ac:dyDescent="0.25">
      <c r="B119" s="43"/>
      <c r="C119" s="14" t="s">
        <v>101</v>
      </c>
      <c r="D119" s="8" t="s">
        <v>106</v>
      </c>
      <c r="E119" s="53">
        <f>COUNTIFS('TOTAL KONTAK ERAT'!$F:$F,"Karangmlati")</f>
        <v>0</v>
      </c>
      <c r="F119" s="17"/>
      <c r="G119" s="18"/>
      <c r="H119" s="18"/>
      <c r="I119" s="18"/>
      <c r="J119" s="18"/>
      <c r="K119" s="18"/>
      <c r="L119" s="19"/>
      <c r="M119" s="19"/>
      <c r="N119" s="19"/>
      <c r="Q119" s="34">
        <f t="shared" si="1"/>
        <v>0</v>
      </c>
      <c r="R119" s="8"/>
    </row>
    <row r="120" spans="2:18" x14ac:dyDescent="0.25">
      <c r="B120" s="43"/>
      <c r="C120" s="14" t="s">
        <v>101</v>
      </c>
      <c r="D120" s="8" t="s">
        <v>107</v>
      </c>
      <c r="E120" s="53">
        <f>COUNTIFS('TOTAL KONTAK ERAT'!$F:$F,"Bintoro")</f>
        <v>0</v>
      </c>
      <c r="F120" s="17"/>
      <c r="G120" s="18"/>
      <c r="H120" s="18"/>
      <c r="I120" s="18"/>
      <c r="J120" s="18"/>
      <c r="K120" s="18"/>
      <c r="L120" s="19"/>
      <c r="M120" s="19"/>
      <c r="N120" s="19"/>
      <c r="Q120" s="34">
        <f t="shared" si="1"/>
        <v>0</v>
      </c>
      <c r="R120" s="8"/>
    </row>
    <row r="121" spans="2:18" x14ac:dyDescent="0.25">
      <c r="B121" s="43"/>
      <c r="C121" s="14" t="s">
        <v>101</v>
      </c>
      <c r="D121" s="8" t="s">
        <v>108</v>
      </c>
      <c r="E121" s="53">
        <f>COUNTIFS('TOTAL KONTAK ERAT'!$F:$F,"Turirejo")</f>
        <v>0</v>
      </c>
      <c r="F121" s="17"/>
      <c r="G121" s="18"/>
      <c r="H121" s="18"/>
      <c r="I121" s="18"/>
      <c r="J121" s="18"/>
      <c r="K121" s="18"/>
      <c r="L121" s="19"/>
      <c r="M121" s="19"/>
      <c r="N121" s="19"/>
      <c r="Q121" s="34">
        <f t="shared" si="1"/>
        <v>0</v>
      </c>
      <c r="R121" s="8"/>
    </row>
    <row r="122" spans="2:18" x14ac:dyDescent="0.25">
      <c r="B122" s="43"/>
      <c r="C122" s="14" t="s">
        <v>101</v>
      </c>
      <c r="D122" s="8" t="s">
        <v>56</v>
      </c>
      <c r="E122" s="53">
        <f>COUNTIFS('TOTAL KONTAK ERAT'!$F:$F,"Kedondong",'TOTAL KONTAK ERAT'!$E:$E,"demak")</f>
        <v>0</v>
      </c>
      <c r="F122" s="17"/>
      <c r="G122" s="18"/>
      <c r="H122" s="18"/>
      <c r="I122" s="18"/>
      <c r="J122" s="18"/>
      <c r="K122" s="18"/>
      <c r="L122" s="19"/>
      <c r="M122" s="19"/>
      <c r="N122" s="19"/>
      <c r="P122"/>
      <c r="Q122" s="34">
        <f t="shared" si="1"/>
        <v>0</v>
      </c>
      <c r="R122" s="8"/>
    </row>
    <row r="123" spans="2:18" x14ac:dyDescent="0.25">
      <c r="B123" s="43"/>
      <c r="C123" s="14" t="s">
        <v>101</v>
      </c>
      <c r="D123" s="48" t="s">
        <v>109</v>
      </c>
      <c r="E123" s="53">
        <f>COUNTIFS('TOTAL KONTAK ERAT'!$F:$F,"Bango")</f>
        <v>0</v>
      </c>
      <c r="F123" s="17"/>
      <c r="G123" s="18"/>
      <c r="H123" s="18"/>
      <c r="I123" s="18"/>
      <c r="J123" s="18"/>
      <c r="K123" s="18"/>
      <c r="L123" s="19"/>
      <c r="M123" s="19"/>
      <c r="N123" s="19"/>
      <c r="Q123" s="34">
        <f t="shared" si="1"/>
        <v>0</v>
      </c>
      <c r="R123" s="8"/>
    </row>
    <row r="124" spans="2:18" x14ac:dyDescent="0.25">
      <c r="B124" s="43"/>
      <c r="C124" s="14" t="s">
        <v>101</v>
      </c>
      <c r="D124" s="8" t="s">
        <v>110</v>
      </c>
      <c r="E124" s="53">
        <f>COUNTIFS('TOTAL KONTAK ERAT'!$F:$F,"Raji")</f>
        <v>0</v>
      </c>
      <c r="F124" s="17"/>
      <c r="G124" s="18"/>
      <c r="H124" s="18"/>
      <c r="I124" s="18"/>
      <c r="J124" s="18"/>
      <c r="K124" s="18"/>
      <c r="L124" s="19"/>
      <c r="M124" s="19"/>
      <c r="N124" s="19"/>
      <c r="Q124" s="34">
        <f t="shared" si="1"/>
        <v>0</v>
      </c>
      <c r="R124" s="8"/>
    </row>
    <row r="125" spans="2:18" x14ac:dyDescent="0.25">
      <c r="B125" s="43"/>
      <c r="C125" s="14" t="s">
        <v>101</v>
      </c>
      <c r="D125" s="8" t="s">
        <v>111</v>
      </c>
      <c r="E125" s="53">
        <f>COUNTIFS('TOTAL KONTAK ERAT'!$F:$F,"Mulyorejo")</f>
        <v>0</v>
      </c>
      <c r="F125" s="17"/>
      <c r="G125" s="18"/>
      <c r="H125" s="18"/>
      <c r="I125" s="18"/>
      <c r="J125" s="18"/>
      <c r="K125" s="18"/>
      <c r="L125" s="19"/>
      <c r="M125" s="19"/>
      <c r="N125" s="19"/>
      <c r="Q125" s="34">
        <f t="shared" si="1"/>
        <v>0</v>
      </c>
      <c r="R125" s="8"/>
    </row>
    <row r="126" spans="2:18" x14ac:dyDescent="0.25">
      <c r="B126" s="43"/>
      <c r="C126" s="14" t="s">
        <v>101</v>
      </c>
      <c r="D126" s="8" t="s">
        <v>112</v>
      </c>
      <c r="E126" s="53">
        <f>COUNTIFS('TOTAL KONTAK ERAT'!$F:$F,"Sedo")</f>
        <v>0</v>
      </c>
      <c r="F126" s="17"/>
      <c r="G126" s="18"/>
      <c r="H126" s="18"/>
      <c r="I126" s="18"/>
      <c r="J126" s="18"/>
      <c r="K126" s="18"/>
      <c r="L126" s="19"/>
      <c r="M126" s="19"/>
      <c r="N126" s="19"/>
      <c r="Q126" s="34">
        <f t="shared" si="1"/>
        <v>0</v>
      </c>
      <c r="R126" s="8"/>
    </row>
    <row r="127" spans="2:18" x14ac:dyDescent="0.25">
      <c r="B127" s="43"/>
      <c r="C127" s="14" t="s">
        <v>101</v>
      </c>
      <c r="D127" s="48" t="s">
        <v>113</v>
      </c>
      <c r="E127" s="53">
        <f>COUNTIFS('TOTAL KONTAK ERAT'!$F:$F,"Bolo")</f>
        <v>0</v>
      </c>
      <c r="F127" s="17"/>
      <c r="G127" s="18"/>
      <c r="H127" s="18"/>
      <c r="I127" s="18"/>
      <c r="J127" s="18"/>
      <c r="K127" s="18"/>
      <c r="L127" s="19"/>
      <c r="M127" s="19"/>
      <c r="N127" s="19"/>
      <c r="Q127" s="34">
        <f t="shared" si="1"/>
        <v>0</v>
      </c>
      <c r="R127" s="8"/>
    </row>
    <row r="128" spans="2:18" x14ac:dyDescent="0.25">
      <c r="B128" s="43"/>
      <c r="C128" s="14" t="s">
        <v>101</v>
      </c>
      <c r="D128" s="8" t="s">
        <v>114</v>
      </c>
      <c r="E128" s="53">
        <f>COUNTIFS('TOTAL KONTAK ERAT'!$F:$F,"Katonsari")</f>
        <v>0</v>
      </c>
      <c r="F128" s="17"/>
      <c r="G128" s="18"/>
      <c r="H128" s="18"/>
      <c r="I128" s="18"/>
      <c r="J128" s="18"/>
      <c r="K128" s="18"/>
      <c r="L128" s="19"/>
      <c r="M128" s="19"/>
      <c r="N128" s="19"/>
      <c r="Q128" s="34">
        <f t="shared" si="1"/>
        <v>0</v>
      </c>
      <c r="R128" s="8"/>
    </row>
    <row r="129" spans="2:18" x14ac:dyDescent="0.25">
      <c r="B129" s="43"/>
      <c r="C129" s="14" t="s">
        <v>101</v>
      </c>
      <c r="D129" s="8" t="s">
        <v>115</v>
      </c>
      <c r="E129" s="53">
        <f>COUNTIFS('TOTAL KONTAK ERAT'!$F:$F,"Kalikondang")</f>
        <v>0</v>
      </c>
      <c r="F129" s="17"/>
      <c r="G129" s="18"/>
      <c r="H129" s="18"/>
      <c r="I129" s="18"/>
      <c r="J129" s="18"/>
      <c r="K129" s="18"/>
      <c r="L129" s="19"/>
      <c r="M129" s="19"/>
      <c r="N129" s="19"/>
      <c r="Q129" s="34">
        <f t="shared" si="1"/>
        <v>0</v>
      </c>
      <c r="R129" s="8"/>
    </row>
    <row r="130" spans="2:18" x14ac:dyDescent="0.25">
      <c r="B130" s="43"/>
      <c r="C130" s="14" t="s">
        <v>101</v>
      </c>
      <c r="D130" s="8" t="s">
        <v>116</v>
      </c>
      <c r="E130" s="53">
        <f>COUNTIFS('TOTAL KONTAK ERAT'!$F:$F,"Cabean")</f>
        <v>0</v>
      </c>
      <c r="F130" s="17"/>
      <c r="G130" s="18"/>
      <c r="H130" s="18"/>
      <c r="I130" s="18"/>
      <c r="J130" s="18"/>
      <c r="K130" s="18"/>
      <c r="L130" s="19"/>
      <c r="M130" s="19"/>
      <c r="N130" s="19"/>
      <c r="Q130" s="34">
        <f t="shared" si="1"/>
        <v>0</v>
      </c>
      <c r="R130" s="8"/>
    </row>
    <row r="131" spans="2:18" x14ac:dyDescent="0.25">
      <c r="B131" s="43"/>
      <c r="C131" s="14" t="s">
        <v>101</v>
      </c>
      <c r="D131" s="8" t="s">
        <v>117</v>
      </c>
      <c r="E131" s="53">
        <f>COUNTIFS('TOTAL KONTAK ERAT'!$F:$F,"Tempuran")</f>
        <v>2</v>
      </c>
      <c r="F131" s="17"/>
      <c r="G131" s="18"/>
      <c r="H131" s="18"/>
      <c r="I131" s="18"/>
      <c r="J131" s="18"/>
      <c r="K131" s="18"/>
      <c r="L131" s="19"/>
      <c r="M131" s="19"/>
      <c r="N131" s="19"/>
      <c r="Q131" s="34">
        <f t="shared" si="1"/>
        <v>2</v>
      </c>
      <c r="R131" s="8"/>
    </row>
    <row r="132" spans="2:18" x14ac:dyDescent="0.25">
      <c r="B132" s="43"/>
      <c r="C132" s="14" t="s">
        <v>101</v>
      </c>
      <c r="D132" s="8" t="s">
        <v>118</v>
      </c>
      <c r="E132" s="53">
        <f>COUNTIFS('TOTAL KONTAK ERAT'!$F:$F,"Donorojo")</f>
        <v>0</v>
      </c>
      <c r="F132" s="17"/>
      <c r="G132" s="18"/>
      <c r="H132" s="18"/>
      <c r="I132" s="18"/>
      <c r="J132" s="18"/>
      <c r="K132" s="18"/>
      <c r="L132" s="19"/>
      <c r="M132" s="19"/>
      <c r="N132" s="19"/>
      <c r="Q132" s="34">
        <f t="shared" si="1"/>
        <v>0</v>
      </c>
      <c r="R132" s="8"/>
    </row>
    <row r="133" spans="2:18" x14ac:dyDescent="0.25">
      <c r="B133" s="43"/>
      <c r="C133" s="14" t="s">
        <v>101</v>
      </c>
      <c r="D133" s="8" t="s">
        <v>119</v>
      </c>
      <c r="E133" s="53">
        <f>COUNTIFS('TOTAL KONTAK ERAT'!$F:$F,"Mangunjiwan")</f>
        <v>0</v>
      </c>
      <c r="F133" s="17"/>
      <c r="G133" s="18"/>
      <c r="H133" s="18"/>
      <c r="I133" s="18"/>
      <c r="J133" s="18"/>
      <c r="K133" s="18"/>
      <c r="L133" s="19"/>
      <c r="M133" s="19"/>
      <c r="N133" s="19"/>
      <c r="Q133" s="34">
        <f t="shared" si="1"/>
        <v>0</v>
      </c>
      <c r="R133" s="8"/>
    </row>
    <row r="134" spans="2:18" x14ac:dyDescent="0.25">
      <c r="B134" s="43">
        <v>8</v>
      </c>
      <c r="C134" s="14" t="s">
        <v>120</v>
      </c>
      <c r="D134" s="8" t="s">
        <v>121</v>
      </c>
      <c r="E134" s="53">
        <f>COUNTIFS('TOTAL KONTAK ERAT'!$F:$F,"Morodemak")</f>
        <v>0</v>
      </c>
      <c r="F134" s="17" t="e">
        <f>SUM(#REF!)</f>
        <v>#REF!</v>
      </c>
      <c r="G134" s="17" t="e">
        <f>SUM(#REF!)</f>
        <v>#REF!</v>
      </c>
      <c r="H134" s="17" t="e">
        <f>SUM(#REF!)</f>
        <v>#REF!</v>
      </c>
      <c r="I134" s="17" t="e">
        <f>SUM(#REF!)</f>
        <v>#REF!</v>
      </c>
      <c r="J134" s="17" t="e">
        <f>SUM(#REF!)</f>
        <v>#REF!</v>
      </c>
      <c r="K134" s="17" t="e">
        <f>SUM(#REF!)</f>
        <v>#REF!</v>
      </c>
      <c r="L134" s="17" t="e">
        <f>SUM(#REF!)</f>
        <v>#REF!</v>
      </c>
      <c r="M134" s="17">
        <f>SUM(E134:E154)</f>
        <v>29</v>
      </c>
      <c r="N134" s="17" t="e">
        <f>SUM(#REF!)</f>
        <v>#REF!</v>
      </c>
      <c r="Q134" s="34">
        <f t="shared" si="1"/>
        <v>0</v>
      </c>
      <c r="R134" s="113">
        <f>SUM(Q134:Q154)</f>
        <v>29</v>
      </c>
    </row>
    <row r="135" spans="2:18" x14ac:dyDescent="0.25">
      <c r="B135" s="43"/>
      <c r="C135" s="14" t="s">
        <v>120</v>
      </c>
      <c r="D135" s="8" t="s">
        <v>122</v>
      </c>
      <c r="E135" s="53">
        <f>COUNTIFS('TOTAL KONTAK ERAT'!$F:$F,"Purworejo")</f>
        <v>0</v>
      </c>
      <c r="F135" s="17"/>
      <c r="G135" s="18"/>
      <c r="H135" s="18"/>
      <c r="I135" s="18"/>
      <c r="J135" s="18"/>
      <c r="K135" s="18"/>
      <c r="L135" s="19"/>
      <c r="M135" s="19"/>
      <c r="N135" s="19"/>
      <c r="Q135" s="34">
        <f t="shared" si="1"/>
        <v>0</v>
      </c>
      <c r="R135" s="8"/>
    </row>
    <row r="136" spans="2:18" x14ac:dyDescent="0.25">
      <c r="B136" s="43"/>
      <c r="C136" s="14" t="s">
        <v>120</v>
      </c>
      <c r="D136" s="8" t="s">
        <v>8</v>
      </c>
      <c r="E136" s="53">
        <f>COUNTIFS('TOTAL KONTAK ERAT'!$F:$F,"Sumberejo",'TOTAL KONTAK ERAT'!$E:$E,"bonang")</f>
        <v>0</v>
      </c>
      <c r="F136" s="17"/>
      <c r="G136" s="18"/>
      <c r="H136" s="18"/>
      <c r="I136" s="18"/>
      <c r="J136" s="18"/>
      <c r="K136" s="18"/>
      <c r="L136" s="19"/>
      <c r="M136" s="19"/>
      <c r="N136" s="19"/>
      <c r="Q136" s="34">
        <f t="shared" ref="Q136:Q199" si="2">SUM(E136:E136)</f>
        <v>0</v>
      </c>
      <c r="R136" s="8"/>
    </row>
    <row r="137" spans="2:18" x14ac:dyDescent="0.25">
      <c r="B137" s="43"/>
      <c r="C137" s="14" t="s">
        <v>120</v>
      </c>
      <c r="D137" s="8" t="s">
        <v>123</v>
      </c>
      <c r="E137" s="53">
        <f>COUNTIFS('TOTAL KONTAK ERAT'!$F:$F,"Gebangarum")</f>
        <v>11</v>
      </c>
      <c r="F137" s="17"/>
      <c r="G137" s="18"/>
      <c r="H137" s="18"/>
      <c r="I137" s="18"/>
      <c r="J137" s="18"/>
      <c r="K137" s="18"/>
      <c r="L137" s="19"/>
      <c r="M137" s="19"/>
      <c r="N137" s="19"/>
      <c r="Q137" s="34">
        <f t="shared" si="2"/>
        <v>11</v>
      </c>
      <c r="R137" s="8"/>
    </row>
    <row r="138" spans="2:18" x14ac:dyDescent="0.25">
      <c r="B138" s="43"/>
      <c r="C138" s="14" t="s">
        <v>120</v>
      </c>
      <c r="D138" s="8" t="s">
        <v>124</v>
      </c>
      <c r="E138" s="53">
        <f>COUNTIFS('TOTAL KONTAK ERAT'!$F:$F,"Gebang")</f>
        <v>0</v>
      </c>
      <c r="F138" s="17"/>
      <c r="G138" s="18"/>
      <c r="H138" s="18"/>
      <c r="I138" s="18"/>
      <c r="J138" s="18"/>
      <c r="K138" s="18"/>
      <c r="L138" s="19"/>
      <c r="M138" s="19"/>
      <c r="N138" s="19"/>
      <c r="Q138" s="34">
        <f t="shared" si="2"/>
        <v>0</v>
      </c>
      <c r="R138" s="8"/>
    </row>
    <row r="139" spans="2:18" x14ac:dyDescent="0.25">
      <c r="B139" s="43"/>
      <c r="C139" s="14" t="s">
        <v>120</v>
      </c>
      <c r="D139" s="8" t="s">
        <v>125</v>
      </c>
      <c r="E139" s="53">
        <f>COUNTIFS('TOTAL KONTAK ERAT'!$F:$F,"Kembangan")</f>
        <v>0</v>
      </c>
      <c r="F139" s="17"/>
      <c r="G139" s="18"/>
      <c r="H139" s="18"/>
      <c r="I139" s="18"/>
      <c r="J139" s="18"/>
      <c r="K139" s="18"/>
      <c r="L139" s="19"/>
      <c r="M139" s="19"/>
      <c r="N139" s="19"/>
      <c r="Q139" s="34">
        <f t="shared" si="2"/>
        <v>0</v>
      </c>
      <c r="R139" s="8"/>
    </row>
    <row r="140" spans="2:18" x14ac:dyDescent="0.25">
      <c r="B140" s="43"/>
      <c r="C140" s="14" t="s">
        <v>120</v>
      </c>
      <c r="D140" s="8" t="s">
        <v>53</v>
      </c>
      <c r="E140" s="53">
        <f>COUNTIFS('TOTAL KONTAK ERAT'!$F:$F,"Karangrejo",'TOTAL KONTAK ERAT'!$E:$E,"bonang")</f>
        <v>0</v>
      </c>
      <c r="F140" s="17"/>
      <c r="G140" s="18"/>
      <c r="H140" s="18"/>
      <c r="I140" s="18"/>
      <c r="J140" s="18"/>
      <c r="K140" s="18"/>
      <c r="L140" s="19"/>
      <c r="M140" s="19"/>
      <c r="N140" s="19"/>
      <c r="Q140" s="34">
        <f t="shared" si="2"/>
        <v>0</v>
      </c>
      <c r="R140" s="8"/>
    </row>
    <row r="141" spans="2:18" x14ac:dyDescent="0.25">
      <c r="B141" s="43"/>
      <c r="C141" s="14" t="s">
        <v>120</v>
      </c>
      <c r="D141" s="8" t="s">
        <v>126</v>
      </c>
      <c r="E141" s="53">
        <f>COUNTIFS('TOTAL KONTAK ERAT'!$F:$F,"Sukodono")</f>
        <v>0</v>
      </c>
      <c r="F141" s="17"/>
      <c r="G141" s="18"/>
      <c r="H141" s="18"/>
      <c r="I141" s="18"/>
      <c r="J141" s="18"/>
      <c r="K141" s="18"/>
      <c r="L141" s="19"/>
      <c r="M141" s="19"/>
      <c r="N141" s="19"/>
      <c r="Q141" s="34">
        <f t="shared" si="2"/>
        <v>0</v>
      </c>
      <c r="R141" s="8"/>
    </row>
    <row r="142" spans="2:18" x14ac:dyDescent="0.25">
      <c r="B142" s="43"/>
      <c r="C142" s="14" t="s">
        <v>120</v>
      </c>
      <c r="D142" s="8" t="s">
        <v>127</v>
      </c>
      <c r="E142" s="53">
        <f>COUNTIFS('TOTAL KONTAK ERAT'!$F:$F,"Tlogoboyo")</f>
        <v>0</v>
      </c>
      <c r="F142" s="17"/>
      <c r="G142" s="18"/>
      <c r="H142" s="18"/>
      <c r="I142" s="18"/>
      <c r="J142" s="18"/>
      <c r="K142" s="18"/>
      <c r="L142" s="19"/>
      <c r="M142" s="19"/>
      <c r="N142" s="19"/>
      <c r="Q142" s="34">
        <f t="shared" si="2"/>
        <v>0</v>
      </c>
      <c r="R142" s="8"/>
    </row>
    <row r="143" spans="2:18" x14ac:dyDescent="0.25">
      <c r="B143" s="43"/>
      <c r="C143" s="14" t="s">
        <v>120</v>
      </c>
      <c r="D143" s="8" t="s">
        <v>128</v>
      </c>
      <c r="E143" s="53">
        <f>COUNTIFS('TOTAL KONTAK ERAT'!$F:$F,"Margolinduk")</f>
        <v>0</v>
      </c>
      <c r="F143" s="17"/>
      <c r="G143" s="18"/>
      <c r="H143" s="18"/>
      <c r="I143" s="18"/>
      <c r="J143" s="18"/>
      <c r="K143" s="18"/>
      <c r="L143" s="19"/>
      <c r="M143" s="19"/>
      <c r="N143" s="19"/>
      <c r="Q143" s="34">
        <f t="shared" si="2"/>
        <v>0</v>
      </c>
      <c r="R143" s="8"/>
    </row>
    <row r="144" spans="2:18" x14ac:dyDescent="0.25">
      <c r="B144" s="43"/>
      <c r="C144" s="14" t="s">
        <v>120</v>
      </c>
      <c r="D144" s="8" t="s">
        <v>129</v>
      </c>
      <c r="E144" s="53">
        <f>COUNTIFS('TOTAL KONTAK ERAT'!$F:$F,"Tridonorejo")</f>
        <v>0</v>
      </c>
      <c r="F144" s="17"/>
      <c r="G144" s="18"/>
      <c r="H144" s="18"/>
      <c r="I144" s="18"/>
      <c r="J144" s="18"/>
      <c r="K144" s="18"/>
      <c r="L144" s="19"/>
      <c r="M144" s="19"/>
      <c r="N144" s="19"/>
      <c r="Q144" s="34">
        <f t="shared" si="2"/>
        <v>0</v>
      </c>
      <c r="R144" s="8"/>
    </row>
    <row r="145" spans="2:18" x14ac:dyDescent="0.25">
      <c r="B145" s="43"/>
      <c r="C145" s="14" t="s">
        <v>120</v>
      </c>
      <c r="D145" s="8" t="s">
        <v>130</v>
      </c>
      <c r="E145" s="53">
        <f>COUNTIFS('TOTAL KONTAK ERAT'!$F:$F,"Wonosari")</f>
        <v>0</v>
      </c>
      <c r="F145" s="17"/>
      <c r="G145" s="18"/>
      <c r="H145" s="18"/>
      <c r="I145" s="18"/>
      <c r="J145" s="18"/>
      <c r="K145" s="18"/>
      <c r="L145" s="19"/>
      <c r="M145" s="19"/>
      <c r="N145" s="19"/>
      <c r="Q145" s="34">
        <f t="shared" si="2"/>
        <v>0</v>
      </c>
      <c r="R145" s="8"/>
    </row>
    <row r="146" spans="2:18" x14ac:dyDescent="0.25">
      <c r="B146" s="43"/>
      <c r="C146" s="14" t="s">
        <v>120</v>
      </c>
      <c r="D146" s="8" t="s">
        <v>131</v>
      </c>
      <c r="E146" s="53">
        <f>COUNTIFS('TOTAL KONTAK ERAT'!$F:$F,"Jatirogo")</f>
        <v>0</v>
      </c>
      <c r="F146" s="17"/>
      <c r="G146" s="18"/>
      <c r="H146" s="18"/>
      <c r="I146" s="18"/>
      <c r="J146" s="18"/>
      <c r="K146" s="18"/>
      <c r="L146" s="19"/>
      <c r="M146" s="19"/>
      <c r="N146" s="19"/>
      <c r="Q146" s="34">
        <f t="shared" si="2"/>
        <v>0</v>
      </c>
      <c r="R146" s="8"/>
    </row>
    <row r="147" spans="2:18" x14ac:dyDescent="0.25">
      <c r="B147" s="43"/>
      <c r="C147" s="14" t="s">
        <v>120</v>
      </c>
      <c r="D147" s="8" t="s">
        <v>132</v>
      </c>
      <c r="E147" s="53">
        <f>COUNTIFS('TOTAL KONTAK ERAT'!$F:$F,"Poncoharjo")</f>
        <v>0</v>
      </c>
      <c r="F147" s="17"/>
      <c r="G147" s="18"/>
      <c r="H147" s="18"/>
      <c r="I147" s="18"/>
      <c r="J147" s="18"/>
      <c r="K147" s="18"/>
      <c r="L147" s="19"/>
      <c r="M147" s="19"/>
      <c r="N147" s="19"/>
      <c r="Q147" s="34">
        <f t="shared" si="2"/>
        <v>0</v>
      </c>
      <c r="R147" s="8"/>
    </row>
    <row r="148" spans="2:18" x14ac:dyDescent="0.25">
      <c r="B148" s="43"/>
      <c r="C148" s="14" t="s">
        <v>120</v>
      </c>
      <c r="D148" s="8" t="s">
        <v>133</v>
      </c>
      <c r="E148" s="53">
        <f>COUNTIFS('TOTAL KONTAK ERAT'!$F:$F,"Jali")</f>
        <v>0</v>
      </c>
      <c r="F148" s="17"/>
      <c r="G148" s="18"/>
      <c r="H148" s="18"/>
      <c r="I148" s="18"/>
      <c r="J148" s="18"/>
      <c r="K148" s="18"/>
      <c r="L148" s="19"/>
      <c r="M148" s="19"/>
      <c r="N148" s="19"/>
      <c r="Q148" s="34">
        <f t="shared" si="2"/>
        <v>0</v>
      </c>
      <c r="R148" s="8"/>
    </row>
    <row r="149" spans="2:18" x14ac:dyDescent="0.25">
      <c r="B149" s="43"/>
      <c r="C149" s="14" t="s">
        <v>120</v>
      </c>
      <c r="D149" s="8" t="s">
        <v>134</v>
      </c>
      <c r="E149" s="53">
        <f>COUNTIFS('TOTAL KONTAK ERAT'!$F:$F,"Krajanbogo")</f>
        <v>0</v>
      </c>
      <c r="F149" s="17"/>
      <c r="G149" s="18"/>
      <c r="H149" s="18"/>
      <c r="I149" s="18"/>
      <c r="J149" s="18"/>
      <c r="K149" s="18"/>
      <c r="L149" s="19"/>
      <c r="M149" s="19"/>
      <c r="N149" s="19"/>
      <c r="Q149" s="34">
        <f t="shared" si="2"/>
        <v>0</v>
      </c>
      <c r="R149" s="8"/>
    </row>
    <row r="150" spans="2:18" x14ac:dyDescent="0.25">
      <c r="B150" s="43"/>
      <c r="C150" s="14" t="s">
        <v>120</v>
      </c>
      <c r="D150" s="8" t="s">
        <v>135</v>
      </c>
      <c r="E150" s="53">
        <f>COUNTIFS('TOTAL KONTAK ERAT'!$F:$F,"Serangan")</f>
        <v>12</v>
      </c>
      <c r="F150" s="17"/>
      <c r="G150" s="18"/>
      <c r="H150" s="18"/>
      <c r="I150" s="18"/>
      <c r="J150" s="18"/>
      <c r="K150" s="18"/>
      <c r="L150" s="19"/>
      <c r="M150" s="19"/>
      <c r="N150" s="19"/>
      <c r="Q150" s="34">
        <f t="shared" si="2"/>
        <v>12</v>
      </c>
      <c r="R150" s="8"/>
    </row>
    <row r="151" spans="2:18" x14ac:dyDescent="0.25">
      <c r="B151" s="43"/>
      <c r="C151" s="14" t="s">
        <v>120</v>
      </c>
      <c r="D151" s="48" t="s">
        <v>136</v>
      </c>
      <c r="E151" s="53">
        <f>COUNTIFS('TOTAL KONTAK ERAT'!$F:$F,"Betahwalang")</f>
        <v>6</v>
      </c>
      <c r="F151" s="17"/>
      <c r="G151" s="18"/>
      <c r="H151" s="18"/>
      <c r="I151" s="18"/>
      <c r="J151" s="18"/>
      <c r="K151" s="18"/>
      <c r="L151" s="19"/>
      <c r="M151" s="19"/>
      <c r="N151" s="19"/>
      <c r="Q151" s="34">
        <f t="shared" si="2"/>
        <v>6</v>
      </c>
      <c r="R151" s="8"/>
    </row>
    <row r="152" spans="2:18" x14ac:dyDescent="0.25">
      <c r="B152" s="43"/>
      <c r="C152" s="14" t="s">
        <v>120</v>
      </c>
      <c r="D152" s="8" t="s">
        <v>137</v>
      </c>
      <c r="E152" s="53">
        <f>COUNTIFS('TOTAL KONTAK ERAT'!$F:$F,"Jatimulyo")</f>
        <v>0</v>
      </c>
      <c r="F152" s="17"/>
      <c r="G152" s="18"/>
      <c r="H152" s="18"/>
      <c r="I152" s="18"/>
      <c r="J152" s="18"/>
      <c r="K152" s="18"/>
      <c r="L152" s="19"/>
      <c r="M152" s="19"/>
      <c r="N152" s="19"/>
      <c r="Q152" s="34">
        <f t="shared" si="2"/>
        <v>0</v>
      </c>
      <c r="R152" s="8"/>
    </row>
    <row r="153" spans="2:18" x14ac:dyDescent="0.25">
      <c r="B153" s="43"/>
      <c r="C153" s="14" t="s">
        <v>120</v>
      </c>
      <c r="D153" s="8" t="s">
        <v>138</v>
      </c>
      <c r="E153" s="53">
        <f>COUNTIFS('TOTAL KONTAK ERAT'!$F:$F,"Weding")</f>
        <v>0</v>
      </c>
      <c r="F153" s="17"/>
      <c r="G153" s="18"/>
      <c r="H153" s="18"/>
      <c r="I153" s="18"/>
      <c r="J153" s="18"/>
      <c r="K153" s="18"/>
      <c r="L153" s="19"/>
      <c r="M153" s="19"/>
      <c r="N153" s="19"/>
      <c r="Q153" s="34">
        <f t="shared" si="2"/>
        <v>0</v>
      </c>
      <c r="R153" s="8"/>
    </row>
    <row r="154" spans="2:18" x14ac:dyDescent="0.25">
      <c r="B154" s="43"/>
      <c r="C154" s="14" t="s">
        <v>120</v>
      </c>
      <c r="D154" s="8" t="s">
        <v>139</v>
      </c>
      <c r="E154" s="53">
        <f>COUNTIFS('TOTAL KONTAK ERAT'!$F:$F,"Bonangrejo")</f>
        <v>0</v>
      </c>
      <c r="F154" s="17"/>
      <c r="G154" s="18"/>
      <c r="H154" s="18"/>
      <c r="I154" s="18"/>
      <c r="J154" s="18"/>
      <c r="K154" s="18"/>
      <c r="L154" s="19"/>
      <c r="M154" s="19"/>
      <c r="N154" s="19"/>
      <c r="Q154" s="34">
        <f t="shared" si="2"/>
        <v>0</v>
      </c>
      <c r="R154" s="8"/>
    </row>
    <row r="155" spans="2:18" ht="15" customHeight="1" x14ac:dyDescent="0.25">
      <c r="B155" s="43">
        <v>9</v>
      </c>
      <c r="C155" s="14" t="s">
        <v>140</v>
      </c>
      <c r="D155" s="8" t="s">
        <v>141</v>
      </c>
      <c r="E155" s="53">
        <f>COUNTIFS('TOTAL KONTAK ERAT'!$F:$F,"Temuroso")</f>
        <v>0</v>
      </c>
      <c r="F155" s="17" t="e">
        <f>SUM(#REF!)</f>
        <v>#REF!</v>
      </c>
      <c r="G155" s="17" t="e">
        <f>SUM(#REF!)</f>
        <v>#REF!</v>
      </c>
      <c r="H155" s="17" t="e">
        <f>SUM(#REF!)</f>
        <v>#REF!</v>
      </c>
      <c r="I155" s="17" t="e">
        <f>SUM(#REF!)</f>
        <v>#REF!</v>
      </c>
      <c r="J155" s="17" t="e">
        <f>SUM(#REF!)</f>
        <v>#REF!</v>
      </c>
      <c r="K155" s="17" t="e">
        <f>SUM(#REF!)</f>
        <v>#REF!</v>
      </c>
      <c r="L155" s="17" t="e">
        <f>SUM(#REF!)</f>
        <v>#REF!</v>
      </c>
      <c r="M155" s="17">
        <f>SUM(E155:E174)</f>
        <v>0</v>
      </c>
      <c r="N155" s="17" t="e">
        <f>SUM(#REF!)</f>
        <v>#REF!</v>
      </c>
      <c r="Q155" s="34">
        <f t="shared" si="2"/>
        <v>0</v>
      </c>
      <c r="R155" s="113">
        <f>SUM(Q155:Q174)</f>
        <v>0</v>
      </c>
    </row>
    <row r="156" spans="2:18" ht="15" customHeight="1" x14ac:dyDescent="0.25">
      <c r="B156" s="43"/>
      <c r="C156" s="14" t="s">
        <v>140</v>
      </c>
      <c r="D156" s="8" t="s">
        <v>142</v>
      </c>
      <c r="E156" s="53">
        <f>COUNTIFS('TOTAL KONTAK ERAT'!$F:$F,"Turitempel")</f>
        <v>0</v>
      </c>
      <c r="F156" s="17"/>
      <c r="G156" s="18"/>
      <c r="H156" s="18"/>
      <c r="I156" s="18"/>
      <c r="J156" s="18"/>
      <c r="K156" s="18"/>
      <c r="L156" s="19"/>
      <c r="M156" s="19"/>
      <c r="N156" s="19"/>
      <c r="Q156" s="34">
        <f t="shared" si="2"/>
        <v>0</v>
      </c>
      <c r="R156" s="8"/>
    </row>
    <row r="157" spans="2:18" ht="15" customHeight="1" x14ac:dyDescent="0.25">
      <c r="B157" s="43"/>
      <c r="C157" s="14" t="s">
        <v>140</v>
      </c>
      <c r="D157" s="8" t="s">
        <v>143</v>
      </c>
      <c r="E157" s="53">
        <f>COUNTIFS('TOTAL KONTAK ERAT'!$F:$F,"Tlogoweru")</f>
        <v>0</v>
      </c>
      <c r="F157" s="17"/>
      <c r="G157" s="18"/>
      <c r="H157" s="18"/>
      <c r="I157" s="18"/>
      <c r="J157" s="18"/>
      <c r="K157" s="18"/>
      <c r="L157" s="19"/>
      <c r="M157" s="19"/>
      <c r="N157" s="19"/>
      <c r="Q157" s="34">
        <f t="shared" si="2"/>
        <v>0</v>
      </c>
      <c r="R157" s="8"/>
    </row>
    <row r="158" spans="2:18" ht="15" customHeight="1" x14ac:dyDescent="0.25">
      <c r="B158" s="43"/>
      <c r="C158" s="14" t="s">
        <v>140</v>
      </c>
      <c r="D158" s="8" t="s">
        <v>144</v>
      </c>
      <c r="E158" s="53">
        <f>COUNTIFS('TOTAL KONTAK ERAT'!$F:$F,"Trimulyo")</f>
        <v>0</v>
      </c>
      <c r="F158" s="17"/>
      <c r="G158" s="18"/>
      <c r="H158" s="18"/>
      <c r="I158" s="18"/>
      <c r="J158" s="18"/>
      <c r="K158" s="18"/>
      <c r="L158" s="19"/>
      <c r="M158" s="19"/>
      <c r="N158" s="19"/>
      <c r="Q158" s="34">
        <f t="shared" si="2"/>
        <v>0</v>
      </c>
      <c r="R158" s="8"/>
    </row>
    <row r="159" spans="2:18" ht="15" customHeight="1" x14ac:dyDescent="0.25">
      <c r="B159" s="43"/>
      <c r="C159" s="14" t="s">
        <v>140</v>
      </c>
      <c r="D159" s="8" t="s">
        <v>145</v>
      </c>
      <c r="E159" s="53">
        <f>COUNTIFS('TOTAL KONTAK ERAT'!$F:$F,"Bakalrejo")</f>
        <v>0</v>
      </c>
      <c r="F159" s="17"/>
      <c r="G159" s="18"/>
      <c r="H159" s="18"/>
      <c r="I159" s="18"/>
      <c r="J159" s="18"/>
      <c r="K159" s="18"/>
      <c r="L159" s="19"/>
      <c r="M159" s="19"/>
      <c r="N159" s="19"/>
      <c r="Q159" s="34">
        <f t="shared" si="2"/>
        <v>0</v>
      </c>
      <c r="R159" s="8"/>
    </row>
    <row r="160" spans="2:18" ht="15" customHeight="1" x14ac:dyDescent="0.25">
      <c r="B160" s="43"/>
      <c r="C160" s="14" t="s">
        <v>140</v>
      </c>
      <c r="D160" s="8" t="s">
        <v>50</v>
      </c>
      <c r="E160" s="53">
        <f>COUNTIFS('TOTAL KONTAK ERAT'!$F:$F,"Tlogorejo",'TOTAL KONTAK ERAT'!$E:$E,"guntur")</f>
        <v>0</v>
      </c>
      <c r="F160" s="17"/>
      <c r="G160" s="18"/>
      <c r="H160" s="18"/>
      <c r="I160" s="18"/>
      <c r="J160" s="18"/>
      <c r="K160" s="18"/>
      <c r="L160" s="19"/>
      <c r="M160" s="19"/>
      <c r="N160" s="19"/>
      <c r="Q160" s="34">
        <f t="shared" si="2"/>
        <v>0</v>
      </c>
      <c r="R160" s="8"/>
    </row>
    <row r="161" spans="2:18" ht="15" customHeight="1" x14ac:dyDescent="0.25">
      <c r="B161" s="43"/>
      <c r="C161" s="14" t="s">
        <v>140</v>
      </c>
      <c r="D161" s="8" t="s">
        <v>146</v>
      </c>
      <c r="E161" s="53">
        <f>COUNTIFS('TOTAL KONTAK ERAT'!$F:$F,"Bumiharjo")</f>
        <v>0</v>
      </c>
      <c r="F161" s="17"/>
      <c r="G161" s="18"/>
      <c r="H161" s="18"/>
      <c r="I161" s="18"/>
      <c r="J161" s="18"/>
      <c r="K161" s="18"/>
      <c r="L161" s="19"/>
      <c r="M161" s="19"/>
      <c r="N161" s="19"/>
      <c r="Q161" s="34">
        <f t="shared" si="2"/>
        <v>0</v>
      </c>
      <c r="R161" s="8"/>
    </row>
    <row r="162" spans="2:18" ht="15" customHeight="1" x14ac:dyDescent="0.25">
      <c r="B162" s="43"/>
      <c r="C162" s="14" t="s">
        <v>140</v>
      </c>
      <c r="D162" s="8" t="s">
        <v>147</v>
      </c>
      <c r="E162" s="53">
        <f>COUNTIFS('TOTAL KONTAK ERAT'!$F:$F,"Sidoharjo")</f>
        <v>0</v>
      </c>
      <c r="F162" s="17"/>
      <c r="G162" s="18"/>
      <c r="H162" s="18"/>
      <c r="I162" s="18"/>
      <c r="J162" s="18"/>
      <c r="K162" s="18"/>
      <c r="L162" s="19"/>
      <c r="M162" s="19"/>
      <c r="N162" s="19"/>
      <c r="Q162" s="34">
        <f t="shared" si="2"/>
        <v>0</v>
      </c>
      <c r="R162" s="8"/>
    </row>
    <row r="163" spans="2:18" ht="15" customHeight="1" x14ac:dyDescent="0.25">
      <c r="B163" s="43"/>
      <c r="C163" s="14" t="s">
        <v>140</v>
      </c>
      <c r="D163" s="8" t="s">
        <v>148</v>
      </c>
      <c r="E163" s="53">
        <f>COUNTIFS('TOTAL KONTAK ERAT'!$F:$F,"Bogosari")</f>
        <v>0</v>
      </c>
      <c r="F163" s="17"/>
      <c r="G163" s="18"/>
      <c r="H163" s="18"/>
      <c r="I163" s="18"/>
      <c r="J163" s="18"/>
      <c r="K163" s="18"/>
      <c r="L163" s="19"/>
      <c r="M163" s="19"/>
      <c r="N163" s="19"/>
      <c r="Q163" s="34">
        <f t="shared" si="2"/>
        <v>0</v>
      </c>
      <c r="R163" s="8"/>
    </row>
    <row r="164" spans="2:18" ht="15" customHeight="1" x14ac:dyDescent="0.25">
      <c r="B164" s="43"/>
      <c r="C164" s="14" t="s">
        <v>140</v>
      </c>
      <c r="D164" s="8" t="s">
        <v>149</v>
      </c>
      <c r="E164" s="53">
        <f>COUNTIFS('TOTAL KONTAK ERAT'!$F:$F,"Guntur")</f>
        <v>0</v>
      </c>
      <c r="F164" s="17"/>
      <c r="G164" s="18"/>
      <c r="H164" s="18"/>
      <c r="I164" s="18"/>
      <c r="J164" s="18"/>
      <c r="K164" s="18"/>
      <c r="L164" s="19"/>
      <c r="M164" s="19"/>
      <c r="N164" s="19"/>
      <c r="Q164" s="34">
        <f t="shared" si="2"/>
        <v>0</v>
      </c>
      <c r="R164" s="8"/>
    </row>
    <row r="165" spans="2:18" ht="15" customHeight="1" x14ac:dyDescent="0.25">
      <c r="B165" s="43"/>
      <c r="C165" s="14" t="s">
        <v>140</v>
      </c>
      <c r="D165" s="8" t="s">
        <v>150</v>
      </c>
      <c r="E165" s="53">
        <f>COUNTIFS('TOTAL KONTAK ERAT'!$F:$F,"Blerong")</f>
        <v>0</v>
      </c>
      <c r="F165" s="17"/>
      <c r="G165" s="18"/>
      <c r="H165" s="18"/>
      <c r="I165" s="18"/>
      <c r="J165" s="18"/>
      <c r="K165" s="18"/>
      <c r="L165" s="19"/>
      <c r="M165" s="19"/>
      <c r="N165" s="19"/>
      <c r="Q165" s="34">
        <f t="shared" si="2"/>
        <v>0</v>
      </c>
      <c r="R165" s="8"/>
    </row>
    <row r="166" spans="2:18" ht="15" customHeight="1" x14ac:dyDescent="0.25">
      <c r="B166" s="43"/>
      <c r="C166" s="14" t="s">
        <v>140</v>
      </c>
      <c r="D166" s="8" t="s">
        <v>151</v>
      </c>
      <c r="E166" s="53">
        <f>COUNTIFS('TOTAL KONTAK ERAT'!$F:$F,"Pamongan")</f>
        <v>0</v>
      </c>
      <c r="F166" s="17"/>
      <c r="G166" s="18"/>
      <c r="H166" s="18"/>
      <c r="I166" s="18"/>
      <c r="J166" s="18"/>
      <c r="K166" s="18"/>
      <c r="L166" s="19"/>
      <c r="M166" s="19"/>
      <c r="N166" s="19"/>
      <c r="Q166" s="34">
        <f t="shared" si="2"/>
        <v>0</v>
      </c>
      <c r="R166" s="8"/>
    </row>
    <row r="167" spans="2:18" ht="15" customHeight="1" x14ac:dyDescent="0.25">
      <c r="B167" s="43"/>
      <c r="C167" s="14" t="s">
        <v>140</v>
      </c>
      <c r="D167" s="8" t="s">
        <v>152</v>
      </c>
      <c r="E167" s="53">
        <f>COUNTIFS('TOTAL KONTAK ERAT'!$F:$F,"Sukorejo")</f>
        <v>0</v>
      </c>
      <c r="F167" s="17"/>
      <c r="G167" s="18"/>
      <c r="H167" s="18"/>
      <c r="I167" s="18"/>
      <c r="J167" s="18"/>
      <c r="K167" s="18"/>
      <c r="L167" s="19"/>
      <c r="M167" s="19"/>
      <c r="N167" s="19"/>
      <c r="Q167" s="34">
        <f t="shared" si="2"/>
        <v>0</v>
      </c>
      <c r="R167" s="8"/>
    </row>
    <row r="168" spans="2:18" ht="15" customHeight="1" x14ac:dyDescent="0.25">
      <c r="B168" s="43"/>
      <c r="C168" s="14" t="s">
        <v>140</v>
      </c>
      <c r="D168" s="8" t="s">
        <v>153</v>
      </c>
      <c r="E168" s="53">
        <f>COUNTIFS('TOTAL KONTAK ERAT'!$F:$F,"Sarirejo")</f>
        <v>0</v>
      </c>
      <c r="F168" s="17"/>
      <c r="G168" s="18"/>
      <c r="H168" s="18"/>
      <c r="I168" s="18"/>
      <c r="J168" s="18"/>
      <c r="K168" s="18"/>
      <c r="L168" s="19"/>
      <c r="M168" s="19"/>
      <c r="N168" s="19"/>
      <c r="Q168" s="34">
        <f t="shared" si="2"/>
        <v>0</v>
      </c>
      <c r="R168" s="8"/>
    </row>
    <row r="169" spans="2:18" ht="15" customHeight="1" x14ac:dyDescent="0.25">
      <c r="B169" s="43"/>
      <c r="C169" s="14" t="s">
        <v>140</v>
      </c>
      <c r="D169" s="8" t="s">
        <v>154</v>
      </c>
      <c r="E169" s="53">
        <f>COUNTIFS('TOTAL KONTAK ERAT'!$F:$F,"Sidokumpul")</f>
        <v>0</v>
      </c>
      <c r="F169" s="17"/>
      <c r="G169" s="18"/>
      <c r="H169" s="18"/>
      <c r="I169" s="18"/>
      <c r="J169" s="18"/>
      <c r="K169" s="18"/>
      <c r="L169" s="19"/>
      <c r="M169" s="19"/>
      <c r="N169" s="19"/>
      <c r="Q169" s="34">
        <f t="shared" si="2"/>
        <v>0</v>
      </c>
      <c r="R169" s="8"/>
    </row>
    <row r="170" spans="2:18" ht="15" customHeight="1" x14ac:dyDescent="0.25">
      <c r="B170" s="43"/>
      <c r="C170" s="14" t="s">
        <v>140</v>
      </c>
      <c r="D170" s="8" t="s">
        <v>155</v>
      </c>
      <c r="E170" s="53">
        <f>COUNTIFS('TOTAL KONTAK ERAT'!$F:$F,"Gaji")</f>
        <v>0</v>
      </c>
      <c r="F170" s="17"/>
      <c r="G170" s="18"/>
      <c r="H170" s="18"/>
      <c r="I170" s="18"/>
      <c r="J170" s="18"/>
      <c r="K170" s="18"/>
      <c r="L170" s="19"/>
      <c r="M170" s="19"/>
      <c r="N170" s="19"/>
      <c r="Q170" s="34">
        <f t="shared" si="2"/>
        <v>0</v>
      </c>
      <c r="R170" s="8"/>
    </row>
    <row r="171" spans="2:18" ht="15" customHeight="1" x14ac:dyDescent="0.25">
      <c r="B171" s="43"/>
      <c r="C171" s="14" t="s">
        <v>140</v>
      </c>
      <c r="D171" s="8" t="s">
        <v>156</v>
      </c>
      <c r="E171" s="53">
        <f>COUNTIFS('TOTAL KONTAK ERAT'!$F:$F,"Banjarejo")</f>
        <v>0</v>
      </c>
      <c r="F171" s="17"/>
      <c r="G171" s="18"/>
      <c r="H171" s="18"/>
      <c r="I171" s="18"/>
      <c r="J171" s="18"/>
      <c r="K171" s="18"/>
      <c r="L171" s="19"/>
      <c r="M171" s="19"/>
      <c r="N171" s="19"/>
      <c r="Q171" s="34">
        <f t="shared" si="2"/>
        <v>0</v>
      </c>
      <c r="R171" s="8"/>
    </row>
    <row r="172" spans="2:18" ht="15" customHeight="1" x14ac:dyDescent="0.25">
      <c r="B172" s="43"/>
      <c r="C172" s="14" t="s">
        <v>140</v>
      </c>
      <c r="D172" s="8" t="s">
        <v>157</v>
      </c>
      <c r="E172" s="53">
        <f>COUNTIFS('TOTAL KONTAK ERAT'!$F:$F,"Krandon")</f>
        <v>0</v>
      </c>
      <c r="F172" s="17"/>
      <c r="G172" s="18"/>
      <c r="H172" s="18"/>
      <c r="I172" s="18"/>
      <c r="J172" s="18"/>
      <c r="K172" s="18"/>
      <c r="L172" s="19"/>
      <c r="M172" s="19"/>
      <c r="N172" s="19"/>
      <c r="Q172" s="34">
        <f t="shared" si="2"/>
        <v>0</v>
      </c>
      <c r="R172" s="8"/>
    </row>
    <row r="173" spans="2:18" ht="15" customHeight="1" x14ac:dyDescent="0.25">
      <c r="B173" s="43"/>
      <c r="C173" s="14" t="s">
        <v>140</v>
      </c>
      <c r="D173" s="8" t="s">
        <v>158</v>
      </c>
      <c r="E173" s="53">
        <f>COUNTIFS('TOTAL KONTAK ERAT'!$F:$F,"Tangkis")</f>
        <v>0</v>
      </c>
      <c r="F173" s="17"/>
      <c r="G173" s="18"/>
      <c r="H173" s="18"/>
      <c r="I173" s="18"/>
      <c r="J173" s="18"/>
      <c r="K173" s="18"/>
      <c r="L173" s="19"/>
      <c r="M173" s="19"/>
      <c r="N173" s="19"/>
      <c r="Q173" s="34">
        <f t="shared" si="2"/>
        <v>0</v>
      </c>
      <c r="R173" s="8"/>
    </row>
    <row r="174" spans="2:18" ht="15" customHeight="1" x14ac:dyDescent="0.25">
      <c r="B174" s="43"/>
      <c r="C174" s="14" t="s">
        <v>140</v>
      </c>
      <c r="D174" s="8" t="s">
        <v>80</v>
      </c>
      <c r="E174" s="53">
        <f>COUNTIFS('TOTAL KONTAK ERAT'!$F:$F,"Wonorejo",'TOTAL KONTAK ERAT'!$E:$E,"guntur")</f>
        <v>0</v>
      </c>
      <c r="F174" s="17"/>
      <c r="G174" s="18"/>
      <c r="H174" s="18"/>
      <c r="I174" s="18"/>
      <c r="J174" s="18"/>
      <c r="K174" s="18"/>
      <c r="L174" s="19"/>
      <c r="M174" s="19"/>
      <c r="N174" s="19"/>
      <c r="Q174" s="34">
        <f t="shared" si="2"/>
        <v>0</v>
      </c>
      <c r="R174" s="8"/>
    </row>
    <row r="175" spans="2:18" ht="15" customHeight="1" x14ac:dyDescent="0.25">
      <c r="B175" s="5">
        <v>10</v>
      </c>
      <c r="C175" s="14" t="s">
        <v>163</v>
      </c>
      <c r="D175" s="8" t="s">
        <v>159</v>
      </c>
      <c r="E175" s="53">
        <f>COUNTIFS('TOTAL KONTAK ERAT'!$F:$F,"Bumirejo")</f>
        <v>0</v>
      </c>
      <c r="F175" s="17" t="e">
        <f>SUM(#REF!)</f>
        <v>#REF!</v>
      </c>
      <c r="G175" s="17" t="e">
        <f>SUM(#REF!)</f>
        <v>#REF!</v>
      </c>
      <c r="H175" s="17" t="e">
        <f>SUM(#REF!)</f>
        <v>#REF!</v>
      </c>
      <c r="I175" s="17" t="e">
        <f>SUM(#REF!)</f>
        <v>#REF!</v>
      </c>
      <c r="J175" s="17" t="e">
        <f>SUM(#REF!)</f>
        <v>#REF!</v>
      </c>
      <c r="K175" s="17" t="e">
        <f>SUM(#REF!)</f>
        <v>#REF!</v>
      </c>
      <c r="L175" s="17" t="e">
        <f>SUM(#REF!)</f>
        <v>#REF!</v>
      </c>
      <c r="M175" s="17">
        <f>SUM(E175:E186)</f>
        <v>0</v>
      </c>
      <c r="N175" s="17" t="e">
        <f>SUM(#REF!)</f>
        <v>#REF!</v>
      </c>
      <c r="Q175" s="34">
        <f t="shared" si="2"/>
        <v>0</v>
      </c>
      <c r="R175" s="113">
        <f>SUM(Q175:Q186)</f>
        <v>0</v>
      </c>
    </row>
    <row r="176" spans="2:18" ht="15" customHeight="1" x14ac:dyDescent="0.25">
      <c r="B176" s="5"/>
      <c r="C176" s="14" t="s">
        <v>163</v>
      </c>
      <c r="D176" s="8" t="s">
        <v>160</v>
      </c>
      <c r="E176" s="53">
        <f>COUNTIFS('TOTAL KONTAK ERAT'!$F:$F,"Pundenarum")</f>
        <v>0</v>
      </c>
      <c r="F176" s="17"/>
      <c r="G176" s="18"/>
      <c r="H176" s="18"/>
      <c r="I176" s="18"/>
      <c r="J176" s="18"/>
      <c r="K176" s="18"/>
      <c r="L176" s="19"/>
      <c r="M176" s="19"/>
      <c r="N176" s="19"/>
      <c r="Q176" s="34">
        <f t="shared" si="2"/>
        <v>0</v>
      </c>
      <c r="R176" s="8"/>
    </row>
    <row r="177" spans="2:18" ht="15" customHeight="1" x14ac:dyDescent="0.25">
      <c r="B177" s="5"/>
      <c r="C177" s="14" t="s">
        <v>163</v>
      </c>
      <c r="D177" s="8" t="s">
        <v>161</v>
      </c>
      <c r="E177" s="53">
        <f>COUNTIFS('TOTAL KONTAK ERAT'!$F:$F,"Kuripan")</f>
        <v>0</v>
      </c>
      <c r="F177" s="17"/>
      <c r="G177" s="18"/>
      <c r="H177" s="18"/>
      <c r="I177" s="18"/>
      <c r="J177" s="18"/>
      <c r="K177" s="18"/>
      <c r="L177" s="19"/>
      <c r="M177" s="19"/>
      <c r="N177" s="19"/>
      <c r="Q177" s="34">
        <f t="shared" si="2"/>
        <v>0</v>
      </c>
      <c r="R177" s="8"/>
    </row>
    <row r="178" spans="2:18" ht="15" customHeight="1" x14ac:dyDescent="0.25">
      <c r="B178" s="5"/>
      <c r="C178" s="14" t="s">
        <v>163</v>
      </c>
      <c r="D178" s="8" t="s">
        <v>162</v>
      </c>
      <c r="E178" s="53">
        <f>COUNTIFS('TOTAL KONTAK ERAT'!$F:$F,"Brambang")</f>
        <v>0</v>
      </c>
      <c r="F178" s="17"/>
      <c r="G178" s="18"/>
      <c r="H178" s="18"/>
      <c r="I178" s="18"/>
      <c r="J178" s="18"/>
      <c r="K178" s="18"/>
      <c r="L178" s="19"/>
      <c r="M178" s="19"/>
      <c r="N178" s="19"/>
      <c r="Q178" s="34">
        <f t="shared" si="2"/>
        <v>0</v>
      </c>
      <c r="R178" s="8"/>
    </row>
    <row r="179" spans="2:18" ht="15" customHeight="1" x14ac:dyDescent="0.25">
      <c r="B179" s="5"/>
      <c r="C179" s="14" t="s">
        <v>163</v>
      </c>
      <c r="D179" s="8" t="s">
        <v>163</v>
      </c>
      <c r="E179" s="53">
        <f>COUNTIFS('TOTAL KONTAK ERAT'!$F:$F,"Karangawen")</f>
        <v>0</v>
      </c>
      <c r="F179" s="17"/>
      <c r="G179" s="18"/>
      <c r="H179" s="18"/>
      <c r="I179" s="18"/>
      <c r="J179" s="18"/>
      <c r="K179" s="18"/>
      <c r="L179" s="19"/>
      <c r="M179" s="19"/>
      <c r="N179" s="19"/>
      <c r="Q179" s="34">
        <f t="shared" si="2"/>
        <v>0</v>
      </c>
      <c r="R179" s="8"/>
    </row>
    <row r="180" spans="2:18" ht="15" customHeight="1" x14ac:dyDescent="0.25">
      <c r="B180" s="5"/>
      <c r="C180" s="14" t="s">
        <v>163</v>
      </c>
      <c r="D180" s="8" t="s">
        <v>164</v>
      </c>
      <c r="E180" s="53">
        <f>COUNTIFS('TOTAL KONTAK ERAT'!$F:$F,"Sidorejo",'TOTAL KONTAK ERAT'!$E:$E,"karangawen")</f>
        <v>0</v>
      </c>
      <c r="F180" s="17"/>
      <c r="G180" s="18"/>
      <c r="H180" s="18"/>
      <c r="I180" s="18"/>
      <c r="J180" s="18"/>
      <c r="K180" s="18"/>
      <c r="L180" s="19"/>
      <c r="M180" s="19"/>
      <c r="N180" s="19"/>
      <c r="Q180" s="34">
        <f t="shared" si="2"/>
        <v>0</v>
      </c>
      <c r="R180" s="8"/>
    </row>
    <row r="181" spans="2:18" ht="15" customHeight="1" x14ac:dyDescent="0.25">
      <c r="B181" s="5"/>
      <c r="C181" s="14" t="s">
        <v>163</v>
      </c>
      <c r="D181" s="8" t="s">
        <v>165</v>
      </c>
      <c r="E181" s="53">
        <f>COUNTIFS('TOTAL KONTAK ERAT'!$F:$F,"Wonosekar")</f>
        <v>0</v>
      </c>
      <c r="F181" s="17"/>
      <c r="G181" s="18"/>
      <c r="H181" s="18"/>
      <c r="I181" s="18"/>
      <c r="J181" s="18"/>
      <c r="K181" s="18"/>
      <c r="L181" s="19"/>
      <c r="M181" s="19"/>
      <c r="N181" s="19"/>
      <c r="Q181" s="34">
        <f t="shared" si="2"/>
        <v>0</v>
      </c>
      <c r="R181" s="8"/>
    </row>
    <row r="182" spans="2:18" ht="15" customHeight="1" x14ac:dyDescent="0.25">
      <c r="B182" s="5"/>
      <c r="C182" s="14" t="s">
        <v>163</v>
      </c>
      <c r="D182" s="8" t="s">
        <v>50</v>
      </c>
      <c r="E182" s="53">
        <f>COUNTIFS('TOTAL KONTAK ERAT'!$F:$F,"Tlogorejo",'TOTAL KONTAK ERAT'!$E:$E,"Karangawen")</f>
        <v>0</v>
      </c>
      <c r="F182" s="17"/>
      <c r="G182" s="18"/>
      <c r="H182" s="18"/>
      <c r="I182" s="18"/>
      <c r="J182" s="18"/>
      <c r="K182" s="18"/>
      <c r="L182" s="19"/>
      <c r="M182" s="19"/>
      <c r="N182" s="19"/>
      <c r="Q182" s="34">
        <f t="shared" si="2"/>
        <v>0</v>
      </c>
      <c r="R182" s="8"/>
    </row>
    <row r="183" spans="2:18" ht="15" customHeight="1" x14ac:dyDescent="0.25">
      <c r="B183" s="5"/>
      <c r="C183" s="14" t="s">
        <v>163</v>
      </c>
      <c r="D183" s="8" t="s">
        <v>26</v>
      </c>
      <c r="E183" s="53">
        <f>COUNTIFS('TOTAL KONTAK ERAT'!$F:$F,"Rejosari",'TOTAL KONTAK ERAT'!$E:$E,"karangawen")</f>
        <v>0</v>
      </c>
      <c r="F183" s="17"/>
      <c r="G183" s="18"/>
      <c r="H183" s="18"/>
      <c r="I183" s="18"/>
      <c r="J183" s="18"/>
      <c r="K183" s="18"/>
      <c r="L183" s="19"/>
      <c r="M183" s="19"/>
      <c r="N183" s="19"/>
      <c r="Q183" s="34">
        <f t="shared" si="2"/>
        <v>0</v>
      </c>
      <c r="R183" s="8"/>
    </row>
    <row r="184" spans="2:18" ht="15" customHeight="1" x14ac:dyDescent="0.25">
      <c r="B184" s="5"/>
      <c r="C184" s="14" t="s">
        <v>163</v>
      </c>
      <c r="D184" s="8" t="s">
        <v>166</v>
      </c>
      <c r="E184" s="53">
        <f>COUNTIFS('TOTAL KONTAK ERAT'!$F:$F,"Teluk")</f>
        <v>0</v>
      </c>
      <c r="F184" s="17"/>
      <c r="G184" s="18"/>
      <c r="H184" s="18"/>
      <c r="I184" s="18"/>
      <c r="J184" s="18"/>
      <c r="K184" s="18"/>
      <c r="L184" s="19"/>
      <c r="M184" s="19"/>
      <c r="N184" s="19"/>
      <c r="Q184" s="34">
        <f t="shared" si="2"/>
        <v>0</v>
      </c>
      <c r="R184" s="8"/>
    </row>
    <row r="185" spans="2:18" ht="15" customHeight="1" x14ac:dyDescent="0.25">
      <c r="B185" s="5"/>
      <c r="C185" s="14" t="s">
        <v>163</v>
      </c>
      <c r="D185" s="8" t="s">
        <v>167</v>
      </c>
      <c r="E185" s="53">
        <f>COUNTIFS('TOTAL KONTAK ERAT'!$F:$F,"Margohayu")</f>
        <v>0</v>
      </c>
      <c r="F185" s="17"/>
      <c r="G185" s="18"/>
      <c r="H185" s="18"/>
      <c r="I185" s="18"/>
      <c r="J185" s="18"/>
      <c r="K185" s="18"/>
      <c r="L185" s="19"/>
      <c r="M185" s="19"/>
      <c r="N185" s="19"/>
      <c r="Q185" s="34">
        <f t="shared" si="2"/>
        <v>0</v>
      </c>
      <c r="R185" s="8"/>
    </row>
    <row r="186" spans="2:18" ht="15" customHeight="1" x14ac:dyDescent="0.25">
      <c r="B186" s="5"/>
      <c r="C186" s="14" t="s">
        <v>163</v>
      </c>
      <c r="D186" s="8" t="s">
        <v>168</v>
      </c>
      <c r="E186" s="53">
        <f>COUNTIFS('TOTAL KONTAK ERAT'!$F:$F,"Jragung")</f>
        <v>0</v>
      </c>
      <c r="F186" s="17"/>
      <c r="G186" s="18"/>
      <c r="H186" s="18"/>
      <c r="I186" s="18"/>
      <c r="J186" s="18"/>
      <c r="K186" s="18"/>
      <c r="L186" s="19"/>
      <c r="M186" s="19"/>
      <c r="N186" s="19"/>
      <c r="Q186" s="34">
        <f t="shared" si="2"/>
        <v>0</v>
      </c>
      <c r="R186" s="8"/>
    </row>
    <row r="187" spans="2:18" x14ac:dyDescent="0.25">
      <c r="B187" s="5">
        <v>11</v>
      </c>
      <c r="C187" s="14" t="s">
        <v>169</v>
      </c>
      <c r="D187" s="8" t="s">
        <v>170</v>
      </c>
      <c r="E187" s="53">
        <f>COUNTIFS('TOTAL KONTAK ERAT'!$F:$F,"Harjowinangun")</f>
        <v>0</v>
      </c>
      <c r="F187" s="17" t="e">
        <f>SUM(#REF!)</f>
        <v>#REF!</v>
      </c>
      <c r="G187" s="17" t="e">
        <f>SUM(#REF!)</f>
        <v>#REF!</v>
      </c>
      <c r="H187" s="17" t="e">
        <f>SUM(#REF!)</f>
        <v>#REF!</v>
      </c>
      <c r="I187" s="17" t="e">
        <f>SUM(#REF!)</f>
        <v>#REF!</v>
      </c>
      <c r="J187" s="17" t="e">
        <f>SUM(#REF!)</f>
        <v>#REF!</v>
      </c>
      <c r="K187" s="17" t="e">
        <f>SUM(#REF!)</f>
        <v>#REF!</v>
      </c>
      <c r="L187" s="17" t="e">
        <f>SUM(#REF!)</f>
        <v>#REF!</v>
      </c>
      <c r="M187" s="17">
        <f>SUM(E187:E202)</f>
        <v>0</v>
      </c>
      <c r="N187" s="17" t="e">
        <f>SUM(#REF!)</f>
        <v>#REF!</v>
      </c>
      <c r="Q187" s="34">
        <f t="shared" si="2"/>
        <v>0</v>
      </c>
      <c r="R187" s="113">
        <f>SUM(Q187:Q202)</f>
        <v>0</v>
      </c>
    </row>
    <row r="188" spans="2:18" x14ac:dyDescent="0.25">
      <c r="B188" s="5"/>
      <c r="C188" s="14" t="s">
        <v>169</v>
      </c>
      <c r="D188" s="8" t="s">
        <v>169</v>
      </c>
      <c r="E188" s="53">
        <f>COUNTIFS('TOTAL KONTAK ERAT'!$F:$F,"Dempet")</f>
        <v>0</v>
      </c>
      <c r="F188" s="17"/>
      <c r="G188" s="18"/>
      <c r="H188" s="18"/>
      <c r="I188" s="18"/>
      <c r="J188" s="18"/>
      <c r="K188" s="18"/>
      <c r="L188" s="19"/>
      <c r="M188" s="19"/>
      <c r="N188" s="19"/>
      <c r="Q188" s="34">
        <f t="shared" si="2"/>
        <v>0</v>
      </c>
      <c r="R188" s="8"/>
    </row>
    <row r="189" spans="2:18" x14ac:dyDescent="0.25">
      <c r="B189" s="5"/>
      <c r="C189" s="14" t="s">
        <v>169</v>
      </c>
      <c r="D189" s="8" t="s">
        <v>171</v>
      </c>
      <c r="E189" s="53">
        <f>COUNTIFS('TOTAL KONTAK ERAT'!$F:$F,"Brakas")</f>
        <v>0</v>
      </c>
      <c r="F189" s="17"/>
      <c r="G189" s="18"/>
      <c r="H189" s="18"/>
      <c r="I189" s="18"/>
      <c r="J189" s="18"/>
      <c r="K189" s="18"/>
      <c r="L189" s="19"/>
      <c r="M189" s="19"/>
      <c r="N189" s="19"/>
      <c r="Q189" s="34">
        <f t="shared" si="2"/>
        <v>0</v>
      </c>
      <c r="R189" s="8"/>
    </row>
    <row r="190" spans="2:18" x14ac:dyDescent="0.25">
      <c r="B190" s="5"/>
      <c r="C190" s="14" t="s">
        <v>169</v>
      </c>
      <c r="D190" s="48" t="s">
        <v>44</v>
      </c>
      <c r="E190" s="53">
        <f>COUNTIFS('TOTAL KONTAK ERAT'!$F:$F,"Sidomulyo",'TOTAL KONTAK ERAT'!$E:$E,"dempet")</f>
        <v>0</v>
      </c>
      <c r="F190" s="17"/>
      <c r="G190" s="18"/>
      <c r="H190" s="18"/>
      <c r="I190" s="18"/>
      <c r="J190" s="18"/>
      <c r="K190" s="18"/>
      <c r="L190" s="19"/>
      <c r="M190" s="19"/>
      <c r="N190" s="19"/>
      <c r="Q190" s="34">
        <f t="shared" si="2"/>
        <v>0</v>
      </c>
      <c r="R190" s="8"/>
    </row>
    <row r="191" spans="2:18" x14ac:dyDescent="0.25">
      <c r="B191" s="5"/>
      <c r="C191" s="14" t="s">
        <v>169</v>
      </c>
      <c r="D191" s="8" t="s">
        <v>172</v>
      </c>
      <c r="E191" s="53">
        <f>COUNTIFS('TOTAL KONTAK ERAT'!$F:$F,"Gempoldenok")</f>
        <v>0</v>
      </c>
      <c r="F191" s="17"/>
      <c r="G191" s="18"/>
      <c r="H191" s="18"/>
      <c r="I191" s="18"/>
      <c r="J191" s="18"/>
      <c r="K191" s="18"/>
      <c r="L191" s="19"/>
      <c r="M191" s="19"/>
      <c r="N191" s="19"/>
      <c r="Q191" s="34">
        <f t="shared" si="2"/>
        <v>0</v>
      </c>
      <c r="R191" s="8"/>
    </row>
    <row r="192" spans="2:18" x14ac:dyDescent="0.25">
      <c r="B192" s="5"/>
      <c r="C192" s="14" t="s">
        <v>169</v>
      </c>
      <c r="D192" s="8" t="s">
        <v>173</v>
      </c>
      <c r="E192" s="53">
        <f>COUNTIFS('TOTAL KONTAK ERAT'!$F:$F,"Botosengon")</f>
        <v>0</v>
      </c>
      <c r="F192" s="17"/>
      <c r="G192" s="18"/>
      <c r="H192" s="18"/>
      <c r="I192" s="18"/>
      <c r="J192" s="18"/>
      <c r="K192" s="18"/>
      <c r="L192" s="19"/>
      <c r="M192" s="19"/>
      <c r="N192" s="19"/>
      <c r="Q192" s="34">
        <f t="shared" si="2"/>
        <v>0</v>
      </c>
      <c r="R192" s="8"/>
    </row>
    <row r="193" spans="2:18" x14ac:dyDescent="0.25">
      <c r="B193" s="5"/>
      <c r="C193" s="14" t="s">
        <v>169</v>
      </c>
      <c r="D193" s="8" t="s">
        <v>174</v>
      </c>
      <c r="E193" s="53">
        <f>COUNTIFS('TOTAL KONTAK ERAT'!$F:$F,"Merak")</f>
        <v>0</v>
      </c>
      <c r="F193" s="17"/>
      <c r="G193" s="18"/>
      <c r="H193" s="18"/>
      <c r="I193" s="18"/>
      <c r="J193" s="18"/>
      <c r="K193" s="18"/>
      <c r="L193" s="19"/>
      <c r="M193" s="19"/>
      <c r="N193" s="19"/>
      <c r="Q193" s="34">
        <f t="shared" si="2"/>
        <v>0</v>
      </c>
      <c r="R193" s="8"/>
    </row>
    <row r="194" spans="2:18" x14ac:dyDescent="0.25">
      <c r="B194" s="5"/>
      <c r="C194" s="14" t="s">
        <v>169</v>
      </c>
      <c r="D194" s="8" t="s">
        <v>175</v>
      </c>
      <c r="E194" s="53">
        <f>COUNTIFS('TOTAL KONTAK ERAT'!$F:$F,"Kebonsari")</f>
        <v>0</v>
      </c>
      <c r="F194" s="17"/>
      <c r="G194" s="18"/>
      <c r="H194" s="18"/>
      <c r="I194" s="18"/>
      <c r="J194" s="18"/>
      <c r="K194" s="18"/>
      <c r="L194" s="19"/>
      <c r="M194" s="19"/>
      <c r="N194" s="19"/>
      <c r="Q194" s="34">
        <f t="shared" si="2"/>
        <v>0</v>
      </c>
      <c r="R194" s="8"/>
    </row>
    <row r="195" spans="2:18" x14ac:dyDescent="0.25">
      <c r="B195" s="5"/>
      <c r="C195" s="14" t="s">
        <v>169</v>
      </c>
      <c r="D195" s="8" t="s">
        <v>176</v>
      </c>
      <c r="E195" s="53">
        <f>COUNTIFS('TOTAL KONTAK ERAT'!$F:$F,"Balerejo")</f>
        <v>0</v>
      </c>
      <c r="F195" s="17"/>
      <c r="G195" s="18"/>
      <c r="H195" s="18"/>
      <c r="I195" s="18"/>
      <c r="J195" s="18"/>
      <c r="K195" s="18"/>
      <c r="L195" s="19"/>
      <c r="M195" s="19"/>
      <c r="N195" s="19"/>
      <c r="Q195" s="34">
        <f t="shared" si="2"/>
        <v>0</v>
      </c>
      <c r="R195" s="8"/>
    </row>
    <row r="196" spans="2:18" x14ac:dyDescent="0.25">
      <c r="B196" s="5"/>
      <c r="C196" s="14" t="s">
        <v>169</v>
      </c>
      <c r="D196" s="8" t="s">
        <v>53</v>
      </c>
      <c r="E196" s="53">
        <f>COUNTIFS('TOTAL KONTAK ERAT'!$F:$F,"Karangrejo",'TOTAL KONTAK ERAT'!$E:$E,"dempet")</f>
        <v>0</v>
      </c>
      <c r="F196" s="17"/>
      <c r="G196" s="18"/>
      <c r="H196" s="18"/>
      <c r="I196" s="18"/>
      <c r="J196" s="18"/>
      <c r="K196" s="18"/>
      <c r="L196" s="19"/>
      <c r="M196" s="19"/>
      <c r="N196" s="19"/>
      <c r="Q196" s="34">
        <f t="shared" si="2"/>
        <v>0</v>
      </c>
      <c r="R196" s="8"/>
    </row>
    <row r="197" spans="2:18" x14ac:dyDescent="0.25">
      <c r="B197" s="5"/>
      <c r="C197" s="14" t="s">
        <v>169</v>
      </c>
      <c r="D197" s="8" t="s">
        <v>177</v>
      </c>
      <c r="E197" s="53">
        <f>COUNTIFS('TOTAL KONTAK ERAT'!$F:$F,"Baleromo")</f>
        <v>0</v>
      </c>
      <c r="F197" s="17"/>
      <c r="G197" s="18"/>
      <c r="H197" s="18"/>
      <c r="I197" s="18"/>
      <c r="J197" s="18"/>
      <c r="K197" s="18"/>
      <c r="L197" s="19"/>
      <c r="M197" s="19"/>
      <c r="N197" s="19"/>
      <c r="Q197" s="34">
        <f t="shared" si="2"/>
        <v>0</v>
      </c>
      <c r="R197" s="8"/>
    </row>
    <row r="198" spans="2:18" x14ac:dyDescent="0.25">
      <c r="B198" s="5"/>
      <c r="C198" s="14" t="s">
        <v>169</v>
      </c>
      <c r="D198" s="8" t="s">
        <v>178</v>
      </c>
      <c r="E198" s="53">
        <f>COUNTIFS('TOTAL KONTAK ERAT'!$F:$F,"Jerukgulung")</f>
        <v>0</v>
      </c>
      <c r="F198" s="17"/>
      <c r="G198" s="18"/>
      <c r="H198" s="18"/>
      <c r="I198" s="18"/>
      <c r="J198" s="18"/>
      <c r="K198" s="18"/>
      <c r="L198" s="19"/>
      <c r="M198" s="19"/>
      <c r="N198" s="19"/>
      <c r="Q198" s="34">
        <f t="shared" si="2"/>
        <v>0</v>
      </c>
      <c r="R198" s="8"/>
    </row>
    <row r="199" spans="2:18" x14ac:dyDescent="0.25">
      <c r="B199" s="5"/>
      <c r="C199" s="14" t="s">
        <v>169</v>
      </c>
      <c r="D199" s="8" t="s">
        <v>179</v>
      </c>
      <c r="E199" s="53">
        <f>COUNTIFS('TOTAL KONTAK ERAT'!$F:$F,"Kunir")</f>
        <v>0</v>
      </c>
      <c r="F199" s="17"/>
      <c r="G199" s="18"/>
      <c r="H199" s="18"/>
      <c r="I199" s="18"/>
      <c r="J199" s="18"/>
      <c r="K199" s="18"/>
      <c r="L199" s="19"/>
      <c r="M199" s="19"/>
      <c r="N199" s="19"/>
      <c r="Q199" s="34">
        <f t="shared" si="2"/>
        <v>0</v>
      </c>
      <c r="R199" s="8"/>
    </row>
    <row r="200" spans="2:18" x14ac:dyDescent="0.25">
      <c r="B200" s="5"/>
      <c r="C200" s="14" t="s">
        <v>169</v>
      </c>
      <c r="D200" s="8" t="s">
        <v>397</v>
      </c>
      <c r="E200" s="53">
        <f>COUNTIFS('TOTAL KONTAK ERAT'!$F:$F,"Kedungori")</f>
        <v>0</v>
      </c>
      <c r="F200" s="17"/>
      <c r="G200" s="18"/>
      <c r="H200" s="18"/>
      <c r="I200" s="18"/>
      <c r="J200" s="18"/>
      <c r="K200" s="18"/>
      <c r="L200" s="19"/>
      <c r="M200" s="19"/>
      <c r="N200" s="19"/>
      <c r="Q200" s="34">
        <f t="shared" ref="Q200:Q257" si="3">SUM(E200:E200)</f>
        <v>0</v>
      </c>
      <c r="R200" s="8"/>
    </row>
    <row r="201" spans="2:18" x14ac:dyDescent="0.25">
      <c r="B201" s="5"/>
      <c r="C201" s="14" t="s">
        <v>169</v>
      </c>
      <c r="D201" s="48" t="s">
        <v>180</v>
      </c>
      <c r="E201" s="53">
        <f>COUNTIFS('TOTAL KONTAK ERAT'!$F:$F,"Kuwu")</f>
        <v>0</v>
      </c>
      <c r="F201" s="17"/>
      <c r="G201" s="18"/>
      <c r="H201" s="18"/>
      <c r="I201" s="18"/>
      <c r="J201" s="18"/>
      <c r="K201" s="18"/>
      <c r="L201" s="19"/>
      <c r="M201" s="19"/>
      <c r="N201" s="19"/>
      <c r="Q201" s="34">
        <f t="shared" si="3"/>
        <v>0</v>
      </c>
      <c r="R201" s="8"/>
    </row>
    <row r="202" spans="2:18" x14ac:dyDescent="0.25">
      <c r="B202" s="5"/>
      <c r="C202" s="14" t="s">
        <v>169</v>
      </c>
      <c r="D202" s="8" t="s">
        <v>181</v>
      </c>
      <c r="E202" s="53">
        <f>COUNTIFS('TOTAL KONTAK ERAT'!$F:$F,"Kramat")</f>
        <v>0</v>
      </c>
      <c r="F202" s="17"/>
      <c r="G202" s="18"/>
      <c r="H202" s="18"/>
      <c r="I202" s="18"/>
      <c r="J202" s="18"/>
      <c r="K202" s="18"/>
      <c r="L202" s="19"/>
      <c r="M202" s="19"/>
      <c r="N202" s="19"/>
      <c r="Q202" s="34">
        <f t="shared" si="3"/>
        <v>0</v>
      </c>
      <c r="R202" s="8"/>
    </row>
    <row r="203" spans="2:18" ht="15" customHeight="1" x14ac:dyDescent="0.25">
      <c r="B203" s="5">
        <v>12</v>
      </c>
      <c r="C203" s="14" t="s">
        <v>182</v>
      </c>
      <c r="D203" s="8" t="s">
        <v>183</v>
      </c>
      <c r="E203" s="53">
        <f>COUNTIFS('TOTAL KONTAK ERAT'!$F:$F,"Mangunrejo")</f>
        <v>0</v>
      </c>
      <c r="F203" s="17" t="e">
        <f>SUM(#REF!)</f>
        <v>#REF!</v>
      </c>
      <c r="G203" s="17" t="e">
        <f>SUM(#REF!)</f>
        <v>#REF!</v>
      </c>
      <c r="H203" s="17" t="e">
        <f>SUM(#REF!)</f>
        <v>#REF!</v>
      </c>
      <c r="I203" s="17" t="e">
        <f>SUM(#REF!)</f>
        <v>#REF!</v>
      </c>
      <c r="J203" s="17" t="e">
        <f>SUM(#REF!)</f>
        <v>#REF!</v>
      </c>
      <c r="K203" s="17" t="e">
        <f>SUM(#REF!)</f>
        <v>#REF!</v>
      </c>
      <c r="L203" s="17" t="e">
        <f>SUM(#REF!)</f>
        <v>#REF!</v>
      </c>
      <c r="M203" s="17">
        <f>SUM(E203:E216)</f>
        <v>0</v>
      </c>
      <c r="N203" s="17" t="e">
        <f>SUM(#REF!)</f>
        <v>#REF!</v>
      </c>
      <c r="Q203" s="34">
        <f t="shared" si="3"/>
        <v>0</v>
      </c>
      <c r="R203" s="113">
        <f>SUM(Q203:Q216)</f>
        <v>0</v>
      </c>
    </row>
    <row r="204" spans="2:18" ht="15" customHeight="1" x14ac:dyDescent="0.25">
      <c r="B204" s="5"/>
      <c r="C204" s="14" t="s">
        <v>182</v>
      </c>
      <c r="D204" s="8" t="s">
        <v>184</v>
      </c>
      <c r="E204" s="53">
        <f>COUNTIFS('TOTAL KONTAK ERAT'!$F:$F,"Tlogosih")</f>
        <v>0</v>
      </c>
      <c r="F204" s="17"/>
      <c r="G204" s="18"/>
      <c r="H204" s="18"/>
      <c r="I204" s="18"/>
      <c r="J204" s="18"/>
      <c r="K204" s="18"/>
      <c r="L204" s="19"/>
      <c r="M204" s="19"/>
      <c r="N204" s="19"/>
      <c r="Q204" s="34">
        <f t="shared" si="3"/>
        <v>0</v>
      </c>
      <c r="R204" s="8"/>
    </row>
    <row r="205" spans="2:18" ht="15" customHeight="1" x14ac:dyDescent="0.25">
      <c r="B205" s="5"/>
      <c r="C205" s="14" t="s">
        <v>182</v>
      </c>
      <c r="D205" s="8" t="s">
        <v>185</v>
      </c>
      <c r="E205" s="53">
        <f>COUNTIFS('TOTAL KONTAK ERAT'!$F:$F,"Megonten")</f>
        <v>0</v>
      </c>
      <c r="F205" s="17"/>
      <c r="G205" s="18"/>
      <c r="H205" s="18"/>
      <c r="I205" s="18"/>
      <c r="J205" s="18"/>
      <c r="K205" s="18"/>
      <c r="L205" s="19"/>
      <c r="M205" s="19"/>
      <c r="N205" s="19"/>
      <c r="Q205" s="34">
        <f t="shared" si="3"/>
        <v>0</v>
      </c>
      <c r="R205" s="8"/>
    </row>
    <row r="206" spans="2:18" ht="15" customHeight="1" x14ac:dyDescent="0.25">
      <c r="B206" s="5"/>
      <c r="C206" s="14" t="s">
        <v>182</v>
      </c>
      <c r="D206" s="8" t="s">
        <v>186</v>
      </c>
      <c r="E206" s="53">
        <f>COUNTIFS('TOTAL KONTAK ERAT'!$F:$F,"Soko kidul")</f>
        <v>0</v>
      </c>
      <c r="F206" s="17"/>
      <c r="G206" s="18"/>
      <c r="H206" s="18"/>
      <c r="I206" s="18"/>
      <c r="J206" s="18"/>
      <c r="K206" s="18"/>
      <c r="L206" s="19"/>
      <c r="M206" s="19"/>
      <c r="N206" s="19"/>
      <c r="Q206" s="34">
        <f t="shared" si="3"/>
        <v>0</v>
      </c>
      <c r="R206" s="8"/>
    </row>
    <row r="207" spans="2:18" ht="15" customHeight="1" x14ac:dyDescent="0.25">
      <c r="B207" s="5"/>
      <c r="C207" s="14" t="s">
        <v>182</v>
      </c>
      <c r="D207" s="8" t="s">
        <v>187</v>
      </c>
      <c r="E207" s="53">
        <f>COUNTIFS('TOTAL KONTAK ERAT'!$F:$F,"Pilang wetan")</f>
        <v>0</v>
      </c>
      <c r="F207" s="17"/>
      <c r="G207" s="18"/>
      <c r="H207" s="18"/>
      <c r="I207" s="18"/>
      <c r="J207" s="18"/>
      <c r="K207" s="18"/>
      <c r="L207" s="19"/>
      <c r="M207" s="19"/>
      <c r="N207" s="19"/>
      <c r="Q207" s="34">
        <f t="shared" si="3"/>
        <v>0</v>
      </c>
      <c r="R207" s="8"/>
    </row>
    <row r="208" spans="2:18" ht="15" customHeight="1" x14ac:dyDescent="0.25">
      <c r="B208" s="5"/>
      <c r="C208" s="14" t="s">
        <v>182</v>
      </c>
      <c r="D208" s="8" t="s">
        <v>182</v>
      </c>
      <c r="E208" s="53">
        <f>COUNTIFS('TOTAL KONTAK ERAT'!$F:$F,"Kebonagung")</f>
        <v>0</v>
      </c>
      <c r="F208" s="17"/>
      <c r="G208" s="18"/>
      <c r="H208" s="18"/>
      <c r="I208" s="18"/>
      <c r="J208" s="18"/>
      <c r="K208" s="18"/>
      <c r="L208" s="19"/>
      <c r="M208" s="19"/>
      <c r="N208" s="19"/>
      <c r="Q208" s="34">
        <f t="shared" si="3"/>
        <v>0</v>
      </c>
      <c r="R208" s="8"/>
    </row>
    <row r="209" spans="2:18" ht="15" customHeight="1" x14ac:dyDescent="0.25">
      <c r="B209" s="5"/>
      <c r="C209" s="14" t="s">
        <v>182</v>
      </c>
      <c r="D209" s="8" t="s">
        <v>88</v>
      </c>
      <c r="E209" s="53">
        <f>COUNTIFS('TOTAL KONTAK ERAT'!$F:$F,"Mijen",'TOTAL KONTAK ERAT'!$E:$E,"kebonagung")</f>
        <v>0</v>
      </c>
      <c r="F209" s="17"/>
      <c r="G209" s="18"/>
      <c r="H209" s="18"/>
      <c r="I209" s="18"/>
      <c r="J209" s="18"/>
      <c r="K209" s="18"/>
      <c r="L209" s="19"/>
      <c r="M209" s="19"/>
      <c r="N209" s="19"/>
      <c r="Q209" s="34">
        <f t="shared" si="3"/>
        <v>0</v>
      </c>
      <c r="R209" s="8"/>
    </row>
    <row r="210" spans="2:18" ht="15" customHeight="1" x14ac:dyDescent="0.25">
      <c r="B210" s="5"/>
      <c r="C210" s="14" t="s">
        <v>182</v>
      </c>
      <c r="D210" s="8" t="s">
        <v>188</v>
      </c>
      <c r="E210" s="53">
        <f>COUNTIFS('TOTAL KONTAK ERAT'!$F:$F,"Klampok Lor")</f>
        <v>0</v>
      </c>
      <c r="F210" s="17"/>
      <c r="G210" s="18"/>
      <c r="H210" s="18"/>
      <c r="I210" s="18"/>
      <c r="J210" s="18"/>
      <c r="K210" s="18"/>
      <c r="L210" s="19"/>
      <c r="M210" s="19"/>
      <c r="N210" s="19"/>
      <c r="Q210" s="34">
        <f t="shared" si="3"/>
        <v>0</v>
      </c>
      <c r="R210" s="8"/>
    </row>
    <row r="211" spans="2:18" ht="15" customHeight="1" x14ac:dyDescent="0.25">
      <c r="B211" s="5"/>
      <c r="C211" s="14" t="s">
        <v>182</v>
      </c>
      <c r="D211" s="8" t="s">
        <v>189</v>
      </c>
      <c r="E211" s="53">
        <f>COUNTIFS('TOTAL KONTAK ERAT'!$F:$F,"Werdoyo")</f>
        <v>0</v>
      </c>
      <c r="F211" s="17"/>
      <c r="G211" s="18"/>
      <c r="H211" s="18"/>
      <c r="I211" s="18"/>
      <c r="J211" s="18"/>
      <c r="K211" s="18"/>
      <c r="L211" s="19"/>
      <c r="M211" s="19"/>
      <c r="N211" s="19"/>
      <c r="Q211" s="34">
        <f t="shared" si="3"/>
        <v>0</v>
      </c>
      <c r="R211" s="8"/>
    </row>
    <row r="212" spans="2:18" ht="15" customHeight="1" x14ac:dyDescent="0.25">
      <c r="B212" s="5"/>
      <c r="C212" s="14" t="s">
        <v>182</v>
      </c>
      <c r="D212" s="8" t="s">
        <v>190</v>
      </c>
      <c r="E212" s="53">
        <f>COUNTIFS('TOTAL KONTAK ERAT'!$F:$F,"Babat")</f>
        <v>0</v>
      </c>
      <c r="F212" s="17"/>
      <c r="G212" s="18"/>
      <c r="H212" s="18"/>
      <c r="I212" s="18"/>
      <c r="J212" s="18"/>
      <c r="K212" s="18"/>
      <c r="L212" s="19"/>
      <c r="M212" s="19"/>
      <c r="N212" s="19"/>
      <c r="Q212" s="34">
        <f t="shared" si="3"/>
        <v>0</v>
      </c>
      <c r="R212" s="8"/>
    </row>
    <row r="213" spans="2:18" ht="15" customHeight="1" x14ac:dyDescent="0.25">
      <c r="B213" s="5"/>
      <c r="C213" s="14" t="s">
        <v>182</v>
      </c>
      <c r="D213" s="8" t="s">
        <v>191</v>
      </c>
      <c r="E213" s="53">
        <f>COUNTIFS('TOTAL KONTAK ERAT'!$F:$F,"Prigi")</f>
        <v>0</v>
      </c>
      <c r="F213" s="17"/>
      <c r="G213" s="18"/>
      <c r="H213" s="18"/>
      <c r="I213" s="18"/>
      <c r="J213" s="18"/>
      <c r="K213" s="18"/>
      <c r="L213" s="19"/>
      <c r="M213" s="19"/>
      <c r="N213" s="19"/>
      <c r="Q213" s="34">
        <f t="shared" si="3"/>
        <v>0</v>
      </c>
      <c r="R213" s="8"/>
    </row>
    <row r="214" spans="2:18" ht="15" customHeight="1" x14ac:dyDescent="0.25">
      <c r="B214" s="5"/>
      <c r="C214" s="14" t="s">
        <v>182</v>
      </c>
      <c r="D214" s="8" t="s">
        <v>192</v>
      </c>
      <c r="E214" s="53">
        <f>COUNTIFS('TOTAL KONTAK ERAT'!$F:$F,"Sarimulyo")</f>
        <v>0</v>
      </c>
      <c r="F214" s="17"/>
      <c r="G214" s="18"/>
      <c r="H214" s="18"/>
      <c r="I214" s="18"/>
      <c r="J214" s="18"/>
      <c r="K214" s="18"/>
      <c r="L214" s="19"/>
      <c r="M214" s="19"/>
      <c r="N214" s="19"/>
      <c r="Q214" s="34">
        <f t="shared" si="3"/>
        <v>0</v>
      </c>
      <c r="R214" s="8"/>
    </row>
    <row r="215" spans="2:18" ht="15" customHeight="1" x14ac:dyDescent="0.25">
      <c r="B215" s="5"/>
      <c r="C215" s="14" t="s">
        <v>182</v>
      </c>
      <c r="D215" s="8" t="s">
        <v>193</v>
      </c>
      <c r="E215" s="53">
        <f>COUNTIFS('TOTAL KONTAK ERAT'!$F:$F,"Solowire")</f>
        <v>0</v>
      </c>
      <c r="F215" s="17"/>
      <c r="G215" s="18"/>
      <c r="H215" s="18"/>
      <c r="I215" s="18"/>
      <c r="J215" s="18"/>
      <c r="K215" s="18"/>
      <c r="L215" s="19"/>
      <c r="M215" s="19"/>
      <c r="N215" s="19"/>
      <c r="Q215" s="34">
        <f t="shared" si="3"/>
        <v>0</v>
      </c>
      <c r="R215" s="8"/>
    </row>
    <row r="216" spans="2:18" ht="15" customHeight="1" x14ac:dyDescent="0.25">
      <c r="B216" s="5"/>
      <c r="C216" s="14" t="s">
        <v>182</v>
      </c>
      <c r="D216" s="8" t="s">
        <v>194</v>
      </c>
      <c r="E216" s="53">
        <f>COUNTIFS('TOTAL KONTAK ERAT'!$F:$F,"Mangunan Lor")</f>
        <v>0</v>
      </c>
      <c r="F216" s="17"/>
      <c r="G216" s="18"/>
      <c r="H216" s="18"/>
      <c r="I216" s="18"/>
      <c r="J216" s="18"/>
      <c r="K216" s="18"/>
      <c r="L216" s="19"/>
      <c r="M216" s="19"/>
      <c r="N216" s="19"/>
      <c r="Q216" s="34">
        <f t="shared" si="3"/>
        <v>0</v>
      </c>
      <c r="R216" s="8"/>
    </row>
    <row r="217" spans="2:18" x14ac:dyDescent="0.25">
      <c r="B217" s="5">
        <v>13</v>
      </c>
      <c r="C217" s="14" t="s">
        <v>195</v>
      </c>
      <c r="D217" s="8" t="s">
        <v>196</v>
      </c>
      <c r="E217" s="53">
        <f>COUNTIFS('TOTAL KONTAK ERAT'!$F:$F,"Bedono")</f>
        <v>0</v>
      </c>
      <c r="F217" s="17" t="e">
        <f>SUM(#REF!)</f>
        <v>#REF!</v>
      </c>
      <c r="G217" s="17" t="e">
        <f>SUM(#REF!)</f>
        <v>#REF!</v>
      </c>
      <c r="H217" s="17" t="e">
        <f>SUM(#REF!)</f>
        <v>#REF!</v>
      </c>
      <c r="I217" s="17" t="e">
        <f>SUM(#REF!)</f>
        <v>#REF!</v>
      </c>
      <c r="J217" s="17" t="e">
        <f>SUM(#REF!)</f>
        <v>#REF!</v>
      </c>
      <c r="K217" s="17" t="e">
        <f>SUM(#REF!)</f>
        <v>#REF!</v>
      </c>
      <c r="L217" s="17" t="e">
        <f>SUM(#REF!)</f>
        <v>#REF!</v>
      </c>
      <c r="M217" s="17">
        <f>SUM(E217:E236)</f>
        <v>42</v>
      </c>
      <c r="N217" s="17" t="e">
        <f>SUM(#REF!)</f>
        <v>#REF!</v>
      </c>
      <c r="O217" s="33" t="s">
        <v>341</v>
      </c>
      <c r="Q217" s="34">
        <f t="shared" si="3"/>
        <v>0</v>
      </c>
      <c r="R217" s="113">
        <f>SUM(Q217:Q236)</f>
        <v>42</v>
      </c>
    </row>
    <row r="218" spans="2:18" x14ac:dyDescent="0.25">
      <c r="B218" s="5"/>
      <c r="C218" s="14" t="s">
        <v>195</v>
      </c>
      <c r="D218" s="8" t="s">
        <v>197</v>
      </c>
      <c r="E218" s="53">
        <f>COUNTIFS('TOTAL KONTAK ERAT'!$F:$F,"Gemulak")</f>
        <v>0</v>
      </c>
      <c r="F218" s="17"/>
      <c r="G218" s="18"/>
      <c r="H218" s="18" t="s">
        <v>300</v>
      </c>
      <c r="I218" s="18"/>
      <c r="J218" s="18"/>
      <c r="K218" s="18"/>
      <c r="L218" s="19"/>
      <c r="M218" s="19"/>
      <c r="N218" s="19"/>
      <c r="O218" s="49" t="s">
        <v>342</v>
      </c>
      <c r="Q218" s="34">
        <f t="shared" si="3"/>
        <v>0</v>
      </c>
      <c r="R218" s="8"/>
    </row>
    <row r="219" spans="2:18" x14ac:dyDescent="0.25">
      <c r="B219" s="5"/>
      <c r="C219" s="14" t="s">
        <v>195</v>
      </c>
      <c r="D219" s="8" t="s">
        <v>198</v>
      </c>
      <c r="E219" s="53">
        <f>COUNTIFS('TOTAL KONTAK ERAT'!$F:$F,"Sriwulan")</f>
        <v>0</v>
      </c>
      <c r="F219" s="17"/>
      <c r="G219" s="18"/>
      <c r="H219" s="18"/>
      <c r="I219" s="18"/>
      <c r="J219" s="18"/>
      <c r="K219" s="18"/>
      <c r="L219" s="19"/>
      <c r="M219" s="19"/>
      <c r="N219" s="19"/>
      <c r="O219" s="50" t="s">
        <v>337</v>
      </c>
      <c r="Q219" s="34">
        <f t="shared" si="3"/>
        <v>0</v>
      </c>
      <c r="R219" s="8"/>
    </row>
    <row r="220" spans="2:18" x14ac:dyDescent="0.25">
      <c r="B220" s="5"/>
      <c r="C220" s="14" t="s">
        <v>195</v>
      </c>
      <c r="D220" s="8" t="s">
        <v>199</v>
      </c>
      <c r="E220" s="53">
        <f>COUNTIFS('TOTAL KONTAK ERAT'!$F:$F,"Tugu")</f>
        <v>0</v>
      </c>
      <c r="F220" s="17"/>
      <c r="G220" s="18"/>
      <c r="H220" s="18"/>
      <c r="I220" s="18"/>
      <c r="J220" s="18"/>
      <c r="K220" s="18"/>
      <c r="L220" s="19"/>
      <c r="M220" s="19"/>
      <c r="N220" s="19"/>
      <c r="O220" s="33" t="s">
        <v>395</v>
      </c>
      <c r="Q220" s="34">
        <f t="shared" si="3"/>
        <v>0</v>
      </c>
      <c r="R220" s="8"/>
    </row>
    <row r="221" spans="2:18" x14ac:dyDescent="0.25">
      <c r="B221" s="5"/>
      <c r="C221" s="14" t="s">
        <v>195</v>
      </c>
      <c r="D221" s="8" t="s">
        <v>200</v>
      </c>
      <c r="E221" s="53">
        <f>COUNTIFS('TOTAL KONTAK ERAT'!$F:$F,"Purwosari")</f>
        <v>12</v>
      </c>
      <c r="F221" s="17"/>
      <c r="G221" s="18"/>
      <c r="H221" s="18"/>
      <c r="I221" s="18"/>
      <c r="J221" s="18"/>
      <c r="K221" s="18"/>
      <c r="L221" s="19"/>
      <c r="M221" s="19"/>
      <c r="N221" s="19"/>
      <c r="O221" s="50" t="s">
        <v>339</v>
      </c>
      <c r="Q221" s="34">
        <f t="shared" si="3"/>
        <v>12</v>
      </c>
      <c r="R221" s="8"/>
    </row>
    <row r="222" spans="2:18" x14ac:dyDescent="0.25">
      <c r="B222" s="5"/>
      <c r="C222" s="14" t="s">
        <v>195</v>
      </c>
      <c r="D222" s="8" t="s">
        <v>63</v>
      </c>
      <c r="E222" s="53">
        <f>COUNTIFS('TOTAL KONTAK ERAT'!$F:$F,"surodadi",'TOTAL KONTAK ERAT'!$E:$E,"sayung")</f>
        <v>0</v>
      </c>
      <c r="F222" s="17"/>
      <c r="G222" s="18"/>
      <c r="H222" s="18"/>
      <c r="I222" s="18"/>
      <c r="J222" s="18"/>
      <c r="K222" s="18"/>
      <c r="L222" s="19"/>
      <c r="M222" s="19"/>
      <c r="N222" s="19"/>
      <c r="O222" s="26" t="s">
        <v>352</v>
      </c>
      <c r="Q222" s="34">
        <f t="shared" si="3"/>
        <v>0</v>
      </c>
      <c r="R222" s="8"/>
    </row>
    <row r="223" spans="2:18" x14ac:dyDescent="0.25">
      <c r="B223" s="5"/>
      <c r="C223" s="14" t="s">
        <v>195</v>
      </c>
      <c r="D223" s="8" t="s">
        <v>164</v>
      </c>
      <c r="E223" s="53">
        <f>COUNTIFS('TOTAL KONTAK ERAT'!$F:$F,"sidorejo",'TOTAL KONTAK ERAT'!$E:$E,"sayung")</f>
        <v>15</v>
      </c>
      <c r="F223" s="17"/>
      <c r="G223" s="18"/>
      <c r="H223" s="18"/>
      <c r="I223" s="18"/>
      <c r="J223" s="18"/>
      <c r="K223" s="18"/>
      <c r="L223" s="19"/>
      <c r="M223" s="19"/>
      <c r="N223" s="19"/>
      <c r="O223" s="26" t="s">
        <v>352</v>
      </c>
      <c r="Q223" s="34">
        <f t="shared" si="3"/>
        <v>15</v>
      </c>
      <c r="R223" s="8"/>
    </row>
    <row r="224" spans="2:18" x14ac:dyDescent="0.25">
      <c r="B224" s="5"/>
      <c r="C224" s="14" t="s">
        <v>195</v>
      </c>
      <c r="D224" s="8" t="s">
        <v>201</v>
      </c>
      <c r="E224" s="53">
        <f>COUNTIFS('TOTAL KONTAK ERAT'!$F:$F,"Timbulsloko")</f>
        <v>13</v>
      </c>
      <c r="F224" s="17"/>
      <c r="G224" s="18"/>
      <c r="H224" s="18"/>
      <c r="I224" s="18"/>
      <c r="J224" s="18"/>
      <c r="K224" s="18"/>
      <c r="L224" s="19"/>
      <c r="M224" s="19"/>
      <c r="N224" s="19"/>
      <c r="O224" s="50" t="s">
        <v>339</v>
      </c>
      <c r="Q224" s="34">
        <f t="shared" si="3"/>
        <v>13</v>
      </c>
      <c r="R224" s="8"/>
    </row>
    <row r="225" spans="2:18" x14ac:dyDescent="0.25">
      <c r="B225" s="5"/>
      <c r="C225" s="14" t="s">
        <v>195</v>
      </c>
      <c r="D225" s="8" t="s">
        <v>57</v>
      </c>
      <c r="E225" s="53">
        <f>COUNTIFS('TOTAL KONTAK ERAT'!$F:$F,"banjarsari",'TOTAL KONTAK ERAT'!$E:$E,"sayung")</f>
        <v>0</v>
      </c>
      <c r="F225" s="17"/>
      <c r="G225" s="18"/>
      <c r="H225" s="18"/>
      <c r="I225" s="18"/>
      <c r="J225" s="18"/>
      <c r="K225" s="18"/>
      <c r="L225" s="19"/>
      <c r="M225" s="19"/>
      <c r="N225" s="19"/>
      <c r="O225" s="33" t="s">
        <v>370</v>
      </c>
      <c r="Q225" s="34">
        <f t="shared" si="3"/>
        <v>0</v>
      </c>
      <c r="R225" s="8"/>
    </row>
    <row r="226" spans="2:18" x14ac:dyDescent="0.25">
      <c r="B226" s="5"/>
      <c r="C226" s="14" t="s">
        <v>195</v>
      </c>
      <c r="D226" s="8" t="s">
        <v>202</v>
      </c>
      <c r="E226" s="53">
        <f>COUNTIFS('TOTAL KONTAK ERAT'!$F:$F,"sidogemah")</f>
        <v>1</v>
      </c>
      <c r="F226" s="17"/>
      <c r="G226" s="18"/>
      <c r="H226" s="18"/>
      <c r="I226" s="18"/>
      <c r="J226" s="18"/>
      <c r="K226" s="18"/>
      <c r="L226" s="19"/>
      <c r="M226" s="19"/>
      <c r="N226" s="19"/>
      <c r="O226" s="50" t="s">
        <v>340</v>
      </c>
      <c r="Q226" s="34">
        <f t="shared" si="3"/>
        <v>1</v>
      </c>
      <c r="R226" s="8"/>
    </row>
    <row r="227" spans="2:18" x14ac:dyDescent="0.25">
      <c r="B227" s="5"/>
      <c r="C227" s="14" t="s">
        <v>195</v>
      </c>
      <c r="D227" s="8" t="s">
        <v>203</v>
      </c>
      <c r="E227" s="53">
        <f>COUNTIFS('TOTAL KONTAK ERAT'!$F:$F,"Tambakroto")</f>
        <v>0</v>
      </c>
      <c r="F227" s="17"/>
      <c r="G227" s="18"/>
      <c r="H227" s="18"/>
      <c r="I227" s="18"/>
      <c r="J227" s="18"/>
      <c r="K227" s="18"/>
      <c r="L227" s="19"/>
      <c r="M227" s="19"/>
      <c r="N227" s="19"/>
      <c r="O227" s="50" t="s">
        <v>339</v>
      </c>
      <c r="Q227" s="34">
        <f t="shared" si="3"/>
        <v>0</v>
      </c>
      <c r="R227" s="8"/>
    </row>
    <row r="228" spans="2:18" x14ac:dyDescent="0.25">
      <c r="B228" s="5"/>
      <c r="C228" s="14" t="s">
        <v>195</v>
      </c>
      <c r="D228" s="8" t="s">
        <v>204</v>
      </c>
      <c r="E228" s="53">
        <f>COUNTIFS('TOTAL KONTAK ERAT'!$F:$F,"Kalisari")</f>
        <v>0</v>
      </c>
      <c r="F228" s="17"/>
      <c r="G228" s="18"/>
      <c r="H228" s="18"/>
      <c r="I228" s="18"/>
      <c r="J228" s="18"/>
      <c r="K228" s="18"/>
      <c r="L228" s="19"/>
      <c r="M228" s="19"/>
      <c r="N228" s="19"/>
      <c r="Q228" s="34">
        <f t="shared" si="3"/>
        <v>0</v>
      </c>
      <c r="R228" s="8"/>
    </row>
    <row r="229" spans="2:18" x14ac:dyDescent="0.25">
      <c r="B229" s="5"/>
      <c r="C229" s="14" t="s">
        <v>195</v>
      </c>
      <c r="D229" s="8" t="s">
        <v>205</v>
      </c>
      <c r="E229" s="53">
        <f>COUNTIFS('TOTAL KONTAK ERAT'!$F:$F,"Dombo")</f>
        <v>0</v>
      </c>
      <c r="F229" s="17"/>
      <c r="G229" s="18"/>
      <c r="H229" s="18"/>
      <c r="I229" s="18"/>
      <c r="J229" s="18"/>
      <c r="K229" s="18"/>
      <c r="L229" s="19"/>
      <c r="M229" s="19"/>
      <c r="N229" s="19"/>
      <c r="Q229" s="34">
        <f t="shared" si="3"/>
        <v>0</v>
      </c>
      <c r="R229" s="8"/>
    </row>
    <row r="230" spans="2:18" x14ac:dyDescent="0.25">
      <c r="B230" s="5"/>
      <c r="C230" s="14" t="s">
        <v>195</v>
      </c>
      <c r="D230" s="8" t="s">
        <v>206</v>
      </c>
      <c r="E230" s="53">
        <f>COUNTIFS('TOTAL KONTAK ERAT'!$F:$F,"Bulusari")</f>
        <v>0</v>
      </c>
      <c r="F230" s="17"/>
      <c r="G230" s="18"/>
      <c r="H230" s="18"/>
      <c r="I230" s="18"/>
      <c r="J230" s="18"/>
      <c r="K230" s="18"/>
      <c r="L230" s="19"/>
      <c r="M230" s="19"/>
      <c r="N230" s="19"/>
      <c r="Q230" s="34">
        <f t="shared" si="3"/>
        <v>0</v>
      </c>
      <c r="R230" s="8"/>
    </row>
    <row r="231" spans="2:18" x14ac:dyDescent="0.25">
      <c r="B231" s="5"/>
      <c r="C231" s="14" t="s">
        <v>195</v>
      </c>
      <c r="D231" s="8" t="s">
        <v>207</v>
      </c>
      <c r="E231" s="53">
        <f>COUNTIFS('TOTAL KONTAK ERAT'!$F:$F,"Jetaksari")</f>
        <v>0</v>
      </c>
      <c r="F231" s="17"/>
      <c r="G231" s="18"/>
      <c r="H231" s="18"/>
      <c r="I231" s="18"/>
      <c r="J231" s="18"/>
      <c r="K231" s="18"/>
      <c r="L231" s="19"/>
      <c r="M231" s="19"/>
      <c r="N231" s="19"/>
      <c r="Q231" s="34">
        <f t="shared" si="3"/>
        <v>0</v>
      </c>
      <c r="R231" s="8"/>
    </row>
    <row r="232" spans="2:18" x14ac:dyDescent="0.25">
      <c r="B232" s="5"/>
      <c r="C232" s="14" t="s">
        <v>195</v>
      </c>
      <c r="D232" s="8" t="s">
        <v>208</v>
      </c>
      <c r="E232" s="53">
        <f>COUNTIFS('TOTAL KONTAK ERAT'!$F:$F,"Karangasem")</f>
        <v>0</v>
      </c>
      <c r="F232" s="17"/>
      <c r="G232" s="18"/>
      <c r="H232" s="18"/>
      <c r="I232" s="18"/>
      <c r="J232" s="18"/>
      <c r="K232" s="18"/>
      <c r="L232" s="19"/>
      <c r="M232" s="19"/>
      <c r="N232" s="19"/>
      <c r="Q232" s="34">
        <f t="shared" si="3"/>
        <v>0</v>
      </c>
      <c r="R232" s="8"/>
    </row>
    <row r="233" spans="2:18" x14ac:dyDescent="0.25">
      <c r="B233" s="5"/>
      <c r="C233" s="14" t="s">
        <v>195</v>
      </c>
      <c r="D233" s="8" t="s">
        <v>209</v>
      </c>
      <c r="E233" s="53">
        <f>COUNTIFS('TOTAL KONTAK ERAT'!$F:$F,"Prampelan")</f>
        <v>0</v>
      </c>
      <c r="F233" s="17"/>
      <c r="G233" s="18"/>
      <c r="H233" s="18"/>
      <c r="I233" s="18"/>
      <c r="J233" s="18"/>
      <c r="K233" s="18"/>
      <c r="L233" s="19"/>
      <c r="M233" s="19"/>
      <c r="N233" s="19"/>
      <c r="Q233" s="34">
        <f t="shared" si="3"/>
        <v>0</v>
      </c>
      <c r="R233" s="8"/>
    </row>
    <row r="234" spans="2:18" x14ac:dyDescent="0.25">
      <c r="B234" s="5"/>
      <c r="C234" s="14" t="s">
        <v>195</v>
      </c>
      <c r="D234" s="8" t="s">
        <v>210</v>
      </c>
      <c r="E234" s="53">
        <f>COUNTIFS('TOTAL KONTAK ERAT'!$F:$F,"Sayung")</f>
        <v>0</v>
      </c>
      <c r="F234" s="17"/>
      <c r="G234" s="18"/>
      <c r="H234" s="18"/>
      <c r="I234" s="18"/>
      <c r="J234" s="18"/>
      <c r="K234" s="18"/>
      <c r="L234" s="19"/>
      <c r="M234" s="19"/>
      <c r="N234" s="19"/>
      <c r="Q234" s="34">
        <f t="shared" si="3"/>
        <v>0</v>
      </c>
      <c r="R234" s="8"/>
    </row>
    <row r="235" spans="2:18" x14ac:dyDescent="0.25">
      <c r="B235" s="5"/>
      <c r="C235" s="14" t="s">
        <v>195</v>
      </c>
      <c r="D235" s="8" t="s">
        <v>211</v>
      </c>
      <c r="E235" s="53">
        <f>COUNTIFS('TOTAL KONTAK ERAT'!$F:$F,"Pilangsari")</f>
        <v>0</v>
      </c>
      <c r="F235" s="17"/>
      <c r="G235" s="18"/>
      <c r="H235" s="18"/>
      <c r="I235" s="18"/>
      <c r="J235" s="18"/>
      <c r="K235" s="18"/>
      <c r="L235" s="19"/>
      <c r="M235" s="19"/>
      <c r="N235" s="19"/>
      <c r="Q235" s="34">
        <f t="shared" si="3"/>
        <v>0</v>
      </c>
      <c r="R235" s="8"/>
    </row>
    <row r="236" spans="2:18" x14ac:dyDescent="0.25">
      <c r="B236" s="5"/>
      <c r="C236" s="14" t="s">
        <v>195</v>
      </c>
      <c r="D236" s="8" t="s">
        <v>212</v>
      </c>
      <c r="E236" s="53">
        <f>COUNTIFS('TOTAL KONTAK ERAT'!$F:$F,"loireng")</f>
        <v>1</v>
      </c>
      <c r="F236" s="17"/>
      <c r="G236" s="18"/>
      <c r="H236" s="18"/>
      <c r="I236" s="18"/>
      <c r="J236" s="18"/>
      <c r="K236" s="18"/>
      <c r="L236" s="19"/>
      <c r="M236" s="19"/>
      <c r="N236" s="19"/>
      <c r="Q236" s="34">
        <f t="shared" si="3"/>
        <v>1</v>
      </c>
      <c r="R236" s="8"/>
    </row>
    <row r="237" spans="2:18" x14ac:dyDescent="0.25">
      <c r="B237" s="5">
        <v>14</v>
      </c>
      <c r="C237" s="14" t="s">
        <v>213</v>
      </c>
      <c r="D237" s="8" t="s">
        <v>213</v>
      </c>
      <c r="E237" s="53">
        <f>COUNTIFS('TOTAL KONTAK ERAT'!$F:$F,"Wedung")</f>
        <v>0</v>
      </c>
      <c r="F237" s="17" t="e">
        <f>SUM(#REF!)</f>
        <v>#REF!</v>
      </c>
      <c r="G237" s="17" t="e">
        <f>SUM(#REF!)</f>
        <v>#REF!</v>
      </c>
      <c r="H237" s="17" t="e">
        <f>SUM(#REF!)</f>
        <v>#REF!</v>
      </c>
      <c r="I237" s="17" t="e">
        <f>SUM(#REF!)</f>
        <v>#REF!</v>
      </c>
      <c r="J237" s="17" t="e">
        <f>SUM(#REF!)</f>
        <v>#REF!</v>
      </c>
      <c r="K237" s="17" t="e">
        <f>SUM(#REF!)</f>
        <v>#REF!</v>
      </c>
      <c r="L237" s="17" t="e">
        <f>SUM(#REF!)</f>
        <v>#REF!</v>
      </c>
      <c r="M237" s="17">
        <f>SUM(E237:E256)</f>
        <v>0</v>
      </c>
      <c r="N237" s="17" t="e">
        <f>SUM(#REF!)</f>
        <v>#REF!</v>
      </c>
      <c r="Q237" s="34">
        <f t="shared" si="3"/>
        <v>0</v>
      </c>
      <c r="R237" s="113">
        <f>SUM(Q237:Q256)</f>
        <v>0</v>
      </c>
    </row>
    <row r="238" spans="2:18" x14ac:dyDescent="0.25">
      <c r="B238" s="5"/>
      <c r="C238" s="14" t="s">
        <v>213</v>
      </c>
      <c r="D238" s="8" t="s">
        <v>214</v>
      </c>
      <c r="E238" s="53">
        <f>COUNTIFS('TOTAL KONTAK ERAT'!$F:$F,"Ruwit")</f>
        <v>0</v>
      </c>
      <c r="F238" s="17"/>
      <c r="G238" s="18"/>
      <c r="H238" s="18"/>
      <c r="I238" s="18"/>
      <c r="J238" s="18"/>
      <c r="K238" s="18"/>
      <c r="L238" s="19"/>
      <c r="M238" s="19"/>
      <c r="N238" s="19"/>
      <c r="Q238" s="34">
        <f t="shared" si="3"/>
        <v>0</v>
      </c>
      <c r="R238" s="8"/>
    </row>
    <row r="239" spans="2:18" x14ac:dyDescent="0.25">
      <c r="B239" s="5"/>
      <c r="C239" s="14" t="s">
        <v>213</v>
      </c>
      <c r="D239" s="8" t="s">
        <v>215</v>
      </c>
      <c r="E239" s="53">
        <f>COUNTIFS('TOTAL KONTAK ERAT'!$F:$F,"Bungo")</f>
        <v>0</v>
      </c>
      <c r="F239" s="17"/>
      <c r="G239" s="18"/>
      <c r="H239" s="18"/>
      <c r="I239" s="18"/>
      <c r="J239" s="18"/>
      <c r="K239" s="18"/>
      <c r="L239" s="19"/>
      <c r="M239" s="19"/>
      <c r="N239" s="19"/>
      <c r="Q239" s="34">
        <f t="shared" si="3"/>
        <v>0</v>
      </c>
      <c r="R239" s="8"/>
    </row>
    <row r="240" spans="2:18" x14ac:dyDescent="0.25">
      <c r="B240" s="5"/>
      <c r="C240" s="14" t="s">
        <v>213</v>
      </c>
      <c r="D240" s="8" t="s">
        <v>216</v>
      </c>
      <c r="E240" s="53">
        <f>COUNTIFS('TOTAL KONTAK ERAT'!$F:$F,"Ngawen")</f>
        <v>0</v>
      </c>
      <c r="F240" s="17"/>
      <c r="G240" s="18"/>
      <c r="H240" s="18"/>
      <c r="I240" s="18"/>
      <c r="J240" s="18"/>
      <c r="K240" s="18"/>
      <c r="L240" s="19"/>
      <c r="M240" s="19"/>
      <c r="N240" s="19"/>
      <c r="Q240" s="34">
        <f t="shared" si="3"/>
        <v>0</v>
      </c>
      <c r="R240" s="8"/>
    </row>
    <row r="241" spans="2:18" x14ac:dyDescent="0.25">
      <c r="B241" s="5"/>
      <c r="C241" s="14" t="s">
        <v>213</v>
      </c>
      <c r="D241" s="8" t="s">
        <v>217</v>
      </c>
      <c r="E241" s="53">
        <f>COUNTIFS('TOTAL KONTAK ERAT'!$F:$F,"Kenduren")</f>
        <v>0</v>
      </c>
      <c r="F241" s="17"/>
      <c r="G241" s="18"/>
      <c r="H241" s="18"/>
      <c r="I241" s="18"/>
      <c r="J241" s="18"/>
      <c r="K241" s="18"/>
      <c r="L241" s="19"/>
      <c r="M241" s="19"/>
      <c r="N241" s="19"/>
      <c r="Q241" s="34">
        <f t="shared" si="3"/>
        <v>0</v>
      </c>
      <c r="R241" s="8"/>
    </row>
    <row r="242" spans="2:18" x14ac:dyDescent="0.25">
      <c r="B242" s="5"/>
      <c r="C242" s="14" t="s">
        <v>213</v>
      </c>
      <c r="D242" s="8" t="s">
        <v>218</v>
      </c>
      <c r="E242" s="53">
        <f>COUNTIFS('TOTAL KONTAK ERAT'!$F:$F,"Buko")</f>
        <v>0</v>
      </c>
      <c r="F242" s="17"/>
      <c r="G242" s="18"/>
      <c r="H242" s="18"/>
      <c r="I242" s="18"/>
      <c r="J242" s="18"/>
      <c r="K242" s="18"/>
      <c r="L242" s="19"/>
      <c r="M242" s="19"/>
      <c r="N242" s="19"/>
      <c r="Q242" s="34">
        <f t="shared" si="3"/>
        <v>0</v>
      </c>
      <c r="R242" s="8"/>
    </row>
    <row r="243" spans="2:18" x14ac:dyDescent="0.25">
      <c r="B243" s="5"/>
      <c r="C243" s="14" t="s">
        <v>213</v>
      </c>
      <c r="D243" s="8" t="s">
        <v>219</v>
      </c>
      <c r="E243" s="53">
        <f>COUNTIFS('TOTAL KONTAK ERAT'!$F:$F,"Mandung")</f>
        <v>0</v>
      </c>
      <c r="F243" s="17"/>
      <c r="G243" s="18"/>
      <c r="H243" s="18"/>
      <c r="I243" s="18"/>
      <c r="J243" s="18"/>
      <c r="K243" s="18"/>
      <c r="L243" s="19"/>
      <c r="M243" s="19"/>
      <c r="N243" s="19"/>
      <c r="Q243" s="34">
        <f t="shared" si="3"/>
        <v>0</v>
      </c>
      <c r="R243" s="8"/>
    </row>
    <row r="244" spans="2:18" x14ac:dyDescent="0.25">
      <c r="B244" s="5"/>
      <c r="C244" s="14" t="s">
        <v>213</v>
      </c>
      <c r="D244" s="8" t="s">
        <v>220</v>
      </c>
      <c r="E244" s="53">
        <f>COUNTIFS('TOTAL KONTAK ERAT'!$F:$F,"Berahan Wetan")</f>
        <v>0</v>
      </c>
      <c r="F244" s="17"/>
      <c r="G244" s="18"/>
      <c r="H244" s="18"/>
      <c r="I244" s="18"/>
      <c r="J244" s="18"/>
      <c r="K244" s="18"/>
      <c r="L244" s="19"/>
      <c r="M244" s="19"/>
      <c r="N244" s="19"/>
      <c r="Q244" s="34">
        <f t="shared" si="3"/>
        <v>0</v>
      </c>
      <c r="R244" s="8"/>
    </row>
    <row r="245" spans="2:18" x14ac:dyDescent="0.25">
      <c r="B245" s="5"/>
      <c r="C245" s="14" t="s">
        <v>213</v>
      </c>
      <c r="D245" s="8" t="s">
        <v>221</v>
      </c>
      <c r="E245" s="53">
        <f>COUNTIFS('TOTAL KONTAK ERAT'!$F:$F,"Berahan Kulon")</f>
        <v>0</v>
      </c>
      <c r="F245" s="17"/>
      <c r="G245" s="18"/>
      <c r="H245" s="18"/>
      <c r="I245" s="18"/>
      <c r="J245" s="18"/>
      <c r="K245" s="18"/>
      <c r="L245" s="19"/>
      <c r="M245" s="19"/>
      <c r="N245" s="19"/>
      <c r="Q245" s="34">
        <f t="shared" si="3"/>
        <v>0</v>
      </c>
      <c r="R245" s="8"/>
    </row>
    <row r="246" spans="2:18" x14ac:dyDescent="0.25">
      <c r="B246" s="5"/>
      <c r="C246" s="14" t="s">
        <v>213</v>
      </c>
      <c r="D246" s="8" t="s">
        <v>222</v>
      </c>
      <c r="E246" s="53">
        <f>COUNTIFS('TOTAL KONTAK ERAT'!$F:$F,"Tempel")</f>
        <v>0</v>
      </c>
      <c r="F246" s="17"/>
      <c r="G246" s="18"/>
      <c r="H246" s="18"/>
      <c r="I246" s="18"/>
      <c r="J246" s="18"/>
      <c r="K246" s="18"/>
      <c r="L246" s="19"/>
      <c r="M246" s="19"/>
      <c r="N246" s="19"/>
      <c r="Q246" s="34">
        <f t="shared" si="3"/>
        <v>0</v>
      </c>
      <c r="R246" s="8"/>
    </row>
    <row r="247" spans="2:18" x14ac:dyDescent="0.25">
      <c r="B247" s="5"/>
      <c r="C247" s="14" t="s">
        <v>213</v>
      </c>
      <c r="D247" s="8" t="s">
        <v>278</v>
      </c>
      <c r="E247" s="53">
        <f>COUNTIFS('TOTAL KONTAK ERAT'!$F:$F,"Kedungkarang")</f>
        <v>0</v>
      </c>
      <c r="F247" s="17"/>
      <c r="G247" s="18"/>
      <c r="H247" s="18"/>
      <c r="I247" s="18"/>
      <c r="J247" s="18"/>
      <c r="K247" s="18"/>
      <c r="L247" s="19"/>
      <c r="M247" s="19"/>
      <c r="N247" s="19"/>
      <c r="Q247" s="34">
        <f t="shared" si="3"/>
        <v>0</v>
      </c>
      <c r="R247" s="8"/>
    </row>
    <row r="248" spans="2:18" x14ac:dyDescent="0.25">
      <c r="B248" s="5"/>
      <c r="C248" s="14" t="s">
        <v>213</v>
      </c>
      <c r="D248" s="8" t="s">
        <v>277</v>
      </c>
      <c r="E248" s="53">
        <f>COUNTIFS('TOTAL KONTAK ERAT'!$F:$F,"Kedungmutih")</f>
        <v>0</v>
      </c>
      <c r="F248" s="17"/>
      <c r="G248" s="18"/>
      <c r="H248" s="18"/>
      <c r="I248" s="18"/>
      <c r="J248" s="18"/>
      <c r="K248" s="18"/>
      <c r="L248" s="19"/>
      <c r="M248" s="19"/>
      <c r="N248" s="19"/>
      <c r="Q248" s="34">
        <f t="shared" si="3"/>
        <v>0</v>
      </c>
      <c r="R248" s="8"/>
    </row>
    <row r="249" spans="2:18" x14ac:dyDescent="0.25">
      <c r="B249" s="5"/>
      <c r="C249" s="14" t="s">
        <v>213</v>
      </c>
      <c r="D249" s="8" t="s">
        <v>223</v>
      </c>
      <c r="E249" s="53">
        <f>COUNTIFS('TOTAL KONTAK ERAT'!$F:$F,"Jungsemi")</f>
        <v>0</v>
      </c>
      <c r="F249" s="17"/>
      <c r="G249" s="18"/>
      <c r="H249" s="18"/>
      <c r="I249" s="18"/>
      <c r="J249" s="18"/>
      <c r="K249" s="18"/>
      <c r="L249" s="19"/>
      <c r="M249" s="19"/>
      <c r="N249" s="19"/>
      <c r="Q249" s="34">
        <f t="shared" si="3"/>
        <v>0</v>
      </c>
      <c r="R249" s="8"/>
    </row>
    <row r="250" spans="2:18" x14ac:dyDescent="0.25">
      <c r="B250" s="5"/>
      <c r="C250" s="14" t="s">
        <v>213</v>
      </c>
      <c r="D250" s="8" t="s">
        <v>224</v>
      </c>
      <c r="E250" s="53">
        <f>COUNTIFS('TOTAL KONTAK ERAT'!$F:$F,"Jetak")</f>
        <v>0</v>
      </c>
      <c r="F250" s="17"/>
      <c r="G250" s="18"/>
      <c r="H250" s="18"/>
      <c r="I250" s="18"/>
      <c r="J250" s="18"/>
      <c r="K250" s="18"/>
      <c r="L250" s="19"/>
      <c r="M250" s="19"/>
      <c r="N250" s="19"/>
      <c r="Q250" s="34">
        <f t="shared" si="3"/>
        <v>0</v>
      </c>
      <c r="R250" s="8"/>
    </row>
    <row r="251" spans="2:18" x14ac:dyDescent="0.25">
      <c r="B251" s="5"/>
      <c r="C251" s="14" t="s">
        <v>213</v>
      </c>
      <c r="D251" s="8" t="s">
        <v>225</v>
      </c>
      <c r="E251" s="53">
        <f>COUNTIFS('TOTAL KONTAK ERAT'!$F:$F,"Jungpasir")</f>
        <v>0</v>
      </c>
      <c r="F251" s="17"/>
      <c r="G251" s="18"/>
      <c r="H251" s="18"/>
      <c r="I251" s="18"/>
      <c r="J251" s="18"/>
      <c r="K251" s="18"/>
      <c r="L251" s="19"/>
      <c r="M251" s="19"/>
      <c r="N251" s="19"/>
      <c r="Q251" s="34">
        <f t="shared" si="3"/>
        <v>0</v>
      </c>
      <c r="R251" s="8"/>
    </row>
    <row r="252" spans="2:18" x14ac:dyDescent="0.25">
      <c r="B252" s="5"/>
      <c r="C252" s="14" t="s">
        <v>213</v>
      </c>
      <c r="D252" s="8" t="s">
        <v>226</v>
      </c>
      <c r="E252" s="53">
        <f>COUNTIFS('TOTAL KONTAK ERAT'!$F:$F,"Mutih kulon")</f>
        <v>0</v>
      </c>
      <c r="F252" s="17"/>
      <c r="G252" s="18"/>
      <c r="H252" s="18"/>
      <c r="I252" s="18"/>
      <c r="J252" s="18"/>
      <c r="K252" s="18"/>
      <c r="L252" s="19"/>
      <c r="M252" s="19"/>
      <c r="N252" s="19"/>
      <c r="Q252" s="34">
        <f t="shared" si="3"/>
        <v>0</v>
      </c>
      <c r="R252" s="8"/>
    </row>
    <row r="253" spans="2:18" x14ac:dyDescent="0.25">
      <c r="B253" s="5"/>
      <c r="C253" s="14" t="s">
        <v>213</v>
      </c>
      <c r="D253" s="8" t="s">
        <v>227</v>
      </c>
      <c r="E253" s="53">
        <f>COUNTIFS('TOTAL KONTAK ERAT'!$F:$F,"Mutih Wetan")</f>
        <v>0</v>
      </c>
      <c r="F253" s="17"/>
      <c r="G253" s="18"/>
      <c r="H253" s="18"/>
      <c r="I253" s="18"/>
      <c r="J253" s="18"/>
      <c r="K253" s="18"/>
      <c r="L253" s="19"/>
      <c r="M253" s="19"/>
      <c r="N253" s="19"/>
      <c r="Q253" s="34">
        <f t="shared" si="3"/>
        <v>0</v>
      </c>
      <c r="R253" s="8"/>
    </row>
    <row r="254" spans="2:18" x14ac:dyDescent="0.25">
      <c r="B254" s="5"/>
      <c r="C254" s="14" t="s">
        <v>213</v>
      </c>
      <c r="D254" s="8" t="s">
        <v>228</v>
      </c>
      <c r="E254" s="53">
        <f>COUNTIFS('TOTAL KONTAK ERAT'!$F:$F,"Kendalasem")</f>
        <v>0</v>
      </c>
      <c r="F254" s="17"/>
      <c r="G254" s="18"/>
      <c r="H254" s="18"/>
      <c r="I254" s="18"/>
      <c r="J254" s="18"/>
      <c r="K254" s="18"/>
      <c r="L254" s="19"/>
      <c r="M254" s="19"/>
      <c r="N254" s="19"/>
      <c r="Q254" s="34">
        <f t="shared" si="3"/>
        <v>0</v>
      </c>
      <c r="R254" s="8"/>
    </row>
    <row r="255" spans="2:18" x14ac:dyDescent="0.25">
      <c r="B255" s="5"/>
      <c r="C255" s="14" t="s">
        <v>213</v>
      </c>
      <c r="D255" s="8" t="s">
        <v>229</v>
      </c>
      <c r="E255" s="53">
        <f>COUNTIFS('TOTAL KONTAK ERAT'!$F:$F,"Babalan")</f>
        <v>0</v>
      </c>
      <c r="F255" s="17"/>
      <c r="G255" s="18"/>
      <c r="H255" s="18"/>
      <c r="I255" s="18"/>
      <c r="J255" s="18"/>
      <c r="K255" s="18"/>
      <c r="L255" s="19"/>
      <c r="M255" s="19"/>
      <c r="N255" s="19"/>
      <c r="Q255" s="34">
        <f t="shared" si="3"/>
        <v>0</v>
      </c>
      <c r="R255" s="8"/>
    </row>
    <row r="256" spans="2:18" x14ac:dyDescent="0.25">
      <c r="B256" s="5"/>
      <c r="C256" s="14" t="s">
        <v>213</v>
      </c>
      <c r="D256" s="8" t="s">
        <v>230</v>
      </c>
      <c r="E256" s="53">
        <f>COUNTIFS('TOTAL KONTAK ERAT'!$F:$F,"Tedunan")</f>
        <v>0</v>
      </c>
      <c r="F256" s="17"/>
      <c r="G256" s="18"/>
      <c r="H256" s="18"/>
      <c r="I256" s="18"/>
      <c r="J256" s="18"/>
      <c r="K256" s="18"/>
      <c r="L256" s="19"/>
      <c r="M256" s="19"/>
      <c r="N256" s="19"/>
      <c r="Q256" s="34">
        <f t="shared" si="3"/>
        <v>0</v>
      </c>
      <c r="R256" s="8"/>
    </row>
    <row r="257" spans="2:18" x14ac:dyDescent="0.25">
      <c r="B257" s="13"/>
      <c r="C257" s="2" t="s">
        <v>293</v>
      </c>
      <c r="D257" s="42"/>
      <c r="E257" s="12">
        <v>0</v>
      </c>
      <c r="F257" s="22" t="e">
        <f>#REF!</f>
        <v>#REF!</v>
      </c>
      <c r="G257" s="22" t="e">
        <f>#REF!</f>
        <v>#REF!</v>
      </c>
      <c r="H257" s="22" t="e">
        <f>#REF!</f>
        <v>#REF!</v>
      </c>
      <c r="I257" s="22" t="e">
        <f>#REF!</f>
        <v>#REF!</v>
      </c>
      <c r="J257" s="22" t="e">
        <f>#REF!</f>
        <v>#REF!</v>
      </c>
      <c r="K257" s="22" t="e">
        <f>#REF!</f>
        <v>#REF!</v>
      </c>
      <c r="L257" s="22" t="e">
        <f>#REF!</f>
        <v>#REF!</v>
      </c>
      <c r="M257" s="22">
        <f>E257</f>
        <v>0</v>
      </c>
      <c r="N257" s="22" t="e">
        <f>#REF!</f>
        <v>#REF!</v>
      </c>
      <c r="Q257" s="34">
        <f t="shared" si="3"/>
        <v>0</v>
      </c>
      <c r="R257" s="8">
        <f>E257</f>
        <v>0</v>
      </c>
    </row>
    <row r="258" spans="2:18" ht="15" customHeight="1" x14ac:dyDescent="0.25">
      <c r="B258" s="97" t="s">
        <v>231</v>
      </c>
      <c r="C258" s="98"/>
      <c r="D258" s="35"/>
      <c r="E258" s="23">
        <f t="shared" ref="E258" si="4">SUM(E8:E257)</f>
        <v>108</v>
      </c>
      <c r="F258" s="20" t="e">
        <f t="shared" ref="F258:N258" si="5">SUM(F8:F257)</f>
        <v>#REF!</v>
      </c>
      <c r="G258" s="20" t="e">
        <f t="shared" si="5"/>
        <v>#REF!</v>
      </c>
      <c r="H258" s="20" t="e">
        <f t="shared" si="5"/>
        <v>#REF!</v>
      </c>
      <c r="I258" s="20" t="e">
        <f t="shared" si="5"/>
        <v>#REF!</v>
      </c>
      <c r="J258" s="20" t="e">
        <f t="shared" si="5"/>
        <v>#REF!</v>
      </c>
      <c r="K258" s="20" t="e">
        <f t="shared" si="5"/>
        <v>#REF!</v>
      </c>
      <c r="L258" s="20" t="e">
        <f t="shared" si="5"/>
        <v>#REF!</v>
      </c>
      <c r="M258" s="20">
        <f t="shared" si="5"/>
        <v>108</v>
      </c>
      <c r="N258" s="20" t="e">
        <f t="shared" si="5"/>
        <v>#REF!</v>
      </c>
      <c r="P258" s="21">
        <f>SUM(P8:P257)</f>
        <v>0</v>
      </c>
      <c r="Q258" s="36">
        <f>SUM(Q8:Q257)</f>
        <v>108</v>
      </c>
      <c r="R258" s="23">
        <f>SUM(R8:R257)</f>
        <v>108</v>
      </c>
    </row>
    <row r="259" spans="2:18" ht="15" customHeight="1" x14ac:dyDescent="0.25">
      <c r="B259" s="10"/>
      <c r="C259" s="3"/>
      <c r="D259" s="3"/>
      <c r="E259" s="3"/>
    </row>
    <row r="260" spans="2:18" ht="15" customHeight="1" x14ac:dyDescent="0.25">
      <c r="B260" s="4"/>
      <c r="C260" s="9"/>
    </row>
    <row r="261" spans="2:18" ht="15" customHeight="1" x14ac:dyDescent="0.25">
      <c r="B261" s="4"/>
    </row>
    <row r="262" spans="2:18" x14ac:dyDescent="0.25">
      <c r="B262" s="4"/>
    </row>
    <row r="263" spans="2:18" x14ac:dyDescent="0.25">
      <c r="B263" s="4"/>
    </row>
    <row r="264" spans="2:18" x14ac:dyDescent="0.25">
      <c r="B264" s="4"/>
    </row>
    <row r="265" spans="2:18" x14ac:dyDescent="0.25">
      <c r="B265" s="4"/>
    </row>
    <row r="266" spans="2:18" x14ac:dyDescent="0.25">
      <c r="B266" s="4"/>
      <c r="E266" s="3"/>
    </row>
    <row r="267" spans="2:18" x14ac:dyDescent="0.25">
      <c r="B267" s="4"/>
    </row>
    <row r="268" spans="2:18" x14ac:dyDescent="0.25">
      <c r="B268" s="4"/>
    </row>
    <row r="269" spans="2:18" x14ac:dyDescent="0.25">
      <c r="B269" s="4"/>
    </row>
    <row r="270" spans="2:18" x14ac:dyDescent="0.25">
      <c r="B270" s="4"/>
    </row>
    <row r="271" spans="2:18" x14ac:dyDescent="0.25">
      <c r="B271" s="4"/>
    </row>
    <row r="272" spans="2:18" x14ac:dyDescent="0.25">
      <c r="B272" s="4"/>
    </row>
    <row r="273" spans="2:2" x14ac:dyDescent="0.25">
      <c r="B273" s="4"/>
    </row>
    <row r="274" spans="2:2" x14ac:dyDescent="0.25">
      <c r="B274" s="4"/>
    </row>
    <row r="275" spans="2:2" x14ac:dyDescent="0.25">
      <c r="B275" s="4"/>
    </row>
    <row r="276" spans="2:2" x14ac:dyDescent="0.25">
      <c r="B276" s="4"/>
    </row>
    <row r="277" spans="2:2" x14ac:dyDescent="0.25">
      <c r="B277" s="4"/>
    </row>
    <row r="278" spans="2:2" x14ac:dyDescent="0.25">
      <c r="B278" s="4"/>
    </row>
    <row r="279" spans="2:2" x14ac:dyDescent="0.25">
      <c r="B279" s="4"/>
    </row>
    <row r="280" spans="2:2" x14ac:dyDescent="0.25">
      <c r="B280" s="4"/>
    </row>
    <row r="281" spans="2:2" x14ac:dyDescent="0.25">
      <c r="B281" s="4"/>
    </row>
    <row r="282" spans="2:2" x14ac:dyDescent="0.25">
      <c r="B282" s="4"/>
    </row>
    <row r="283" spans="2:2" x14ac:dyDescent="0.25">
      <c r="B283" s="4"/>
    </row>
    <row r="284" spans="2:2" x14ac:dyDescent="0.25">
      <c r="B284" s="4"/>
    </row>
    <row r="285" spans="2:2" x14ac:dyDescent="0.25">
      <c r="B285" s="4"/>
    </row>
    <row r="286" spans="2:2" x14ac:dyDescent="0.25">
      <c r="B286" s="4"/>
    </row>
    <row r="287" spans="2:2" x14ac:dyDescent="0.25">
      <c r="B287" s="4"/>
    </row>
    <row r="288" spans="2:2" x14ac:dyDescent="0.25">
      <c r="B288" s="4"/>
    </row>
    <row r="289" spans="2:2" x14ac:dyDescent="0.25">
      <c r="B289" s="4"/>
    </row>
    <row r="290" spans="2:2" x14ac:dyDescent="0.25">
      <c r="B290" s="4"/>
    </row>
    <row r="291" spans="2:2" x14ac:dyDescent="0.25">
      <c r="B291" s="4"/>
    </row>
    <row r="292" spans="2:2" x14ac:dyDescent="0.25">
      <c r="B292" s="4"/>
    </row>
    <row r="293" spans="2:2" x14ac:dyDescent="0.25">
      <c r="B293" s="4"/>
    </row>
    <row r="294" spans="2:2" x14ac:dyDescent="0.25">
      <c r="B294" s="4"/>
    </row>
    <row r="295" spans="2:2" x14ac:dyDescent="0.25">
      <c r="B295" s="4"/>
    </row>
    <row r="296" spans="2:2" x14ac:dyDescent="0.25">
      <c r="B296" s="4"/>
    </row>
    <row r="297" spans="2:2" x14ac:dyDescent="0.25">
      <c r="B297" s="4"/>
    </row>
    <row r="298" spans="2:2" x14ac:dyDescent="0.25">
      <c r="B298" s="4"/>
    </row>
    <row r="299" spans="2:2" x14ac:dyDescent="0.25">
      <c r="B299" s="4"/>
    </row>
    <row r="300" spans="2:2" x14ac:dyDescent="0.25">
      <c r="B300" s="4"/>
    </row>
    <row r="301" spans="2:2" x14ac:dyDescent="0.25">
      <c r="B301" s="4"/>
    </row>
    <row r="302" spans="2:2" x14ac:dyDescent="0.25">
      <c r="B302" s="4"/>
    </row>
    <row r="303" spans="2:2" x14ac:dyDescent="0.25">
      <c r="B303" s="4"/>
    </row>
    <row r="304" spans="2:2" x14ac:dyDescent="0.25">
      <c r="B304" s="4"/>
    </row>
    <row r="305" spans="2:3" x14ac:dyDescent="0.25">
      <c r="B305" s="4"/>
    </row>
    <row r="306" spans="2:3" x14ac:dyDescent="0.25">
      <c r="B306" s="4"/>
    </row>
    <row r="307" spans="2:3" x14ac:dyDescent="0.25">
      <c r="B307" s="4"/>
    </row>
    <row r="308" spans="2:3" x14ac:dyDescent="0.25">
      <c r="B308" s="4"/>
    </row>
    <row r="309" spans="2:3" x14ac:dyDescent="0.25">
      <c r="B309" s="4"/>
    </row>
    <row r="310" spans="2:3" x14ac:dyDescent="0.25">
      <c r="B310" s="4"/>
    </row>
    <row r="311" spans="2:3" x14ac:dyDescent="0.25">
      <c r="B311" s="4"/>
    </row>
    <row r="312" spans="2:3" x14ac:dyDescent="0.25">
      <c r="B312" s="4"/>
    </row>
    <row r="313" spans="2:3" x14ac:dyDescent="0.25">
      <c r="B313" s="4"/>
    </row>
    <row r="314" spans="2:3" x14ac:dyDescent="0.25">
      <c r="B314" s="4"/>
    </row>
    <row r="315" spans="2:3" x14ac:dyDescent="0.25">
      <c r="B315" s="4"/>
    </row>
    <row r="316" spans="2:3" x14ac:dyDescent="0.25">
      <c r="B316" s="4"/>
    </row>
    <row r="317" spans="2:3" x14ac:dyDescent="0.25">
      <c r="B317" s="4"/>
    </row>
    <row r="318" spans="2:3" x14ac:dyDescent="0.25">
      <c r="B318" s="4"/>
      <c r="C318" t="s">
        <v>232</v>
      </c>
    </row>
    <row r="319" spans="2:3" x14ac:dyDescent="0.25">
      <c r="B319" s="4"/>
    </row>
    <row r="320" spans="2:3" x14ac:dyDescent="0.25">
      <c r="B320" s="5" t="s">
        <v>1</v>
      </c>
      <c r="C320" s="6" t="s">
        <v>233</v>
      </c>
    </row>
    <row r="321" spans="2:3" x14ac:dyDescent="0.25">
      <c r="B321" s="7" t="s">
        <v>234</v>
      </c>
      <c r="C321" s="8" t="s">
        <v>235</v>
      </c>
    </row>
    <row r="322" spans="2:3" x14ac:dyDescent="0.25">
      <c r="B322" s="7" t="s">
        <v>236</v>
      </c>
      <c r="C322" s="8" t="s">
        <v>9</v>
      </c>
    </row>
    <row r="323" spans="2:3" x14ac:dyDescent="0.25">
      <c r="B323" s="7" t="s">
        <v>237</v>
      </c>
      <c r="C323" s="8" t="s">
        <v>21</v>
      </c>
    </row>
    <row r="324" spans="2:3" x14ac:dyDescent="0.25">
      <c r="B324" s="7" t="s">
        <v>238</v>
      </c>
      <c r="C324" s="8" t="s">
        <v>239</v>
      </c>
    </row>
    <row r="325" spans="2:3" x14ac:dyDescent="0.25">
      <c r="B325" s="7" t="s">
        <v>240</v>
      </c>
      <c r="C325" s="8" t="s">
        <v>241</v>
      </c>
    </row>
    <row r="326" spans="2:3" x14ac:dyDescent="0.25">
      <c r="B326" s="7" t="s">
        <v>242</v>
      </c>
      <c r="C326" s="8" t="s">
        <v>37</v>
      </c>
    </row>
    <row r="327" spans="2:3" x14ac:dyDescent="0.25">
      <c r="B327" s="7" t="s">
        <v>243</v>
      </c>
      <c r="C327" s="8" t="s">
        <v>41</v>
      </c>
    </row>
    <row r="328" spans="2:3" x14ac:dyDescent="0.25">
      <c r="B328" s="7" t="s">
        <v>244</v>
      </c>
      <c r="C328" s="8" t="s">
        <v>38</v>
      </c>
    </row>
    <row r="329" spans="2:3" x14ac:dyDescent="0.25">
      <c r="B329" s="7" t="s">
        <v>245</v>
      </c>
      <c r="C329" s="8" t="s">
        <v>57</v>
      </c>
    </row>
    <row r="330" spans="2:3" x14ac:dyDescent="0.25">
      <c r="B330" s="7" t="s">
        <v>246</v>
      </c>
      <c r="C330" s="8" t="s">
        <v>66</v>
      </c>
    </row>
    <row r="331" spans="2:3" x14ac:dyDescent="0.25">
      <c r="B331" s="7" t="s">
        <v>247</v>
      </c>
      <c r="C331" s="8" t="s">
        <v>55</v>
      </c>
    </row>
    <row r="332" spans="2:3" x14ac:dyDescent="0.25">
      <c r="B332" s="7" t="s">
        <v>248</v>
      </c>
      <c r="C332" s="8" t="s">
        <v>65</v>
      </c>
    </row>
    <row r="333" spans="2:3" x14ac:dyDescent="0.25">
      <c r="B333" s="7" t="s">
        <v>249</v>
      </c>
      <c r="C333" s="8" t="s">
        <v>77</v>
      </c>
    </row>
    <row r="334" spans="2:3" x14ac:dyDescent="0.25">
      <c r="B334" s="7" t="s">
        <v>250</v>
      </c>
      <c r="C334" s="8" t="s">
        <v>78</v>
      </c>
    </row>
    <row r="335" spans="2:3" x14ac:dyDescent="0.25">
      <c r="B335" s="7" t="s">
        <v>251</v>
      </c>
      <c r="C335" s="8" t="s">
        <v>252</v>
      </c>
    </row>
    <row r="336" spans="2:3" x14ac:dyDescent="0.25">
      <c r="B336" s="7" t="s">
        <v>253</v>
      </c>
      <c r="C336" s="8" t="s">
        <v>73</v>
      </c>
    </row>
    <row r="337" spans="2:3" x14ac:dyDescent="0.25">
      <c r="B337" s="7" t="s">
        <v>254</v>
      </c>
      <c r="C337" s="8" t="s">
        <v>81</v>
      </c>
    </row>
    <row r="338" spans="2:3" x14ac:dyDescent="0.25">
      <c r="B338" s="7" t="s">
        <v>255</v>
      </c>
      <c r="C338" s="8" t="s">
        <v>9</v>
      </c>
    </row>
    <row r="339" spans="2:3" x14ac:dyDescent="0.25">
      <c r="B339" s="7" t="s">
        <v>256</v>
      </c>
      <c r="C339" s="8" t="s">
        <v>107</v>
      </c>
    </row>
    <row r="340" spans="2:3" x14ac:dyDescent="0.25">
      <c r="B340" s="7" t="s">
        <v>257</v>
      </c>
      <c r="C340" s="8" t="s">
        <v>113</v>
      </c>
    </row>
    <row r="341" spans="2:3" x14ac:dyDescent="0.25">
      <c r="B341" s="7" t="s">
        <v>258</v>
      </c>
      <c r="C341" s="8" t="s">
        <v>114</v>
      </c>
    </row>
    <row r="342" spans="2:3" x14ac:dyDescent="0.25">
      <c r="B342" s="7" t="s">
        <v>259</v>
      </c>
      <c r="C342" s="8" t="s">
        <v>115</v>
      </c>
    </row>
    <row r="343" spans="2:3" x14ac:dyDescent="0.25">
      <c r="B343" s="7" t="s">
        <v>260</v>
      </c>
      <c r="C343" s="8" t="s">
        <v>8</v>
      </c>
    </row>
    <row r="344" spans="2:3" x14ac:dyDescent="0.25">
      <c r="B344" s="7" t="s">
        <v>261</v>
      </c>
      <c r="C344" s="8" t="s">
        <v>126</v>
      </c>
    </row>
    <row r="345" spans="2:3" x14ac:dyDescent="0.25">
      <c r="B345" s="7" t="s">
        <v>262</v>
      </c>
      <c r="C345" s="8" t="s">
        <v>141</v>
      </c>
    </row>
    <row r="346" spans="2:3" x14ac:dyDescent="0.25">
      <c r="B346" s="7" t="s">
        <v>263</v>
      </c>
      <c r="C346" s="8" t="s">
        <v>159</v>
      </c>
    </row>
    <row r="347" spans="2:3" x14ac:dyDescent="0.25">
      <c r="B347" s="7" t="s">
        <v>264</v>
      </c>
      <c r="C347" s="8" t="s">
        <v>179</v>
      </c>
    </row>
    <row r="348" spans="2:3" x14ac:dyDescent="0.25">
      <c r="B348" s="7" t="s">
        <v>265</v>
      </c>
      <c r="C348" s="8" t="s">
        <v>197</v>
      </c>
    </row>
    <row r="349" spans="2:3" x14ac:dyDescent="0.25">
      <c r="B349" s="7" t="s">
        <v>266</v>
      </c>
      <c r="C349" s="8" t="s">
        <v>213</v>
      </c>
    </row>
    <row r="350" spans="2:3" x14ac:dyDescent="0.25">
      <c r="B350" s="7" t="s">
        <v>267</v>
      </c>
      <c r="C350" s="8" t="s">
        <v>230</v>
      </c>
    </row>
    <row r="351" spans="2:3" x14ac:dyDescent="0.25">
      <c r="B351" s="7" t="s">
        <v>268</v>
      </c>
      <c r="C351" s="8" t="s">
        <v>223</v>
      </c>
    </row>
    <row r="354" spans="2:3" x14ac:dyDescent="0.25">
      <c r="B354" s="99" t="s">
        <v>269</v>
      </c>
      <c r="C354" s="99"/>
    </row>
    <row r="356" spans="2:3" x14ac:dyDescent="0.25">
      <c r="B356" s="5" t="s">
        <v>1</v>
      </c>
      <c r="C356" s="6" t="s">
        <v>233</v>
      </c>
    </row>
    <row r="357" spans="2:3" x14ac:dyDescent="0.25">
      <c r="B357" s="7" t="s">
        <v>234</v>
      </c>
      <c r="C357" s="8" t="s">
        <v>25</v>
      </c>
    </row>
    <row r="358" spans="2:3" x14ac:dyDescent="0.25">
      <c r="B358" s="7" t="s">
        <v>236</v>
      </c>
      <c r="C358" s="8" t="s">
        <v>30</v>
      </c>
    </row>
    <row r="359" spans="2:3" x14ac:dyDescent="0.25">
      <c r="B359" s="7" t="s">
        <v>237</v>
      </c>
      <c r="C359" s="8" t="s">
        <v>43</v>
      </c>
    </row>
    <row r="360" spans="2:3" x14ac:dyDescent="0.25">
      <c r="B360" s="7" t="s">
        <v>238</v>
      </c>
      <c r="C360" s="8" t="s">
        <v>44</v>
      </c>
    </row>
    <row r="361" spans="2:3" x14ac:dyDescent="0.25">
      <c r="B361" s="7" t="s">
        <v>240</v>
      </c>
      <c r="C361" s="8" t="s">
        <v>86</v>
      </c>
    </row>
    <row r="362" spans="2:3" x14ac:dyDescent="0.25">
      <c r="B362" s="7" t="s">
        <v>242</v>
      </c>
      <c r="C362" s="8" t="s">
        <v>102</v>
      </c>
    </row>
    <row r="363" spans="2:3" x14ac:dyDescent="0.25">
      <c r="B363" s="7" t="s">
        <v>243</v>
      </c>
      <c r="C363" s="8" t="s">
        <v>128</v>
      </c>
    </row>
    <row r="364" spans="2:3" x14ac:dyDescent="0.25">
      <c r="B364" s="7" t="s">
        <v>244</v>
      </c>
      <c r="C364" s="8" t="s">
        <v>270</v>
      </c>
    </row>
    <row r="365" spans="2:3" x14ac:dyDescent="0.25">
      <c r="B365" s="7" t="s">
        <v>245</v>
      </c>
      <c r="C365" s="8" t="s">
        <v>134</v>
      </c>
    </row>
    <row r="366" spans="2:3" x14ac:dyDescent="0.25">
      <c r="B366" s="7" t="s">
        <v>246</v>
      </c>
      <c r="C366" s="8" t="s">
        <v>164</v>
      </c>
    </row>
    <row r="367" spans="2:3" x14ac:dyDescent="0.25">
      <c r="B367" s="7" t="s">
        <v>247</v>
      </c>
      <c r="C367" s="8" t="s">
        <v>170</v>
      </c>
    </row>
    <row r="368" spans="2:3" x14ac:dyDescent="0.25">
      <c r="B368" s="7" t="s">
        <v>248</v>
      </c>
      <c r="C368" s="8" t="s">
        <v>53</v>
      </c>
    </row>
    <row r="369" spans="2:3" x14ac:dyDescent="0.25">
      <c r="B369" s="7" t="s">
        <v>249</v>
      </c>
      <c r="C369" s="8" t="s">
        <v>174</v>
      </c>
    </row>
    <row r="370" spans="2:3" x14ac:dyDescent="0.25">
      <c r="B370" s="7" t="s">
        <v>250</v>
      </c>
      <c r="C370" s="8" t="s">
        <v>57</v>
      </c>
    </row>
    <row r="371" spans="2:3" x14ac:dyDescent="0.25">
      <c r="B371" s="7" t="s">
        <v>251</v>
      </c>
      <c r="C371" s="8" t="s">
        <v>202</v>
      </c>
    </row>
  </sheetData>
  <mergeCells count="17">
    <mergeCell ref="A1:R1"/>
    <mergeCell ref="R5:R7"/>
    <mergeCell ref="B258:C258"/>
    <mergeCell ref="B354:C354"/>
    <mergeCell ref="K5:K7"/>
    <mergeCell ref="L5:L7"/>
    <mergeCell ref="M5:M7"/>
    <mergeCell ref="F5:F7"/>
    <mergeCell ref="G5:G7"/>
    <mergeCell ref="H5:H7"/>
    <mergeCell ref="I5:I7"/>
    <mergeCell ref="J5:J7"/>
    <mergeCell ref="B5:B7"/>
    <mergeCell ref="C5:C7"/>
    <mergeCell ref="D5:D7"/>
    <mergeCell ref="E5:E7"/>
    <mergeCell ref="N5:N7"/>
  </mergeCells>
  <conditionalFormatting sqref="D2:D1048576">
    <cfRule type="duplicateValues" dxfId="41" priority="1"/>
  </conditionalFormatting>
  <pageMargins left="0.35433070866141736" right="0.19685039370078741" top="0.74803149606299213" bottom="0.74803149606299213" header="0.31496062992125984" footer="0.31496062992125984"/>
  <pageSetup paperSize="5" scale="70" orientation="portrait" horizontalDpi="4294967292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C27" sqref="C27"/>
    </sheetView>
  </sheetViews>
  <sheetFormatPr defaultColWidth="9.140625" defaultRowHeight="15" x14ac:dyDescent="0.25"/>
  <cols>
    <col min="1" max="1" width="6.42578125" style="11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09" t="s">
        <v>430</v>
      </c>
      <c r="B2" s="109"/>
      <c r="C2" s="109"/>
    </row>
    <row r="3" spans="1:3" x14ac:dyDescent="0.25">
      <c r="A3" s="110" t="str">
        <f>"TANGGAL "&amp;perdesa!C4</f>
        <v>TANGGAL 11 NOVEMBER 2022</v>
      </c>
      <c r="B3" s="110"/>
    </row>
    <row r="4" spans="1:3" s="39" customFormat="1" x14ac:dyDescent="0.25">
      <c r="A4" s="51" t="s">
        <v>1</v>
      </c>
      <c r="B4" s="75" t="s">
        <v>2</v>
      </c>
      <c r="C4" s="51" t="s">
        <v>459</v>
      </c>
    </row>
    <row r="5" spans="1:3" x14ac:dyDescent="0.25">
      <c r="A5" s="76"/>
      <c r="B5" s="40"/>
      <c r="C5" s="77"/>
    </row>
    <row r="6" spans="1:3" x14ac:dyDescent="0.25">
      <c r="A6" s="6">
        <v>1</v>
      </c>
      <c r="B6" s="8" t="s">
        <v>283</v>
      </c>
      <c r="C6" s="65">
        <f>perdesa!R155</f>
        <v>0</v>
      </c>
    </row>
    <row r="7" spans="1:3" x14ac:dyDescent="0.25">
      <c r="A7" s="6">
        <v>2</v>
      </c>
      <c r="B7" s="8" t="s">
        <v>281</v>
      </c>
      <c r="C7" s="65">
        <f>perdesa!R175</f>
        <v>0</v>
      </c>
    </row>
    <row r="8" spans="1:3" x14ac:dyDescent="0.25">
      <c r="A8" s="6">
        <v>3</v>
      </c>
      <c r="B8" s="8" t="s">
        <v>292</v>
      </c>
      <c r="C8" s="65">
        <f>perdesa!R237</f>
        <v>0</v>
      </c>
    </row>
    <row r="9" spans="1:3" x14ac:dyDescent="0.25">
      <c r="A9" s="6">
        <v>4</v>
      </c>
      <c r="B9" s="8" t="s">
        <v>290</v>
      </c>
      <c r="C9" s="65">
        <f>perdesa!R83</f>
        <v>5</v>
      </c>
    </row>
    <row r="10" spans="1:3" x14ac:dyDescent="0.25">
      <c r="A10" s="6">
        <v>5</v>
      </c>
      <c r="B10" s="8" t="s">
        <v>0</v>
      </c>
      <c r="C10" s="65">
        <f>perdesa!R27</f>
        <v>0</v>
      </c>
    </row>
    <row r="11" spans="1:3" x14ac:dyDescent="0.25">
      <c r="A11" s="6">
        <v>6</v>
      </c>
      <c r="B11" s="8" t="s">
        <v>282</v>
      </c>
      <c r="C11" s="65">
        <f>perdesa!R115</f>
        <v>13</v>
      </c>
    </row>
    <row r="12" spans="1:3" x14ac:dyDescent="0.25">
      <c r="A12" s="6">
        <v>7</v>
      </c>
      <c r="B12" s="8" t="s">
        <v>284</v>
      </c>
      <c r="C12" s="65">
        <f>perdesa!R217</f>
        <v>42</v>
      </c>
    </row>
    <row r="13" spans="1:3" x14ac:dyDescent="0.25">
      <c r="A13" s="6">
        <v>8</v>
      </c>
      <c r="B13" s="8" t="s">
        <v>285</v>
      </c>
      <c r="C13" s="65">
        <f>perdesa!R44</f>
        <v>0</v>
      </c>
    </row>
    <row r="14" spans="1:3" x14ac:dyDescent="0.25">
      <c r="A14" s="6">
        <v>9</v>
      </c>
      <c r="B14" s="8" t="s">
        <v>291</v>
      </c>
      <c r="C14" s="65">
        <f>perdesa!R134</f>
        <v>29</v>
      </c>
    </row>
    <row r="15" spans="1:3" x14ac:dyDescent="0.25">
      <c r="A15" s="6">
        <v>10</v>
      </c>
      <c r="B15" s="8" t="s">
        <v>399</v>
      </c>
      <c r="C15" s="65">
        <f>perdesa!R8</f>
        <v>3</v>
      </c>
    </row>
    <row r="16" spans="1:3" x14ac:dyDescent="0.25">
      <c r="A16" s="6">
        <v>11</v>
      </c>
      <c r="B16" s="8" t="s">
        <v>286</v>
      </c>
      <c r="C16" s="65">
        <f>perdesa!R203</f>
        <v>0</v>
      </c>
    </row>
    <row r="17" spans="1:3" x14ac:dyDescent="0.25">
      <c r="A17" s="6">
        <v>12</v>
      </c>
      <c r="B17" s="8" t="s">
        <v>287</v>
      </c>
      <c r="C17" s="65">
        <f>perdesa!R187</f>
        <v>0</v>
      </c>
    </row>
    <row r="18" spans="1:3" x14ac:dyDescent="0.25">
      <c r="A18" s="6">
        <v>13</v>
      </c>
      <c r="B18" s="8" t="s">
        <v>288</v>
      </c>
      <c r="C18" s="65">
        <f>perdesa!R65</f>
        <v>13</v>
      </c>
    </row>
    <row r="19" spans="1:3" x14ac:dyDescent="0.25">
      <c r="A19" s="6">
        <v>14</v>
      </c>
      <c r="B19" s="8" t="s">
        <v>289</v>
      </c>
      <c r="C19" s="53">
        <f>perdesa!R100</f>
        <v>3</v>
      </c>
    </row>
    <row r="20" spans="1:3" x14ac:dyDescent="0.25">
      <c r="A20" s="6">
        <v>15</v>
      </c>
      <c r="B20" s="8" t="s">
        <v>293</v>
      </c>
      <c r="C20" s="53">
        <f>perdesa!R257</f>
        <v>0</v>
      </c>
    </row>
    <row r="21" spans="1:3" x14ac:dyDescent="0.25">
      <c r="A21" s="78"/>
      <c r="B21" s="42" t="s">
        <v>400</v>
      </c>
      <c r="C21" s="78">
        <f t="shared" ref="C21" si="0">SUM(C6:C20)</f>
        <v>108</v>
      </c>
    </row>
  </sheetData>
  <mergeCells count="2">
    <mergeCell ref="A2:C2"/>
    <mergeCell ref="A3:B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G6"/>
  <sheetViews>
    <sheetView topLeftCell="C1" workbookViewId="0">
      <selection activeCell="C6" sqref="C6:AG6"/>
    </sheetView>
  </sheetViews>
  <sheetFormatPr defaultRowHeight="15" x14ac:dyDescent="0.25"/>
  <cols>
    <col min="6" max="6" width="25.5703125" customWidth="1"/>
    <col min="9" max="9" width="16.140625" customWidth="1"/>
  </cols>
  <sheetData>
    <row r="5" spans="1:33" s="24" customFormat="1" ht="18.75" customHeight="1" x14ac:dyDescent="0.25">
      <c r="A5" s="29"/>
      <c r="B5" s="29"/>
      <c r="C5" s="37">
        <v>44014</v>
      </c>
      <c r="D5" s="32" t="s">
        <v>351</v>
      </c>
      <c r="E5" s="32" t="s">
        <v>310</v>
      </c>
      <c r="F5" s="45" t="s">
        <v>401</v>
      </c>
      <c r="G5" s="52">
        <v>44008</v>
      </c>
      <c r="H5" s="51">
        <v>46</v>
      </c>
      <c r="I5" s="45" t="s">
        <v>404</v>
      </c>
      <c r="J5" s="51" t="s">
        <v>402</v>
      </c>
      <c r="K5" s="51">
        <v>1</v>
      </c>
      <c r="L5" s="51" t="s">
        <v>403</v>
      </c>
      <c r="M5" s="51" t="s">
        <v>404</v>
      </c>
      <c r="N5" s="51" t="s">
        <v>403</v>
      </c>
      <c r="O5" s="30" t="s">
        <v>293</v>
      </c>
      <c r="P5" s="30" t="s">
        <v>293</v>
      </c>
      <c r="Q5" s="29"/>
      <c r="R5" s="8" t="s">
        <v>349</v>
      </c>
      <c r="S5" s="29"/>
      <c r="T5" s="29"/>
      <c r="U5" s="29"/>
      <c r="V5" s="29"/>
      <c r="W5" s="29"/>
      <c r="X5" s="29"/>
      <c r="Y5" s="29"/>
      <c r="Z5" s="29" t="s">
        <v>317</v>
      </c>
      <c r="AA5" s="29"/>
      <c r="AB5" s="29"/>
      <c r="AC5" s="29"/>
      <c r="AD5" s="29" t="s">
        <v>309</v>
      </c>
      <c r="AF5" s="25" t="s">
        <v>293</v>
      </c>
      <c r="AG5" s="25" t="s">
        <v>293</v>
      </c>
    </row>
    <row r="6" spans="1:33" ht="90" x14ac:dyDescent="0.25">
      <c r="C6" s="31">
        <v>44017</v>
      </c>
      <c r="D6" s="38" t="s">
        <v>351</v>
      </c>
      <c r="E6" s="38" t="s">
        <v>310</v>
      </c>
      <c r="F6" s="26" t="s">
        <v>428</v>
      </c>
      <c r="G6" s="38" t="s">
        <v>306</v>
      </c>
      <c r="H6" s="38">
        <v>54</v>
      </c>
      <c r="I6" s="38"/>
      <c r="J6" s="38"/>
      <c r="K6" s="38"/>
      <c r="L6" s="38"/>
      <c r="M6" s="38"/>
      <c r="N6" s="26" t="s">
        <v>427</v>
      </c>
      <c r="O6" s="26" t="s">
        <v>394</v>
      </c>
      <c r="P6" s="26" t="s">
        <v>282</v>
      </c>
      <c r="Q6" s="38"/>
      <c r="R6" s="38" t="s">
        <v>429</v>
      </c>
      <c r="S6" s="38"/>
      <c r="T6" s="38" t="s">
        <v>325</v>
      </c>
      <c r="U6" s="38"/>
      <c r="V6" s="38"/>
      <c r="W6" s="38"/>
      <c r="X6" s="38"/>
      <c r="Y6" s="38"/>
      <c r="Z6" s="38"/>
      <c r="AA6" s="38"/>
      <c r="AB6" s="38"/>
      <c r="AC6" s="38"/>
      <c r="AD6" s="38" t="s">
        <v>354</v>
      </c>
      <c r="AE6" s="28"/>
      <c r="AF6" s="27" t="s">
        <v>394</v>
      </c>
      <c r="AG6" s="27" t="s">
        <v>282</v>
      </c>
    </row>
  </sheetData>
  <conditionalFormatting sqref="F5">
    <cfRule type="duplicateValues" dxfId="40" priority="20"/>
  </conditionalFormatting>
  <dataValidations count="2">
    <dataValidation type="list" allowBlank="1" showInputMessage="1" showErrorMessage="1" errorTitle="pilihan" sqref="AD5">
      <formula1>#REF!</formula1>
    </dataValidation>
    <dataValidation type="list" allowBlank="1" showInputMessage="1" showErrorMessage="1" errorTitle="pilihan" sqref="AD6">
      <formula1>#REF!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AG20"/>
  <sheetViews>
    <sheetView workbookViewId="0">
      <selection activeCell="A3" sqref="A3:XFD19"/>
    </sheetView>
  </sheetViews>
  <sheetFormatPr defaultRowHeight="15" x14ac:dyDescent="0.25"/>
  <cols>
    <col min="6" max="6" width="22.7109375" customWidth="1"/>
    <col min="18" max="18" width="17.28515625" customWidth="1"/>
    <col min="26" max="26" width="17.28515625" customWidth="1"/>
  </cols>
  <sheetData>
    <row r="3" spans="4:33" s="24" customFormat="1" ht="27" customHeight="1" x14ac:dyDescent="0.25">
      <c r="D3" s="29" t="s">
        <v>351</v>
      </c>
      <c r="E3" s="29" t="s">
        <v>310</v>
      </c>
      <c r="F3" s="30" t="s">
        <v>315</v>
      </c>
      <c r="G3" s="29" t="s">
        <v>304</v>
      </c>
      <c r="H3" s="29">
        <v>52</v>
      </c>
      <c r="I3" s="29" t="s">
        <v>425</v>
      </c>
      <c r="J3" s="29"/>
      <c r="K3" s="29"/>
      <c r="L3" s="29"/>
      <c r="M3" s="29"/>
      <c r="N3" s="30" t="s">
        <v>316</v>
      </c>
      <c r="O3" s="30" t="s">
        <v>344</v>
      </c>
      <c r="P3" s="30" t="s">
        <v>281</v>
      </c>
      <c r="Q3" s="29"/>
      <c r="R3" s="29" t="s">
        <v>311</v>
      </c>
      <c r="S3" s="29" t="s">
        <v>398</v>
      </c>
      <c r="T3" s="29"/>
      <c r="U3" s="29"/>
      <c r="V3" s="29"/>
      <c r="W3" s="29"/>
      <c r="X3" s="29"/>
      <c r="Y3" s="29"/>
      <c r="Z3" s="29" t="s">
        <v>392</v>
      </c>
      <c r="AA3" s="29" t="s">
        <v>426</v>
      </c>
      <c r="AB3" s="29" t="s">
        <v>307</v>
      </c>
    </row>
    <row r="4" spans="4:33" s="24" customFormat="1" ht="27" customHeight="1" x14ac:dyDescent="0.25">
      <c r="D4" s="29" t="s">
        <v>351</v>
      </c>
      <c r="E4" s="29" t="s">
        <v>310</v>
      </c>
      <c r="F4" s="30" t="s">
        <v>355</v>
      </c>
      <c r="G4" s="29" t="s">
        <v>304</v>
      </c>
      <c r="H4" s="29">
        <v>56</v>
      </c>
      <c r="I4" s="29" t="s">
        <v>356</v>
      </c>
      <c r="J4" s="29"/>
      <c r="K4" s="29"/>
      <c r="L4" s="29"/>
      <c r="M4" s="29"/>
      <c r="N4" s="30" t="s">
        <v>422</v>
      </c>
      <c r="O4" s="30" t="s">
        <v>345</v>
      </c>
      <c r="P4" s="30" t="s">
        <v>308</v>
      </c>
      <c r="Q4" s="29"/>
      <c r="R4" s="29" t="s">
        <v>311</v>
      </c>
      <c r="S4" s="29" t="s">
        <v>423</v>
      </c>
      <c r="T4" s="29"/>
      <c r="U4" s="29"/>
      <c r="V4" s="29"/>
      <c r="W4" s="29"/>
      <c r="X4" s="29"/>
      <c r="Y4" s="29"/>
      <c r="Z4" s="29" t="s">
        <v>392</v>
      </c>
      <c r="AA4" s="29" t="s">
        <v>424</v>
      </c>
      <c r="AB4" s="29" t="s">
        <v>307</v>
      </c>
    </row>
    <row r="5" spans="4:33" s="24" customFormat="1" ht="27" customHeight="1" x14ac:dyDescent="0.25">
      <c r="D5" s="29" t="s">
        <v>351</v>
      </c>
      <c r="E5" s="29" t="s">
        <v>310</v>
      </c>
      <c r="F5" s="30" t="s">
        <v>313</v>
      </c>
      <c r="G5" s="29" t="s">
        <v>304</v>
      </c>
      <c r="H5" s="29">
        <v>52</v>
      </c>
      <c r="I5" s="29" t="s">
        <v>314</v>
      </c>
      <c r="J5" s="29"/>
      <c r="K5" s="29"/>
      <c r="L5" s="29"/>
      <c r="M5" s="29"/>
      <c r="N5" s="30" t="s">
        <v>419</v>
      </c>
      <c r="O5" s="30" t="s">
        <v>343</v>
      </c>
      <c r="P5" s="30" t="s">
        <v>0</v>
      </c>
      <c r="Q5" s="29"/>
      <c r="R5" s="29" t="s">
        <v>311</v>
      </c>
      <c r="S5" s="29" t="s">
        <v>420</v>
      </c>
      <c r="T5" s="29"/>
      <c r="U5" s="29"/>
      <c r="V5" s="29"/>
      <c r="W5" s="29"/>
      <c r="X5" s="29"/>
      <c r="Y5" s="29"/>
      <c r="Z5" s="29" t="s">
        <v>392</v>
      </c>
      <c r="AA5" s="29" t="s">
        <v>421</v>
      </c>
      <c r="AB5" s="29" t="s">
        <v>307</v>
      </c>
    </row>
    <row r="6" spans="4:33" s="24" customFormat="1" ht="27" customHeight="1" x14ac:dyDescent="0.25">
      <c r="D6" s="29" t="s">
        <v>351</v>
      </c>
      <c r="E6" s="29" t="s">
        <v>310</v>
      </c>
      <c r="F6" s="30" t="s">
        <v>330</v>
      </c>
      <c r="G6" s="29" t="s">
        <v>304</v>
      </c>
      <c r="H6" s="29">
        <v>63</v>
      </c>
      <c r="I6" s="29" t="s">
        <v>323</v>
      </c>
      <c r="J6" s="29"/>
      <c r="K6" s="29"/>
      <c r="L6" s="29"/>
      <c r="M6" s="29"/>
      <c r="N6" s="30" t="s">
        <v>322</v>
      </c>
      <c r="O6" s="30" t="s">
        <v>353</v>
      </c>
      <c r="P6" s="30" t="s">
        <v>292</v>
      </c>
      <c r="Q6" s="29"/>
      <c r="R6" s="29" t="s">
        <v>305</v>
      </c>
      <c r="S6" s="29" t="s">
        <v>408</v>
      </c>
      <c r="T6" s="29"/>
      <c r="U6" s="29"/>
      <c r="V6" s="29"/>
      <c r="W6" s="29"/>
      <c r="X6" s="29"/>
      <c r="Y6" s="29"/>
      <c r="Z6" s="29" t="s">
        <v>392</v>
      </c>
      <c r="AA6" s="29" t="s">
        <v>418</v>
      </c>
      <c r="AB6" s="29" t="s">
        <v>307</v>
      </c>
    </row>
    <row r="7" spans="4:33" s="24" customFormat="1" ht="27" customHeight="1" x14ac:dyDescent="0.25">
      <c r="D7" s="29" t="s">
        <v>351</v>
      </c>
      <c r="E7" s="29" t="s">
        <v>310</v>
      </c>
      <c r="F7" s="30" t="s">
        <v>371</v>
      </c>
      <c r="G7" s="29" t="s">
        <v>304</v>
      </c>
      <c r="H7" s="29">
        <v>17</v>
      </c>
      <c r="I7" s="29" t="s">
        <v>373</v>
      </c>
      <c r="J7" s="29"/>
      <c r="K7" s="29"/>
      <c r="L7" s="29"/>
      <c r="M7" s="29"/>
      <c r="N7" s="30" t="s">
        <v>372</v>
      </c>
      <c r="O7" s="30" t="s">
        <v>350</v>
      </c>
      <c r="P7" s="30" t="s">
        <v>308</v>
      </c>
      <c r="Q7" s="29"/>
      <c r="R7" s="29" t="s">
        <v>311</v>
      </c>
      <c r="S7" s="29" t="s">
        <v>376</v>
      </c>
      <c r="T7" s="29"/>
      <c r="U7" s="29"/>
      <c r="V7" s="29"/>
      <c r="W7" s="29"/>
      <c r="X7" s="29"/>
      <c r="Y7" s="29"/>
      <c r="Z7" s="29" t="s">
        <v>392</v>
      </c>
      <c r="AA7" s="29" t="s">
        <v>324</v>
      </c>
      <c r="AB7" s="29" t="s">
        <v>307</v>
      </c>
    </row>
    <row r="8" spans="4:33" s="24" customFormat="1" ht="27" customHeight="1" x14ac:dyDescent="0.25">
      <c r="D8" s="29" t="s">
        <v>351</v>
      </c>
      <c r="E8" s="29" t="s">
        <v>310</v>
      </c>
      <c r="F8" s="30" t="s">
        <v>331</v>
      </c>
      <c r="G8" s="29" t="s">
        <v>304</v>
      </c>
      <c r="H8" s="29">
        <v>75</v>
      </c>
      <c r="I8" s="29" t="s">
        <v>332</v>
      </c>
      <c r="J8" s="29"/>
      <c r="K8" s="29"/>
      <c r="L8" s="29"/>
      <c r="M8" s="29"/>
      <c r="N8" s="30" t="s">
        <v>417</v>
      </c>
      <c r="O8" s="30" t="s">
        <v>346</v>
      </c>
      <c r="P8" s="30" t="s">
        <v>308</v>
      </c>
      <c r="Q8" s="29"/>
      <c r="R8" s="29" t="s">
        <v>311</v>
      </c>
      <c r="S8" s="29" t="s">
        <v>410</v>
      </c>
      <c r="T8" s="29"/>
      <c r="U8" s="29"/>
      <c r="V8" s="29"/>
      <c r="W8" s="29"/>
      <c r="X8" s="29"/>
      <c r="Y8" s="29"/>
      <c r="Z8" s="29" t="s">
        <v>392</v>
      </c>
      <c r="AA8" s="29" t="s">
        <v>333</v>
      </c>
      <c r="AB8" s="29" t="s">
        <v>307</v>
      </c>
    </row>
    <row r="9" spans="4:33" s="24" customFormat="1" ht="27" customHeight="1" x14ac:dyDescent="0.25">
      <c r="D9" s="29" t="s">
        <v>351</v>
      </c>
      <c r="E9" s="29" t="s">
        <v>310</v>
      </c>
      <c r="F9" s="30" t="s">
        <v>361</v>
      </c>
      <c r="G9" s="29" t="s">
        <v>306</v>
      </c>
      <c r="H9" s="29">
        <v>28</v>
      </c>
      <c r="I9" s="29" t="s">
        <v>367</v>
      </c>
      <c r="J9" s="29"/>
      <c r="K9" s="29"/>
      <c r="L9" s="29"/>
      <c r="M9" s="29"/>
      <c r="N9" s="30" t="s">
        <v>366</v>
      </c>
      <c r="O9" s="30" t="s">
        <v>342</v>
      </c>
      <c r="P9" s="30" t="s">
        <v>284</v>
      </c>
      <c r="Q9" s="29"/>
      <c r="R9" s="29" t="s">
        <v>311</v>
      </c>
      <c r="S9" s="29" t="s">
        <v>376</v>
      </c>
      <c r="T9" s="29"/>
      <c r="U9" s="29"/>
      <c r="V9" s="29"/>
      <c r="W9" s="29"/>
      <c r="X9" s="29"/>
      <c r="Y9" s="29"/>
      <c r="Z9" s="29" t="s">
        <v>392</v>
      </c>
      <c r="AA9" s="29" t="s">
        <v>368</v>
      </c>
      <c r="AB9" s="29" t="s">
        <v>307</v>
      </c>
    </row>
    <row r="10" spans="4:33" s="24" customFormat="1" ht="27" customHeight="1" x14ac:dyDescent="0.25">
      <c r="D10" s="29" t="s">
        <v>351</v>
      </c>
      <c r="E10" s="29" t="s">
        <v>310</v>
      </c>
      <c r="F10" s="30" t="s">
        <v>385</v>
      </c>
      <c r="G10" s="29" t="s">
        <v>306</v>
      </c>
      <c r="H10" s="29">
        <v>76</v>
      </c>
      <c r="I10" s="29" t="s">
        <v>387</v>
      </c>
      <c r="J10" s="29"/>
      <c r="K10" s="29"/>
      <c r="L10" s="29"/>
      <c r="M10" s="29"/>
      <c r="N10" s="30" t="s">
        <v>386</v>
      </c>
      <c r="O10" s="30" t="s">
        <v>348</v>
      </c>
      <c r="P10" s="30" t="s">
        <v>281</v>
      </c>
      <c r="Q10" s="29"/>
      <c r="R10" s="29" t="s">
        <v>311</v>
      </c>
      <c r="S10" s="29" t="s">
        <v>375</v>
      </c>
      <c r="T10" s="29"/>
      <c r="U10" s="29"/>
      <c r="V10" s="29"/>
      <c r="W10" s="29"/>
      <c r="X10" s="29"/>
      <c r="Y10" s="29"/>
      <c r="Z10" s="29" t="s">
        <v>392</v>
      </c>
      <c r="AA10" s="29" t="s">
        <v>321</v>
      </c>
      <c r="AB10" s="29" t="s">
        <v>307</v>
      </c>
    </row>
    <row r="11" spans="4:33" s="24" customFormat="1" ht="27" customHeight="1" x14ac:dyDescent="0.25">
      <c r="D11" s="29" t="s">
        <v>351</v>
      </c>
      <c r="E11" s="29" t="s">
        <v>310</v>
      </c>
      <c r="F11" s="30" t="s">
        <v>389</v>
      </c>
      <c r="G11" s="29" t="s">
        <v>304</v>
      </c>
      <c r="H11" s="29">
        <v>20</v>
      </c>
      <c r="I11" s="29" t="s">
        <v>307</v>
      </c>
      <c r="J11" s="29"/>
      <c r="K11" s="29"/>
      <c r="L11" s="29"/>
      <c r="M11" s="29"/>
      <c r="N11" s="30" t="s">
        <v>390</v>
      </c>
      <c r="O11" s="30" t="s">
        <v>308</v>
      </c>
      <c r="P11" s="30" t="s">
        <v>308</v>
      </c>
      <c r="Q11" s="29"/>
      <c r="R11" s="29" t="s">
        <v>311</v>
      </c>
      <c r="S11" s="29" t="s">
        <v>391</v>
      </c>
      <c r="T11" s="29"/>
      <c r="U11" s="29"/>
      <c r="V11" s="29"/>
      <c r="W11" s="29"/>
      <c r="X11" s="29"/>
      <c r="Y11" s="29"/>
      <c r="Z11" s="29" t="s">
        <v>392</v>
      </c>
      <c r="AA11" s="29" t="s">
        <v>416</v>
      </c>
      <c r="AB11" s="29" t="s">
        <v>307</v>
      </c>
      <c r="AG11" s="25"/>
    </row>
    <row r="12" spans="4:33" s="24" customFormat="1" ht="27" customHeight="1" x14ac:dyDescent="0.25">
      <c r="D12" s="29" t="s">
        <v>351</v>
      </c>
      <c r="E12" s="29" t="s">
        <v>310</v>
      </c>
      <c r="F12" s="30" t="s">
        <v>358</v>
      </c>
      <c r="G12" s="29" t="s">
        <v>304</v>
      </c>
      <c r="H12" s="29">
        <v>72</v>
      </c>
      <c r="I12" s="29" t="s">
        <v>307</v>
      </c>
      <c r="J12" s="29"/>
      <c r="K12" s="29"/>
      <c r="L12" s="29"/>
      <c r="M12" s="29"/>
      <c r="N12" s="30" t="s">
        <v>359</v>
      </c>
      <c r="O12" s="30" t="s">
        <v>369</v>
      </c>
      <c r="P12" s="30" t="s">
        <v>281</v>
      </c>
      <c r="Q12" s="29"/>
      <c r="R12" s="29" t="s">
        <v>311</v>
      </c>
      <c r="S12" s="29" t="s">
        <v>388</v>
      </c>
      <c r="T12" s="29"/>
      <c r="U12" s="29"/>
      <c r="V12" s="29"/>
      <c r="W12" s="29"/>
      <c r="X12" s="29"/>
      <c r="Y12" s="29"/>
      <c r="Z12" s="29" t="s">
        <v>392</v>
      </c>
      <c r="AA12" s="29" t="s">
        <v>360</v>
      </c>
      <c r="AB12" s="29" t="s">
        <v>307</v>
      </c>
      <c r="AG12" s="25"/>
    </row>
    <row r="13" spans="4:33" s="24" customFormat="1" ht="27" customHeight="1" x14ac:dyDescent="0.25">
      <c r="D13" s="29" t="s">
        <v>351</v>
      </c>
      <c r="E13" s="29" t="s">
        <v>310</v>
      </c>
      <c r="F13" s="30" t="s">
        <v>336</v>
      </c>
      <c r="G13" s="29" t="s">
        <v>306</v>
      </c>
      <c r="H13" s="29">
        <v>48</v>
      </c>
      <c r="I13" s="29" t="s">
        <v>413</v>
      </c>
      <c r="J13" s="29"/>
      <c r="K13" s="29"/>
      <c r="L13" s="29"/>
      <c r="M13" s="29"/>
      <c r="N13" s="29" t="s">
        <v>414</v>
      </c>
      <c r="O13" s="29" t="s">
        <v>345</v>
      </c>
      <c r="P13" s="29" t="s">
        <v>308</v>
      </c>
      <c r="Q13" s="29"/>
      <c r="R13" s="29" t="s">
        <v>311</v>
      </c>
      <c r="S13" s="29" t="s">
        <v>379</v>
      </c>
      <c r="T13" s="29"/>
      <c r="U13" s="29"/>
      <c r="V13" s="29"/>
      <c r="W13" s="29"/>
      <c r="X13" s="29"/>
      <c r="Y13" s="29"/>
      <c r="Z13" s="29" t="s">
        <v>392</v>
      </c>
      <c r="AA13" s="29" t="s">
        <v>415</v>
      </c>
      <c r="AB13" s="29" t="s">
        <v>307</v>
      </c>
      <c r="AG13" s="25"/>
    </row>
    <row r="14" spans="4:33" s="24" customFormat="1" ht="27" customHeight="1" x14ac:dyDescent="0.25">
      <c r="D14" s="29" t="s">
        <v>351</v>
      </c>
      <c r="E14" s="29" t="s">
        <v>310</v>
      </c>
      <c r="F14" s="30" t="s">
        <v>377</v>
      </c>
      <c r="G14" s="29" t="s">
        <v>306</v>
      </c>
      <c r="H14" s="29">
        <v>36</v>
      </c>
      <c r="I14" s="29" t="s">
        <v>378</v>
      </c>
      <c r="J14" s="29"/>
      <c r="K14" s="29"/>
      <c r="L14" s="29"/>
      <c r="M14" s="29"/>
      <c r="N14" s="29" t="s">
        <v>411</v>
      </c>
      <c r="O14" s="29" t="s">
        <v>357</v>
      </c>
      <c r="P14" s="29" t="s">
        <v>308</v>
      </c>
      <c r="Q14" s="29"/>
      <c r="R14" s="29" t="s">
        <v>311</v>
      </c>
      <c r="S14" s="29" t="s">
        <v>374</v>
      </c>
      <c r="T14" s="29"/>
      <c r="U14" s="29"/>
      <c r="V14" s="29"/>
      <c r="W14" s="29"/>
      <c r="X14" s="29"/>
      <c r="Y14" s="29"/>
      <c r="Z14" s="29" t="s">
        <v>392</v>
      </c>
      <c r="AA14" s="29" t="s">
        <v>412</v>
      </c>
      <c r="AB14" s="29" t="s">
        <v>307</v>
      </c>
      <c r="AG14" s="25"/>
    </row>
    <row r="15" spans="4:33" s="24" customFormat="1" ht="27" customHeight="1" x14ac:dyDescent="0.25">
      <c r="D15" s="29" t="s">
        <v>351</v>
      </c>
      <c r="E15" s="29" t="s">
        <v>310</v>
      </c>
      <c r="F15" s="30" t="s">
        <v>312</v>
      </c>
      <c r="G15" s="29" t="s">
        <v>306</v>
      </c>
      <c r="H15" s="29">
        <v>47</v>
      </c>
      <c r="I15" s="29" t="s">
        <v>382</v>
      </c>
      <c r="J15" s="29"/>
      <c r="K15" s="29"/>
      <c r="L15" s="29"/>
      <c r="M15" s="29"/>
      <c r="N15" s="29" t="s">
        <v>381</v>
      </c>
      <c r="O15" s="29" t="s">
        <v>380</v>
      </c>
      <c r="P15" s="29" t="s">
        <v>281</v>
      </c>
      <c r="Q15" s="29"/>
      <c r="R15" s="29" t="s">
        <v>311</v>
      </c>
      <c r="S15" s="29" t="s">
        <v>384</v>
      </c>
      <c r="T15" s="29"/>
      <c r="U15" s="29"/>
      <c r="V15" s="29"/>
      <c r="W15" s="29"/>
      <c r="X15" s="29"/>
      <c r="Y15" s="29"/>
      <c r="Z15" s="29" t="s">
        <v>392</v>
      </c>
      <c r="AA15" s="29" t="s">
        <v>383</v>
      </c>
      <c r="AB15" s="29" t="s">
        <v>307</v>
      </c>
      <c r="AG15" s="25"/>
    </row>
    <row r="16" spans="4:33" s="24" customFormat="1" ht="27" customHeight="1" x14ac:dyDescent="0.25">
      <c r="D16" s="29" t="s">
        <v>351</v>
      </c>
      <c r="E16" s="29" t="s">
        <v>310</v>
      </c>
      <c r="F16" s="30" t="s">
        <v>334</v>
      </c>
      <c r="G16" s="29" t="s">
        <v>304</v>
      </c>
      <c r="H16" s="29">
        <v>53</v>
      </c>
      <c r="I16" s="29" t="s">
        <v>335</v>
      </c>
      <c r="J16" s="29"/>
      <c r="K16" s="29"/>
      <c r="L16" s="29"/>
      <c r="M16" s="29"/>
      <c r="N16" s="29" t="s">
        <v>409</v>
      </c>
      <c r="O16" s="29" t="s">
        <v>396</v>
      </c>
      <c r="P16" s="29" t="s">
        <v>285</v>
      </c>
      <c r="Q16" s="29"/>
      <c r="R16" s="29" t="s">
        <v>305</v>
      </c>
      <c r="S16" s="29" t="s">
        <v>410</v>
      </c>
      <c r="T16" s="29"/>
      <c r="U16" s="29"/>
      <c r="V16" s="29"/>
      <c r="W16" s="29"/>
      <c r="X16" s="29"/>
      <c r="Y16" s="29"/>
      <c r="Z16" s="29" t="s">
        <v>392</v>
      </c>
      <c r="AA16" s="29" t="s">
        <v>327</v>
      </c>
      <c r="AB16" s="29" t="s">
        <v>307</v>
      </c>
      <c r="AG16" s="25"/>
    </row>
    <row r="17" spans="4:33" s="24" customFormat="1" ht="27" customHeight="1" x14ac:dyDescent="0.25">
      <c r="D17" s="29" t="s">
        <v>351</v>
      </c>
      <c r="E17" s="29" t="s">
        <v>310</v>
      </c>
      <c r="F17" s="30" t="s">
        <v>318</v>
      </c>
      <c r="G17" s="29" t="s">
        <v>306</v>
      </c>
      <c r="H17" s="29">
        <v>48</v>
      </c>
      <c r="I17" s="29" t="s">
        <v>407</v>
      </c>
      <c r="J17" s="29"/>
      <c r="K17" s="29"/>
      <c r="L17" s="29"/>
      <c r="M17" s="29"/>
      <c r="N17" s="29" t="s">
        <v>320</v>
      </c>
      <c r="O17" s="29" t="s">
        <v>347</v>
      </c>
      <c r="P17" s="29" t="s">
        <v>308</v>
      </c>
      <c r="Q17" s="29"/>
      <c r="R17" s="29" t="s">
        <v>319</v>
      </c>
      <c r="S17" s="29" t="s">
        <v>408</v>
      </c>
      <c r="T17" s="29"/>
      <c r="U17" s="29"/>
      <c r="V17" s="29"/>
      <c r="W17" s="29"/>
      <c r="X17" s="29"/>
      <c r="Y17" s="29"/>
      <c r="Z17" s="29" t="s">
        <v>392</v>
      </c>
      <c r="AA17" s="29">
        <v>0</v>
      </c>
      <c r="AB17" s="29" t="s">
        <v>307</v>
      </c>
      <c r="AG17" s="25"/>
    </row>
    <row r="18" spans="4:33" s="24" customFormat="1" ht="27" customHeight="1" x14ac:dyDescent="0.25">
      <c r="D18" s="29" t="s">
        <v>351</v>
      </c>
      <c r="E18" s="29" t="s">
        <v>310</v>
      </c>
      <c r="F18" s="30" t="s">
        <v>362</v>
      </c>
      <c r="G18" s="29" t="s">
        <v>304</v>
      </c>
      <c r="H18" s="29">
        <v>45</v>
      </c>
      <c r="I18" s="29" t="s">
        <v>364</v>
      </c>
      <c r="J18" s="29"/>
      <c r="K18" s="29"/>
      <c r="L18" s="29"/>
      <c r="M18" s="29"/>
      <c r="N18" s="29" t="s">
        <v>363</v>
      </c>
      <c r="O18" s="29" t="s">
        <v>338</v>
      </c>
      <c r="P18" s="29" t="s">
        <v>308</v>
      </c>
      <c r="Q18" s="29"/>
      <c r="R18" s="29" t="s">
        <v>311</v>
      </c>
      <c r="S18" s="29" t="s">
        <v>384</v>
      </c>
      <c r="T18" s="29"/>
      <c r="U18" s="29"/>
      <c r="V18" s="29"/>
      <c r="W18" s="29"/>
      <c r="X18" s="29"/>
      <c r="Y18" s="29"/>
      <c r="Z18" s="29" t="s">
        <v>392</v>
      </c>
      <c r="AA18" s="29" t="s">
        <v>365</v>
      </c>
      <c r="AB18" s="29" t="s">
        <v>307</v>
      </c>
      <c r="AG18" s="25"/>
    </row>
    <row r="19" spans="4:33" s="24" customFormat="1" ht="27" customHeight="1" x14ac:dyDescent="0.25">
      <c r="D19" s="29" t="s">
        <v>351</v>
      </c>
      <c r="E19" s="29" t="s">
        <v>310</v>
      </c>
      <c r="F19" s="30" t="s">
        <v>326</v>
      </c>
      <c r="G19" s="29" t="s">
        <v>306</v>
      </c>
      <c r="H19" s="29">
        <v>24</v>
      </c>
      <c r="I19" s="29" t="s">
        <v>328</v>
      </c>
      <c r="J19" s="29"/>
      <c r="K19" s="29"/>
      <c r="L19" s="29"/>
      <c r="M19" s="29"/>
      <c r="N19" s="29" t="s">
        <v>405</v>
      </c>
      <c r="O19" s="29" t="s">
        <v>283</v>
      </c>
      <c r="P19" s="29" t="s">
        <v>283</v>
      </c>
      <c r="Q19" s="29"/>
      <c r="R19" s="29" t="s">
        <v>311</v>
      </c>
      <c r="S19" s="29" t="s">
        <v>406</v>
      </c>
      <c r="T19" s="29"/>
      <c r="U19" s="29"/>
      <c r="V19" s="29"/>
      <c r="W19" s="29"/>
      <c r="X19" s="29"/>
      <c r="Y19" s="29"/>
      <c r="Z19" s="29" t="s">
        <v>392</v>
      </c>
      <c r="AA19" s="29" t="s">
        <v>329</v>
      </c>
      <c r="AB19" s="29" t="s">
        <v>307</v>
      </c>
      <c r="AG19" s="25"/>
    </row>
    <row r="20" spans="4:33" s="24" customFormat="1" x14ac:dyDescent="0.25">
      <c r="F20" s="25"/>
      <c r="N20" s="25"/>
      <c r="O20" s="25"/>
      <c r="P20" s="25"/>
      <c r="AA20" s="29"/>
      <c r="AG20" s="25"/>
    </row>
  </sheetData>
  <conditionalFormatting sqref="F3:F19">
    <cfRule type="duplicateValues" dxfId="39" priority="1"/>
  </conditionalFormatting>
  <dataValidations count="1">
    <dataValidation type="list" allowBlank="1" showInputMessage="1" showErrorMessage="1" errorTitle="pilihan" sqref="AD3:AD20">
      <formula1>#REF!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topLeftCell="A100" zoomScaleNormal="100" workbookViewId="0">
      <selection activeCell="B110" sqref="B110"/>
    </sheetView>
  </sheetViews>
  <sheetFormatPr defaultRowHeight="15" x14ac:dyDescent="0.25"/>
  <cols>
    <col min="1" max="1" width="7.28515625" customWidth="1"/>
    <col min="2" max="2" width="22.85546875" customWidth="1"/>
    <col min="3" max="4" width="27" customWidth="1"/>
    <col min="5" max="5" width="19.140625" customWidth="1"/>
    <col min="6" max="6" width="22.28515625" customWidth="1"/>
    <col min="7" max="7" width="48.42578125" customWidth="1"/>
    <col min="8" max="8" width="12.42578125" customWidth="1"/>
    <col min="9" max="9" width="20.5703125" customWidth="1"/>
    <col min="10" max="10" width="21.140625" customWidth="1"/>
    <col min="11" max="11" width="14.7109375" customWidth="1"/>
    <col min="12" max="12" width="13.140625" customWidth="1"/>
    <col min="13" max="13" width="12" customWidth="1"/>
    <col min="18" max="18" width="15.5703125" customWidth="1"/>
    <col min="19" max="19" width="15.140625" customWidth="1"/>
    <col min="20" max="20" width="14.140625" customWidth="1"/>
    <col min="21" max="21" width="22.42578125" customWidth="1"/>
    <col min="22" max="22" width="30.5703125" customWidth="1"/>
    <col min="23" max="23" width="16.85546875" customWidth="1"/>
    <col min="24" max="24" width="14.85546875" customWidth="1"/>
    <col min="25" max="25" width="27.5703125" customWidth="1"/>
    <col min="26" max="26" width="22.28515625" customWidth="1"/>
    <col min="27" max="27" width="21.140625" customWidth="1"/>
    <col min="28" max="28" width="18.28515625" customWidth="1"/>
    <col min="30" max="30" width="19.85546875" customWidth="1"/>
    <col min="31" max="31" width="17.7109375" customWidth="1"/>
    <col min="32" max="32" width="23.28515625" style="21" customWidth="1"/>
    <col min="33" max="33" width="14.42578125" customWidth="1"/>
  </cols>
  <sheetData>
    <row r="1" spans="1:32" ht="16.5" customHeight="1" x14ac:dyDescent="0.25">
      <c r="A1" t="s">
        <v>465</v>
      </c>
      <c r="B1" s="67" t="s">
        <v>442</v>
      </c>
      <c r="C1" t="s">
        <v>431</v>
      </c>
      <c r="D1" t="s">
        <v>460</v>
      </c>
      <c r="E1" t="s">
        <v>432</v>
      </c>
      <c r="F1" t="s">
        <v>2</v>
      </c>
      <c r="G1" t="s">
        <v>433</v>
      </c>
      <c r="H1" t="s">
        <v>462</v>
      </c>
      <c r="I1" t="s">
        <v>463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54" t="s">
        <v>450</v>
      </c>
      <c r="V1" t="s">
        <v>451</v>
      </c>
      <c r="W1" s="54" t="s">
        <v>452</v>
      </c>
      <c r="X1" s="54" t="s">
        <v>453</v>
      </c>
      <c r="Y1" t="s">
        <v>438</v>
      </c>
      <c r="Z1" t="s">
        <v>466</v>
      </c>
      <c r="AA1" t="s">
        <v>467</v>
      </c>
      <c r="AB1" s="54" t="s">
        <v>468</v>
      </c>
      <c r="AC1" t="s">
        <v>454</v>
      </c>
      <c r="AD1" s="68" t="s">
        <v>455</v>
      </c>
      <c r="AE1" s="68" t="s">
        <v>456</v>
      </c>
      <c r="AF1" s="68" t="s">
        <v>469</v>
      </c>
    </row>
    <row r="2" spans="1:32" x14ac:dyDescent="0.25">
      <c r="A2">
        <v>1</v>
      </c>
      <c r="B2" s="67" t="s">
        <v>613</v>
      </c>
      <c r="C2" t="s">
        <v>614</v>
      </c>
      <c r="D2" t="s">
        <v>568</v>
      </c>
      <c r="E2" t="s">
        <v>282</v>
      </c>
      <c r="F2" t="s">
        <v>284</v>
      </c>
      <c r="G2" t="s">
        <v>348</v>
      </c>
      <c r="H2">
        <v>2</v>
      </c>
      <c r="I2">
        <v>6</v>
      </c>
      <c r="J2" t="s">
        <v>615</v>
      </c>
      <c r="K2">
        <v>51</v>
      </c>
      <c r="L2" t="s">
        <v>304</v>
      </c>
      <c r="M2" t="s">
        <v>307</v>
      </c>
      <c r="P2" t="s">
        <v>572</v>
      </c>
      <c r="U2" s="54"/>
      <c r="V2" t="s">
        <v>573</v>
      </c>
      <c r="W2" s="54">
        <v>44865</v>
      </c>
      <c r="X2" s="54"/>
      <c r="Y2" t="s">
        <v>457</v>
      </c>
      <c r="AB2" s="54"/>
      <c r="AC2">
        <v>3</v>
      </c>
      <c r="AD2" s="68">
        <v>44865.336342593</v>
      </c>
      <c r="AE2" s="68">
        <v>44865.336342593</v>
      </c>
    </row>
    <row r="3" spans="1:32" x14ac:dyDescent="0.25">
      <c r="A3">
        <v>2</v>
      </c>
      <c r="B3" s="67" t="s">
        <v>616</v>
      </c>
      <c r="C3" t="s">
        <v>617</v>
      </c>
      <c r="D3" t="s">
        <v>568</v>
      </c>
      <c r="E3" t="s">
        <v>282</v>
      </c>
      <c r="F3" t="s">
        <v>284</v>
      </c>
      <c r="G3" t="s">
        <v>348</v>
      </c>
      <c r="H3">
        <v>2</v>
      </c>
      <c r="I3">
        <v>6</v>
      </c>
      <c r="J3" t="s">
        <v>615</v>
      </c>
      <c r="K3">
        <v>10</v>
      </c>
      <c r="L3" t="s">
        <v>304</v>
      </c>
      <c r="M3" t="s">
        <v>307</v>
      </c>
      <c r="P3" t="s">
        <v>572</v>
      </c>
      <c r="U3" s="54"/>
      <c r="V3" t="s">
        <v>573</v>
      </c>
      <c r="W3" s="54">
        <v>44865</v>
      </c>
      <c r="X3" s="54"/>
      <c r="Y3" t="s">
        <v>457</v>
      </c>
      <c r="AB3" s="54"/>
      <c r="AC3">
        <v>3</v>
      </c>
      <c r="AD3" s="68">
        <v>44865.337569443996</v>
      </c>
      <c r="AE3" s="68">
        <v>44865.337569443996</v>
      </c>
    </row>
    <row r="4" spans="1:32" x14ac:dyDescent="0.25">
      <c r="A4">
        <v>3</v>
      </c>
      <c r="B4" s="67" t="s">
        <v>618</v>
      </c>
      <c r="C4" t="s">
        <v>619</v>
      </c>
      <c r="D4" t="s">
        <v>568</v>
      </c>
      <c r="E4" t="s">
        <v>282</v>
      </c>
      <c r="F4" t="s">
        <v>284</v>
      </c>
      <c r="G4" t="s">
        <v>348</v>
      </c>
      <c r="H4">
        <v>2</v>
      </c>
      <c r="I4">
        <v>6</v>
      </c>
      <c r="J4" t="s">
        <v>620</v>
      </c>
      <c r="K4">
        <v>59</v>
      </c>
      <c r="L4" t="s">
        <v>304</v>
      </c>
      <c r="M4" t="s">
        <v>307</v>
      </c>
      <c r="P4" t="s">
        <v>572</v>
      </c>
      <c r="U4" s="54"/>
      <c r="V4" t="s">
        <v>573</v>
      </c>
      <c r="W4" s="54">
        <v>44865</v>
      </c>
      <c r="X4" s="54"/>
      <c r="Y4" t="s">
        <v>457</v>
      </c>
      <c r="AB4" s="54"/>
      <c r="AC4">
        <v>3</v>
      </c>
      <c r="AD4" s="68">
        <v>44865.339004629997</v>
      </c>
      <c r="AE4" s="68">
        <v>44865.339004629997</v>
      </c>
    </row>
    <row r="5" spans="1:32" x14ac:dyDescent="0.25">
      <c r="A5">
        <v>4</v>
      </c>
      <c r="B5" s="67" t="s">
        <v>621</v>
      </c>
      <c r="C5" t="s">
        <v>622</v>
      </c>
      <c r="D5" t="s">
        <v>568</v>
      </c>
      <c r="E5" t="s">
        <v>282</v>
      </c>
      <c r="F5" t="s">
        <v>284</v>
      </c>
      <c r="G5" t="s">
        <v>348</v>
      </c>
      <c r="H5">
        <v>2</v>
      </c>
      <c r="I5">
        <v>6</v>
      </c>
      <c r="J5" t="s">
        <v>620</v>
      </c>
      <c r="K5">
        <v>55</v>
      </c>
      <c r="L5" t="s">
        <v>306</v>
      </c>
      <c r="M5" t="s">
        <v>307</v>
      </c>
      <c r="P5" t="s">
        <v>572</v>
      </c>
      <c r="U5" s="54"/>
      <c r="V5" t="s">
        <v>573</v>
      </c>
      <c r="W5" s="54">
        <v>44865</v>
      </c>
      <c r="X5" s="54"/>
      <c r="Y5" t="s">
        <v>457</v>
      </c>
      <c r="AB5" s="54"/>
      <c r="AC5">
        <v>3</v>
      </c>
      <c r="AD5" s="68">
        <v>44865.339884259003</v>
      </c>
      <c r="AE5" s="68">
        <v>44865.339884259003</v>
      </c>
    </row>
    <row r="6" spans="1:32" x14ac:dyDescent="0.25">
      <c r="A6">
        <v>5</v>
      </c>
      <c r="B6" s="67" t="s">
        <v>623</v>
      </c>
      <c r="C6" t="s">
        <v>624</v>
      </c>
      <c r="D6" t="s">
        <v>568</v>
      </c>
      <c r="E6" t="s">
        <v>282</v>
      </c>
      <c r="F6" t="s">
        <v>284</v>
      </c>
      <c r="G6" t="s">
        <v>348</v>
      </c>
      <c r="H6">
        <v>2</v>
      </c>
      <c r="I6">
        <v>6</v>
      </c>
      <c r="J6" t="s">
        <v>620</v>
      </c>
      <c r="K6">
        <v>20</v>
      </c>
      <c r="L6" t="s">
        <v>306</v>
      </c>
      <c r="M6" t="s">
        <v>307</v>
      </c>
      <c r="P6" t="s">
        <v>572</v>
      </c>
      <c r="U6" s="54"/>
      <c r="V6" t="s">
        <v>573</v>
      </c>
      <c r="W6" s="54">
        <v>44865</v>
      </c>
      <c r="X6" s="54"/>
      <c r="Y6" t="s">
        <v>457</v>
      </c>
      <c r="AB6" s="54"/>
      <c r="AC6">
        <v>3</v>
      </c>
      <c r="AD6" s="68">
        <v>44865.341736110997</v>
      </c>
      <c r="AE6" s="68">
        <v>44865.341736110997</v>
      </c>
    </row>
    <row r="7" spans="1:32" x14ac:dyDescent="0.25">
      <c r="A7">
        <v>6</v>
      </c>
      <c r="B7" s="67" t="s">
        <v>625</v>
      </c>
      <c r="C7" t="s">
        <v>626</v>
      </c>
      <c r="D7" t="s">
        <v>568</v>
      </c>
      <c r="E7" t="s">
        <v>282</v>
      </c>
      <c r="F7" t="s">
        <v>284</v>
      </c>
      <c r="G7" t="s">
        <v>348</v>
      </c>
      <c r="H7">
        <v>2</v>
      </c>
      <c r="I7">
        <v>6</v>
      </c>
      <c r="J7" t="s">
        <v>627</v>
      </c>
      <c r="K7">
        <v>44</v>
      </c>
      <c r="L7" t="s">
        <v>306</v>
      </c>
      <c r="M7" t="s">
        <v>307</v>
      </c>
      <c r="P7" t="s">
        <v>572</v>
      </c>
      <c r="U7" s="54"/>
      <c r="V7" t="s">
        <v>573</v>
      </c>
      <c r="W7" s="54">
        <v>44865</v>
      </c>
      <c r="X7" s="54"/>
      <c r="Y7" t="s">
        <v>457</v>
      </c>
      <c r="AB7" s="54"/>
      <c r="AC7">
        <v>3</v>
      </c>
      <c r="AD7" s="68">
        <v>44865.342731481003</v>
      </c>
      <c r="AE7" s="68">
        <v>44865.342731481003</v>
      </c>
    </row>
    <row r="8" spans="1:32" x14ac:dyDescent="0.25">
      <c r="A8">
        <v>7</v>
      </c>
      <c r="B8" s="67" t="s">
        <v>628</v>
      </c>
      <c r="C8" t="s">
        <v>629</v>
      </c>
      <c r="D8" t="s">
        <v>568</v>
      </c>
      <c r="E8" t="s">
        <v>282</v>
      </c>
      <c r="F8" t="s">
        <v>284</v>
      </c>
      <c r="G8" t="s">
        <v>348</v>
      </c>
      <c r="H8">
        <v>2</v>
      </c>
      <c r="I8">
        <v>6</v>
      </c>
      <c r="J8" t="s">
        <v>627</v>
      </c>
      <c r="K8">
        <v>14</v>
      </c>
      <c r="L8" t="s">
        <v>306</v>
      </c>
      <c r="M8" t="s">
        <v>307</v>
      </c>
      <c r="P8" t="s">
        <v>572</v>
      </c>
      <c r="U8" s="54"/>
      <c r="V8" t="s">
        <v>573</v>
      </c>
      <c r="W8" s="54">
        <v>44865</v>
      </c>
      <c r="X8" s="54"/>
      <c r="Y8" t="s">
        <v>457</v>
      </c>
      <c r="AB8" s="54"/>
      <c r="AC8">
        <v>3</v>
      </c>
      <c r="AD8" s="68">
        <v>44865.345254630003</v>
      </c>
      <c r="AE8" s="68">
        <v>44865.345254630003</v>
      </c>
    </row>
    <row r="9" spans="1:32" x14ac:dyDescent="0.25">
      <c r="A9">
        <v>8</v>
      </c>
      <c r="B9" s="67" t="s">
        <v>630</v>
      </c>
      <c r="C9" t="s">
        <v>631</v>
      </c>
      <c r="D9" t="s">
        <v>568</v>
      </c>
      <c r="E9" t="s">
        <v>282</v>
      </c>
      <c r="F9" t="s">
        <v>284</v>
      </c>
      <c r="G9" t="s">
        <v>348</v>
      </c>
      <c r="H9">
        <v>2</v>
      </c>
      <c r="I9">
        <v>6</v>
      </c>
      <c r="J9" t="s">
        <v>620</v>
      </c>
      <c r="K9">
        <v>55</v>
      </c>
      <c r="L9" t="s">
        <v>304</v>
      </c>
      <c r="M9" t="s">
        <v>307</v>
      </c>
      <c r="P9" t="s">
        <v>572</v>
      </c>
      <c r="U9" s="54"/>
      <c r="V9" t="s">
        <v>573</v>
      </c>
      <c r="W9" s="54">
        <v>44865</v>
      </c>
      <c r="X9" s="54"/>
      <c r="Y9" t="s">
        <v>457</v>
      </c>
      <c r="AB9" s="54"/>
      <c r="AC9">
        <v>0</v>
      </c>
      <c r="AD9" s="68">
        <v>44865.346261573999</v>
      </c>
      <c r="AE9" s="68">
        <v>44865.346261573999</v>
      </c>
    </row>
    <row r="10" spans="1:32" x14ac:dyDescent="0.25">
      <c r="A10">
        <v>9</v>
      </c>
      <c r="B10" s="67" t="s">
        <v>632</v>
      </c>
      <c r="C10" t="s">
        <v>633</v>
      </c>
      <c r="D10" t="s">
        <v>568</v>
      </c>
      <c r="E10" t="s">
        <v>282</v>
      </c>
      <c r="F10" t="s">
        <v>284</v>
      </c>
      <c r="G10" t="s">
        <v>348</v>
      </c>
      <c r="H10">
        <v>2</v>
      </c>
      <c r="I10">
        <v>6</v>
      </c>
      <c r="J10" t="s">
        <v>620</v>
      </c>
      <c r="K10">
        <v>71</v>
      </c>
      <c r="L10" t="s">
        <v>304</v>
      </c>
      <c r="M10" t="s">
        <v>307</v>
      </c>
      <c r="P10" t="s">
        <v>572</v>
      </c>
      <c r="U10" s="54"/>
      <c r="V10" t="s">
        <v>573</v>
      </c>
      <c r="W10" s="54">
        <v>44865</v>
      </c>
      <c r="X10" s="54"/>
      <c r="Y10" t="s">
        <v>457</v>
      </c>
      <c r="AB10" s="54"/>
      <c r="AC10">
        <v>3</v>
      </c>
      <c r="AD10" s="68">
        <v>44865.347418981</v>
      </c>
      <c r="AE10" s="68">
        <v>44865.347418981</v>
      </c>
    </row>
    <row r="11" spans="1:32" x14ac:dyDescent="0.25">
      <c r="A11">
        <v>10</v>
      </c>
      <c r="B11" s="67" t="s">
        <v>634</v>
      </c>
      <c r="C11" t="s">
        <v>635</v>
      </c>
      <c r="D11" t="s">
        <v>568</v>
      </c>
      <c r="E11" t="s">
        <v>282</v>
      </c>
      <c r="F11" t="s">
        <v>284</v>
      </c>
      <c r="G11" t="s">
        <v>348</v>
      </c>
      <c r="H11">
        <v>2</v>
      </c>
      <c r="I11">
        <v>6</v>
      </c>
      <c r="J11" t="s">
        <v>620</v>
      </c>
      <c r="K11">
        <v>66</v>
      </c>
      <c r="L11" t="s">
        <v>306</v>
      </c>
      <c r="M11" t="s">
        <v>307</v>
      </c>
      <c r="P11" t="s">
        <v>572</v>
      </c>
      <c r="U11" s="54"/>
      <c r="V11" t="s">
        <v>573</v>
      </c>
      <c r="W11" s="54">
        <v>44865</v>
      </c>
      <c r="X11" s="54"/>
      <c r="Y11" t="s">
        <v>457</v>
      </c>
      <c r="AB11" s="54"/>
      <c r="AC11">
        <v>1</v>
      </c>
      <c r="AD11" s="68">
        <v>44865.348344906997</v>
      </c>
      <c r="AE11" s="68">
        <v>44865.348344906997</v>
      </c>
    </row>
    <row r="12" spans="1:32" x14ac:dyDescent="0.25">
      <c r="A12">
        <v>11</v>
      </c>
      <c r="B12" s="67" t="s">
        <v>636</v>
      </c>
      <c r="C12" t="s">
        <v>637</v>
      </c>
      <c r="D12" t="s">
        <v>568</v>
      </c>
      <c r="E12" t="s">
        <v>282</v>
      </c>
      <c r="F12" t="s">
        <v>284</v>
      </c>
      <c r="G12" t="s">
        <v>352</v>
      </c>
      <c r="H12">
        <v>2</v>
      </c>
      <c r="I12">
        <v>6</v>
      </c>
      <c r="J12" t="s">
        <v>620</v>
      </c>
      <c r="K12">
        <v>23</v>
      </c>
      <c r="L12" t="s">
        <v>304</v>
      </c>
      <c r="M12" t="s">
        <v>307</v>
      </c>
      <c r="P12" t="s">
        <v>572</v>
      </c>
      <c r="U12" s="54"/>
      <c r="V12" t="s">
        <v>573</v>
      </c>
      <c r="W12" s="54">
        <v>44865</v>
      </c>
      <c r="X12" s="54"/>
      <c r="Y12" t="s">
        <v>457</v>
      </c>
      <c r="AB12" s="54"/>
      <c r="AC12">
        <v>1</v>
      </c>
      <c r="AD12" s="68">
        <v>44865.349212963003</v>
      </c>
      <c r="AE12" s="68">
        <v>44865.349212963003</v>
      </c>
    </row>
    <row r="13" spans="1:32" x14ac:dyDescent="0.25">
      <c r="A13">
        <v>12</v>
      </c>
      <c r="B13" s="67" t="s">
        <v>638</v>
      </c>
      <c r="C13" t="s">
        <v>639</v>
      </c>
      <c r="D13" t="s">
        <v>568</v>
      </c>
      <c r="E13" t="s">
        <v>282</v>
      </c>
      <c r="F13" t="s">
        <v>284</v>
      </c>
      <c r="G13" t="s">
        <v>348</v>
      </c>
      <c r="H13">
        <v>2</v>
      </c>
      <c r="I13">
        <v>6</v>
      </c>
      <c r="J13" t="s">
        <v>620</v>
      </c>
      <c r="K13">
        <v>38</v>
      </c>
      <c r="L13" t="s">
        <v>304</v>
      </c>
      <c r="M13" t="s">
        <v>307</v>
      </c>
      <c r="P13" t="s">
        <v>572</v>
      </c>
      <c r="U13" s="54"/>
      <c r="V13" t="s">
        <v>573</v>
      </c>
      <c r="W13" s="54">
        <v>44865</v>
      </c>
      <c r="X13" s="54"/>
      <c r="Y13" t="s">
        <v>457</v>
      </c>
      <c r="AB13" s="54"/>
      <c r="AC13">
        <v>3</v>
      </c>
      <c r="AD13" s="68">
        <v>44865.350613426002</v>
      </c>
      <c r="AE13" s="68">
        <v>44865.350613426002</v>
      </c>
    </row>
    <row r="14" spans="1:32" x14ac:dyDescent="0.25">
      <c r="A14">
        <v>13</v>
      </c>
      <c r="B14" s="67" t="s">
        <v>640</v>
      </c>
      <c r="C14" t="s">
        <v>641</v>
      </c>
      <c r="D14" t="s">
        <v>568</v>
      </c>
      <c r="E14" t="s">
        <v>282</v>
      </c>
      <c r="F14" t="s">
        <v>284</v>
      </c>
      <c r="G14" t="s">
        <v>348</v>
      </c>
      <c r="H14">
        <v>2</v>
      </c>
      <c r="I14">
        <v>6</v>
      </c>
      <c r="J14" t="s">
        <v>620</v>
      </c>
      <c r="K14">
        <v>11</v>
      </c>
      <c r="L14" t="s">
        <v>304</v>
      </c>
      <c r="M14" t="s">
        <v>307</v>
      </c>
      <c r="P14" t="s">
        <v>572</v>
      </c>
      <c r="U14" s="54"/>
      <c r="V14" t="s">
        <v>573</v>
      </c>
      <c r="W14" s="54">
        <v>44865</v>
      </c>
      <c r="X14" s="54"/>
      <c r="Y14" t="s">
        <v>457</v>
      </c>
      <c r="AB14" s="54"/>
      <c r="AC14">
        <v>3</v>
      </c>
      <c r="AD14" s="68">
        <v>44865.351377314997</v>
      </c>
      <c r="AE14" s="68">
        <v>44865.351377314997</v>
      </c>
    </row>
    <row r="15" spans="1:32" x14ac:dyDescent="0.25">
      <c r="A15">
        <v>14</v>
      </c>
      <c r="B15" s="67" t="s">
        <v>642</v>
      </c>
      <c r="C15" t="s">
        <v>643</v>
      </c>
      <c r="D15" t="s">
        <v>568</v>
      </c>
      <c r="E15" t="s">
        <v>282</v>
      </c>
      <c r="F15" t="s">
        <v>284</v>
      </c>
      <c r="G15" t="s">
        <v>348</v>
      </c>
      <c r="H15">
        <v>2</v>
      </c>
      <c r="I15">
        <v>6</v>
      </c>
      <c r="J15" t="s">
        <v>620</v>
      </c>
      <c r="K15">
        <v>40</v>
      </c>
      <c r="L15" t="s">
        <v>304</v>
      </c>
      <c r="M15" t="s">
        <v>307</v>
      </c>
      <c r="P15" t="s">
        <v>572</v>
      </c>
      <c r="U15" s="54"/>
      <c r="V15" t="s">
        <v>573</v>
      </c>
      <c r="W15" s="54">
        <v>44865</v>
      </c>
      <c r="X15" s="54"/>
      <c r="Y15" t="s">
        <v>457</v>
      </c>
      <c r="AB15" s="54"/>
      <c r="AC15">
        <v>2</v>
      </c>
      <c r="AD15" s="68">
        <v>44865.353229166998</v>
      </c>
      <c r="AE15" s="68">
        <v>44865.353229166998</v>
      </c>
    </row>
    <row r="16" spans="1:32" x14ac:dyDescent="0.25">
      <c r="A16">
        <v>15</v>
      </c>
      <c r="B16" s="67" t="s">
        <v>644</v>
      </c>
      <c r="C16" t="s">
        <v>645</v>
      </c>
      <c r="D16" t="s">
        <v>568</v>
      </c>
      <c r="E16" t="s">
        <v>282</v>
      </c>
      <c r="F16" t="s">
        <v>284</v>
      </c>
      <c r="G16" t="s">
        <v>340</v>
      </c>
      <c r="H16">
        <v>3</v>
      </c>
      <c r="I16">
        <v>3</v>
      </c>
      <c r="J16" t="s">
        <v>646</v>
      </c>
      <c r="K16">
        <v>3</v>
      </c>
      <c r="L16" t="s">
        <v>304</v>
      </c>
      <c r="M16" t="s">
        <v>307</v>
      </c>
      <c r="P16" t="s">
        <v>572</v>
      </c>
      <c r="U16" s="54"/>
      <c r="V16" t="s">
        <v>573</v>
      </c>
      <c r="W16" s="54">
        <v>44865</v>
      </c>
      <c r="X16" s="54"/>
      <c r="Y16" t="s">
        <v>457</v>
      </c>
      <c r="AB16" s="54"/>
      <c r="AC16">
        <v>2</v>
      </c>
      <c r="AD16" s="68">
        <v>44865.354664352002</v>
      </c>
      <c r="AE16" s="68">
        <v>44865.354664352002</v>
      </c>
    </row>
    <row r="17" spans="1:31" x14ac:dyDescent="0.25">
      <c r="A17">
        <v>16</v>
      </c>
      <c r="B17" s="67" t="s">
        <v>647</v>
      </c>
      <c r="C17" t="s">
        <v>648</v>
      </c>
      <c r="D17" t="s">
        <v>568</v>
      </c>
      <c r="E17" t="s">
        <v>282</v>
      </c>
      <c r="F17" t="s">
        <v>284</v>
      </c>
      <c r="G17" t="s">
        <v>339</v>
      </c>
      <c r="H17">
        <v>4</v>
      </c>
      <c r="I17">
        <v>1</v>
      </c>
      <c r="J17" t="s">
        <v>339</v>
      </c>
      <c r="K17">
        <v>72</v>
      </c>
      <c r="L17" t="s">
        <v>306</v>
      </c>
      <c r="M17" t="s">
        <v>307</v>
      </c>
      <c r="P17" t="s">
        <v>572</v>
      </c>
      <c r="U17" s="54"/>
      <c r="V17" t="s">
        <v>573</v>
      </c>
      <c r="W17" s="54">
        <v>44865</v>
      </c>
      <c r="X17" s="54"/>
      <c r="Y17" t="s">
        <v>457</v>
      </c>
      <c r="AB17" s="54"/>
      <c r="AC17">
        <v>1</v>
      </c>
      <c r="AD17" s="68">
        <v>44865.405636574003</v>
      </c>
      <c r="AE17" s="68">
        <v>44865.405636574003</v>
      </c>
    </row>
    <row r="18" spans="1:31" x14ac:dyDescent="0.25">
      <c r="A18">
        <v>17</v>
      </c>
      <c r="B18" s="67" t="s">
        <v>649</v>
      </c>
      <c r="C18" t="s">
        <v>650</v>
      </c>
      <c r="D18" t="s">
        <v>568</v>
      </c>
      <c r="E18" t="s">
        <v>282</v>
      </c>
      <c r="F18" t="s">
        <v>284</v>
      </c>
      <c r="G18" t="s">
        <v>348</v>
      </c>
      <c r="H18">
        <v>5</v>
      </c>
      <c r="I18">
        <v>4</v>
      </c>
      <c r="J18" t="s">
        <v>651</v>
      </c>
      <c r="K18">
        <v>56</v>
      </c>
      <c r="L18" t="s">
        <v>304</v>
      </c>
      <c r="M18" t="s">
        <v>307</v>
      </c>
      <c r="P18" t="s">
        <v>572</v>
      </c>
      <c r="U18" s="54"/>
      <c r="V18" t="s">
        <v>573</v>
      </c>
      <c r="W18" s="54">
        <v>44865</v>
      </c>
      <c r="X18" s="54"/>
      <c r="Y18" t="s">
        <v>457</v>
      </c>
      <c r="AB18" s="54"/>
      <c r="AC18">
        <v>1</v>
      </c>
      <c r="AD18" s="68">
        <v>44865.406851852</v>
      </c>
      <c r="AE18" s="68">
        <v>44865.406851852</v>
      </c>
    </row>
    <row r="19" spans="1:31" x14ac:dyDescent="0.25">
      <c r="A19">
        <v>18</v>
      </c>
      <c r="B19" s="67" t="s">
        <v>652</v>
      </c>
      <c r="C19" t="s">
        <v>653</v>
      </c>
      <c r="D19" t="s">
        <v>568</v>
      </c>
      <c r="E19" t="s">
        <v>282</v>
      </c>
      <c r="F19" t="s">
        <v>284</v>
      </c>
      <c r="G19" t="s">
        <v>348</v>
      </c>
      <c r="H19">
        <v>5</v>
      </c>
      <c r="I19">
        <v>4</v>
      </c>
      <c r="J19" t="s">
        <v>651</v>
      </c>
      <c r="K19">
        <v>8</v>
      </c>
      <c r="L19" t="s">
        <v>304</v>
      </c>
      <c r="M19" t="s">
        <v>307</v>
      </c>
      <c r="P19" t="s">
        <v>572</v>
      </c>
      <c r="U19" s="54"/>
      <c r="V19" t="s">
        <v>573</v>
      </c>
      <c r="W19" s="54">
        <v>44865</v>
      </c>
      <c r="X19" s="54"/>
      <c r="Y19" t="s">
        <v>457</v>
      </c>
      <c r="AB19" s="54"/>
      <c r="AC19">
        <v>1</v>
      </c>
      <c r="AD19" s="68">
        <v>44865.412071758998</v>
      </c>
      <c r="AE19" s="68">
        <v>44865.412071758998</v>
      </c>
    </row>
    <row r="20" spans="1:31" x14ac:dyDescent="0.25">
      <c r="A20">
        <v>19</v>
      </c>
      <c r="B20" s="67" t="s">
        <v>654</v>
      </c>
      <c r="C20" t="s">
        <v>655</v>
      </c>
      <c r="D20" t="s">
        <v>568</v>
      </c>
      <c r="E20" t="s">
        <v>282</v>
      </c>
      <c r="F20" t="s">
        <v>284</v>
      </c>
      <c r="G20" t="s">
        <v>339</v>
      </c>
      <c r="H20">
        <v>4</v>
      </c>
      <c r="I20">
        <v>1</v>
      </c>
      <c r="J20" t="s">
        <v>339</v>
      </c>
      <c r="K20">
        <v>36</v>
      </c>
      <c r="L20" t="s">
        <v>304</v>
      </c>
      <c r="M20" t="s">
        <v>307</v>
      </c>
      <c r="P20" t="s">
        <v>572</v>
      </c>
      <c r="U20" s="54"/>
      <c r="V20" t="s">
        <v>573</v>
      </c>
      <c r="W20" s="54">
        <v>44865</v>
      </c>
      <c r="X20" s="54"/>
      <c r="Y20" t="s">
        <v>457</v>
      </c>
      <c r="AB20" s="54"/>
      <c r="AC20">
        <v>1</v>
      </c>
      <c r="AD20" s="68">
        <v>44865.424108796004</v>
      </c>
      <c r="AE20" s="68">
        <v>44865.424108796004</v>
      </c>
    </row>
    <row r="21" spans="1:31" x14ac:dyDescent="0.25">
      <c r="A21">
        <v>20</v>
      </c>
      <c r="B21" s="67" t="s">
        <v>656</v>
      </c>
      <c r="C21" t="s">
        <v>657</v>
      </c>
      <c r="D21" t="s">
        <v>568</v>
      </c>
      <c r="E21" t="s">
        <v>282</v>
      </c>
      <c r="F21" t="s">
        <v>284</v>
      </c>
      <c r="G21" t="s">
        <v>339</v>
      </c>
      <c r="H21">
        <v>4</v>
      </c>
      <c r="I21">
        <v>1</v>
      </c>
      <c r="J21" t="s">
        <v>339</v>
      </c>
      <c r="K21">
        <v>53</v>
      </c>
      <c r="L21" t="s">
        <v>304</v>
      </c>
      <c r="M21" t="s">
        <v>307</v>
      </c>
      <c r="P21" t="s">
        <v>572</v>
      </c>
      <c r="U21" s="54"/>
      <c r="V21" t="s">
        <v>573</v>
      </c>
      <c r="W21" s="54">
        <v>44865</v>
      </c>
      <c r="X21" s="54"/>
      <c r="Y21" t="s">
        <v>457</v>
      </c>
      <c r="AB21" s="54"/>
      <c r="AC21">
        <v>1</v>
      </c>
      <c r="AD21" s="68">
        <v>44865.425219907003</v>
      </c>
      <c r="AE21" s="68">
        <v>44865.425219907003</v>
      </c>
    </row>
    <row r="22" spans="1:31" x14ac:dyDescent="0.25">
      <c r="A22">
        <v>21</v>
      </c>
      <c r="B22" s="67" t="s">
        <v>658</v>
      </c>
      <c r="C22" t="s">
        <v>659</v>
      </c>
      <c r="D22" t="s">
        <v>568</v>
      </c>
      <c r="E22" t="s">
        <v>282</v>
      </c>
      <c r="F22" t="s">
        <v>284</v>
      </c>
      <c r="G22" t="s">
        <v>339</v>
      </c>
      <c r="H22">
        <v>4</v>
      </c>
      <c r="I22">
        <v>1</v>
      </c>
      <c r="J22" t="s">
        <v>339</v>
      </c>
      <c r="K22">
        <v>48</v>
      </c>
      <c r="L22" t="s">
        <v>304</v>
      </c>
      <c r="M22" t="s">
        <v>307</v>
      </c>
      <c r="P22" t="s">
        <v>572</v>
      </c>
      <c r="U22" s="54"/>
      <c r="V22" t="s">
        <v>573</v>
      </c>
      <c r="W22" s="54">
        <v>44865</v>
      </c>
      <c r="X22" s="54"/>
      <c r="Y22" t="s">
        <v>457</v>
      </c>
      <c r="AB22" s="54"/>
      <c r="AC22">
        <v>1</v>
      </c>
      <c r="AD22" s="68">
        <v>44865.426724536999</v>
      </c>
      <c r="AE22" s="68">
        <v>44865.426724536999</v>
      </c>
    </row>
    <row r="23" spans="1:31" x14ac:dyDescent="0.25">
      <c r="A23">
        <v>22</v>
      </c>
      <c r="B23" s="67" t="s">
        <v>660</v>
      </c>
      <c r="C23" t="s">
        <v>661</v>
      </c>
      <c r="D23" t="s">
        <v>568</v>
      </c>
      <c r="E23" t="s">
        <v>282</v>
      </c>
      <c r="F23" t="s">
        <v>284</v>
      </c>
      <c r="G23" t="s">
        <v>339</v>
      </c>
      <c r="H23">
        <v>4</v>
      </c>
      <c r="I23">
        <v>1</v>
      </c>
      <c r="J23" t="s">
        <v>339</v>
      </c>
      <c r="K23">
        <v>20</v>
      </c>
      <c r="L23" t="s">
        <v>304</v>
      </c>
      <c r="M23" t="s">
        <v>307</v>
      </c>
      <c r="P23" t="s">
        <v>572</v>
      </c>
      <c r="U23" s="54"/>
      <c r="V23" t="s">
        <v>573</v>
      </c>
      <c r="W23" s="54">
        <v>44865</v>
      </c>
      <c r="X23" s="54"/>
      <c r="Y23" t="s">
        <v>457</v>
      </c>
      <c r="AB23" s="54"/>
      <c r="AC23">
        <v>1</v>
      </c>
      <c r="AD23" s="68">
        <v>44865.427488426001</v>
      </c>
      <c r="AE23" s="68">
        <v>44865.427488426001</v>
      </c>
    </row>
    <row r="24" spans="1:31" x14ac:dyDescent="0.25">
      <c r="A24">
        <v>23</v>
      </c>
      <c r="B24" s="67" t="s">
        <v>662</v>
      </c>
      <c r="C24" t="s">
        <v>663</v>
      </c>
      <c r="D24" t="s">
        <v>568</v>
      </c>
      <c r="E24" t="s">
        <v>282</v>
      </c>
      <c r="F24" t="s">
        <v>284</v>
      </c>
      <c r="G24" t="s">
        <v>339</v>
      </c>
      <c r="H24">
        <v>4</v>
      </c>
      <c r="I24">
        <v>1</v>
      </c>
      <c r="J24" t="s">
        <v>339</v>
      </c>
      <c r="K24">
        <v>61</v>
      </c>
      <c r="L24" t="s">
        <v>304</v>
      </c>
      <c r="M24" t="s">
        <v>307</v>
      </c>
      <c r="P24" t="s">
        <v>572</v>
      </c>
      <c r="U24" s="54"/>
      <c r="V24" t="s">
        <v>573</v>
      </c>
      <c r="W24" s="54">
        <v>44865</v>
      </c>
      <c r="X24" s="54"/>
      <c r="Y24" t="s">
        <v>457</v>
      </c>
      <c r="AB24" s="54"/>
      <c r="AC24">
        <v>1</v>
      </c>
      <c r="AD24" s="68">
        <v>44865.428217592998</v>
      </c>
      <c r="AE24" s="68">
        <v>44865.428217592998</v>
      </c>
    </row>
    <row r="25" spans="1:31" x14ac:dyDescent="0.25">
      <c r="A25">
        <v>24</v>
      </c>
      <c r="B25" s="67" t="s">
        <v>664</v>
      </c>
      <c r="C25" t="s">
        <v>665</v>
      </c>
      <c r="D25" t="s">
        <v>568</v>
      </c>
      <c r="E25" t="s">
        <v>282</v>
      </c>
      <c r="F25" t="s">
        <v>284</v>
      </c>
      <c r="G25" t="s">
        <v>339</v>
      </c>
      <c r="H25">
        <v>4</v>
      </c>
      <c r="I25">
        <v>1</v>
      </c>
      <c r="J25" t="s">
        <v>339</v>
      </c>
      <c r="K25">
        <v>56</v>
      </c>
      <c r="L25" t="s">
        <v>304</v>
      </c>
      <c r="M25" t="s">
        <v>307</v>
      </c>
      <c r="P25" t="s">
        <v>572</v>
      </c>
      <c r="U25" s="54"/>
      <c r="V25" t="s">
        <v>573</v>
      </c>
      <c r="W25" s="54">
        <v>44865</v>
      </c>
      <c r="X25" s="54"/>
      <c r="Y25" t="s">
        <v>457</v>
      </c>
      <c r="AB25" s="54"/>
      <c r="AC25">
        <v>1</v>
      </c>
      <c r="AD25" s="68">
        <v>44865.4296875</v>
      </c>
      <c r="AE25" s="68">
        <v>44865.4296875</v>
      </c>
    </row>
    <row r="26" spans="1:31" x14ac:dyDescent="0.25">
      <c r="A26">
        <v>25</v>
      </c>
      <c r="B26" s="67" t="s">
        <v>666</v>
      </c>
      <c r="C26" t="s">
        <v>667</v>
      </c>
      <c r="D26" t="s">
        <v>568</v>
      </c>
      <c r="E26" t="s">
        <v>282</v>
      </c>
      <c r="F26" t="s">
        <v>284</v>
      </c>
      <c r="G26" t="s">
        <v>339</v>
      </c>
      <c r="H26">
        <v>4</v>
      </c>
      <c r="I26">
        <v>1</v>
      </c>
      <c r="J26" t="s">
        <v>339</v>
      </c>
      <c r="K26">
        <v>37</v>
      </c>
      <c r="L26" t="s">
        <v>304</v>
      </c>
      <c r="M26" t="s">
        <v>307</v>
      </c>
      <c r="P26" t="s">
        <v>572</v>
      </c>
      <c r="U26" s="54"/>
      <c r="V26" t="s">
        <v>573</v>
      </c>
      <c r="W26" s="54">
        <v>44865</v>
      </c>
      <c r="X26" s="54"/>
      <c r="Y26" t="s">
        <v>457</v>
      </c>
      <c r="AB26" s="54"/>
      <c r="AC26">
        <v>1</v>
      </c>
      <c r="AD26" s="68">
        <v>44865.430462962999</v>
      </c>
      <c r="AE26" s="68">
        <v>44865.430462962999</v>
      </c>
    </row>
    <row r="27" spans="1:31" x14ac:dyDescent="0.25">
      <c r="A27">
        <v>26</v>
      </c>
      <c r="B27" s="67" t="s">
        <v>668</v>
      </c>
      <c r="C27" t="s">
        <v>669</v>
      </c>
      <c r="D27" t="s">
        <v>568</v>
      </c>
      <c r="E27" t="s">
        <v>282</v>
      </c>
      <c r="F27" t="s">
        <v>284</v>
      </c>
      <c r="G27" t="s">
        <v>339</v>
      </c>
      <c r="H27">
        <v>4</v>
      </c>
      <c r="I27">
        <v>1</v>
      </c>
      <c r="J27" t="s">
        <v>339</v>
      </c>
      <c r="K27">
        <v>5</v>
      </c>
      <c r="L27" t="s">
        <v>304</v>
      </c>
      <c r="M27" t="s">
        <v>307</v>
      </c>
      <c r="P27" t="s">
        <v>572</v>
      </c>
      <c r="U27" s="54"/>
      <c r="V27" t="s">
        <v>573</v>
      </c>
      <c r="W27" s="54">
        <v>44865</v>
      </c>
      <c r="X27" s="54"/>
      <c r="Y27" t="s">
        <v>457</v>
      </c>
      <c r="AB27" s="54"/>
      <c r="AC27">
        <v>1</v>
      </c>
      <c r="AD27" s="68">
        <v>44865.431296296003</v>
      </c>
      <c r="AE27" s="68">
        <v>44865.431296296003</v>
      </c>
    </row>
    <row r="28" spans="1:31" x14ac:dyDescent="0.25">
      <c r="A28">
        <v>27</v>
      </c>
      <c r="B28" s="67" t="s">
        <v>670</v>
      </c>
      <c r="C28" t="s">
        <v>671</v>
      </c>
      <c r="D28" t="s">
        <v>568</v>
      </c>
      <c r="E28" t="s">
        <v>282</v>
      </c>
      <c r="F28" t="s">
        <v>284</v>
      </c>
      <c r="G28" t="s">
        <v>339</v>
      </c>
      <c r="H28">
        <v>4</v>
      </c>
      <c r="I28">
        <v>1</v>
      </c>
      <c r="J28" t="s">
        <v>339</v>
      </c>
      <c r="K28">
        <v>34</v>
      </c>
      <c r="L28" t="s">
        <v>304</v>
      </c>
      <c r="M28" t="s">
        <v>307</v>
      </c>
      <c r="P28" t="s">
        <v>572</v>
      </c>
      <c r="U28" s="54"/>
      <c r="V28" t="s">
        <v>573</v>
      </c>
      <c r="W28" s="54">
        <v>44865</v>
      </c>
      <c r="X28" s="54"/>
      <c r="Y28" t="s">
        <v>457</v>
      </c>
      <c r="AB28" s="54"/>
      <c r="AC28">
        <v>1</v>
      </c>
      <c r="AD28" s="68">
        <v>44865.432025463</v>
      </c>
      <c r="AE28" s="68">
        <v>44865.432025463</v>
      </c>
    </row>
    <row r="29" spans="1:31" x14ac:dyDescent="0.25">
      <c r="A29">
        <v>28</v>
      </c>
      <c r="B29" s="67" t="s">
        <v>672</v>
      </c>
      <c r="C29" t="s">
        <v>673</v>
      </c>
      <c r="D29" t="s">
        <v>568</v>
      </c>
      <c r="E29" t="s">
        <v>282</v>
      </c>
      <c r="F29" t="s">
        <v>284</v>
      </c>
      <c r="G29" t="s">
        <v>339</v>
      </c>
      <c r="H29">
        <v>4</v>
      </c>
      <c r="I29">
        <v>1</v>
      </c>
      <c r="J29" t="s">
        <v>339</v>
      </c>
      <c r="K29">
        <v>12</v>
      </c>
      <c r="L29" t="s">
        <v>304</v>
      </c>
      <c r="M29" t="s">
        <v>307</v>
      </c>
      <c r="P29" t="s">
        <v>572</v>
      </c>
      <c r="U29" s="54"/>
      <c r="V29" t="s">
        <v>573</v>
      </c>
      <c r="W29" s="54">
        <v>44865</v>
      </c>
      <c r="X29" s="54"/>
      <c r="Y29" t="s">
        <v>457</v>
      </c>
      <c r="AB29" s="54"/>
      <c r="AC29">
        <v>1</v>
      </c>
      <c r="AD29" s="68">
        <v>44865.432766204001</v>
      </c>
      <c r="AE29" s="68">
        <v>44865.432766204001</v>
      </c>
    </row>
    <row r="30" spans="1:31" x14ac:dyDescent="0.25">
      <c r="A30">
        <v>29</v>
      </c>
      <c r="B30" s="67" t="s">
        <v>674</v>
      </c>
      <c r="C30" t="s">
        <v>675</v>
      </c>
      <c r="D30" t="s">
        <v>568</v>
      </c>
      <c r="E30" t="s">
        <v>282</v>
      </c>
      <c r="F30" t="s">
        <v>284</v>
      </c>
      <c r="G30" t="s">
        <v>339</v>
      </c>
      <c r="H30">
        <v>4</v>
      </c>
      <c r="I30">
        <v>1</v>
      </c>
      <c r="J30" t="s">
        <v>676</v>
      </c>
      <c r="K30">
        <v>55</v>
      </c>
      <c r="L30" t="s">
        <v>304</v>
      </c>
      <c r="M30" t="s">
        <v>307</v>
      </c>
      <c r="P30" t="s">
        <v>572</v>
      </c>
      <c r="U30" s="54"/>
      <c r="V30" t="s">
        <v>573</v>
      </c>
      <c r="W30" s="54">
        <v>44865</v>
      </c>
      <c r="X30" s="54"/>
      <c r="Y30" t="s">
        <v>457</v>
      </c>
      <c r="AB30" s="54"/>
      <c r="AC30">
        <v>1</v>
      </c>
      <c r="AD30" s="68">
        <v>44865.433541667</v>
      </c>
      <c r="AE30" s="68">
        <v>44865.433541667</v>
      </c>
    </row>
    <row r="31" spans="1:31" x14ac:dyDescent="0.25">
      <c r="A31">
        <v>30</v>
      </c>
      <c r="B31" s="67" t="s">
        <v>677</v>
      </c>
      <c r="C31" t="s">
        <v>678</v>
      </c>
      <c r="D31" t="s">
        <v>568</v>
      </c>
      <c r="E31" t="s">
        <v>282</v>
      </c>
      <c r="F31" t="s">
        <v>284</v>
      </c>
      <c r="G31" t="s">
        <v>679</v>
      </c>
      <c r="H31">
        <v>4</v>
      </c>
      <c r="I31">
        <v>6</v>
      </c>
      <c r="J31" t="s">
        <v>679</v>
      </c>
      <c r="K31">
        <v>44</v>
      </c>
      <c r="L31" t="s">
        <v>304</v>
      </c>
      <c r="M31" t="s">
        <v>307</v>
      </c>
      <c r="P31" t="s">
        <v>572</v>
      </c>
      <c r="U31" s="54"/>
      <c r="V31" t="s">
        <v>573</v>
      </c>
      <c r="W31" s="54">
        <v>44866</v>
      </c>
      <c r="X31" s="54"/>
      <c r="Y31" t="s">
        <v>457</v>
      </c>
      <c r="AB31" s="54"/>
      <c r="AC31">
        <v>1</v>
      </c>
      <c r="AD31" s="68">
        <v>44866.393472222</v>
      </c>
      <c r="AE31" s="68">
        <v>44866.393472222</v>
      </c>
    </row>
    <row r="32" spans="1:31" x14ac:dyDescent="0.25">
      <c r="A32">
        <v>31</v>
      </c>
      <c r="B32" s="67" t="s">
        <v>680</v>
      </c>
      <c r="C32" t="s">
        <v>681</v>
      </c>
      <c r="D32" t="s">
        <v>568</v>
      </c>
      <c r="E32" t="s">
        <v>282</v>
      </c>
      <c r="F32" t="s">
        <v>284</v>
      </c>
      <c r="G32" t="s">
        <v>679</v>
      </c>
      <c r="H32">
        <v>4</v>
      </c>
      <c r="I32">
        <v>6</v>
      </c>
      <c r="J32" t="s">
        <v>679</v>
      </c>
      <c r="K32">
        <v>22</v>
      </c>
      <c r="L32" t="s">
        <v>304</v>
      </c>
      <c r="M32" t="s">
        <v>307</v>
      </c>
      <c r="P32" t="s">
        <v>572</v>
      </c>
      <c r="U32" s="54"/>
      <c r="V32" t="s">
        <v>573</v>
      </c>
      <c r="W32" s="54">
        <v>44866</v>
      </c>
      <c r="X32" s="54"/>
      <c r="Y32" t="s">
        <v>457</v>
      </c>
      <c r="AB32" s="54"/>
      <c r="AC32">
        <v>1</v>
      </c>
      <c r="AD32" s="68">
        <v>44866.394444443999</v>
      </c>
      <c r="AE32" s="68">
        <v>44866.394444443999</v>
      </c>
    </row>
    <row r="33" spans="1:31" x14ac:dyDescent="0.25">
      <c r="A33">
        <v>32</v>
      </c>
      <c r="B33" s="67" t="s">
        <v>682</v>
      </c>
      <c r="C33" t="s">
        <v>683</v>
      </c>
      <c r="D33" t="s">
        <v>568</v>
      </c>
      <c r="E33" t="s">
        <v>282</v>
      </c>
      <c r="F33" t="s">
        <v>284</v>
      </c>
      <c r="G33" t="s">
        <v>679</v>
      </c>
      <c r="H33">
        <v>4</v>
      </c>
      <c r="I33">
        <v>6</v>
      </c>
      <c r="J33" t="s">
        <v>679</v>
      </c>
      <c r="K33">
        <v>18</v>
      </c>
      <c r="L33" t="s">
        <v>306</v>
      </c>
      <c r="M33" t="s">
        <v>307</v>
      </c>
      <c r="P33" t="s">
        <v>572</v>
      </c>
      <c r="U33" s="54"/>
      <c r="V33" t="s">
        <v>573</v>
      </c>
      <c r="W33" s="54">
        <v>44866</v>
      </c>
      <c r="X33" s="54"/>
      <c r="Y33" t="s">
        <v>457</v>
      </c>
      <c r="AB33" s="54"/>
      <c r="AC33">
        <v>1</v>
      </c>
      <c r="AD33" s="68">
        <v>44866.395335647998</v>
      </c>
      <c r="AE33" s="68">
        <v>44866.395335647998</v>
      </c>
    </row>
    <row r="34" spans="1:31" x14ac:dyDescent="0.25">
      <c r="A34">
        <v>33</v>
      </c>
      <c r="B34" s="67" t="s">
        <v>684</v>
      </c>
      <c r="C34" t="s">
        <v>685</v>
      </c>
      <c r="D34" t="s">
        <v>568</v>
      </c>
      <c r="E34" t="s">
        <v>282</v>
      </c>
      <c r="F34" t="s">
        <v>284</v>
      </c>
      <c r="G34" t="s">
        <v>679</v>
      </c>
      <c r="H34">
        <v>4</v>
      </c>
      <c r="I34">
        <v>6</v>
      </c>
      <c r="J34" t="s">
        <v>679</v>
      </c>
      <c r="K34">
        <v>10</v>
      </c>
      <c r="L34" t="s">
        <v>304</v>
      </c>
      <c r="M34" t="s">
        <v>307</v>
      </c>
      <c r="P34" t="s">
        <v>572</v>
      </c>
      <c r="U34" s="54"/>
      <c r="V34" t="s">
        <v>573</v>
      </c>
      <c r="W34" s="54">
        <v>44866</v>
      </c>
      <c r="X34" s="54"/>
      <c r="Y34" t="s">
        <v>457</v>
      </c>
      <c r="AB34" s="54"/>
      <c r="AC34">
        <v>1</v>
      </c>
      <c r="AD34" s="68">
        <v>44866.401805556001</v>
      </c>
      <c r="AE34" s="68">
        <v>44866.401805556001</v>
      </c>
    </row>
    <row r="35" spans="1:31" x14ac:dyDescent="0.25">
      <c r="A35">
        <v>34</v>
      </c>
      <c r="B35" s="67" t="s">
        <v>686</v>
      </c>
      <c r="C35" t="s">
        <v>687</v>
      </c>
      <c r="D35" t="s">
        <v>568</v>
      </c>
      <c r="E35" t="s">
        <v>282</v>
      </c>
      <c r="F35" t="s">
        <v>284</v>
      </c>
      <c r="G35" t="s">
        <v>679</v>
      </c>
      <c r="H35">
        <v>4</v>
      </c>
      <c r="I35">
        <v>6</v>
      </c>
      <c r="J35" t="s">
        <v>679</v>
      </c>
      <c r="K35">
        <v>43</v>
      </c>
      <c r="L35" t="s">
        <v>304</v>
      </c>
      <c r="M35" t="s">
        <v>307</v>
      </c>
      <c r="P35" t="s">
        <v>572</v>
      </c>
      <c r="U35" s="54"/>
      <c r="V35" t="s">
        <v>573</v>
      </c>
      <c r="W35" s="54">
        <v>44866</v>
      </c>
      <c r="X35" s="54"/>
      <c r="Y35" t="s">
        <v>457</v>
      </c>
      <c r="AB35" s="54"/>
      <c r="AC35">
        <v>1</v>
      </c>
      <c r="AD35" s="68">
        <v>44866.403020833</v>
      </c>
      <c r="AE35" s="68">
        <v>44866.403020833</v>
      </c>
    </row>
    <row r="36" spans="1:31" x14ac:dyDescent="0.25">
      <c r="A36">
        <v>35</v>
      </c>
      <c r="B36" s="67" t="s">
        <v>688</v>
      </c>
      <c r="C36" t="s">
        <v>689</v>
      </c>
      <c r="D36" t="s">
        <v>568</v>
      </c>
      <c r="E36" t="s">
        <v>282</v>
      </c>
      <c r="F36" t="s">
        <v>284</v>
      </c>
      <c r="G36" t="s">
        <v>679</v>
      </c>
      <c r="H36">
        <v>4</v>
      </c>
      <c r="I36">
        <v>6</v>
      </c>
      <c r="J36" t="s">
        <v>679</v>
      </c>
      <c r="K36">
        <v>37</v>
      </c>
      <c r="L36" t="s">
        <v>306</v>
      </c>
      <c r="M36" t="s">
        <v>307</v>
      </c>
      <c r="P36" t="s">
        <v>572</v>
      </c>
      <c r="U36" s="54"/>
      <c r="V36" t="s">
        <v>573</v>
      </c>
      <c r="W36" s="54">
        <v>44866</v>
      </c>
      <c r="X36" s="54"/>
      <c r="Y36" t="s">
        <v>457</v>
      </c>
      <c r="AB36" s="54"/>
      <c r="AC36">
        <v>1</v>
      </c>
      <c r="AD36" s="68">
        <v>44866.403865740998</v>
      </c>
      <c r="AE36" s="68">
        <v>44866.403865740998</v>
      </c>
    </row>
    <row r="37" spans="1:31" x14ac:dyDescent="0.25">
      <c r="A37">
        <v>36</v>
      </c>
      <c r="B37" s="67" t="s">
        <v>690</v>
      </c>
      <c r="C37" t="s">
        <v>691</v>
      </c>
      <c r="D37" t="s">
        <v>568</v>
      </c>
      <c r="E37" t="s">
        <v>282</v>
      </c>
      <c r="F37" t="s">
        <v>284</v>
      </c>
      <c r="G37" t="s">
        <v>679</v>
      </c>
      <c r="H37">
        <v>4</v>
      </c>
      <c r="I37">
        <v>6</v>
      </c>
      <c r="J37" t="s">
        <v>679</v>
      </c>
      <c r="K37">
        <v>19</v>
      </c>
      <c r="L37" t="s">
        <v>304</v>
      </c>
      <c r="M37" t="s">
        <v>307</v>
      </c>
      <c r="P37" t="s">
        <v>572</v>
      </c>
      <c r="U37" s="54"/>
      <c r="V37" t="s">
        <v>573</v>
      </c>
      <c r="W37" s="54">
        <v>44866</v>
      </c>
      <c r="X37" s="54"/>
      <c r="Y37" t="s">
        <v>457</v>
      </c>
      <c r="AB37" s="54"/>
      <c r="AC37">
        <v>1</v>
      </c>
      <c r="AD37" s="68">
        <v>44866.405833333003</v>
      </c>
      <c r="AE37" s="68">
        <v>44866.405833333003</v>
      </c>
    </row>
    <row r="38" spans="1:31" x14ac:dyDescent="0.25">
      <c r="A38">
        <v>37</v>
      </c>
      <c r="B38" s="67" t="s">
        <v>692</v>
      </c>
      <c r="C38" t="s">
        <v>693</v>
      </c>
      <c r="D38" t="s">
        <v>568</v>
      </c>
      <c r="E38" t="s">
        <v>282</v>
      </c>
      <c r="F38" t="s">
        <v>284</v>
      </c>
      <c r="G38" t="s">
        <v>679</v>
      </c>
      <c r="H38">
        <v>4</v>
      </c>
      <c r="I38">
        <v>6</v>
      </c>
      <c r="J38" t="s">
        <v>679</v>
      </c>
      <c r="K38">
        <v>10</v>
      </c>
      <c r="L38" t="s">
        <v>304</v>
      </c>
      <c r="M38" t="s">
        <v>307</v>
      </c>
      <c r="P38" t="s">
        <v>572</v>
      </c>
      <c r="U38" s="54"/>
      <c r="V38" t="s">
        <v>573</v>
      </c>
      <c r="W38" s="54">
        <v>44866</v>
      </c>
      <c r="X38" s="54"/>
      <c r="Y38" t="s">
        <v>457</v>
      </c>
      <c r="AB38" s="54"/>
      <c r="AC38">
        <v>1</v>
      </c>
      <c r="AD38" s="68">
        <v>44866.406863425997</v>
      </c>
      <c r="AE38" s="68">
        <v>44866.406863425997</v>
      </c>
    </row>
    <row r="39" spans="1:31" x14ac:dyDescent="0.25">
      <c r="A39">
        <v>38</v>
      </c>
      <c r="B39" s="67" t="s">
        <v>697</v>
      </c>
      <c r="C39" t="s">
        <v>698</v>
      </c>
      <c r="D39" t="s">
        <v>568</v>
      </c>
      <c r="E39" t="s">
        <v>282</v>
      </c>
      <c r="F39" t="s">
        <v>284</v>
      </c>
      <c r="G39" t="s">
        <v>679</v>
      </c>
      <c r="H39">
        <v>4</v>
      </c>
      <c r="I39">
        <v>6</v>
      </c>
      <c r="J39" t="s">
        <v>679</v>
      </c>
      <c r="K39">
        <v>4</v>
      </c>
      <c r="L39" t="s">
        <v>306</v>
      </c>
      <c r="M39" t="s">
        <v>307</v>
      </c>
      <c r="P39" t="s">
        <v>572</v>
      </c>
      <c r="U39" s="54"/>
      <c r="V39" t="s">
        <v>573</v>
      </c>
      <c r="W39" s="54">
        <v>44866</v>
      </c>
      <c r="X39" s="54"/>
      <c r="Y39" t="s">
        <v>457</v>
      </c>
      <c r="AB39" s="54"/>
      <c r="AC39">
        <v>1</v>
      </c>
      <c r="AD39" s="68">
        <v>44866.408368056</v>
      </c>
      <c r="AE39" s="68">
        <v>44866.408368056</v>
      </c>
    </row>
    <row r="40" spans="1:31" x14ac:dyDescent="0.25">
      <c r="A40">
        <v>39</v>
      </c>
      <c r="B40" s="67" t="s">
        <v>699</v>
      </c>
      <c r="C40" t="s">
        <v>700</v>
      </c>
      <c r="D40" t="s">
        <v>568</v>
      </c>
      <c r="E40" t="s">
        <v>282</v>
      </c>
      <c r="F40" t="s">
        <v>289</v>
      </c>
      <c r="G40" t="s">
        <v>694</v>
      </c>
      <c r="H40">
        <v>1</v>
      </c>
      <c r="I40">
        <v>1</v>
      </c>
      <c r="J40" t="s">
        <v>695</v>
      </c>
      <c r="K40">
        <v>43</v>
      </c>
      <c r="L40" t="s">
        <v>304</v>
      </c>
      <c r="M40" t="s">
        <v>701</v>
      </c>
      <c r="P40" t="s">
        <v>569</v>
      </c>
      <c r="U40" s="54"/>
      <c r="V40" t="s">
        <v>696</v>
      </c>
      <c r="W40" s="54">
        <v>44865</v>
      </c>
      <c r="X40" s="54"/>
      <c r="Y40" t="s">
        <v>457</v>
      </c>
      <c r="Z40" t="s">
        <v>702</v>
      </c>
      <c r="AA40" t="s">
        <v>571</v>
      </c>
      <c r="AB40" s="54">
        <v>44865</v>
      </c>
      <c r="AC40">
        <v>0</v>
      </c>
      <c r="AD40" s="68">
        <v>44866.408402777997</v>
      </c>
      <c r="AE40" s="68">
        <v>44866.408402777997</v>
      </c>
    </row>
    <row r="41" spans="1:31" x14ac:dyDescent="0.25">
      <c r="A41">
        <v>40</v>
      </c>
      <c r="B41" s="67" t="s">
        <v>703</v>
      </c>
      <c r="C41" t="s">
        <v>704</v>
      </c>
      <c r="D41" t="s">
        <v>568</v>
      </c>
      <c r="E41" t="s">
        <v>282</v>
      </c>
      <c r="F41" t="s">
        <v>284</v>
      </c>
      <c r="G41" t="s">
        <v>679</v>
      </c>
      <c r="H41">
        <v>4</v>
      </c>
      <c r="I41">
        <v>6</v>
      </c>
      <c r="J41" t="s">
        <v>679</v>
      </c>
      <c r="K41">
        <v>4</v>
      </c>
      <c r="L41" t="s">
        <v>304</v>
      </c>
      <c r="M41" t="s">
        <v>307</v>
      </c>
      <c r="P41" t="s">
        <v>572</v>
      </c>
      <c r="U41" s="54"/>
      <c r="V41" t="s">
        <v>573</v>
      </c>
      <c r="W41" s="54">
        <v>44866</v>
      </c>
      <c r="X41" s="54"/>
      <c r="Y41" t="s">
        <v>457</v>
      </c>
      <c r="AB41" s="54"/>
      <c r="AC41">
        <v>1</v>
      </c>
      <c r="AD41" s="68">
        <v>44866.409189815</v>
      </c>
      <c r="AE41" s="68">
        <v>44866.409189815</v>
      </c>
    </row>
    <row r="42" spans="1:31" x14ac:dyDescent="0.25">
      <c r="A42">
        <v>41</v>
      </c>
      <c r="B42" s="67" t="s">
        <v>705</v>
      </c>
      <c r="C42" t="s">
        <v>706</v>
      </c>
      <c r="D42" t="s">
        <v>568</v>
      </c>
      <c r="E42" t="s">
        <v>282</v>
      </c>
      <c r="F42" t="s">
        <v>284</v>
      </c>
      <c r="G42" t="s">
        <v>679</v>
      </c>
      <c r="H42">
        <v>4</v>
      </c>
      <c r="I42">
        <v>6</v>
      </c>
      <c r="J42" t="s">
        <v>679</v>
      </c>
      <c r="K42">
        <v>41</v>
      </c>
      <c r="L42" t="s">
        <v>306</v>
      </c>
      <c r="M42" t="s">
        <v>307</v>
      </c>
      <c r="P42" t="s">
        <v>572</v>
      </c>
      <c r="U42" s="54"/>
      <c r="V42" t="s">
        <v>573</v>
      </c>
      <c r="W42" s="54">
        <v>44866</v>
      </c>
      <c r="X42" s="54"/>
      <c r="Y42" t="s">
        <v>457</v>
      </c>
      <c r="AB42" s="54"/>
      <c r="AC42">
        <v>1</v>
      </c>
      <c r="AD42" s="68">
        <v>44866.410034722001</v>
      </c>
      <c r="AE42" s="68">
        <v>44866.410034722001</v>
      </c>
    </row>
    <row r="43" spans="1:31" x14ac:dyDescent="0.25">
      <c r="A43">
        <v>42</v>
      </c>
      <c r="B43" s="67" t="s">
        <v>707</v>
      </c>
      <c r="C43" t="s">
        <v>708</v>
      </c>
      <c r="D43" t="s">
        <v>568</v>
      </c>
      <c r="E43" t="s">
        <v>282</v>
      </c>
      <c r="F43" t="s">
        <v>284</v>
      </c>
      <c r="G43" t="s">
        <v>679</v>
      </c>
      <c r="H43">
        <v>4</v>
      </c>
      <c r="I43">
        <v>6</v>
      </c>
      <c r="J43" t="s">
        <v>679</v>
      </c>
      <c r="K43">
        <v>16</v>
      </c>
      <c r="L43" t="s">
        <v>304</v>
      </c>
      <c r="M43" t="s">
        <v>307</v>
      </c>
      <c r="P43" t="s">
        <v>572</v>
      </c>
      <c r="U43" s="54"/>
      <c r="V43" t="s">
        <v>573</v>
      </c>
      <c r="W43" s="54">
        <v>44866</v>
      </c>
      <c r="X43" s="54"/>
      <c r="Y43" t="s">
        <v>457</v>
      </c>
      <c r="AB43" s="54"/>
      <c r="AC43">
        <v>1</v>
      </c>
      <c r="AD43" s="68">
        <v>44866.410787036999</v>
      </c>
      <c r="AE43" s="68">
        <v>44866.410787036999</v>
      </c>
    </row>
    <row r="44" spans="1:31" x14ac:dyDescent="0.25">
      <c r="A44">
        <v>43</v>
      </c>
      <c r="B44" s="67" t="s">
        <v>709</v>
      </c>
      <c r="C44" t="s">
        <v>710</v>
      </c>
      <c r="D44" t="s">
        <v>568</v>
      </c>
      <c r="E44" t="s">
        <v>282</v>
      </c>
      <c r="F44" t="s">
        <v>284</v>
      </c>
      <c r="G44" t="s">
        <v>679</v>
      </c>
      <c r="H44">
        <v>3</v>
      </c>
      <c r="I44">
        <v>5</v>
      </c>
      <c r="J44" t="s">
        <v>679</v>
      </c>
      <c r="K44">
        <v>26</v>
      </c>
      <c r="L44" t="s">
        <v>304</v>
      </c>
      <c r="M44" t="s">
        <v>307</v>
      </c>
      <c r="P44" t="s">
        <v>572</v>
      </c>
      <c r="U44" s="54"/>
      <c r="V44" t="s">
        <v>573</v>
      </c>
      <c r="W44" s="54">
        <v>44866</v>
      </c>
      <c r="X44" s="54"/>
      <c r="Y44" t="s">
        <v>457</v>
      </c>
      <c r="AB44" s="54"/>
      <c r="AC44">
        <v>1</v>
      </c>
      <c r="AD44" s="68">
        <v>44866.411805556003</v>
      </c>
      <c r="AE44" s="68">
        <v>44866.411805556003</v>
      </c>
    </row>
    <row r="45" spans="1:31" x14ac:dyDescent="0.25">
      <c r="A45">
        <v>44</v>
      </c>
      <c r="B45" s="67" t="s">
        <v>714</v>
      </c>
      <c r="C45" t="s">
        <v>715</v>
      </c>
      <c r="D45" t="s">
        <v>568</v>
      </c>
      <c r="E45" t="s">
        <v>282</v>
      </c>
      <c r="F45" t="s">
        <v>289</v>
      </c>
      <c r="G45" t="s">
        <v>711</v>
      </c>
      <c r="H45">
        <v>2</v>
      </c>
      <c r="I45">
        <v>1</v>
      </c>
      <c r="J45" t="s">
        <v>712</v>
      </c>
      <c r="K45">
        <v>42</v>
      </c>
      <c r="L45" t="s">
        <v>306</v>
      </c>
      <c r="M45" t="s">
        <v>713</v>
      </c>
      <c r="P45" t="s">
        <v>569</v>
      </c>
      <c r="U45" s="54"/>
      <c r="V45" t="s">
        <v>696</v>
      </c>
      <c r="W45" s="54">
        <v>44865</v>
      </c>
      <c r="X45" s="54"/>
      <c r="Y45" t="s">
        <v>457</v>
      </c>
      <c r="Z45" t="s">
        <v>716</v>
      </c>
      <c r="AA45" t="s">
        <v>571</v>
      </c>
      <c r="AB45" s="54">
        <v>44865</v>
      </c>
      <c r="AC45">
        <v>0</v>
      </c>
      <c r="AD45" s="68">
        <v>44867.326550926002</v>
      </c>
      <c r="AE45" s="68">
        <v>44867.326550926002</v>
      </c>
    </row>
    <row r="46" spans="1:31" x14ac:dyDescent="0.25">
      <c r="A46">
        <v>45</v>
      </c>
      <c r="B46" s="67" t="s">
        <v>717</v>
      </c>
      <c r="C46" t="s">
        <v>718</v>
      </c>
      <c r="D46" t="s">
        <v>568</v>
      </c>
      <c r="E46" t="s">
        <v>282</v>
      </c>
      <c r="F46" t="s">
        <v>288</v>
      </c>
      <c r="G46" t="s">
        <v>719</v>
      </c>
      <c r="H46">
        <v>1</v>
      </c>
      <c r="I46">
        <v>1</v>
      </c>
      <c r="J46" t="s">
        <v>720</v>
      </c>
      <c r="K46">
        <v>43</v>
      </c>
      <c r="L46" t="s">
        <v>306</v>
      </c>
      <c r="M46" t="s">
        <v>721</v>
      </c>
      <c r="P46" t="s">
        <v>569</v>
      </c>
      <c r="U46" s="54"/>
      <c r="V46" t="s">
        <v>574</v>
      </c>
      <c r="W46" s="54">
        <v>44865</v>
      </c>
      <c r="X46" s="54"/>
      <c r="Y46" t="s">
        <v>457</v>
      </c>
      <c r="Z46" t="s">
        <v>722</v>
      </c>
      <c r="AA46" t="s">
        <v>571</v>
      </c>
      <c r="AB46" s="54">
        <v>44867</v>
      </c>
      <c r="AC46">
        <v>1</v>
      </c>
      <c r="AD46" s="68">
        <v>44867.462731480999</v>
      </c>
      <c r="AE46" s="68">
        <v>44867.462731480999</v>
      </c>
    </row>
    <row r="47" spans="1:31" x14ac:dyDescent="0.25">
      <c r="A47">
        <v>46</v>
      </c>
      <c r="B47" s="67" t="s">
        <v>723</v>
      </c>
      <c r="C47" t="s">
        <v>724</v>
      </c>
      <c r="D47" t="s">
        <v>568</v>
      </c>
      <c r="E47" t="s">
        <v>282</v>
      </c>
      <c r="F47" t="s">
        <v>288</v>
      </c>
      <c r="G47" t="s">
        <v>719</v>
      </c>
      <c r="H47">
        <v>1</v>
      </c>
      <c r="I47">
        <v>1</v>
      </c>
      <c r="J47" t="s">
        <v>720</v>
      </c>
      <c r="K47">
        <v>8</v>
      </c>
      <c r="L47" t="s">
        <v>304</v>
      </c>
      <c r="M47" t="s">
        <v>721</v>
      </c>
      <c r="P47" t="s">
        <v>569</v>
      </c>
      <c r="U47" s="54"/>
      <c r="V47" t="s">
        <v>574</v>
      </c>
      <c r="W47" s="54">
        <v>44865</v>
      </c>
      <c r="X47" s="54"/>
      <c r="Y47" t="s">
        <v>457</v>
      </c>
      <c r="Z47" t="s">
        <v>725</v>
      </c>
      <c r="AA47" t="s">
        <v>571</v>
      </c>
      <c r="AB47" s="54">
        <v>44867</v>
      </c>
      <c r="AC47">
        <v>1</v>
      </c>
      <c r="AD47" s="68">
        <v>44867.467303240999</v>
      </c>
      <c r="AE47" s="68">
        <v>44867.467303240999</v>
      </c>
    </row>
    <row r="48" spans="1:31" x14ac:dyDescent="0.25">
      <c r="A48">
        <v>47</v>
      </c>
      <c r="B48" s="67" t="s">
        <v>726</v>
      </c>
      <c r="C48" t="s">
        <v>727</v>
      </c>
      <c r="D48" t="s">
        <v>568</v>
      </c>
      <c r="E48" t="s">
        <v>282</v>
      </c>
      <c r="F48" t="s">
        <v>288</v>
      </c>
      <c r="G48" t="s">
        <v>719</v>
      </c>
      <c r="H48">
        <v>1</v>
      </c>
      <c r="I48">
        <v>1</v>
      </c>
      <c r="J48" t="s">
        <v>720</v>
      </c>
      <c r="K48">
        <v>23</v>
      </c>
      <c r="L48" t="s">
        <v>304</v>
      </c>
      <c r="M48" t="s">
        <v>721</v>
      </c>
      <c r="P48" t="s">
        <v>569</v>
      </c>
      <c r="U48" s="54"/>
      <c r="V48" t="s">
        <v>574</v>
      </c>
      <c r="W48" s="54">
        <v>44865</v>
      </c>
      <c r="X48" s="54"/>
      <c r="Y48" t="s">
        <v>457</v>
      </c>
      <c r="Z48" t="s">
        <v>728</v>
      </c>
      <c r="AA48" t="s">
        <v>571</v>
      </c>
      <c r="AB48" s="54">
        <v>44867</v>
      </c>
      <c r="AC48">
        <v>1</v>
      </c>
      <c r="AD48" s="68">
        <v>44867.469085648001</v>
      </c>
      <c r="AE48" s="68">
        <v>44867.469085648001</v>
      </c>
    </row>
    <row r="49" spans="1:31" x14ac:dyDescent="0.25">
      <c r="A49">
        <v>48</v>
      </c>
      <c r="B49" s="67" t="s">
        <v>729</v>
      </c>
      <c r="C49" t="s">
        <v>730</v>
      </c>
      <c r="D49" t="s">
        <v>568</v>
      </c>
      <c r="E49" t="s">
        <v>282</v>
      </c>
      <c r="F49" t="s">
        <v>288</v>
      </c>
      <c r="G49" t="s">
        <v>719</v>
      </c>
      <c r="H49">
        <v>1</v>
      </c>
      <c r="I49">
        <v>1</v>
      </c>
      <c r="J49" t="s">
        <v>720</v>
      </c>
      <c r="K49">
        <v>19</v>
      </c>
      <c r="L49" t="s">
        <v>306</v>
      </c>
      <c r="M49" t="s">
        <v>721</v>
      </c>
      <c r="P49" t="s">
        <v>569</v>
      </c>
      <c r="U49" s="54"/>
      <c r="V49" t="s">
        <v>574</v>
      </c>
      <c r="W49" s="54">
        <v>44865</v>
      </c>
      <c r="X49" s="54"/>
      <c r="Y49" t="s">
        <v>457</v>
      </c>
      <c r="Z49" t="s">
        <v>731</v>
      </c>
      <c r="AA49" t="s">
        <v>571</v>
      </c>
      <c r="AB49" s="54">
        <v>44867</v>
      </c>
      <c r="AC49">
        <v>1</v>
      </c>
      <c r="AD49" s="68">
        <v>44867.470833332998</v>
      </c>
      <c r="AE49" s="68">
        <v>44867.470833332998</v>
      </c>
    </row>
    <row r="50" spans="1:31" x14ac:dyDescent="0.25">
      <c r="A50">
        <v>49</v>
      </c>
      <c r="B50" s="67" t="s">
        <v>732</v>
      </c>
      <c r="C50" t="s">
        <v>733</v>
      </c>
      <c r="D50" t="s">
        <v>568</v>
      </c>
      <c r="E50" t="s">
        <v>282</v>
      </c>
      <c r="F50" t="s">
        <v>288</v>
      </c>
      <c r="G50" t="s">
        <v>719</v>
      </c>
      <c r="H50">
        <v>1</v>
      </c>
      <c r="I50">
        <v>1</v>
      </c>
      <c r="J50" t="s">
        <v>720</v>
      </c>
      <c r="K50">
        <v>63</v>
      </c>
      <c r="L50" t="s">
        <v>306</v>
      </c>
      <c r="M50" t="s">
        <v>721</v>
      </c>
      <c r="P50" t="s">
        <v>569</v>
      </c>
      <c r="U50" s="54"/>
      <c r="V50" t="s">
        <v>574</v>
      </c>
      <c r="W50" s="54">
        <v>44865</v>
      </c>
      <c r="X50" s="54"/>
      <c r="Y50" t="s">
        <v>457</v>
      </c>
      <c r="Z50" t="s">
        <v>734</v>
      </c>
      <c r="AA50" t="s">
        <v>571</v>
      </c>
      <c r="AB50" s="54">
        <v>44867</v>
      </c>
      <c r="AC50">
        <v>1</v>
      </c>
      <c r="AD50" s="68">
        <v>44867.474282406998</v>
      </c>
      <c r="AE50" s="68">
        <v>44867.474282406998</v>
      </c>
    </row>
    <row r="51" spans="1:31" x14ac:dyDescent="0.25">
      <c r="A51">
        <v>50</v>
      </c>
      <c r="B51" s="67" t="s">
        <v>735</v>
      </c>
      <c r="C51" t="s">
        <v>736</v>
      </c>
      <c r="D51" t="s">
        <v>568</v>
      </c>
      <c r="E51" t="s">
        <v>282</v>
      </c>
      <c r="F51" t="s">
        <v>288</v>
      </c>
      <c r="G51" t="s">
        <v>719</v>
      </c>
      <c r="H51">
        <v>1</v>
      </c>
      <c r="I51">
        <v>1</v>
      </c>
      <c r="J51" t="s">
        <v>720</v>
      </c>
      <c r="K51">
        <v>37</v>
      </c>
      <c r="L51" t="s">
        <v>304</v>
      </c>
      <c r="M51" t="s">
        <v>721</v>
      </c>
      <c r="P51" t="s">
        <v>569</v>
      </c>
      <c r="U51" s="54"/>
      <c r="V51" t="s">
        <v>574</v>
      </c>
      <c r="W51" s="54">
        <v>44865</v>
      </c>
      <c r="X51" s="54"/>
      <c r="Y51" t="s">
        <v>457</v>
      </c>
      <c r="Z51" t="s">
        <v>737</v>
      </c>
      <c r="AA51" t="s">
        <v>571</v>
      </c>
      <c r="AB51" s="54">
        <v>44867</v>
      </c>
      <c r="AC51">
        <v>1</v>
      </c>
      <c r="AD51" s="68">
        <v>44867.476099537002</v>
      </c>
      <c r="AE51" s="68">
        <v>44867.476087962998</v>
      </c>
    </row>
    <row r="52" spans="1:31" x14ac:dyDescent="0.25">
      <c r="A52">
        <v>51</v>
      </c>
      <c r="B52" s="67" t="s">
        <v>738</v>
      </c>
      <c r="C52" t="s">
        <v>739</v>
      </c>
      <c r="D52" t="s">
        <v>568</v>
      </c>
      <c r="E52" t="s">
        <v>282</v>
      </c>
      <c r="F52" t="s">
        <v>288</v>
      </c>
      <c r="G52" t="s">
        <v>719</v>
      </c>
      <c r="H52">
        <v>1</v>
      </c>
      <c r="I52">
        <v>1</v>
      </c>
      <c r="J52" t="s">
        <v>720</v>
      </c>
      <c r="K52">
        <v>31</v>
      </c>
      <c r="L52" t="s">
        <v>304</v>
      </c>
      <c r="M52" t="s">
        <v>721</v>
      </c>
      <c r="P52" t="s">
        <v>569</v>
      </c>
      <c r="U52" s="54"/>
      <c r="V52" t="s">
        <v>574</v>
      </c>
      <c r="W52" s="54">
        <v>44865</v>
      </c>
      <c r="X52" s="54"/>
      <c r="Y52" t="s">
        <v>457</v>
      </c>
      <c r="Z52" t="s">
        <v>740</v>
      </c>
      <c r="AA52" t="s">
        <v>571</v>
      </c>
      <c r="AB52" s="54">
        <v>44867</v>
      </c>
      <c r="AC52">
        <v>1</v>
      </c>
      <c r="AD52" s="68">
        <v>44867.477442130003</v>
      </c>
      <c r="AE52" s="68">
        <v>44867.477442130003</v>
      </c>
    </row>
    <row r="53" spans="1:31" x14ac:dyDescent="0.25">
      <c r="A53">
        <v>52</v>
      </c>
      <c r="B53" s="67" t="s">
        <v>741</v>
      </c>
      <c r="C53" t="s">
        <v>742</v>
      </c>
      <c r="D53" t="s">
        <v>568</v>
      </c>
      <c r="E53" t="s">
        <v>282</v>
      </c>
      <c r="F53" t="s">
        <v>288</v>
      </c>
      <c r="G53" t="s">
        <v>719</v>
      </c>
      <c r="H53">
        <v>1</v>
      </c>
      <c r="I53">
        <v>1</v>
      </c>
      <c r="J53" t="s">
        <v>720</v>
      </c>
      <c r="K53">
        <v>36</v>
      </c>
      <c r="L53" t="s">
        <v>306</v>
      </c>
      <c r="M53" t="s">
        <v>721</v>
      </c>
      <c r="P53" t="s">
        <v>569</v>
      </c>
      <c r="U53" s="54"/>
      <c r="V53" t="s">
        <v>574</v>
      </c>
      <c r="W53" s="54">
        <v>44865</v>
      </c>
      <c r="X53" s="54"/>
      <c r="Y53" t="s">
        <v>457</v>
      </c>
      <c r="Z53" t="s">
        <v>743</v>
      </c>
      <c r="AA53" t="s">
        <v>571</v>
      </c>
      <c r="AB53" s="54">
        <v>44867</v>
      </c>
      <c r="AC53">
        <v>1</v>
      </c>
      <c r="AD53" s="68">
        <v>44867.479143518998</v>
      </c>
      <c r="AE53" s="68">
        <v>44867.479143518998</v>
      </c>
    </row>
    <row r="54" spans="1:31" x14ac:dyDescent="0.25">
      <c r="A54">
        <v>53</v>
      </c>
      <c r="B54" s="67" t="s">
        <v>744</v>
      </c>
      <c r="C54" t="s">
        <v>745</v>
      </c>
      <c r="D54" t="s">
        <v>568</v>
      </c>
      <c r="E54" t="s">
        <v>282</v>
      </c>
      <c r="F54" t="s">
        <v>288</v>
      </c>
      <c r="G54" t="s">
        <v>719</v>
      </c>
      <c r="H54">
        <v>1</v>
      </c>
      <c r="I54">
        <v>1</v>
      </c>
      <c r="J54" t="s">
        <v>720</v>
      </c>
      <c r="K54">
        <v>5</v>
      </c>
      <c r="L54" t="s">
        <v>306</v>
      </c>
      <c r="M54" t="s">
        <v>721</v>
      </c>
      <c r="P54" t="s">
        <v>569</v>
      </c>
      <c r="U54" s="54"/>
      <c r="V54" t="s">
        <v>574</v>
      </c>
      <c r="W54" s="54">
        <v>44865</v>
      </c>
      <c r="X54" s="54"/>
      <c r="Y54" t="s">
        <v>457</v>
      </c>
      <c r="Z54" t="s">
        <v>746</v>
      </c>
      <c r="AA54" t="s">
        <v>571</v>
      </c>
      <c r="AB54" s="54">
        <v>44867</v>
      </c>
      <c r="AC54">
        <v>1</v>
      </c>
      <c r="AD54" s="68">
        <v>44867.480358795998</v>
      </c>
      <c r="AE54" s="68">
        <v>44867.480358795998</v>
      </c>
    </row>
    <row r="55" spans="1:31" x14ac:dyDescent="0.25">
      <c r="A55">
        <v>54</v>
      </c>
      <c r="B55" s="67" t="s">
        <v>747</v>
      </c>
      <c r="C55" t="s">
        <v>748</v>
      </c>
      <c r="D55" t="s">
        <v>568</v>
      </c>
      <c r="E55" t="s">
        <v>282</v>
      </c>
      <c r="F55" t="s">
        <v>288</v>
      </c>
      <c r="G55" t="s">
        <v>719</v>
      </c>
      <c r="H55">
        <v>1</v>
      </c>
      <c r="I55">
        <v>1</v>
      </c>
      <c r="J55" t="s">
        <v>720</v>
      </c>
      <c r="K55">
        <v>53</v>
      </c>
      <c r="L55" t="s">
        <v>304</v>
      </c>
      <c r="M55" t="s">
        <v>721</v>
      </c>
      <c r="P55" t="s">
        <v>569</v>
      </c>
      <c r="U55" s="54"/>
      <c r="V55" t="s">
        <v>574</v>
      </c>
      <c r="W55" s="54">
        <v>44865</v>
      </c>
      <c r="X55" s="54"/>
      <c r="Y55" t="s">
        <v>457</v>
      </c>
      <c r="Z55" t="s">
        <v>749</v>
      </c>
      <c r="AA55" t="s">
        <v>571</v>
      </c>
      <c r="AB55" s="54">
        <v>44867</v>
      </c>
      <c r="AC55">
        <v>1</v>
      </c>
      <c r="AD55" s="68">
        <v>44867.481550926001</v>
      </c>
      <c r="AE55" s="68">
        <v>44867.481550926001</v>
      </c>
    </row>
    <row r="56" spans="1:31" x14ac:dyDescent="0.25">
      <c r="A56">
        <v>55</v>
      </c>
      <c r="B56" s="67" t="s">
        <v>750</v>
      </c>
      <c r="C56" t="s">
        <v>751</v>
      </c>
      <c r="D56" t="s">
        <v>568</v>
      </c>
      <c r="E56" t="s">
        <v>282</v>
      </c>
      <c r="F56" t="s">
        <v>288</v>
      </c>
      <c r="G56" t="s">
        <v>719</v>
      </c>
      <c r="H56">
        <v>1</v>
      </c>
      <c r="I56">
        <v>1</v>
      </c>
      <c r="J56" t="s">
        <v>720</v>
      </c>
      <c r="K56">
        <v>43</v>
      </c>
      <c r="L56" t="s">
        <v>306</v>
      </c>
      <c r="M56" t="s">
        <v>721</v>
      </c>
      <c r="P56" t="s">
        <v>569</v>
      </c>
      <c r="U56" s="54"/>
      <c r="V56" t="s">
        <v>574</v>
      </c>
      <c r="W56" s="54">
        <v>44865</v>
      </c>
      <c r="X56" s="54"/>
      <c r="Y56" t="s">
        <v>457</v>
      </c>
      <c r="Z56" t="s">
        <v>752</v>
      </c>
      <c r="AA56" t="s">
        <v>571</v>
      </c>
      <c r="AB56" s="54">
        <v>44867</v>
      </c>
      <c r="AC56">
        <v>1</v>
      </c>
      <c r="AD56" s="68">
        <v>44867.483043981003</v>
      </c>
      <c r="AE56" s="68">
        <v>44867.483043981003</v>
      </c>
    </row>
    <row r="57" spans="1:31" x14ac:dyDescent="0.25">
      <c r="A57">
        <v>56</v>
      </c>
      <c r="B57" s="67" t="s">
        <v>753</v>
      </c>
      <c r="C57" t="s">
        <v>754</v>
      </c>
      <c r="D57" t="s">
        <v>568</v>
      </c>
      <c r="E57" t="s">
        <v>282</v>
      </c>
      <c r="F57" t="s">
        <v>288</v>
      </c>
      <c r="G57" t="s">
        <v>719</v>
      </c>
      <c r="H57">
        <v>1</v>
      </c>
      <c r="I57">
        <v>1</v>
      </c>
      <c r="J57" t="s">
        <v>720</v>
      </c>
      <c r="K57">
        <v>19</v>
      </c>
      <c r="L57" t="s">
        <v>306</v>
      </c>
      <c r="M57" t="s">
        <v>721</v>
      </c>
      <c r="P57" t="s">
        <v>569</v>
      </c>
      <c r="U57" s="54"/>
      <c r="V57" t="s">
        <v>574</v>
      </c>
      <c r="W57" s="54">
        <v>44865</v>
      </c>
      <c r="X57" s="54"/>
      <c r="Y57" t="s">
        <v>457</v>
      </c>
      <c r="Z57" t="s">
        <v>755</v>
      </c>
      <c r="AA57" t="s">
        <v>571</v>
      </c>
      <c r="AB57" s="54">
        <v>44867</v>
      </c>
      <c r="AC57">
        <v>1</v>
      </c>
      <c r="AD57" s="68">
        <v>44867.484571759</v>
      </c>
      <c r="AE57" s="68">
        <v>44867.484537037002</v>
      </c>
    </row>
    <row r="58" spans="1:31" x14ac:dyDescent="0.25">
      <c r="A58">
        <v>57</v>
      </c>
      <c r="B58" s="67" t="s">
        <v>756</v>
      </c>
      <c r="C58" t="s">
        <v>757</v>
      </c>
      <c r="D58" t="s">
        <v>568</v>
      </c>
      <c r="E58" t="s">
        <v>282</v>
      </c>
      <c r="F58" t="s">
        <v>288</v>
      </c>
      <c r="G58" t="s">
        <v>719</v>
      </c>
      <c r="H58">
        <v>1</v>
      </c>
      <c r="I58">
        <v>1</v>
      </c>
      <c r="J58" t="s">
        <v>720</v>
      </c>
      <c r="K58">
        <v>24</v>
      </c>
      <c r="L58" t="s">
        <v>306</v>
      </c>
      <c r="M58" t="s">
        <v>721</v>
      </c>
      <c r="P58" t="s">
        <v>569</v>
      </c>
      <c r="U58" s="54"/>
      <c r="V58" t="s">
        <v>574</v>
      </c>
      <c r="W58" s="54">
        <v>44865</v>
      </c>
      <c r="X58" s="54"/>
      <c r="Y58" t="s">
        <v>457</v>
      </c>
      <c r="Z58" t="s">
        <v>758</v>
      </c>
      <c r="AA58" t="s">
        <v>571</v>
      </c>
      <c r="AB58" s="54">
        <v>44867</v>
      </c>
      <c r="AC58">
        <v>1</v>
      </c>
      <c r="AD58" s="68">
        <v>44867.486354166998</v>
      </c>
      <c r="AE58" s="68">
        <v>44867.486354166998</v>
      </c>
    </row>
    <row r="59" spans="1:31" x14ac:dyDescent="0.25">
      <c r="A59">
        <v>58</v>
      </c>
      <c r="B59" s="67" t="s">
        <v>759</v>
      </c>
      <c r="C59" t="s">
        <v>760</v>
      </c>
      <c r="D59" t="s">
        <v>568</v>
      </c>
      <c r="E59" t="s">
        <v>282</v>
      </c>
      <c r="F59" t="s">
        <v>291</v>
      </c>
      <c r="G59" t="s">
        <v>512</v>
      </c>
      <c r="H59">
        <v>1</v>
      </c>
      <c r="I59">
        <v>4</v>
      </c>
      <c r="J59" t="s">
        <v>761</v>
      </c>
      <c r="K59">
        <v>29</v>
      </c>
      <c r="L59" t="s">
        <v>304</v>
      </c>
      <c r="M59" t="s">
        <v>762</v>
      </c>
      <c r="P59" t="s">
        <v>572</v>
      </c>
      <c r="U59" s="54"/>
      <c r="V59" t="s">
        <v>763</v>
      </c>
      <c r="W59" s="54">
        <v>44863</v>
      </c>
      <c r="X59" s="54"/>
      <c r="Y59" t="s">
        <v>457</v>
      </c>
      <c r="AB59" s="54"/>
      <c r="AC59">
        <v>1</v>
      </c>
      <c r="AD59" s="68">
        <v>44867.788275462997</v>
      </c>
      <c r="AE59" s="68">
        <v>44867.788275462997</v>
      </c>
    </row>
    <row r="60" spans="1:31" x14ac:dyDescent="0.25">
      <c r="A60">
        <v>59</v>
      </c>
      <c r="B60" s="67" t="s">
        <v>764</v>
      </c>
      <c r="C60" t="s">
        <v>765</v>
      </c>
      <c r="D60" t="s">
        <v>568</v>
      </c>
      <c r="E60" t="s">
        <v>282</v>
      </c>
      <c r="F60" t="s">
        <v>291</v>
      </c>
      <c r="G60" t="s">
        <v>512</v>
      </c>
      <c r="H60">
        <v>1</v>
      </c>
      <c r="I60">
        <v>4</v>
      </c>
      <c r="J60" t="s">
        <v>761</v>
      </c>
      <c r="K60">
        <v>59</v>
      </c>
      <c r="L60" t="s">
        <v>304</v>
      </c>
      <c r="M60" t="s">
        <v>762</v>
      </c>
      <c r="P60" t="s">
        <v>572</v>
      </c>
      <c r="U60" s="54"/>
      <c r="V60" t="s">
        <v>763</v>
      </c>
      <c r="W60" s="54">
        <v>44863</v>
      </c>
      <c r="X60" s="54"/>
      <c r="Y60" t="s">
        <v>457</v>
      </c>
      <c r="AB60" s="54"/>
      <c r="AC60">
        <v>1</v>
      </c>
      <c r="AD60" s="68">
        <v>44867.791423611001</v>
      </c>
      <c r="AE60" s="68">
        <v>44867.791423611001</v>
      </c>
    </row>
    <row r="61" spans="1:31" x14ac:dyDescent="0.25">
      <c r="A61">
        <v>60</v>
      </c>
      <c r="B61" s="67" t="s">
        <v>766</v>
      </c>
      <c r="C61" t="s">
        <v>767</v>
      </c>
      <c r="D61" t="s">
        <v>568</v>
      </c>
      <c r="E61" t="s">
        <v>282</v>
      </c>
      <c r="F61" t="s">
        <v>291</v>
      </c>
      <c r="G61" t="s">
        <v>512</v>
      </c>
      <c r="H61">
        <v>4</v>
      </c>
      <c r="I61">
        <v>1</v>
      </c>
      <c r="J61" t="s">
        <v>761</v>
      </c>
      <c r="K61">
        <v>80</v>
      </c>
      <c r="L61" t="s">
        <v>306</v>
      </c>
      <c r="M61" t="s">
        <v>762</v>
      </c>
      <c r="P61" t="s">
        <v>572</v>
      </c>
      <c r="U61" s="54"/>
      <c r="V61" t="s">
        <v>763</v>
      </c>
      <c r="W61" s="54">
        <v>44863</v>
      </c>
      <c r="X61" s="54"/>
      <c r="Y61" t="s">
        <v>457</v>
      </c>
      <c r="AB61" s="54"/>
      <c r="AC61">
        <v>1</v>
      </c>
      <c r="AD61" s="68">
        <v>44867.795648148</v>
      </c>
      <c r="AE61" s="68">
        <v>44867.795648148</v>
      </c>
    </row>
    <row r="62" spans="1:31" x14ac:dyDescent="0.25">
      <c r="A62">
        <v>61</v>
      </c>
      <c r="B62" s="67" t="s">
        <v>768</v>
      </c>
      <c r="C62" t="s">
        <v>769</v>
      </c>
      <c r="D62" t="s">
        <v>568</v>
      </c>
      <c r="E62" t="s">
        <v>282</v>
      </c>
      <c r="F62" t="s">
        <v>291</v>
      </c>
      <c r="G62" t="s">
        <v>512</v>
      </c>
      <c r="H62">
        <v>1</v>
      </c>
      <c r="I62">
        <v>4</v>
      </c>
      <c r="J62" t="s">
        <v>761</v>
      </c>
      <c r="K62">
        <v>70</v>
      </c>
      <c r="L62" t="s">
        <v>304</v>
      </c>
      <c r="M62" t="s">
        <v>762</v>
      </c>
      <c r="P62" t="s">
        <v>572</v>
      </c>
      <c r="U62" s="54"/>
      <c r="V62" t="s">
        <v>763</v>
      </c>
      <c r="W62" s="54">
        <v>44863</v>
      </c>
      <c r="X62" s="54"/>
      <c r="Y62" t="s">
        <v>457</v>
      </c>
      <c r="AB62" s="54"/>
      <c r="AC62">
        <v>1</v>
      </c>
      <c r="AD62" s="68">
        <v>44867.807164352002</v>
      </c>
      <c r="AE62" s="68">
        <v>44867.807164352002</v>
      </c>
    </row>
    <row r="63" spans="1:31" x14ac:dyDescent="0.25">
      <c r="A63">
        <v>62</v>
      </c>
      <c r="B63" s="67" t="s">
        <v>770</v>
      </c>
      <c r="C63" t="s">
        <v>771</v>
      </c>
      <c r="D63" t="s">
        <v>568</v>
      </c>
      <c r="E63" t="s">
        <v>282</v>
      </c>
      <c r="F63" t="s">
        <v>291</v>
      </c>
      <c r="G63" t="s">
        <v>512</v>
      </c>
      <c r="H63">
        <v>1</v>
      </c>
      <c r="I63">
        <v>4</v>
      </c>
      <c r="J63" t="s">
        <v>761</v>
      </c>
      <c r="K63">
        <v>32</v>
      </c>
      <c r="L63" t="s">
        <v>304</v>
      </c>
      <c r="M63" t="s">
        <v>762</v>
      </c>
      <c r="P63" t="s">
        <v>572</v>
      </c>
      <c r="U63" s="54"/>
      <c r="V63" t="s">
        <v>763</v>
      </c>
      <c r="W63" s="54">
        <v>44863</v>
      </c>
      <c r="X63" s="54"/>
      <c r="Y63" t="s">
        <v>457</v>
      </c>
      <c r="AB63" s="54"/>
      <c r="AC63">
        <v>1</v>
      </c>
      <c r="AD63" s="68">
        <v>44867.809803240998</v>
      </c>
      <c r="AE63" s="68">
        <v>44867.809803240998</v>
      </c>
    </row>
    <row r="64" spans="1:31" x14ac:dyDescent="0.25">
      <c r="A64">
        <v>63</v>
      </c>
      <c r="B64" s="67" t="s">
        <v>772</v>
      </c>
      <c r="C64" t="s">
        <v>773</v>
      </c>
      <c r="D64" t="s">
        <v>568</v>
      </c>
      <c r="E64" t="s">
        <v>282</v>
      </c>
      <c r="F64" t="s">
        <v>291</v>
      </c>
      <c r="G64" t="s">
        <v>512</v>
      </c>
      <c r="H64">
        <v>1</v>
      </c>
      <c r="I64">
        <v>4</v>
      </c>
      <c r="J64" t="s">
        <v>761</v>
      </c>
      <c r="K64">
        <v>30</v>
      </c>
      <c r="L64" t="s">
        <v>304</v>
      </c>
      <c r="M64" t="s">
        <v>762</v>
      </c>
      <c r="P64" t="s">
        <v>572</v>
      </c>
      <c r="U64" s="54"/>
      <c r="V64" t="s">
        <v>763</v>
      </c>
      <c r="W64" s="54">
        <v>44863</v>
      </c>
      <c r="X64" s="54"/>
      <c r="Y64" t="s">
        <v>457</v>
      </c>
      <c r="AB64" s="54"/>
      <c r="AC64">
        <v>1</v>
      </c>
      <c r="AD64" s="68">
        <v>44867.811412037001</v>
      </c>
      <c r="AE64" s="68">
        <v>44867.811412037001</v>
      </c>
    </row>
    <row r="65" spans="1:31" x14ac:dyDescent="0.25">
      <c r="A65">
        <v>64</v>
      </c>
      <c r="B65" s="67" t="s">
        <v>774</v>
      </c>
      <c r="C65" t="s">
        <v>775</v>
      </c>
      <c r="D65" t="s">
        <v>568</v>
      </c>
      <c r="E65" t="s">
        <v>282</v>
      </c>
      <c r="F65" t="s">
        <v>291</v>
      </c>
      <c r="G65" t="s">
        <v>512</v>
      </c>
      <c r="H65">
        <v>1</v>
      </c>
      <c r="I65">
        <v>4</v>
      </c>
      <c r="J65" t="s">
        <v>761</v>
      </c>
      <c r="K65">
        <v>45</v>
      </c>
      <c r="L65" t="s">
        <v>306</v>
      </c>
      <c r="M65" t="s">
        <v>762</v>
      </c>
      <c r="P65" t="s">
        <v>572</v>
      </c>
      <c r="U65" s="54"/>
      <c r="V65" t="s">
        <v>763</v>
      </c>
      <c r="W65" s="54">
        <v>44863</v>
      </c>
      <c r="X65" s="54"/>
      <c r="Y65" t="s">
        <v>457</v>
      </c>
      <c r="AB65" s="54"/>
      <c r="AC65">
        <v>0</v>
      </c>
      <c r="AD65" s="68">
        <v>44867.819606481004</v>
      </c>
      <c r="AE65" s="68">
        <v>44867.819606481004</v>
      </c>
    </row>
    <row r="66" spans="1:31" x14ac:dyDescent="0.25">
      <c r="A66">
        <v>65</v>
      </c>
      <c r="B66" s="67" t="s">
        <v>776</v>
      </c>
      <c r="C66" t="s">
        <v>777</v>
      </c>
      <c r="D66" t="s">
        <v>568</v>
      </c>
      <c r="E66" t="s">
        <v>282</v>
      </c>
      <c r="F66" t="s">
        <v>291</v>
      </c>
      <c r="G66" t="s">
        <v>512</v>
      </c>
      <c r="H66">
        <v>1</v>
      </c>
      <c r="I66">
        <v>4</v>
      </c>
      <c r="J66" t="s">
        <v>761</v>
      </c>
      <c r="K66">
        <v>35</v>
      </c>
      <c r="L66" t="s">
        <v>304</v>
      </c>
      <c r="M66" t="s">
        <v>762</v>
      </c>
      <c r="P66" t="s">
        <v>572</v>
      </c>
      <c r="U66" s="54"/>
      <c r="V66" t="s">
        <v>763</v>
      </c>
      <c r="W66" s="54">
        <v>44863</v>
      </c>
      <c r="X66" s="54"/>
      <c r="Y66" t="s">
        <v>457</v>
      </c>
      <c r="AB66" s="54"/>
      <c r="AC66">
        <v>1</v>
      </c>
      <c r="AD66" s="68">
        <v>44867.821493055999</v>
      </c>
      <c r="AE66" s="68">
        <v>44867.821493055999</v>
      </c>
    </row>
    <row r="67" spans="1:31" x14ac:dyDescent="0.25">
      <c r="A67">
        <v>66</v>
      </c>
      <c r="B67" s="67" t="s">
        <v>778</v>
      </c>
      <c r="C67" t="s">
        <v>779</v>
      </c>
      <c r="D67" t="s">
        <v>568</v>
      </c>
      <c r="E67" t="s">
        <v>282</v>
      </c>
      <c r="F67" t="s">
        <v>291</v>
      </c>
      <c r="G67" t="s">
        <v>512</v>
      </c>
      <c r="H67">
        <v>1</v>
      </c>
      <c r="I67">
        <v>4</v>
      </c>
      <c r="J67" t="s">
        <v>761</v>
      </c>
      <c r="K67">
        <v>35</v>
      </c>
      <c r="L67" t="s">
        <v>306</v>
      </c>
      <c r="M67" t="s">
        <v>762</v>
      </c>
      <c r="P67" t="s">
        <v>572</v>
      </c>
      <c r="U67" s="54"/>
      <c r="V67" t="s">
        <v>763</v>
      </c>
      <c r="W67" s="54">
        <v>44863</v>
      </c>
      <c r="X67" s="54"/>
      <c r="Y67" t="s">
        <v>457</v>
      </c>
      <c r="AB67" s="54"/>
      <c r="AC67">
        <v>1</v>
      </c>
      <c r="AD67" s="68">
        <v>44867.824814815001</v>
      </c>
      <c r="AE67" s="68">
        <v>44867.824814815001</v>
      </c>
    </row>
    <row r="68" spans="1:31" x14ac:dyDescent="0.25">
      <c r="A68">
        <v>67</v>
      </c>
      <c r="B68" s="67" t="s">
        <v>780</v>
      </c>
      <c r="C68" t="s">
        <v>781</v>
      </c>
      <c r="D68" t="s">
        <v>568</v>
      </c>
      <c r="E68" t="s">
        <v>282</v>
      </c>
      <c r="F68" t="s">
        <v>291</v>
      </c>
      <c r="G68" t="s">
        <v>512</v>
      </c>
      <c r="H68">
        <v>1</v>
      </c>
      <c r="I68">
        <v>4</v>
      </c>
      <c r="J68" t="s">
        <v>761</v>
      </c>
      <c r="K68">
        <v>36</v>
      </c>
      <c r="L68" t="s">
        <v>304</v>
      </c>
      <c r="M68" t="s">
        <v>762</v>
      </c>
      <c r="P68" t="s">
        <v>572</v>
      </c>
      <c r="U68" s="54"/>
      <c r="V68" t="s">
        <v>763</v>
      </c>
      <c r="W68" s="54">
        <v>44863</v>
      </c>
      <c r="X68" s="54"/>
      <c r="Y68" t="s">
        <v>457</v>
      </c>
      <c r="AB68" s="54"/>
      <c r="AC68">
        <v>1</v>
      </c>
      <c r="AD68" s="68">
        <v>44867.832592592997</v>
      </c>
      <c r="AE68" s="68">
        <v>44867.832592592997</v>
      </c>
    </row>
    <row r="69" spans="1:31" x14ac:dyDescent="0.25">
      <c r="A69">
        <v>68</v>
      </c>
      <c r="B69" s="67" t="s">
        <v>782</v>
      </c>
      <c r="C69" t="s">
        <v>783</v>
      </c>
      <c r="D69" t="s">
        <v>568</v>
      </c>
      <c r="E69" t="s">
        <v>282</v>
      </c>
      <c r="F69" t="s">
        <v>291</v>
      </c>
      <c r="G69" t="s">
        <v>512</v>
      </c>
      <c r="H69">
        <v>1</v>
      </c>
      <c r="I69">
        <v>4</v>
      </c>
      <c r="J69" t="s">
        <v>761</v>
      </c>
      <c r="K69">
        <v>5</v>
      </c>
      <c r="L69" t="s">
        <v>306</v>
      </c>
      <c r="M69" t="s">
        <v>762</v>
      </c>
      <c r="P69" t="s">
        <v>572</v>
      </c>
      <c r="U69" s="54"/>
      <c r="V69" t="s">
        <v>763</v>
      </c>
      <c r="W69" s="54">
        <v>44863</v>
      </c>
      <c r="X69" s="54"/>
      <c r="Y69" t="s">
        <v>457</v>
      </c>
      <c r="AB69" s="54"/>
      <c r="AC69">
        <v>1</v>
      </c>
      <c r="AD69" s="68">
        <v>44867.83787037</v>
      </c>
      <c r="AE69" s="68">
        <v>44867.83787037</v>
      </c>
    </row>
    <row r="70" spans="1:31" x14ac:dyDescent="0.25">
      <c r="A70">
        <v>69</v>
      </c>
      <c r="B70" s="67" t="s">
        <v>784</v>
      </c>
      <c r="C70" t="s">
        <v>785</v>
      </c>
      <c r="D70" t="s">
        <v>568</v>
      </c>
      <c r="E70" t="s">
        <v>282</v>
      </c>
      <c r="F70" t="s">
        <v>291</v>
      </c>
      <c r="G70" t="s">
        <v>512</v>
      </c>
      <c r="H70">
        <v>1</v>
      </c>
      <c r="I70">
        <v>4</v>
      </c>
      <c r="J70" t="s">
        <v>761</v>
      </c>
      <c r="K70">
        <v>56</v>
      </c>
      <c r="L70" t="s">
        <v>306</v>
      </c>
      <c r="M70" t="s">
        <v>762</v>
      </c>
      <c r="P70" t="s">
        <v>572</v>
      </c>
      <c r="U70" s="54"/>
      <c r="V70" t="s">
        <v>763</v>
      </c>
      <c r="W70" s="54">
        <v>44863</v>
      </c>
      <c r="X70" s="54"/>
      <c r="Y70" t="s">
        <v>457</v>
      </c>
      <c r="AB70" s="54"/>
      <c r="AC70">
        <v>1</v>
      </c>
      <c r="AD70" s="68">
        <v>44867.839826388998</v>
      </c>
      <c r="AE70" s="68">
        <v>44867.839826388998</v>
      </c>
    </row>
    <row r="71" spans="1:31" x14ac:dyDescent="0.25">
      <c r="A71">
        <v>70</v>
      </c>
      <c r="B71" s="67" t="s">
        <v>786</v>
      </c>
      <c r="C71" t="s">
        <v>787</v>
      </c>
      <c r="D71" t="s">
        <v>568</v>
      </c>
      <c r="E71" t="s">
        <v>282</v>
      </c>
      <c r="F71" t="s">
        <v>291</v>
      </c>
      <c r="G71" t="s">
        <v>550</v>
      </c>
      <c r="H71">
        <v>3</v>
      </c>
      <c r="I71">
        <v>4</v>
      </c>
      <c r="J71" t="s">
        <v>788</v>
      </c>
      <c r="K71">
        <v>42</v>
      </c>
      <c r="L71" t="s">
        <v>304</v>
      </c>
      <c r="M71" t="s">
        <v>762</v>
      </c>
      <c r="P71" t="s">
        <v>572</v>
      </c>
      <c r="U71" s="54"/>
      <c r="V71" t="s">
        <v>763</v>
      </c>
      <c r="W71" s="54">
        <v>44863</v>
      </c>
      <c r="X71" s="54"/>
      <c r="Y71" t="s">
        <v>457</v>
      </c>
      <c r="AB71" s="54"/>
      <c r="AC71">
        <v>1</v>
      </c>
      <c r="AD71" s="68">
        <v>44867.849490740999</v>
      </c>
      <c r="AE71" s="68">
        <v>44867.849490740999</v>
      </c>
    </row>
    <row r="72" spans="1:31" x14ac:dyDescent="0.25">
      <c r="A72">
        <v>71</v>
      </c>
      <c r="B72" s="67" t="s">
        <v>789</v>
      </c>
      <c r="C72" t="s">
        <v>790</v>
      </c>
      <c r="D72" t="s">
        <v>568</v>
      </c>
      <c r="E72" t="s">
        <v>282</v>
      </c>
      <c r="F72" t="s">
        <v>291</v>
      </c>
      <c r="G72" t="s">
        <v>550</v>
      </c>
      <c r="H72">
        <v>3</v>
      </c>
      <c r="I72">
        <v>4</v>
      </c>
      <c r="J72" t="s">
        <v>788</v>
      </c>
      <c r="K72">
        <v>17</v>
      </c>
      <c r="L72" t="s">
        <v>306</v>
      </c>
      <c r="M72" t="s">
        <v>762</v>
      </c>
      <c r="P72" t="s">
        <v>572</v>
      </c>
      <c r="U72" s="54"/>
      <c r="V72" t="s">
        <v>763</v>
      </c>
      <c r="W72" s="54">
        <v>44863</v>
      </c>
      <c r="X72" s="54"/>
      <c r="Y72" t="s">
        <v>457</v>
      </c>
      <c r="AB72" s="54"/>
      <c r="AC72">
        <v>1</v>
      </c>
      <c r="AD72" s="68">
        <v>44867.851747685003</v>
      </c>
      <c r="AE72" s="68">
        <v>44867.851747685003</v>
      </c>
    </row>
    <row r="73" spans="1:31" x14ac:dyDescent="0.25">
      <c r="A73">
        <v>72</v>
      </c>
      <c r="B73" s="67" t="s">
        <v>791</v>
      </c>
      <c r="C73" t="s">
        <v>792</v>
      </c>
      <c r="D73" t="s">
        <v>568</v>
      </c>
      <c r="E73" t="s">
        <v>282</v>
      </c>
      <c r="F73" t="s">
        <v>291</v>
      </c>
      <c r="G73" t="s">
        <v>550</v>
      </c>
      <c r="H73">
        <v>3</v>
      </c>
      <c r="I73">
        <v>4</v>
      </c>
      <c r="J73" t="s">
        <v>788</v>
      </c>
      <c r="K73">
        <v>66</v>
      </c>
      <c r="L73" t="s">
        <v>304</v>
      </c>
      <c r="M73" t="s">
        <v>762</v>
      </c>
      <c r="P73" t="s">
        <v>572</v>
      </c>
      <c r="U73" s="54"/>
      <c r="V73" t="s">
        <v>763</v>
      </c>
      <c r="W73" s="54">
        <v>44863</v>
      </c>
      <c r="X73" s="54"/>
      <c r="Y73" t="s">
        <v>457</v>
      </c>
      <c r="AB73" s="54"/>
      <c r="AC73">
        <v>1</v>
      </c>
      <c r="AD73" s="68">
        <v>44867.853564814999</v>
      </c>
      <c r="AE73" s="68">
        <v>44867.853564814999</v>
      </c>
    </row>
    <row r="74" spans="1:31" x14ac:dyDescent="0.25">
      <c r="A74">
        <v>73</v>
      </c>
      <c r="B74" s="67" t="s">
        <v>793</v>
      </c>
      <c r="C74" t="s">
        <v>794</v>
      </c>
      <c r="D74" t="s">
        <v>568</v>
      </c>
      <c r="E74" t="s">
        <v>282</v>
      </c>
      <c r="F74" t="s">
        <v>291</v>
      </c>
      <c r="G74" t="s">
        <v>550</v>
      </c>
      <c r="H74">
        <v>3</v>
      </c>
      <c r="I74">
        <v>4</v>
      </c>
      <c r="J74" t="s">
        <v>788</v>
      </c>
      <c r="K74">
        <v>11</v>
      </c>
      <c r="L74" t="s">
        <v>306</v>
      </c>
      <c r="M74" t="s">
        <v>762</v>
      </c>
      <c r="P74" t="s">
        <v>572</v>
      </c>
      <c r="U74" s="54"/>
      <c r="V74" t="s">
        <v>763</v>
      </c>
      <c r="W74" s="54">
        <v>44863</v>
      </c>
      <c r="X74" s="54"/>
      <c r="Y74" t="s">
        <v>457</v>
      </c>
      <c r="AB74" s="54"/>
      <c r="AC74">
        <v>1</v>
      </c>
      <c r="AD74" s="68">
        <v>44867.858819444002</v>
      </c>
      <c r="AE74" s="68">
        <v>44867.858819444002</v>
      </c>
    </row>
    <row r="75" spans="1:31" x14ac:dyDescent="0.25">
      <c r="A75">
        <v>74</v>
      </c>
      <c r="B75" s="67" t="s">
        <v>795</v>
      </c>
      <c r="C75" t="s">
        <v>796</v>
      </c>
      <c r="D75" t="s">
        <v>568</v>
      </c>
      <c r="E75" t="s">
        <v>282</v>
      </c>
      <c r="F75" t="s">
        <v>291</v>
      </c>
      <c r="G75" t="s">
        <v>550</v>
      </c>
      <c r="H75">
        <v>3</v>
      </c>
      <c r="I75">
        <v>4</v>
      </c>
      <c r="J75" t="s">
        <v>788</v>
      </c>
      <c r="K75">
        <v>43</v>
      </c>
      <c r="L75" t="s">
        <v>304</v>
      </c>
      <c r="M75" t="s">
        <v>762</v>
      </c>
      <c r="P75" t="s">
        <v>572</v>
      </c>
      <c r="U75" s="54"/>
      <c r="V75" t="s">
        <v>763</v>
      </c>
      <c r="W75" s="54">
        <v>44863</v>
      </c>
      <c r="X75" s="54"/>
      <c r="Y75" t="s">
        <v>457</v>
      </c>
      <c r="AB75" s="54"/>
      <c r="AC75">
        <v>1</v>
      </c>
      <c r="AD75" s="68">
        <v>44867.862303241003</v>
      </c>
      <c r="AE75" s="68">
        <v>44867.862303241003</v>
      </c>
    </row>
    <row r="76" spans="1:31" x14ac:dyDescent="0.25">
      <c r="A76">
        <v>75</v>
      </c>
      <c r="B76" s="67" t="s">
        <v>797</v>
      </c>
      <c r="C76" t="s">
        <v>798</v>
      </c>
      <c r="D76" t="s">
        <v>568</v>
      </c>
      <c r="E76" t="s">
        <v>282</v>
      </c>
      <c r="F76" t="s">
        <v>291</v>
      </c>
      <c r="G76" t="s">
        <v>550</v>
      </c>
      <c r="H76">
        <v>3</v>
      </c>
      <c r="I76">
        <v>4</v>
      </c>
      <c r="J76" t="s">
        <v>788</v>
      </c>
      <c r="K76">
        <v>22</v>
      </c>
      <c r="L76" t="s">
        <v>304</v>
      </c>
      <c r="M76" t="s">
        <v>762</v>
      </c>
      <c r="P76" t="s">
        <v>572</v>
      </c>
      <c r="U76" s="54"/>
      <c r="V76" t="s">
        <v>763</v>
      </c>
      <c r="W76" s="54">
        <v>44863</v>
      </c>
      <c r="X76" s="54"/>
      <c r="Y76" t="s">
        <v>457</v>
      </c>
      <c r="AB76" s="54"/>
      <c r="AC76">
        <v>1</v>
      </c>
      <c r="AD76" s="68">
        <v>44867.863865740997</v>
      </c>
      <c r="AE76" s="68">
        <v>44867.863865740997</v>
      </c>
    </row>
    <row r="77" spans="1:31" x14ac:dyDescent="0.25">
      <c r="A77">
        <v>76</v>
      </c>
      <c r="B77" s="67" t="s">
        <v>804</v>
      </c>
      <c r="C77" t="s">
        <v>805</v>
      </c>
      <c r="D77" t="s">
        <v>568</v>
      </c>
      <c r="E77" t="s">
        <v>282</v>
      </c>
      <c r="F77" t="s">
        <v>282</v>
      </c>
      <c r="G77" t="s">
        <v>806</v>
      </c>
      <c r="H77">
        <v>2</v>
      </c>
      <c r="I77">
        <v>3</v>
      </c>
      <c r="J77" t="s">
        <v>806</v>
      </c>
      <c r="K77">
        <v>17</v>
      </c>
      <c r="L77" t="s">
        <v>306</v>
      </c>
      <c r="M77" t="s">
        <v>807</v>
      </c>
      <c r="P77" t="s">
        <v>569</v>
      </c>
      <c r="U77" s="54"/>
      <c r="V77" t="s">
        <v>808</v>
      </c>
      <c r="W77" s="54">
        <v>44868</v>
      </c>
      <c r="X77" s="54"/>
      <c r="Y77" t="s">
        <v>457</v>
      </c>
      <c r="AB77" s="54"/>
      <c r="AC77">
        <v>0</v>
      </c>
      <c r="AD77" s="68">
        <v>44868.424583332999</v>
      </c>
      <c r="AE77" s="68">
        <v>44868.424583332999</v>
      </c>
    </row>
    <row r="78" spans="1:31" x14ac:dyDescent="0.25">
      <c r="A78">
        <v>77</v>
      </c>
      <c r="B78" s="67" t="s">
        <v>809</v>
      </c>
      <c r="C78" t="s">
        <v>810</v>
      </c>
      <c r="D78" t="s">
        <v>568</v>
      </c>
      <c r="E78" t="s">
        <v>282</v>
      </c>
      <c r="F78" t="s">
        <v>282</v>
      </c>
      <c r="G78" t="s">
        <v>806</v>
      </c>
      <c r="H78">
        <v>2</v>
      </c>
      <c r="I78">
        <v>3</v>
      </c>
      <c r="J78" t="s">
        <v>806</v>
      </c>
      <c r="K78">
        <v>45</v>
      </c>
      <c r="L78" t="s">
        <v>306</v>
      </c>
      <c r="M78" t="s">
        <v>807</v>
      </c>
      <c r="P78" t="s">
        <v>569</v>
      </c>
      <c r="U78" s="54"/>
      <c r="V78" t="s">
        <v>808</v>
      </c>
      <c r="W78" s="54">
        <v>44868</v>
      </c>
      <c r="X78" s="54"/>
      <c r="Y78" t="s">
        <v>457</v>
      </c>
      <c r="AB78" s="54"/>
      <c r="AC78">
        <v>0</v>
      </c>
      <c r="AD78" s="68">
        <v>44868.427071758997</v>
      </c>
      <c r="AE78" s="68">
        <v>44868.427071758997</v>
      </c>
    </row>
    <row r="79" spans="1:31" x14ac:dyDescent="0.25">
      <c r="A79">
        <v>78</v>
      </c>
      <c r="B79" s="67" t="s">
        <v>811</v>
      </c>
      <c r="C79" t="s">
        <v>812</v>
      </c>
      <c r="D79" t="s">
        <v>568</v>
      </c>
      <c r="E79" t="s">
        <v>282</v>
      </c>
      <c r="F79" t="s">
        <v>291</v>
      </c>
      <c r="G79" t="s">
        <v>495</v>
      </c>
      <c r="H79">
        <v>3</v>
      </c>
      <c r="I79">
        <v>1</v>
      </c>
      <c r="J79" t="s">
        <v>813</v>
      </c>
      <c r="K79">
        <v>28</v>
      </c>
      <c r="L79" t="s">
        <v>304</v>
      </c>
      <c r="M79" t="s">
        <v>814</v>
      </c>
      <c r="P79" t="s">
        <v>572</v>
      </c>
      <c r="U79" s="54"/>
      <c r="V79" t="s">
        <v>815</v>
      </c>
      <c r="W79" s="54">
        <v>44866</v>
      </c>
      <c r="X79" s="54"/>
      <c r="Y79" t="s">
        <v>457</v>
      </c>
      <c r="AB79" s="54"/>
      <c r="AC79">
        <v>0</v>
      </c>
      <c r="AD79" s="68">
        <v>44868.509560184997</v>
      </c>
      <c r="AE79" s="68">
        <v>44868.509560184997</v>
      </c>
    </row>
    <row r="80" spans="1:31" x14ac:dyDescent="0.25">
      <c r="A80">
        <v>79</v>
      </c>
      <c r="B80" s="67" t="s">
        <v>816</v>
      </c>
      <c r="C80" t="s">
        <v>817</v>
      </c>
      <c r="D80" t="s">
        <v>568</v>
      </c>
      <c r="E80" t="s">
        <v>282</v>
      </c>
      <c r="F80" t="s">
        <v>291</v>
      </c>
      <c r="G80" t="s">
        <v>495</v>
      </c>
      <c r="H80">
        <v>3</v>
      </c>
      <c r="I80">
        <v>1</v>
      </c>
      <c r="J80" t="s">
        <v>813</v>
      </c>
      <c r="K80">
        <v>28</v>
      </c>
      <c r="L80" t="s">
        <v>304</v>
      </c>
      <c r="M80" t="s">
        <v>814</v>
      </c>
      <c r="P80" t="s">
        <v>572</v>
      </c>
      <c r="U80" s="54"/>
      <c r="V80" t="s">
        <v>815</v>
      </c>
      <c r="W80" s="54">
        <v>44866</v>
      </c>
      <c r="X80" s="54"/>
      <c r="Y80" t="s">
        <v>457</v>
      </c>
      <c r="Z80" t="s">
        <v>818</v>
      </c>
      <c r="AA80" t="s">
        <v>571</v>
      </c>
      <c r="AB80" s="54">
        <v>44866</v>
      </c>
      <c r="AC80">
        <v>0</v>
      </c>
      <c r="AD80" s="68">
        <v>44868.513368056003</v>
      </c>
      <c r="AE80" s="68">
        <v>44868.513368056003</v>
      </c>
    </row>
    <row r="81" spans="1:31" x14ac:dyDescent="0.25">
      <c r="A81">
        <v>80</v>
      </c>
      <c r="B81" s="67" t="s">
        <v>819</v>
      </c>
      <c r="C81" t="s">
        <v>820</v>
      </c>
      <c r="D81" t="s">
        <v>568</v>
      </c>
      <c r="E81" t="s">
        <v>282</v>
      </c>
      <c r="F81" t="s">
        <v>291</v>
      </c>
      <c r="G81" t="s">
        <v>495</v>
      </c>
      <c r="H81">
        <v>1</v>
      </c>
      <c r="I81">
        <v>1</v>
      </c>
      <c r="J81" t="s">
        <v>821</v>
      </c>
      <c r="K81">
        <v>40</v>
      </c>
      <c r="L81" t="s">
        <v>304</v>
      </c>
      <c r="M81" t="s">
        <v>814</v>
      </c>
      <c r="P81" t="s">
        <v>572</v>
      </c>
      <c r="U81" s="54"/>
      <c r="V81" t="s">
        <v>815</v>
      </c>
      <c r="W81" s="54">
        <v>44866</v>
      </c>
      <c r="X81" s="54"/>
      <c r="Y81" t="s">
        <v>457</v>
      </c>
      <c r="Z81" t="s">
        <v>822</v>
      </c>
      <c r="AA81" t="s">
        <v>571</v>
      </c>
      <c r="AB81" s="54">
        <v>44866</v>
      </c>
      <c r="AC81">
        <v>0</v>
      </c>
      <c r="AD81" s="68">
        <v>44868.514606481003</v>
      </c>
      <c r="AE81" s="68">
        <v>44868.514606481003</v>
      </c>
    </row>
    <row r="82" spans="1:31" x14ac:dyDescent="0.25">
      <c r="A82">
        <v>81</v>
      </c>
      <c r="B82" s="67" t="s">
        <v>823</v>
      </c>
      <c r="C82" t="s">
        <v>824</v>
      </c>
      <c r="D82" t="s">
        <v>568</v>
      </c>
      <c r="E82" t="s">
        <v>282</v>
      </c>
      <c r="F82" t="s">
        <v>291</v>
      </c>
      <c r="G82" t="s">
        <v>495</v>
      </c>
      <c r="H82">
        <v>1</v>
      </c>
      <c r="I82">
        <v>1</v>
      </c>
      <c r="J82" t="s">
        <v>821</v>
      </c>
      <c r="K82">
        <v>35</v>
      </c>
      <c r="L82" t="s">
        <v>306</v>
      </c>
      <c r="M82" t="s">
        <v>814</v>
      </c>
      <c r="P82" t="s">
        <v>572</v>
      </c>
      <c r="U82" s="54"/>
      <c r="V82" t="s">
        <v>815</v>
      </c>
      <c r="W82" s="54">
        <v>44866</v>
      </c>
      <c r="X82" s="54"/>
      <c r="Y82" t="s">
        <v>457</v>
      </c>
      <c r="Z82" t="s">
        <v>825</v>
      </c>
      <c r="AA82" t="s">
        <v>571</v>
      </c>
      <c r="AB82" s="54">
        <v>44866</v>
      </c>
      <c r="AC82">
        <v>0</v>
      </c>
      <c r="AD82" s="68">
        <v>44868.515659721998</v>
      </c>
      <c r="AE82" s="68">
        <v>44868.515659721998</v>
      </c>
    </row>
    <row r="83" spans="1:31" x14ac:dyDescent="0.25">
      <c r="A83">
        <v>82</v>
      </c>
      <c r="B83" s="67" t="s">
        <v>826</v>
      </c>
      <c r="C83" t="s">
        <v>827</v>
      </c>
      <c r="D83" t="s">
        <v>568</v>
      </c>
      <c r="E83" t="s">
        <v>282</v>
      </c>
      <c r="F83" t="s">
        <v>291</v>
      </c>
      <c r="G83" t="s">
        <v>495</v>
      </c>
      <c r="H83">
        <v>2</v>
      </c>
      <c r="I83">
        <v>3</v>
      </c>
      <c r="J83" t="s">
        <v>828</v>
      </c>
      <c r="K83">
        <v>69</v>
      </c>
      <c r="L83" t="s">
        <v>304</v>
      </c>
      <c r="M83" t="s">
        <v>814</v>
      </c>
      <c r="P83" t="s">
        <v>572</v>
      </c>
      <c r="U83" s="54"/>
      <c r="V83" t="s">
        <v>815</v>
      </c>
      <c r="W83" s="54">
        <v>44866</v>
      </c>
      <c r="X83" s="54"/>
      <c r="Y83" t="s">
        <v>457</v>
      </c>
      <c r="Z83" t="s">
        <v>829</v>
      </c>
      <c r="AA83" t="s">
        <v>571</v>
      </c>
      <c r="AB83" s="54">
        <v>44866</v>
      </c>
      <c r="AC83">
        <v>0</v>
      </c>
      <c r="AD83" s="68">
        <v>44868.519467593003</v>
      </c>
      <c r="AE83" s="68">
        <v>44868.519467593003</v>
      </c>
    </row>
    <row r="84" spans="1:31" x14ac:dyDescent="0.25">
      <c r="A84">
        <v>83</v>
      </c>
      <c r="B84" s="67" t="s">
        <v>830</v>
      </c>
      <c r="C84" t="s">
        <v>831</v>
      </c>
      <c r="D84" t="s">
        <v>568</v>
      </c>
      <c r="E84" t="s">
        <v>282</v>
      </c>
      <c r="F84" t="s">
        <v>291</v>
      </c>
      <c r="G84" t="s">
        <v>495</v>
      </c>
      <c r="H84">
        <v>2</v>
      </c>
      <c r="I84">
        <v>3</v>
      </c>
      <c r="J84" t="s">
        <v>828</v>
      </c>
      <c r="K84">
        <v>60</v>
      </c>
      <c r="L84" t="s">
        <v>306</v>
      </c>
      <c r="M84" t="s">
        <v>814</v>
      </c>
      <c r="P84" t="s">
        <v>572</v>
      </c>
      <c r="U84" s="54"/>
      <c r="V84" t="s">
        <v>815</v>
      </c>
      <c r="W84" s="54">
        <v>44866</v>
      </c>
      <c r="X84" s="54"/>
      <c r="Y84" t="s">
        <v>457</v>
      </c>
      <c r="Z84" t="s">
        <v>832</v>
      </c>
      <c r="AA84" t="s">
        <v>571</v>
      </c>
      <c r="AB84" s="54">
        <v>44866</v>
      </c>
      <c r="AC84">
        <v>0</v>
      </c>
      <c r="AD84" s="68">
        <v>44868.520925926001</v>
      </c>
      <c r="AE84" s="68">
        <v>44868.520925926001</v>
      </c>
    </row>
    <row r="85" spans="1:31" x14ac:dyDescent="0.25">
      <c r="A85">
        <v>84</v>
      </c>
      <c r="B85" s="67" t="s">
        <v>833</v>
      </c>
      <c r="C85" t="s">
        <v>834</v>
      </c>
      <c r="D85" t="s">
        <v>568</v>
      </c>
      <c r="E85" t="s">
        <v>282</v>
      </c>
      <c r="F85" t="s">
        <v>291</v>
      </c>
      <c r="G85" t="s">
        <v>495</v>
      </c>
      <c r="H85">
        <v>1</v>
      </c>
      <c r="I85">
        <v>6</v>
      </c>
      <c r="J85" t="s">
        <v>835</v>
      </c>
      <c r="K85">
        <v>40</v>
      </c>
      <c r="L85" t="s">
        <v>304</v>
      </c>
      <c r="M85" t="s">
        <v>836</v>
      </c>
      <c r="P85" t="s">
        <v>569</v>
      </c>
      <c r="U85" s="54"/>
      <c r="V85" t="s">
        <v>815</v>
      </c>
      <c r="W85" s="54">
        <v>44866</v>
      </c>
      <c r="X85" s="54"/>
      <c r="Y85" t="s">
        <v>457</v>
      </c>
      <c r="Z85" t="s">
        <v>837</v>
      </c>
      <c r="AA85" t="s">
        <v>571</v>
      </c>
      <c r="AB85" s="54">
        <v>44866</v>
      </c>
      <c r="AC85">
        <v>0</v>
      </c>
      <c r="AD85" s="68">
        <v>44868.558298611002</v>
      </c>
      <c r="AE85" s="68">
        <v>44868.558298611002</v>
      </c>
    </row>
    <row r="86" spans="1:31" x14ac:dyDescent="0.25">
      <c r="A86">
        <v>85</v>
      </c>
      <c r="B86" s="67" t="s">
        <v>838</v>
      </c>
      <c r="C86" t="s">
        <v>839</v>
      </c>
      <c r="D86" t="s">
        <v>568</v>
      </c>
      <c r="E86" t="s">
        <v>282</v>
      </c>
      <c r="F86" t="s">
        <v>291</v>
      </c>
      <c r="G86" t="s">
        <v>495</v>
      </c>
      <c r="H86">
        <v>1</v>
      </c>
      <c r="I86">
        <v>6</v>
      </c>
      <c r="J86" t="s">
        <v>835</v>
      </c>
      <c r="K86">
        <v>35</v>
      </c>
      <c r="L86" t="s">
        <v>306</v>
      </c>
      <c r="M86" t="s">
        <v>836</v>
      </c>
      <c r="P86" t="s">
        <v>569</v>
      </c>
      <c r="U86" s="54"/>
      <c r="V86" t="s">
        <v>815</v>
      </c>
      <c r="W86" s="54">
        <v>44866</v>
      </c>
      <c r="X86" s="54"/>
      <c r="Y86" t="s">
        <v>457</v>
      </c>
      <c r="Z86" t="s">
        <v>840</v>
      </c>
      <c r="AA86" t="s">
        <v>571</v>
      </c>
      <c r="AB86" s="54">
        <v>44866</v>
      </c>
      <c r="AC86">
        <v>0</v>
      </c>
      <c r="AD86" s="68">
        <v>44868.559548611003</v>
      </c>
      <c r="AE86" s="68">
        <v>44868.559548611003</v>
      </c>
    </row>
    <row r="87" spans="1:31" x14ac:dyDescent="0.25">
      <c r="A87">
        <v>86</v>
      </c>
      <c r="B87" s="67" t="s">
        <v>841</v>
      </c>
      <c r="C87" t="s">
        <v>842</v>
      </c>
      <c r="D87" t="s">
        <v>568</v>
      </c>
      <c r="E87" t="s">
        <v>282</v>
      </c>
      <c r="F87" t="s">
        <v>291</v>
      </c>
      <c r="G87" t="s">
        <v>495</v>
      </c>
      <c r="H87">
        <v>1</v>
      </c>
      <c r="I87">
        <v>5</v>
      </c>
      <c r="J87" t="s">
        <v>843</v>
      </c>
      <c r="K87">
        <v>37</v>
      </c>
      <c r="L87" t="s">
        <v>306</v>
      </c>
      <c r="M87" t="s">
        <v>836</v>
      </c>
      <c r="P87" t="s">
        <v>569</v>
      </c>
      <c r="U87" s="54"/>
      <c r="V87" t="s">
        <v>815</v>
      </c>
      <c r="W87" s="54">
        <v>44866</v>
      </c>
      <c r="X87" s="54"/>
      <c r="Y87" t="s">
        <v>457</v>
      </c>
      <c r="Z87" t="s">
        <v>844</v>
      </c>
      <c r="AA87" t="s">
        <v>571</v>
      </c>
      <c r="AB87" s="54">
        <v>44866</v>
      </c>
      <c r="AC87">
        <v>0</v>
      </c>
      <c r="AD87" s="68">
        <v>44868.560983796</v>
      </c>
      <c r="AE87" s="68">
        <v>44868.560983796</v>
      </c>
    </row>
    <row r="88" spans="1:31" x14ac:dyDescent="0.25">
      <c r="A88">
        <v>87</v>
      </c>
      <c r="B88" s="67" t="s">
        <v>845</v>
      </c>
      <c r="C88" t="s">
        <v>803</v>
      </c>
      <c r="D88" t="s">
        <v>568</v>
      </c>
      <c r="E88" t="s">
        <v>282</v>
      </c>
      <c r="F88" t="s">
        <v>291</v>
      </c>
      <c r="G88" t="s">
        <v>495</v>
      </c>
      <c r="H88">
        <v>2</v>
      </c>
      <c r="I88">
        <v>4</v>
      </c>
      <c r="J88" t="s">
        <v>846</v>
      </c>
      <c r="K88">
        <v>59</v>
      </c>
      <c r="L88" t="s">
        <v>304</v>
      </c>
      <c r="M88" t="s">
        <v>836</v>
      </c>
      <c r="P88" t="s">
        <v>569</v>
      </c>
      <c r="U88" s="54"/>
      <c r="V88" t="s">
        <v>815</v>
      </c>
      <c r="W88" s="54">
        <v>44866</v>
      </c>
      <c r="X88" s="54"/>
      <c r="Y88" t="s">
        <v>457</v>
      </c>
      <c r="Z88" t="s">
        <v>847</v>
      </c>
      <c r="AA88" t="s">
        <v>571</v>
      </c>
      <c r="AB88" s="54">
        <v>44866</v>
      </c>
      <c r="AC88">
        <v>0</v>
      </c>
      <c r="AD88" s="68">
        <v>44868.567268519</v>
      </c>
      <c r="AE88" s="68">
        <v>44868.567268519</v>
      </c>
    </row>
    <row r="89" spans="1:31" x14ac:dyDescent="0.25">
      <c r="A89">
        <v>88</v>
      </c>
      <c r="B89" s="67" t="s">
        <v>848</v>
      </c>
      <c r="C89" t="s">
        <v>849</v>
      </c>
      <c r="D89" t="s">
        <v>568</v>
      </c>
      <c r="E89" t="s">
        <v>282</v>
      </c>
      <c r="F89" t="s">
        <v>291</v>
      </c>
      <c r="G89" t="s">
        <v>495</v>
      </c>
      <c r="H89">
        <v>2</v>
      </c>
      <c r="I89">
        <v>4</v>
      </c>
      <c r="J89" t="s">
        <v>846</v>
      </c>
      <c r="K89">
        <v>57</v>
      </c>
      <c r="L89" t="s">
        <v>306</v>
      </c>
      <c r="M89" t="s">
        <v>836</v>
      </c>
      <c r="P89" t="s">
        <v>569</v>
      </c>
      <c r="U89" s="54"/>
      <c r="V89" t="s">
        <v>815</v>
      </c>
      <c r="W89" s="54">
        <v>44866</v>
      </c>
      <c r="X89" s="54"/>
      <c r="Y89" t="s">
        <v>457</v>
      </c>
      <c r="Z89" t="s">
        <v>850</v>
      </c>
      <c r="AA89" t="s">
        <v>571</v>
      </c>
      <c r="AB89" s="54">
        <v>44866</v>
      </c>
      <c r="AC89">
        <v>0</v>
      </c>
      <c r="AD89" s="68">
        <v>44868.568553240999</v>
      </c>
      <c r="AE89" s="68">
        <v>44868.568553240999</v>
      </c>
    </row>
    <row r="90" spans="1:31" x14ac:dyDescent="0.25">
      <c r="A90">
        <v>89</v>
      </c>
      <c r="B90" s="67" t="s">
        <v>851</v>
      </c>
      <c r="C90" t="s">
        <v>852</v>
      </c>
      <c r="D90" t="s">
        <v>568</v>
      </c>
      <c r="E90" t="s">
        <v>282</v>
      </c>
      <c r="F90" t="s">
        <v>290</v>
      </c>
      <c r="G90" t="s">
        <v>799</v>
      </c>
      <c r="H90">
        <v>3</v>
      </c>
      <c r="I90">
        <v>1</v>
      </c>
      <c r="J90" t="s">
        <v>853</v>
      </c>
      <c r="K90">
        <v>25</v>
      </c>
      <c r="L90" t="s">
        <v>304</v>
      </c>
      <c r="M90" t="s">
        <v>800</v>
      </c>
      <c r="P90" t="s">
        <v>802</v>
      </c>
      <c r="U90" s="54"/>
      <c r="V90" t="s">
        <v>801</v>
      </c>
      <c r="W90" s="54">
        <v>44870</v>
      </c>
      <c r="X90" s="54"/>
      <c r="Y90" t="s">
        <v>457</v>
      </c>
      <c r="AB90" s="54"/>
      <c r="AC90">
        <v>0</v>
      </c>
      <c r="AD90" s="68">
        <v>44870.436678241</v>
      </c>
      <c r="AE90" s="68">
        <v>44870.436678241</v>
      </c>
    </row>
    <row r="91" spans="1:31" x14ac:dyDescent="0.25">
      <c r="A91">
        <v>90</v>
      </c>
      <c r="B91" s="67" t="s">
        <v>854</v>
      </c>
      <c r="C91" t="s">
        <v>855</v>
      </c>
      <c r="D91" t="s">
        <v>568</v>
      </c>
      <c r="E91" t="s">
        <v>282</v>
      </c>
      <c r="F91" t="s">
        <v>290</v>
      </c>
      <c r="G91" t="s">
        <v>799</v>
      </c>
      <c r="H91">
        <v>3</v>
      </c>
      <c r="I91">
        <v>1</v>
      </c>
      <c r="J91" t="s">
        <v>853</v>
      </c>
      <c r="K91">
        <v>23</v>
      </c>
      <c r="L91" t="s">
        <v>306</v>
      </c>
      <c r="M91" t="s">
        <v>800</v>
      </c>
      <c r="P91" t="s">
        <v>802</v>
      </c>
      <c r="U91" s="54"/>
      <c r="V91" t="s">
        <v>801</v>
      </c>
      <c r="W91" s="54">
        <v>44870</v>
      </c>
      <c r="X91" s="54"/>
      <c r="Y91" t="s">
        <v>457</v>
      </c>
      <c r="AB91" s="54"/>
      <c r="AC91">
        <v>0</v>
      </c>
      <c r="AD91" s="68">
        <v>44870.437453703998</v>
      </c>
      <c r="AE91" s="68">
        <v>44870.437453703998</v>
      </c>
    </row>
    <row r="92" spans="1:31" x14ac:dyDescent="0.25">
      <c r="A92">
        <v>91</v>
      </c>
      <c r="B92" s="67" t="s">
        <v>856</v>
      </c>
      <c r="C92" t="s">
        <v>857</v>
      </c>
      <c r="D92" t="s">
        <v>568</v>
      </c>
      <c r="E92" t="s">
        <v>282</v>
      </c>
      <c r="F92" t="s">
        <v>290</v>
      </c>
      <c r="G92" t="s">
        <v>799</v>
      </c>
      <c r="H92">
        <v>3</v>
      </c>
      <c r="I92">
        <v>1</v>
      </c>
      <c r="J92" t="s">
        <v>853</v>
      </c>
      <c r="K92">
        <v>43</v>
      </c>
      <c r="L92" t="s">
        <v>306</v>
      </c>
      <c r="M92" t="s">
        <v>800</v>
      </c>
      <c r="P92" t="s">
        <v>802</v>
      </c>
      <c r="U92" s="54"/>
      <c r="V92" t="s">
        <v>801</v>
      </c>
      <c r="W92" s="54">
        <v>44870</v>
      </c>
      <c r="X92" s="54"/>
      <c r="Y92" t="s">
        <v>457</v>
      </c>
      <c r="AB92" s="54"/>
      <c r="AC92">
        <v>0</v>
      </c>
      <c r="AD92" s="68">
        <v>44870.441261574</v>
      </c>
      <c r="AE92" s="68">
        <v>44870.441261574</v>
      </c>
    </row>
    <row r="93" spans="1:31" x14ac:dyDescent="0.25">
      <c r="A93">
        <v>92</v>
      </c>
      <c r="B93" s="67" t="s">
        <v>858</v>
      </c>
      <c r="C93" t="s">
        <v>859</v>
      </c>
      <c r="D93" t="s">
        <v>568</v>
      </c>
      <c r="E93" t="s">
        <v>282</v>
      </c>
      <c r="F93" t="s">
        <v>290</v>
      </c>
      <c r="G93" t="s">
        <v>290</v>
      </c>
      <c r="H93">
        <v>1</v>
      </c>
      <c r="I93">
        <v>3</v>
      </c>
      <c r="J93" t="s">
        <v>860</v>
      </c>
      <c r="K93">
        <v>53</v>
      </c>
      <c r="L93" t="s">
        <v>306</v>
      </c>
      <c r="M93" t="s">
        <v>861</v>
      </c>
      <c r="P93" t="s">
        <v>569</v>
      </c>
      <c r="U93" s="54"/>
      <c r="V93" t="s">
        <v>862</v>
      </c>
      <c r="W93" s="54">
        <v>44870</v>
      </c>
      <c r="X93" s="54"/>
      <c r="Y93" t="s">
        <v>457</v>
      </c>
      <c r="AB93" s="54"/>
      <c r="AC93">
        <v>1</v>
      </c>
      <c r="AD93" s="68">
        <v>44870.590925926001</v>
      </c>
      <c r="AE93" s="68">
        <v>44870.590925926001</v>
      </c>
    </row>
    <row r="94" spans="1:31" x14ac:dyDescent="0.25">
      <c r="A94">
        <v>93</v>
      </c>
      <c r="B94" s="67" t="s">
        <v>863</v>
      </c>
      <c r="C94" t="s">
        <v>864</v>
      </c>
      <c r="D94" t="s">
        <v>568</v>
      </c>
      <c r="E94" t="s">
        <v>282</v>
      </c>
      <c r="F94" t="s">
        <v>290</v>
      </c>
      <c r="G94" t="s">
        <v>290</v>
      </c>
      <c r="H94">
        <v>1</v>
      </c>
      <c r="I94">
        <v>3</v>
      </c>
      <c r="J94" t="s">
        <v>860</v>
      </c>
      <c r="K94">
        <v>44</v>
      </c>
      <c r="L94" t="s">
        <v>306</v>
      </c>
      <c r="M94" t="s">
        <v>861</v>
      </c>
      <c r="P94" t="s">
        <v>569</v>
      </c>
      <c r="U94" s="54"/>
      <c r="V94" t="s">
        <v>862</v>
      </c>
      <c r="W94" s="54">
        <v>44870</v>
      </c>
      <c r="X94" s="54"/>
      <c r="Y94" t="s">
        <v>457</v>
      </c>
      <c r="AB94" s="54"/>
      <c r="AC94">
        <v>0</v>
      </c>
      <c r="AD94" s="68">
        <v>44870.592650462997</v>
      </c>
      <c r="AE94" s="68">
        <v>44870.592650462997</v>
      </c>
    </row>
    <row r="95" spans="1:31" x14ac:dyDescent="0.25">
      <c r="A95">
        <v>94</v>
      </c>
      <c r="B95" s="67" t="s">
        <v>865</v>
      </c>
      <c r="C95" t="s">
        <v>866</v>
      </c>
      <c r="D95" t="s">
        <v>568</v>
      </c>
      <c r="E95" t="s">
        <v>282</v>
      </c>
      <c r="F95" t="s">
        <v>289</v>
      </c>
      <c r="G95" t="s">
        <v>514</v>
      </c>
      <c r="H95">
        <v>1</v>
      </c>
      <c r="I95">
        <v>3</v>
      </c>
      <c r="J95" t="s">
        <v>867</v>
      </c>
      <c r="K95">
        <v>44</v>
      </c>
      <c r="L95" t="s">
        <v>306</v>
      </c>
      <c r="M95" t="s">
        <v>868</v>
      </c>
      <c r="P95" t="s">
        <v>569</v>
      </c>
      <c r="U95" s="54"/>
      <c r="V95" t="s">
        <v>696</v>
      </c>
      <c r="W95" s="54">
        <v>44865</v>
      </c>
      <c r="X95" s="54"/>
      <c r="Y95" t="s">
        <v>457</v>
      </c>
      <c r="Z95" t="s">
        <v>869</v>
      </c>
      <c r="AA95" t="s">
        <v>571</v>
      </c>
      <c r="AB95" s="54">
        <v>44865</v>
      </c>
      <c r="AC95">
        <v>1</v>
      </c>
      <c r="AD95" s="68">
        <v>44871.498923610998</v>
      </c>
      <c r="AE95" s="68">
        <v>44871.498923610998</v>
      </c>
    </row>
    <row r="96" spans="1:31" x14ac:dyDescent="0.25">
      <c r="A96">
        <v>95</v>
      </c>
      <c r="B96" s="67" t="s">
        <v>870</v>
      </c>
      <c r="C96" t="s">
        <v>871</v>
      </c>
      <c r="D96" t="s">
        <v>568</v>
      </c>
      <c r="E96" t="s">
        <v>282</v>
      </c>
      <c r="F96" t="s">
        <v>308</v>
      </c>
      <c r="G96" t="s">
        <v>357</v>
      </c>
      <c r="H96">
        <v>5</v>
      </c>
      <c r="I96">
        <v>3</v>
      </c>
      <c r="J96" t="s">
        <v>872</v>
      </c>
      <c r="K96">
        <v>45</v>
      </c>
      <c r="L96" t="s">
        <v>304</v>
      </c>
      <c r="M96" t="s">
        <v>873</v>
      </c>
      <c r="P96" t="s">
        <v>569</v>
      </c>
      <c r="U96" s="54"/>
      <c r="V96" t="s">
        <v>874</v>
      </c>
      <c r="W96" s="54">
        <v>44874</v>
      </c>
      <c r="X96" s="54"/>
      <c r="Y96" t="s">
        <v>457</v>
      </c>
      <c r="Z96" t="s">
        <v>875</v>
      </c>
      <c r="AA96" t="s">
        <v>571</v>
      </c>
      <c r="AB96" s="54">
        <v>44874</v>
      </c>
      <c r="AC96">
        <v>0</v>
      </c>
      <c r="AD96" s="68">
        <v>44875.395555556002</v>
      </c>
      <c r="AE96" s="68">
        <v>44875.395555556002</v>
      </c>
    </row>
    <row r="97" spans="1:31" x14ac:dyDescent="0.25">
      <c r="A97">
        <v>96</v>
      </c>
      <c r="B97" s="67" t="s">
        <v>876</v>
      </c>
      <c r="C97" t="s">
        <v>877</v>
      </c>
      <c r="D97" t="s">
        <v>568</v>
      </c>
      <c r="E97" t="s">
        <v>282</v>
      </c>
      <c r="F97" t="s">
        <v>308</v>
      </c>
      <c r="G97" t="s">
        <v>357</v>
      </c>
      <c r="H97">
        <v>5</v>
      </c>
      <c r="I97">
        <v>3</v>
      </c>
      <c r="J97" t="s">
        <v>872</v>
      </c>
      <c r="K97">
        <v>13</v>
      </c>
      <c r="L97" t="s">
        <v>304</v>
      </c>
      <c r="M97" t="s">
        <v>878</v>
      </c>
      <c r="P97" t="s">
        <v>569</v>
      </c>
      <c r="U97" s="54"/>
      <c r="V97" t="s">
        <v>874</v>
      </c>
      <c r="W97" s="54">
        <v>44874</v>
      </c>
      <c r="X97" s="54"/>
      <c r="Y97" t="s">
        <v>457</v>
      </c>
      <c r="Z97" t="s">
        <v>879</v>
      </c>
      <c r="AA97" t="s">
        <v>571</v>
      </c>
      <c r="AB97" s="54">
        <v>44874</v>
      </c>
      <c r="AC97">
        <v>0</v>
      </c>
      <c r="AD97" s="68">
        <v>44875.401168981</v>
      </c>
      <c r="AE97" s="68">
        <v>44875.401168981</v>
      </c>
    </row>
    <row r="98" spans="1:31" x14ac:dyDescent="0.25">
      <c r="A98">
        <v>97</v>
      </c>
      <c r="B98" s="67" t="s">
        <v>880</v>
      </c>
      <c r="C98" t="s">
        <v>881</v>
      </c>
      <c r="D98" t="s">
        <v>568</v>
      </c>
      <c r="E98" t="s">
        <v>282</v>
      </c>
      <c r="F98" t="s">
        <v>308</v>
      </c>
      <c r="G98" t="s">
        <v>357</v>
      </c>
      <c r="H98">
        <v>5</v>
      </c>
      <c r="I98">
        <v>3</v>
      </c>
      <c r="J98" t="s">
        <v>872</v>
      </c>
      <c r="K98">
        <v>9</v>
      </c>
      <c r="L98" t="s">
        <v>304</v>
      </c>
      <c r="M98" t="s">
        <v>873</v>
      </c>
      <c r="P98" t="s">
        <v>569</v>
      </c>
      <c r="U98" s="54"/>
      <c r="V98" t="s">
        <v>874</v>
      </c>
      <c r="W98" s="54">
        <v>44874</v>
      </c>
      <c r="X98" s="54"/>
      <c r="Y98" t="s">
        <v>457</v>
      </c>
      <c r="Z98" t="s">
        <v>882</v>
      </c>
      <c r="AA98" t="s">
        <v>571</v>
      </c>
      <c r="AB98" s="54">
        <v>44874</v>
      </c>
      <c r="AC98">
        <v>0</v>
      </c>
      <c r="AD98" s="68">
        <v>44875.402222222001</v>
      </c>
      <c r="AE98" s="68">
        <v>44875.402222222001</v>
      </c>
    </row>
    <row r="99" spans="1:31" x14ac:dyDescent="0.25">
      <c r="A99">
        <v>98</v>
      </c>
      <c r="B99" s="67" t="s">
        <v>901</v>
      </c>
      <c r="C99" t="s">
        <v>902</v>
      </c>
      <c r="D99" t="s">
        <v>568</v>
      </c>
      <c r="E99" t="s">
        <v>282</v>
      </c>
      <c r="F99" t="s">
        <v>282</v>
      </c>
      <c r="G99" t="s">
        <v>885</v>
      </c>
      <c r="H99">
        <v>2</v>
      </c>
      <c r="I99">
        <v>5</v>
      </c>
      <c r="J99" t="s">
        <v>886</v>
      </c>
      <c r="K99">
        <v>5</v>
      </c>
      <c r="L99" t="s">
        <v>304</v>
      </c>
      <c r="M99" t="s">
        <v>570</v>
      </c>
      <c r="P99" t="s">
        <v>569</v>
      </c>
      <c r="U99" s="54"/>
      <c r="V99" t="s">
        <v>887</v>
      </c>
      <c r="W99" s="54">
        <v>44846</v>
      </c>
      <c r="X99" s="54"/>
      <c r="Y99" t="s">
        <v>457</v>
      </c>
      <c r="AB99" s="54"/>
      <c r="AC99">
        <v>0</v>
      </c>
      <c r="AD99" s="68">
        <v>44876.417488425999</v>
      </c>
      <c r="AE99" s="68">
        <v>44876.417488425999</v>
      </c>
    </row>
    <row r="100" spans="1:31" x14ac:dyDescent="0.25">
      <c r="A100">
        <v>99</v>
      </c>
      <c r="B100" s="67" t="s">
        <v>903</v>
      </c>
      <c r="C100" t="s">
        <v>904</v>
      </c>
      <c r="D100" t="s">
        <v>568</v>
      </c>
      <c r="E100" t="s">
        <v>282</v>
      </c>
      <c r="F100" t="s">
        <v>282</v>
      </c>
      <c r="G100" t="s">
        <v>885</v>
      </c>
      <c r="H100">
        <v>2</v>
      </c>
      <c r="I100">
        <v>5</v>
      </c>
      <c r="J100" t="s">
        <v>886</v>
      </c>
      <c r="K100">
        <v>49</v>
      </c>
      <c r="L100" t="s">
        <v>304</v>
      </c>
      <c r="M100" t="s">
        <v>570</v>
      </c>
      <c r="P100" t="s">
        <v>569</v>
      </c>
      <c r="U100" s="54"/>
      <c r="V100" t="s">
        <v>887</v>
      </c>
      <c r="W100" s="54">
        <v>44846</v>
      </c>
      <c r="X100" s="54"/>
      <c r="Y100" t="s">
        <v>457</v>
      </c>
      <c r="AB100" s="54"/>
      <c r="AC100">
        <v>0</v>
      </c>
      <c r="AD100" s="68">
        <v>44876.420138889</v>
      </c>
      <c r="AE100" s="68">
        <v>44876.420138889</v>
      </c>
    </row>
    <row r="101" spans="1:31" x14ac:dyDescent="0.25">
      <c r="A101">
        <v>100</v>
      </c>
      <c r="B101" s="67" t="s">
        <v>905</v>
      </c>
      <c r="C101" t="s">
        <v>906</v>
      </c>
      <c r="D101" t="s">
        <v>568</v>
      </c>
      <c r="E101" t="s">
        <v>282</v>
      </c>
      <c r="F101" t="s">
        <v>282</v>
      </c>
      <c r="G101" t="s">
        <v>885</v>
      </c>
      <c r="H101">
        <v>2</v>
      </c>
      <c r="I101">
        <v>5</v>
      </c>
      <c r="J101" t="s">
        <v>886</v>
      </c>
      <c r="K101">
        <v>24</v>
      </c>
      <c r="L101" t="s">
        <v>304</v>
      </c>
      <c r="M101" t="s">
        <v>570</v>
      </c>
      <c r="P101" t="s">
        <v>569</v>
      </c>
      <c r="U101" s="54"/>
      <c r="V101" t="s">
        <v>887</v>
      </c>
      <c r="W101" s="54">
        <v>44846</v>
      </c>
      <c r="X101" s="54"/>
      <c r="Y101" t="s">
        <v>457</v>
      </c>
      <c r="AB101" s="54"/>
      <c r="AC101">
        <v>0</v>
      </c>
      <c r="AD101" s="68">
        <v>44876.427870369997</v>
      </c>
      <c r="AE101" s="68">
        <v>44876.427870369997</v>
      </c>
    </row>
    <row r="102" spans="1:31" x14ac:dyDescent="0.25">
      <c r="A102">
        <v>101</v>
      </c>
      <c r="B102" s="67" t="s">
        <v>907</v>
      </c>
      <c r="C102" t="s">
        <v>908</v>
      </c>
      <c r="D102" t="s">
        <v>568</v>
      </c>
      <c r="E102" t="s">
        <v>282</v>
      </c>
      <c r="F102" t="s">
        <v>282</v>
      </c>
      <c r="G102" t="s">
        <v>885</v>
      </c>
      <c r="H102">
        <v>2</v>
      </c>
      <c r="I102">
        <v>5</v>
      </c>
      <c r="J102" t="s">
        <v>886</v>
      </c>
      <c r="K102">
        <v>47</v>
      </c>
      <c r="L102" t="s">
        <v>304</v>
      </c>
      <c r="M102" t="s">
        <v>570</v>
      </c>
      <c r="P102" t="s">
        <v>569</v>
      </c>
      <c r="U102" s="54"/>
      <c r="V102" t="s">
        <v>887</v>
      </c>
      <c r="W102" s="54">
        <v>44846</v>
      </c>
      <c r="X102" s="54"/>
      <c r="Y102" t="s">
        <v>457</v>
      </c>
      <c r="AB102" s="54"/>
      <c r="AC102">
        <v>0</v>
      </c>
      <c r="AD102" s="68">
        <v>44876.475439815003</v>
      </c>
      <c r="AE102" s="68">
        <v>44876.475439815003</v>
      </c>
    </row>
    <row r="103" spans="1:31" x14ac:dyDescent="0.25">
      <c r="A103">
        <v>102</v>
      </c>
      <c r="B103" s="67" t="s">
        <v>909</v>
      </c>
      <c r="C103" t="s">
        <v>910</v>
      </c>
      <c r="D103" t="s">
        <v>568</v>
      </c>
      <c r="E103" t="s">
        <v>282</v>
      </c>
      <c r="F103" t="s">
        <v>282</v>
      </c>
      <c r="G103" t="s">
        <v>885</v>
      </c>
      <c r="H103">
        <v>2</v>
      </c>
      <c r="I103">
        <v>5</v>
      </c>
      <c r="J103" t="s">
        <v>886</v>
      </c>
      <c r="K103">
        <v>45</v>
      </c>
      <c r="L103" t="s">
        <v>306</v>
      </c>
      <c r="M103" t="s">
        <v>570</v>
      </c>
      <c r="P103" t="s">
        <v>569</v>
      </c>
      <c r="U103" s="54"/>
      <c r="V103" t="s">
        <v>887</v>
      </c>
      <c r="W103" s="54">
        <v>44846</v>
      </c>
      <c r="X103" s="54"/>
      <c r="Y103" t="s">
        <v>457</v>
      </c>
      <c r="AB103" s="54"/>
      <c r="AC103">
        <v>0</v>
      </c>
      <c r="AD103" s="68">
        <v>44876.478402777997</v>
      </c>
      <c r="AE103" s="68">
        <v>44876.478402777997</v>
      </c>
    </row>
    <row r="104" spans="1:31" x14ac:dyDescent="0.25">
      <c r="A104">
        <v>103</v>
      </c>
      <c r="B104" s="67" t="s">
        <v>911</v>
      </c>
      <c r="C104" t="s">
        <v>912</v>
      </c>
      <c r="D104" t="s">
        <v>568</v>
      </c>
      <c r="E104" t="s">
        <v>282</v>
      </c>
      <c r="F104" t="s">
        <v>282</v>
      </c>
      <c r="G104" t="s">
        <v>885</v>
      </c>
      <c r="H104">
        <v>2</v>
      </c>
      <c r="I104">
        <v>5</v>
      </c>
      <c r="J104" t="s">
        <v>886</v>
      </c>
      <c r="K104">
        <v>16</v>
      </c>
      <c r="L104" t="s">
        <v>306</v>
      </c>
      <c r="M104" t="s">
        <v>570</v>
      </c>
      <c r="P104" t="s">
        <v>569</v>
      </c>
      <c r="U104" s="54"/>
      <c r="V104" t="s">
        <v>887</v>
      </c>
      <c r="W104" s="54">
        <v>44846</v>
      </c>
      <c r="X104" s="54"/>
      <c r="Y104" t="s">
        <v>457</v>
      </c>
      <c r="AB104" s="54"/>
      <c r="AC104">
        <v>0</v>
      </c>
      <c r="AD104" s="68">
        <v>44876.481863426001</v>
      </c>
      <c r="AE104" s="68">
        <v>44876.481863426001</v>
      </c>
    </row>
    <row r="105" spans="1:31" x14ac:dyDescent="0.25">
      <c r="A105">
        <v>104</v>
      </c>
      <c r="B105" s="67" t="s">
        <v>913</v>
      </c>
      <c r="C105" t="s">
        <v>914</v>
      </c>
      <c r="D105" t="s">
        <v>568</v>
      </c>
      <c r="E105" t="s">
        <v>282</v>
      </c>
      <c r="F105" t="s">
        <v>282</v>
      </c>
      <c r="G105" t="s">
        <v>885</v>
      </c>
      <c r="H105">
        <v>2</v>
      </c>
      <c r="I105">
        <v>5</v>
      </c>
      <c r="J105" t="s">
        <v>886</v>
      </c>
      <c r="K105">
        <v>6</v>
      </c>
      <c r="L105" t="s">
        <v>306</v>
      </c>
      <c r="M105" t="s">
        <v>570</v>
      </c>
      <c r="P105" t="s">
        <v>569</v>
      </c>
      <c r="U105" s="54"/>
      <c r="V105" t="s">
        <v>887</v>
      </c>
      <c r="W105" s="54">
        <v>44846</v>
      </c>
      <c r="X105" s="54"/>
      <c r="Y105" t="s">
        <v>457</v>
      </c>
      <c r="AB105" s="54"/>
      <c r="AC105">
        <v>0</v>
      </c>
      <c r="AD105" s="68">
        <v>44876.483935185002</v>
      </c>
      <c r="AE105" s="68">
        <v>44876.483935185002</v>
      </c>
    </row>
    <row r="106" spans="1:31" x14ac:dyDescent="0.25">
      <c r="A106">
        <v>105</v>
      </c>
      <c r="B106" s="67" t="s">
        <v>915</v>
      </c>
      <c r="C106" t="s">
        <v>916</v>
      </c>
      <c r="D106" t="s">
        <v>568</v>
      </c>
      <c r="E106" t="s">
        <v>282</v>
      </c>
      <c r="F106" t="s">
        <v>282</v>
      </c>
      <c r="G106" t="s">
        <v>885</v>
      </c>
      <c r="H106">
        <v>2</v>
      </c>
      <c r="I106">
        <v>5</v>
      </c>
      <c r="J106" t="s">
        <v>886</v>
      </c>
      <c r="K106">
        <v>33</v>
      </c>
      <c r="L106" t="s">
        <v>306</v>
      </c>
      <c r="M106" t="s">
        <v>570</v>
      </c>
      <c r="P106" t="s">
        <v>569</v>
      </c>
      <c r="U106" s="54"/>
      <c r="V106" t="s">
        <v>887</v>
      </c>
      <c r="W106" s="54">
        <v>44846</v>
      </c>
      <c r="X106" s="54"/>
      <c r="Y106" t="s">
        <v>457</v>
      </c>
      <c r="AB106" s="54"/>
      <c r="AC106">
        <v>0</v>
      </c>
      <c r="AD106" s="68">
        <v>44876.487094907003</v>
      </c>
      <c r="AE106" s="68">
        <v>44876.487094907003</v>
      </c>
    </row>
    <row r="107" spans="1:31" x14ac:dyDescent="0.25">
      <c r="A107">
        <v>106</v>
      </c>
      <c r="B107" s="67" t="s">
        <v>917</v>
      </c>
      <c r="C107" t="s">
        <v>918</v>
      </c>
      <c r="D107" t="s">
        <v>568</v>
      </c>
      <c r="E107" t="s">
        <v>282</v>
      </c>
      <c r="F107" t="s">
        <v>282</v>
      </c>
      <c r="G107" t="s">
        <v>885</v>
      </c>
      <c r="H107">
        <v>2</v>
      </c>
      <c r="I107">
        <v>5</v>
      </c>
      <c r="J107" t="s">
        <v>886</v>
      </c>
      <c r="K107">
        <v>57</v>
      </c>
      <c r="L107" t="s">
        <v>304</v>
      </c>
      <c r="M107" t="s">
        <v>570</v>
      </c>
      <c r="P107" t="s">
        <v>569</v>
      </c>
      <c r="U107" s="54"/>
      <c r="V107" t="s">
        <v>887</v>
      </c>
      <c r="W107" s="54">
        <v>44846</v>
      </c>
      <c r="X107" s="54"/>
      <c r="Y107" t="s">
        <v>457</v>
      </c>
      <c r="AB107" s="54"/>
      <c r="AC107">
        <v>0</v>
      </c>
      <c r="AD107" s="68">
        <v>44876.492627314998</v>
      </c>
      <c r="AE107" s="68">
        <v>44876.492627314998</v>
      </c>
    </row>
    <row r="108" spans="1:31" x14ac:dyDescent="0.25">
      <c r="A108">
        <v>107</v>
      </c>
      <c r="B108" s="67" t="s">
        <v>919</v>
      </c>
      <c r="C108" t="s">
        <v>920</v>
      </c>
      <c r="D108" t="s">
        <v>568</v>
      </c>
      <c r="E108" t="s">
        <v>282</v>
      </c>
      <c r="F108" t="s">
        <v>282</v>
      </c>
      <c r="G108" t="s">
        <v>885</v>
      </c>
      <c r="H108">
        <v>2</v>
      </c>
      <c r="I108">
        <v>5</v>
      </c>
      <c r="J108" t="s">
        <v>886</v>
      </c>
      <c r="K108">
        <v>53</v>
      </c>
      <c r="L108" t="s">
        <v>304</v>
      </c>
      <c r="M108" t="s">
        <v>570</v>
      </c>
      <c r="P108" t="s">
        <v>569</v>
      </c>
      <c r="U108" s="54"/>
      <c r="V108" t="s">
        <v>887</v>
      </c>
      <c r="W108" s="54">
        <v>44846</v>
      </c>
      <c r="X108" s="54"/>
      <c r="Y108" t="s">
        <v>457</v>
      </c>
      <c r="AB108" s="54"/>
      <c r="AC108">
        <v>0</v>
      </c>
      <c r="AD108" s="68">
        <v>44876.494305556</v>
      </c>
      <c r="AE108" s="68">
        <v>44876.494305556</v>
      </c>
    </row>
    <row r="109" spans="1:31" x14ac:dyDescent="0.25">
      <c r="A109">
        <v>108</v>
      </c>
      <c r="B109" s="67" t="s">
        <v>921</v>
      </c>
      <c r="C109" t="s">
        <v>922</v>
      </c>
      <c r="D109" t="s">
        <v>568</v>
      </c>
      <c r="E109" t="s">
        <v>282</v>
      </c>
      <c r="F109" t="s">
        <v>282</v>
      </c>
      <c r="G109" t="s">
        <v>885</v>
      </c>
      <c r="H109">
        <v>2</v>
      </c>
      <c r="I109">
        <v>5</v>
      </c>
      <c r="J109" t="s">
        <v>886</v>
      </c>
      <c r="K109">
        <v>25</v>
      </c>
      <c r="L109" t="s">
        <v>304</v>
      </c>
      <c r="M109" t="s">
        <v>570</v>
      </c>
      <c r="P109" t="s">
        <v>569</v>
      </c>
      <c r="U109" s="54"/>
      <c r="V109" t="s">
        <v>887</v>
      </c>
      <c r="W109" s="54">
        <v>44846</v>
      </c>
      <c r="X109" s="54"/>
      <c r="Y109" t="s">
        <v>457</v>
      </c>
      <c r="AB109" s="54"/>
      <c r="AC109">
        <v>0</v>
      </c>
      <c r="AD109" s="68">
        <v>44876.496365740997</v>
      </c>
      <c r="AE109" s="68">
        <v>44876.496365740997</v>
      </c>
    </row>
  </sheetData>
  <conditionalFormatting sqref="T1">
    <cfRule type="cellIs" dxfId="38" priority="194" operator="lessThan">
      <formula>14</formula>
    </cfRule>
    <cfRule type="cellIs" dxfId="37" priority="195" operator="greaterThan">
      <formula>14</formula>
    </cfRule>
  </conditionalFormatting>
  <conditionalFormatting sqref="B1">
    <cfRule type="duplicateValues" dxfId="36" priority="193"/>
  </conditionalFormatting>
  <conditionalFormatting sqref="B1">
    <cfRule type="duplicateValues" dxfId="35" priority="192"/>
  </conditionalFormatting>
  <conditionalFormatting sqref="B1:C1">
    <cfRule type="duplicateValues" dxfId="34" priority="18"/>
  </conditionalFormatting>
  <conditionalFormatting sqref="B1:B1048576">
    <cfRule type="duplicateValues" dxfId="33" priority="4205"/>
    <cfRule type="duplicateValues" dxfId="32" priority="4206"/>
  </conditionalFormatting>
  <conditionalFormatting sqref="B1:C1048576">
    <cfRule type="duplicateValues" dxfId="31" priority="4211"/>
  </conditionalFormatting>
  <conditionalFormatting sqref="B2:B1048576">
    <cfRule type="duplicateValues" dxfId="30" priority="4214"/>
  </conditionalFormatting>
  <conditionalFormatting sqref="B2:B1048576">
    <cfRule type="duplicateValues" dxfId="29" priority="4216"/>
    <cfRule type="duplicateValues" dxfId="28" priority="4217"/>
  </conditionalFormatting>
  <conditionalFormatting sqref="B2:C1048576">
    <cfRule type="duplicateValues" dxfId="27" priority="4220"/>
  </conditionalFormatting>
  <pageMargins left="0.7" right="0.7" top="0.75" bottom="0.75" header="0.3" footer="0.3"/>
  <pageSetup paperSize="9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workbookViewId="0">
      <selection activeCell="B13" sqref="B13"/>
    </sheetView>
  </sheetViews>
  <sheetFormatPr defaultColWidth="19.5703125" defaultRowHeight="15" x14ac:dyDescent="0.25"/>
  <cols>
    <col min="1" max="1" width="6.140625" style="55" customWidth="1"/>
    <col min="2" max="2" width="18" customWidth="1"/>
    <col min="3" max="3" width="17" customWidth="1"/>
    <col min="4" max="4" width="15.28515625" customWidth="1"/>
    <col min="5" max="5" width="12.85546875" customWidth="1"/>
    <col min="6" max="6" width="12.42578125" customWidth="1"/>
    <col min="7" max="7" width="15.42578125" customWidth="1"/>
    <col min="8" max="8" width="6.140625" customWidth="1"/>
    <col min="9" max="9" width="6.28515625" customWidth="1"/>
    <col min="10" max="10" width="16.85546875" customWidth="1"/>
    <col min="11" max="11" width="7.28515625" customWidth="1"/>
    <col min="12" max="12" width="9.140625" customWidth="1"/>
    <col min="13" max="13" width="11.42578125" customWidth="1"/>
    <col min="18" max="19" width="19.5703125" style="54"/>
    <col min="20" max="20" width="19.5703125" style="55"/>
    <col min="22" max="22" width="28.5703125" customWidth="1"/>
    <col min="26" max="26" width="19.5703125" style="55"/>
  </cols>
  <sheetData>
    <row r="1" spans="1:32" ht="16.899999999999999" customHeight="1" x14ac:dyDescent="0.25">
      <c r="A1" s="55" t="s">
        <v>1</v>
      </c>
      <c r="B1" s="67" t="s">
        <v>442</v>
      </c>
      <c r="C1" t="s">
        <v>431</v>
      </c>
      <c r="D1" t="s">
        <v>460</v>
      </c>
      <c r="E1" t="s">
        <v>432</v>
      </c>
      <c r="F1" t="s">
        <v>2</v>
      </c>
      <c r="G1" t="s">
        <v>433</v>
      </c>
      <c r="H1" t="s">
        <v>462</v>
      </c>
      <c r="I1" t="s">
        <v>463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54" t="s">
        <v>450</v>
      </c>
      <c r="V1" t="s">
        <v>451</v>
      </c>
      <c r="W1" s="54" t="s">
        <v>452</v>
      </c>
      <c r="X1" s="54" t="s">
        <v>453</v>
      </c>
      <c r="Y1" t="s">
        <v>438</v>
      </c>
      <c r="Z1" t="s">
        <v>454</v>
      </c>
      <c r="AA1" s="68" t="s">
        <v>455</v>
      </c>
      <c r="AB1" s="68" t="s">
        <v>456</v>
      </c>
      <c r="AF1" s="68"/>
    </row>
    <row r="2" spans="1:32" x14ac:dyDescent="0.25">
      <c r="A2">
        <v>1</v>
      </c>
      <c r="B2" s="67" t="s">
        <v>901</v>
      </c>
      <c r="C2" t="s">
        <v>902</v>
      </c>
      <c r="D2" t="s">
        <v>568</v>
      </c>
      <c r="E2" t="s">
        <v>282</v>
      </c>
      <c r="F2" t="s">
        <v>282</v>
      </c>
      <c r="G2" t="s">
        <v>885</v>
      </c>
      <c r="H2">
        <v>2</v>
      </c>
      <c r="I2">
        <v>5</v>
      </c>
      <c r="J2" t="s">
        <v>886</v>
      </c>
      <c r="K2">
        <v>5</v>
      </c>
      <c r="L2" t="s">
        <v>304</v>
      </c>
      <c r="M2" t="s">
        <v>570</v>
      </c>
      <c r="P2" t="s">
        <v>569</v>
      </c>
      <c r="R2"/>
      <c r="S2"/>
      <c r="T2"/>
      <c r="U2" s="54"/>
      <c r="V2" t="s">
        <v>887</v>
      </c>
      <c r="W2" s="54">
        <v>44846</v>
      </c>
      <c r="X2" s="54"/>
      <c r="Y2" t="s">
        <v>457</v>
      </c>
      <c r="Z2"/>
      <c r="AB2" s="54"/>
      <c r="AC2">
        <v>0</v>
      </c>
      <c r="AD2" s="68">
        <v>44876.417488425999</v>
      </c>
      <c r="AE2" s="68">
        <v>44876.417488425999</v>
      </c>
      <c r="AF2" s="21"/>
    </row>
    <row r="3" spans="1:32" x14ac:dyDescent="0.25">
      <c r="A3">
        <v>2</v>
      </c>
      <c r="B3" s="67" t="s">
        <v>903</v>
      </c>
      <c r="C3" t="s">
        <v>904</v>
      </c>
      <c r="D3" t="s">
        <v>568</v>
      </c>
      <c r="E3" t="s">
        <v>282</v>
      </c>
      <c r="F3" t="s">
        <v>282</v>
      </c>
      <c r="G3" t="s">
        <v>885</v>
      </c>
      <c r="H3">
        <v>2</v>
      </c>
      <c r="I3">
        <v>5</v>
      </c>
      <c r="J3" t="s">
        <v>886</v>
      </c>
      <c r="K3">
        <v>49</v>
      </c>
      <c r="L3" t="s">
        <v>304</v>
      </c>
      <c r="M3" t="s">
        <v>570</v>
      </c>
      <c r="P3" t="s">
        <v>569</v>
      </c>
      <c r="R3"/>
      <c r="S3"/>
      <c r="T3"/>
      <c r="U3" s="54"/>
      <c r="V3" t="s">
        <v>887</v>
      </c>
      <c r="W3" s="54">
        <v>44846</v>
      </c>
      <c r="X3" s="54"/>
      <c r="Y3" t="s">
        <v>457</v>
      </c>
      <c r="Z3"/>
      <c r="AB3" s="54"/>
      <c r="AC3">
        <v>0</v>
      </c>
      <c r="AD3" s="68">
        <v>44876.420138889</v>
      </c>
      <c r="AE3" s="68">
        <v>44876.420138889</v>
      </c>
      <c r="AF3" s="21"/>
    </row>
    <row r="4" spans="1:32" x14ac:dyDescent="0.25">
      <c r="A4">
        <v>3</v>
      </c>
      <c r="B4" s="67" t="s">
        <v>905</v>
      </c>
      <c r="C4" t="s">
        <v>906</v>
      </c>
      <c r="D4" t="s">
        <v>568</v>
      </c>
      <c r="E4" t="s">
        <v>282</v>
      </c>
      <c r="F4" t="s">
        <v>282</v>
      </c>
      <c r="G4" t="s">
        <v>885</v>
      </c>
      <c r="H4">
        <v>2</v>
      </c>
      <c r="I4">
        <v>5</v>
      </c>
      <c r="J4" t="s">
        <v>886</v>
      </c>
      <c r="K4">
        <v>24</v>
      </c>
      <c r="L4" t="s">
        <v>304</v>
      </c>
      <c r="M4" t="s">
        <v>570</v>
      </c>
      <c r="P4" t="s">
        <v>569</v>
      </c>
      <c r="R4"/>
      <c r="S4"/>
      <c r="T4"/>
      <c r="U4" s="54"/>
      <c r="V4" t="s">
        <v>887</v>
      </c>
      <c r="W4" s="54">
        <v>44846</v>
      </c>
      <c r="X4" s="54"/>
      <c r="Y4" t="s">
        <v>457</v>
      </c>
      <c r="Z4"/>
      <c r="AB4" s="54"/>
      <c r="AC4">
        <v>0</v>
      </c>
      <c r="AD4" s="68">
        <v>44876.427870369997</v>
      </c>
      <c r="AE4" s="68">
        <v>44876.427870369997</v>
      </c>
      <c r="AF4" s="21"/>
    </row>
    <row r="5" spans="1:32" x14ac:dyDescent="0.25">
      <c r="A5">
        <v>4</v>
      </c>
      <c r="B5" s="67" t="s">
        <v>907</v>
      </c>
      <c r="C5" t="s">
        <v>908</v>
      </c>
      <c r="D5" t="s">
        <v>568</v>
      </c>
      <c r="E5" t="s">
        <v>282</v>
      </c>
      <c r="F5" t="s">
        <v>282</v>
      </c>
      <c r="G5" t="s">
        <v>885</v>
      </c>
      <c r="H5">
        <v>2</v>
      </c>
      <c r="I5">
        <v>5</v>
      </c>
      <c r="J5" t="s">
        <v>886</v>
      </c>
      <c r="K5">
        <v>47</v>
      </c>
      <c r="L5" t="s">
        <v>304</v>
      </c>
      <c r="M5" t="s">
        <v>570</v>
      </c>
      <c r="P5" t="s">
        <v>569</v>
      </c>
      <c r="R5"/>
      <c r="S5"/>
      <c r="T5"/>
      <c r="U5" s="54"/>
      <c r="V5" t="s">
        <v>887</v>
      </c>
      <c r="W5" s="54">
        <v>44846</v>
      </c>
      <c r="X5" s="54"/>
      <c r="Y5" t="s">
        <v>457</v>
      </c>
      <c r="Z5"/>
      <c r="AB5" s="54"/>
      <c r="AC5">
        <v>0</v>
      </c>
      <c r="AD5" s="68">
        <v>44876.475439815003</v>
      </c>
      <c r="AE5" s="68">
        <v>44876.475439815003</v>
      </c>
      <c r="AF5" s="21"/>
    </row>
    <row r="6" spans="1:32" x14ac:dyDescent="0.25">
      <c r="A6">
        <v>5</v>
      </c>
      <c r="B6" s="67" t="s">
        <v>909</v>
      </c>
      <c r="C6" t="s">
        <v>910</v>
      </c>
      <c r="D6" t="s">
        <v>568</v>
      </c>
      <c r="E6" t="s">
        <v>282</v>
      </c>
      <c r="F6" t="s">
        <v>282</v>
      </c>
      <c r="G6" t="s">
        <v>885</v>
      </c>
      <c r="H6">
        <v>2</v>
      </c>
      <c r="I6">
        <v>5</v>
      </c>
      <c r="J6" t="s">
        <v>886</v>
      </c>
      <c r="K6">
        <v>45</v>
      </c>
      <c r="L6" t="s">
        <v>306</v>
      </c>
      <c r="M6" t="s">
        <v>570</v>
      </c>
      <c r="P6" t="s">
        <v>569</v>
      </c>
      <c r="R6"/>
      <c r="S6"/>
      <c r="T6"/>
      <c r="U6" s="54"/>
      <c r="V6" t="s">
        <v>887</v>
      </c>
      <c r="W6" s="54">
        <v>44846</v>
      </c>
      <c r="X6" s="54"/>
      <c r="Y6" t="s">
        <v>457</v>
      </c>
      <c r="Z6"/>
      <c r="AB6" s="54"/>
      <c r="AC6">
        <v>0</v>
      </c>
      <c r="AD6" s="68">
        <v>44876.478402777997</v>
      </c>
      <c r="AE6" s="68">
        <v>44876.478402777997</v>
      </c>
      <c r="AF6" s="21"/>
    </row>
    <row r="7" spans="1:32" x14ac:dyDescent="0.25">
      <c r="A7">
        <v>6</v>
      </c>
      <c r="B7" s="67" t="s">
        <v>911</v>
      </c>
      <c r="C7" t="s">
        <v>912</v>
      </c>
      <c r="D7" t="s">
        <v>568</v>
      </c>
      <c r="E7" t="s">
        <v>282</v>
      </c>
      <c r="F7" t="s">
        <v>282</v>
      </c>
      <c r="G7" t="s">
        <v>885</v>
      </c>
      <c r="H7">
        <v>2</v>
      </c>
      <c r="I7">
        <v>5</v>
      </c>
      <c r="J7" t="s">
        <v>886</v>
      </c>
      <c r="K7">
        <v>16</v>
      </c>
      <c r="L7" t="s">
        <v>306</v>
      </c>
      <c r="M7" t="s">
        <v>570</v>
      </c>
      <c r="P7" t="s">
        <v>569</v>
      </c>
      <c r="R7"/>
      <c r="S7"/>
      <c r="T7"/>
      <c r="U7" s="54"/>
      <c r="V7" t="s">
        <v>887</v>
      </c>
      <c r="W7" s="54">
        <v>44846</v>
      </c>
      <c r="X7" s="54"/>
      <c r="Y7" t="s">
        <v>457</v>
      </c>
      <c r="Z7"/>
      <c r="AB7" s="54"/>
      <c r="AC7">
        <v>0</v>
      </c>
      <c r="AD7" s="68">
        <v>44876.481863426001</v>
      </c>
      <c r="AE7" s="68">
        <v>44876.481863426001</v>
      </c>
      <c r="AF7" s="21"/>
    </row>
    <row r="8" spans="1:32" x14ac:dyDescent="0.25">
      <c r="A8">
        <v>7</v>
      </c>
      <c r="B8" s="67" t="s">
        <v>913</v>
      </c>
      <c r="C8" t="s">
        <v>914</v>
      </c>
      <c r="D8" t="s">
        <v>568</v>
      </c>
      <c r="E8" t="s">
        <v>282</v>
      </c>
      <c r="F8" t="s">
        <v>282</v>
      </c>
      <c r="G8" t="s">
        <v>885</v>
      </c>
      <c r="H8">
        <v>2</v>
      </c>
      <c r="I8">
        <v>5</v>
      </c>
      <c r="J8" t="s">
        <v>886</v>
      </c>
      <c r="K8">
        <v>6</v>
      </c>
      <c r="L8" t="s">
        <v>306</v>
      </c>
      <c r="M8" t="s">
        <v>570</v>
      </c>
      <c r="P8" t="s">
        <v>569</v>
      </c>
      <c r="R8"/>
      <c r="S8"/>
      <c r="T8"/>
      <c r="U8" s="54"/>
      <c r="V8" t="s">
        <v>887</v>
      </c>
      <c r="W8" s="54">
        <v>44846</v>
      </c>
      <c r="X8" s="54"/>
      <c r="Y8" t="s">
        <v>457</v>
      </c>
      <c r="Z8"/>
      <c r="AB8" s="54"/>
      <c r="AC8">
        <v>0</v>
      </c>
      <c r="AD8" s="68">
        <v>44876.483935185002</v>
      </c>
      <c r="AE8" s="68">
        <v>44876.483935185002</v>
      </c>
      <c r="AF8" s="21"/>
    </row>
    <row r="9" spans="1:32" x14ac:dyDescent="0.25">
      <c r="A9">
        <v>8</v>
      </c>
      <c r="B9" s="67" t="s">
        <v>915</v>
      </c>
      <c r="C9" t="s">
        <v>916</v>
      </c>
      <c r="D9" t="s">
        <v>568</v>
      </c>
      <c r="E9" t="s">
        <v>282</v>
      </c>
      <c r="F9" t="s">
        <v>282</v>
      </c>
      <c r="G9" t="s">
        <v>885</v>
      </c>
      <c r="H9">
        <v>2</v>
      </c>
      <c r="I9">
        <v>5</v>
      </c>
      <c r="J9" t="s">
        <v>886</v>
      </c>
      <c r="K9">
        <v>33</v>
      </c>
      <c r="L9" t="s">
        <v>306</v>
      </c>
      <c r="M9" t="s">
        <v>570</v>
      </c>
      <c r="P9" t="s">
        <v>569</v>
      </c>
      <c r="R9"/>
      <c r="S9"/>
      <c r="T9"/>
      <c r="U9" s="54"/>
      <c r="V9" t="s">
        <v>887</v>
      </c>
      <c r="W9" s="54">
        <v>44846</v>
      </c>
      <c r="X9" s="54"/>
      <c r="Y9" t="s">
        <v>457</v>
      </c>
      <c r="Z9"/>
      <c r="AB9" s="54"/>
      <c r="AC9">
        <v>0</v>
      </c>
      <c r="AD9" s="68">
        <v>44876.487094907003</v>
      </c>
      <c r="AE9" s="68">
        <v>44876.487094907003</v>
      </c>
      <c r="AF9" s="21"/>
    </row>
    <row r="10" spans="1:32" x14ac:dyDescent="0.25">
      <c r="A10">
        <v>9</v>
      </c>
      <c r="B10" s="67" t="s">
        <v>917</v>
      </c>
      <c r="C10" t="s">
        <v>918</v>
      </c>
      <c r="D10" t="s">
        <v>568</v>
      </c>
      <c r="E10" t="s">
        <v>282</v>
      </c>
      <c r="F10" t="s">
        <v>282</v>
      </c>
      <c r="G10" t="s">
        <v>885</v>
      </c>
      <c r="H10">
        <v>2</v>
      </c>
      <c r="I10">
        <v>5</v>
      </c>
      <c r="J10" t="s">
        <v>886</v>
      </c>
      <c r="K10">
        <v>57</v>
      </c>
      <c r="L10" t="s">
        <v>304</v>
      </c>
      <c r="M10" t="s">
        <v>570</v>
      </c>
      <c r="P10" t="s">
        <v>569</v>
      </c>
      <c r="R10"/>
      <c r="S10"/>
      <c r="T10"/>
      <c r="U10" s="54"/>
      <c r="V10" t="s">
        <v>887</v>
      </c>
      <c r="W10" s="54">
        <v>44846</v>
      </c>
      <c r="X10" s="54"/>
      <c r="Y10" t="s">
        <v>457</v>
      </c>
      <c r="Z10"/>
      <c r="AB10" s="54"/>
      <c r="AC10">
        <v>0</v>
      </c>
      <c r="AD10" s="68">
        <v>44876.492627314998</v>
      </c>
      <c r="AE10" s="68">
        <v>44876.492627314998</v>
      </c>
      <c r="AF10" s="21"/>
    </row>
    <row r="11" spans="1:32" x14ac:dyDescent="0.25">
      <c r="A11">
        <v>10</v>
      </c>
      <c r="B11" s="67" t="s">
        <v>919</v>
      </c>
      <c r="C11" t="s">
        <v>920</v>
      </c>
      <c r="D11" t="s">
        <v>568</v>
      </c>
      <c r="E11" t="s">
        <v>282</v>
      </c>
      <c r="F11" t="s">
        <v>282</v>
      </c>
      <c r="G11" t="s">
        <v>885</v>
      </c>
      <c r="H11">
        <v>2</v>
      </c>
      <c r="I11">
        <v>5</v>
      </c>
      <c r="J11" t="s">
        <v>886</v>
      </c>
      <c r="K11">
        <v>53</v>
      </c>
      <c r="L11" t="s">
        <v>304</v>
      </c>
      <c r="M11" t="s">
        <v>570</v>
      </c>
      <c r="P11" t="s">
        <v>569</v>
      </c>
      <c r="R11"/>
      <c r="S11"/>
      <c r="T11"/>
      <c r="U11" s="54"/>
      <c r="V11" t="s">
        <v>887</v>
      </c>
      <c r="W11" s="54">
        <v>44846</v>
      </c>
      <c r="X11" s="54"/>
      <c r="Y11" t="s">
        <v>457</v>
      </c>
      <c r="Z11"/>
      <c r="AB11" s="54"/>
      <c r="AC11">
        <v>0</v>
      </c>
      <c r="AD11" s="68">
        <v>44876.494305556</v>
      </c>
      <c r="AE11" s="68">
        <v>44876.494305556</v>
      </c>
      <c r="AF11" s="21"/>
    </row>
    <row r="12" spans="1:32" x14ac:dyDescent="0.25">
      <c r="A12">
        <v>11</v>
      </c>
      <c r="B12" s="67" t="s">
        <v>921</v>
      </c>
      <c r="C12" t="s">
        <v>922</v>
      </c>
      <c r="D12" t="s">
        <v>568</v>
      </c>
      <c r="E12" t="s">
        <v>282</v>
      </c>
      <c r="F12" t="s">
        <v>282</v>
      </c>
      <c r="G12" t="s">
        <v>885</v>
      </c>
      <c r="H12">
        <v>2</v>
      </c>
      <c r="I12">
        <v>5</v>
      </c>
      <c r="J12" t="s">
        <v>886</v>
      </c>
      <c r="K12">
        <v>25</v>
      </c>
      <c r="L12" t="s">
        <v>304</v>
      </c>
      <c r="M12" t="s">
        <v>570</v>
      </c>
      <c r="P12" t="s">
        <v>569</v>
      </c>
      <c r="R12"/>
      <c r="S12"/>
      <c r="T12"/>
      <c r="U12" s="54"/>
      <c r="V12" t="s">
        <v>887</v>
      </c>
      <c r="W12" s="54">
        <v>44846</v>
      </c>
      <c r="X12" s="54"/>
      <c r="Y12" t="s">
        <v>457</v>
      </c>
      <c r="Z12"/>
      <c r="AB12" s="54"/>
      <c r="AC12">
        <v>0</v>
      </c>
      <c r="AD12" s="68">
        <v>44876.496365740997</v>
      </c>
      <c r="AE12" s="68">
        <v>44876.496365740997</v>
      </c>
      <c r="AF12" s="21"/>
    </row>
  </sheetData>
  <conditionalFormatting sqref="T1 T13:T1048576">
    <cfRule type="cellIs" dxfId="26" priority="1431" operator="lessThan">
      <formula>14</formula>
    </cfRule>
    <cfRule type="cellIs" dxfId="25" priority="1432" operator="greaterThan">
      <formula>14</formula>
    </cfRule>
  </conditionalFormatting>
  <conditionalFormatting sqref="B1 B13:B1048576">
    <cfRule type="duplicateValues" dxfId="24" priority="4242"/>
  </conditionalFormatting>
  <conditionalFormatting sqref="B13:B1048576">
    <cfRule type="duplicateValues" dxfId="23" priority="4245"/>
  </conditionalFormatting>
  <conditionalFormatting sqref="B2:B12">
    <cfRule type="duplicateValues" dxfId="22" priority="1"/>
    <cfRule type="duplicateValues" dxfId="21" priority="2"/>
  </conditionalFormatting>
  <conditionalFormatting sqref="B2:C12">
    <cfRule type="duplicateValues" dxfId="20" priority="3"/>
  </conditionalFormatting>
  <conditionalFormatting sqref="B2:B12">
    <cfRule type="duplicateValues" dxfId="19" priority="4"/>
  </conditionalFormatting>
  <conditionalFormatting sqref="B2:B12">
    <cfRule type="duplicateValues" dxfId="18" priority="5"/>
    <cfRule type="duplicateValues" dxfId="17" priority="6"/>
  </conditionalFormatting>
  <conditionalFormatting sqref="B2:C12">
    <cfRule type="duplicateValues" dxfId="16" priority="7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workbookViewId="0">
      <selection activeCell="B23" sqref="B23"/>
    </sheetView>
  </sheetViews>
  <sheetFormatPr defaultRowHeight="15" x14ac:dyDescent="0.25"/>
  <cols>
    <col min="1" max="1" width="5.5703125" customWidth="1"/>
    <col min="2" max="2" width="18.7109375" customWidth="1"/>
    <col min="3" max="3" width="16.28515625" customWidth="1"/>
    <col min="4" max="4" width="11.42578125" customWidth="1"/>
    <col min="5" max="5" width="22.5703125" customWidth="1"/>
    <col min="6" max="6" width="40.140625" customWidth="1"/>
    <col min="9" max="9" width="14.5703125" customWidth="1"/>
    <col min="17" max="17" width="20.140625" customWidth="1"/>
    <col min="18" max="18" width="13.140625" customWidth="1"/>
    <col min="19" max="19" width="14.85546875" customWidth="1"/>
    <col min="23" max="23" width="11.85546875" customWidth="1"/>
    <col min="25" max="25" width="22.42578125" customWidth="1"/>
    <col min="26" max="26" width="20.42578125" customWidth="1"/>
    <col min="27" max="27" width="15.28515625" customWidth="1"/>
    <col min="28" max="28" width="14.28515625" customWidth="1"/>
    <col min="29" max="29" width="11.5703125" customWidth="1"/>
    <col min="30" max="31" width="13.5703125" customWidth="1"/>
    <col min="32" max="32" width="14.42578125" customWidth="1"/>
  </cols>
  <sheetData>
    <row r="1" spans="1:32" ht="16.5" customHeight="1" x14ac:dyDescent="0.25">
      <c r="A1" t="s">
        <v>1</v>
      </c>
      <c r="B1" s="67" t="s">
        <v>442</v>
      </c>
      <c r="C1" t="s">
        <v>431</v>
      </c>
      <c r="D1" t="s">
        <v>460</v>
      </c>
      <c r="E1" t="s">
        <v>432</v>
      </c>
      <c r="F1" t="s">
        <v>2</v>
      </c>
      <c r="G1" t="s">
        <v>433</v>
      </c>
      <c r="H1" t="s">
        <v>462</v>
      </c>
      <c r="I1" t="s">
        <v>463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54" t="s">
        <v>450</v>
      </c>
      <c r="V1" t="s">
        <v>451</v>
      </c>
      <c r="W1" s="54" t="s">
        <v>452</v>
      </c>
      <c r="X1" s="54" t="s">
        <v>453</v>
      </c>
      <c r="Y1" t="s">
        <v>438</v>
      </c>
      <c r="Z1" t="s">
        <v>454</v>
      </c>
      <c r="AA1" s="68" t="s">
        <v>455</v>
      </c>
      <c r="AB1" s="68" t="s">
        <v>456</v>
      </c>
    </row>
    <row r="2" spans="1:32" x14ac:dyDescent="0.25">
      <c r="A2">
        <v>1</v>
      </c>
      <c r="B2" s="67" t="s">
        <v>575</v>
      </c>
      <c r="C2" t="s">
        <v>576</v>
      </c>
      <c r="D2" t="s">
        <v>568</v>
      </c>
      <c r="E2" t="s">
        <v>282</v>
      </c>
      <c r="F2" t="s">
        <v>284</v>
      </c>
      <c r="G2" t="s">
        <v>342</v>
      </c>
      <c r="H2">
        <v>7</v>
      </c>
      <c r="I2">
        <v>7</v>
      </c>
      <c r="J2" t="s">
        <v>577</v>
      </c>
      <c r="K2">
        <v>53</v>
      </c>
      <c r="L2" t="s">
        <v>306</v>
      </c>
      <c r="M2" t="s">
        <v>578</v>
      </c>
      <c r="P2" t="s">
        <v>572</v>
      </c>
      <c r="U2" s="54"/>
      <c r="V2" t="s">
        <v>573</v>
      </c>
      <c r="W2" s="54">
        <v>44862</v>
      </c>
      <c r="X2" s="54"/>
      <c r="Y2" t="s">
        <v>457</v>
      </c>
      <c r="AB2" s="54"/>
      <c r="AC2">
        <v>2</v>
      </c>
      <c r="AD2" s="68">
        <v>44862.398854166997</v>
      </c>
      <c r="AE2" s="68">
        <v>44862.398854166997</v>
      </c>
      <c r="AF2" s="21"/>
    </row>
    <row r="3" spans="1:32" x14ac:dyDescent="0.25">
      <c r="A3">
        <v>2</v>
      </c>
      <c r="B3" s="67" t="s">
        <v>579</v>
      </c>
      <c r="C3" t="s">
        <v>580</v>
      </c>
      <c r="D3" t="s">
        <v>568</v>
      </c>
      <c r="E3" t="s">
        <v>282</v>
      </c>
      <c r="F3" t="s">
        <v>284</v>
      </c>
      <c r="G3" t="s">
        <v>342</v>
      </c>
      <c r="H3">
        <v>7</v>
      </c>
      <c r="I3">
        <v>7</v>
      </c>
      <c r="J3" t="s">
        <v>577</v>
      </c>
      <c r="K3">
        <v>31</v>
      </c>
      <c r="L3" t="s">
        <v>306</v>
      </c>
      <c r="M3" t="s">
        <v>578</v>
      </c>
      <c r="P3" t="s">
        <v>572</v>
      </c>
      <c r="U3" s="54"/>
      <c r="V3" t="s">
        <v>573</v>
      </c>
      <c r="W3" s="54">
        <v>44862</v>
      </c>
      <c r="X3" s="54"/>
      <c r="Y3" t="s">
        <v>457</v>
      </c>
      <c r="AB3" s="54"/>
      <c r="AC3">
        <v>2</v>
      </c>
      <c r="AD3" s="68">
        <v>44862.400000000001</v>
      </c>
      <c r="AE3" s="68">
        <v>44862.400000000001</v>
      </c>
      <c r="AF3" s="21"/>
    </row>
    <row r="4" spans="1:32" x14ac:dyDescent="0.25">
      <c r="A4">
        <v>3</v>
      </c>
      <c r="B4" s="67" t="s">
        <v>581</v>
      </c>
      <c r="C4" t="s">
        <v>582</v>
      </c>
      <c r="D4" t="s">
        <v>568</v>
      </c>
      <c r="E4" t="s">
        <v>282</v>
      </c>
      <c r="F4" t="s">
        <v>284</v>
      </c>
      <c r="G4" t="s">
        <v>342</v>
      </c>
      <c r="H4">
        <v>7</v>
      </c>
      <c r="I4">
        <v>7</v>
      </c>
      <c r="J4" t="s">
        <v>577</v>
      </c>
      <c r="K4">
        <v>26</v>
      </c>
      <c r="L4" t="s">
        <v>304</v>
      </c>
      <c r="M4" t="s">
        <v>583</v>
      </c>
      <c r="P4" t="s">
        <v>572</v>
      </c>
      <c r="U4" s="54"/>
      <c r="V4" t="s">
        <v>573</v>
      </c>
      <c r="W4" s="54">
        <v>44862</v>
      </c>
      <c r="X4" s="54"/>
      <c r="Y4" t="s">
        <v>457</v>
      </c>
      <c r="AB4" s="54"/>
      <c r="AC4">
        <v>1</v>
      </c>
      <c r="AD4" s="68">
        <v>44862.402673611003</v>
      </c>
      <c r="AE4" s="68">
        <v>44862.402673611003</v>
      </c>
      <c r="AF4" s="21"/>
    </row>
    <row r="5" spans="1:32" x14ac:dyDescent="0.25">
      <c r="A5">
        <v>4</v>
      </c>
      <c r="B5" s="67" t="s">
        <v>584</v>
      </c>
      <c r="C5" t="s">
        <v>585</v>
      </c>
      <c r="D5" t="s">
        <v>568</v>
      </c>
      <c r="E5" t="s">
        <v>282</v>
      </c>
      <c r="F5" t="s">
        <v>284</v>
      </c>
      <c r="G5" t="s">
        <v>342</v>
      </c>
      <c r="H5">
        <v>7</v>
      </c>
      <c r="I5">
        <v>7</v>
      </c>
      <c r="J5" t="s">
        <v>577</v>
      </c>
      <c r="K5">
        <v>80</v>
      </c>
      <c r="L5" t="s">
        <v>306</v>
      </c>
      <c r="M5" t="s">
        <v>307</v>
      </c>
      <c r="P5" t="s">
        <v>572</v>
      </c>
      <c r="U5" s="54"/>
      <c r="V5" t="s">
        <v>573</v>
      </c>
      <c r="W5" s="54">
        <v>44862</v>
      </c>
      <c r="X5" s="54"/>
      <c r="Y5" t="s">
        <v>457</v>
      </c>
      <c r="AB5" s="54"/>
      <c r="AC5">
        <v>1</v>
      </c>
      <c r="AD5" s="68">
        <v>44862.403425926001</v>
      </c>
      <c r="AE5" s="68">
        <v>44862.403425926001</v>
      </c>
      <c r="AF5" s="21"/>
    </row>
    <row r="6" spans="1:32" x14ac:dyDescent="0.25">
      <c r="A6">
        <v>5</v>
      </c>
      <c r="B6" s="67" t="s">
        <v>586</v>
      </c>
      <c r="C6" t="s">
        <v>587</v>
      </c>
      <c r="D6" t="s">
        <v>568</v>
      </c>
      <c r="E6" t="s">
        <v>282</v>
      </c>
      <c r="F6" t="s">
        <v>284</v>
      </c>
      <c r="G6" t="s">
        <v>342</v>
      </c>
      <c r="H6">
        <v>7</v>
      </c>
      <c r="I6">
        <v>7</v>
      </c>
      <c r="J6" t="s">
        <v>577</v>
      </c>
      <c r="K6">
        <v>34</v>
      </c>
      <c r="L6" t="s">
        <v>304</v>
      </c>
      <c r="M6" t="s">
        <v>307</v>
      </c>
      <c r="P6" t="s">
        <v>572</v>
      </c>
      <c r="U6" s="54"/>
      <c r="V6" t="s">
        <v>573</v>
      </c>
      <c r="W6" s="54">
        <v>44862</v>
      </c>
      <c r="X6" s="54"/>
      <c r="Y6" t="s">
        <v>457</v>
      </c>
      <c r="AB6" s="54"/>
      <c r="AC6">
        <v>2</v>
      </c>
      <c r="AD6" s="68">
        <v>44862.404270833002</v>
      </c>
      <c r="AE6" s="68">
        <v>44862.404270833002</v>
      </c>
      <c r="AF6" s="21"/>
    </row>
    <row r="7" spans="1:32" x14ac:dyDescent="0.25">
      <c r="A7">
        <v>6</v>
      </c>
      <c r="B7" s="67" t="s">
        <v>588</v>
      </c>
      <c r="C7" t="s">
        <v>589</v>
      </c>
      <c r="D7" t="s">
        <v>568</v>
      </c>
      <c r="E7" t="s">
        <v>282</v>
      </c>
      <c r="F7" t="s">
        <v>284</v>
      </c>
      <c r="G7" t="s">
        <v>342</v>
      </c>
      <c r="H7">
        <v>7</v>
      </c>
      <c r="I7">
        <v>7</v>
      </c>
      <c r="J7" t="s">
        <v>590</v>
      </c>
      <c r="K7">
        <v>56</v>
      </c>
      <c r="L7" t="s">
        <v>306</v>
      </c>
      <c r="M7" t="s">
        <v>307</v>
      </c>
      <c r="P7" t="s">
        <v>572</v>
      </c>
      <c r="U7" s="54"/>
      <c r="V7" t="s">
        <v>573</v>
      </c>
      <c r="W7" s="54">
        <v>44862</v>
      </c>
      <c r="X7" s="54"/>
      <c r="Y7" t="s">
        <v>457</v>
      </c>
      <c r="AB7" s="54"/>
      <c r="AC7">
        <v>2</v>
      </c>
      <c r="AD7" s="68">
        <v>44862.405729167003</v>
      </c>
      <c r="AE7" s="68">
        <v>44862.405729167003</v>
      </c>
      <c r="AF7" s="21"/>
    </row>
    <row r="8" spans="1:32" x14ac:dyDescent="0.25">
      <c r="A8">
        <v>7</v>
      </c>
      <c r="B8" s="67" t="s">
        <v>591</v>
      </c>
      <c r="C8" t="s">
        <v>592</v>
      </c>
      <c r="D8" t="s">
        <v>568</v>
      </c>
      <c r="E8" t="s">
        <v>282</v>
      </c>
      <c r="F8" t="s">
        <v>284</v>
      </c>
      <c r="G8" t="s">
        <v>342</v>
      </c>
      <c r="H8">
        <v>7</v>
      </c>
      <c r="I8">
        <v>7</v>
      </c>
      <c r="J8" t="s">
        <v>590</v>
      </c>
      <c r="K8">
        <v>32</v>
      </c>
      <c r="L8" t="s">
        <v>306</v>
      </c>
      <c r="M8" t="s">
        <v>307</v>
      </c>
      <c r="P8" t="s">
        <v>572</v>
      </c>
      <c r="U8" s="54"/>
      <c r="V8" t="s">
        <v>573</v>
      </c>
      <c r="W8" s="54">
        <v>44862</v>
      </c>
      <c r="X8" s="54"/>
      <c r="Y8" t="s">
        <v>457</v>
      </c>
      <c r="AB8" s="54"/>
      <c r="AC8">
        <v>2</v>
      </c>
      <c r="AD8" s="68">
        <v>44862.407106480998</v>
      </c>
      <c r="AE8" s="68">
        <v>44862.407106480998</v>
      </c>
      <c r="AF8" s="21"/>
    </row>
    <row r="9" spans="1:32" x14ac:dyDescent="0.25">
      <c r="A9">
        <v>8</v>
      </c>
      <c r="B9" s="67" t="s">
        <v>593</v>
      </c>
      <c r="C9" t="s">
        <v>594</v>
      </c>
      <c r="D9" t="s">
        <v>568</v>
      </c>
      <c r="E9" t="s">
        <v>282</v>
      </c>
      <c r="F9" t="s">
        <v>284</v>
      </c>
      <c r="G9" t="s">
        <v>342</v>
      </c>
      <c r="H9">
        <v>7</v>
      </c>
      <c r="I9">
        <v>7</v>
      </c>
      <c r="J9" t="s">
        <v>595</v>
      </c>
      <c r="K9">
        <v>29</v>
      </c>
      <c r="L9" t="s">
        <v>304</v>
      </c>
      <c r="M9" t="s">
        <v>307</v>
      </c>
      <c r="P9" t="s">
        <v>572</v>
      </c>
      <c r="U9" s="54"/>
      <c r="V9" t="s">
        <v>573</v>
      </c>
      <c r="W9" s="54">
        <v>44862</v>
      </c>
      <c r="X9" s="54"/>
      <c r="Y9" t="s">
        <v>457</v>
      </c>
      <c r="AB9" s="54"/>
      <c r="AC9">
        <v>0</v>
      </c>
      <c r="AD9" s="68">
        <v>44862.408587963</v>
      </c>
      <c r="AE9" s="68">
        <v>44862.408587963</v>
      </c>
      <c r="AF9" s="21"/>
    </row>
    <row r="10" spans="1:32" x14ac:dyDescent="0.25">
      <c r="A10">
        <v>9</v>
      </c>
      <c r="B10" s="67" t="s">
        <v>596</v>
      </c>
      <c r="C10" t="s">
        <v>597</v>
      </c>
      <c r="D10" t="s">
        <v>568</v>
      </c>
      <c r="E10" t="s">
        <v>282</v>
      </c>
      <c r="F10" t="s">
        <v>284</v>
      </c>
      <c r="G10" t="s">
        <v>342</v>
      </c>
      <c r="H10">
        <v>7</v>
      </c>
      <c r="I10">
        <v>7</v>
      </c>
      <c r="J10" t="s">
        <v>598</v>
      </c>
      <c r="K10">
        <v>61</v>
      </c>
      <c r="L10" t="s">
        <v>304</v>
      </c>
      <c r="M10" t="s">
        <v>307</v>
      </c>
      <c r="P10" t="s">
        <v>572</v>
      </c>
      <c r="U10" s="54"/>
      <c r="V10" t="s">
        <v>573</v>
      </c>
      <c r="W10" s="54">
        <v>44862</v>
      </c>
      <c r="X10" s="54"/>
      <c r="Y10" t="s">
        <v>457</v>
      </c>
      <c r="AB10" s="54"/>
      <c r="AC10">
        <v>1</v>
      </c>
      <c r="AD10" s="68">
        <v>44862.413368055997</v>
      </c>
      <c r="AE10" s="68">
        <v>44862.413368055997</v>
      </c>
      <c r="AF10" s="21"/>
    </row>
    <row r="11" spans="1:32" x14ac:dyDescent="0.25">
      <c r="A11">
        <v>10</v>
      </c>
      <c r="B11" s="67" t="s">
        <v>599</v>
      </c>
      <c r="C11" t="s">
        <v>600</v>
      </c>
      <c r="D11" t="s">
        <v>568</v>
      </c>
      <c r="E11" t="s">
        <v>282</v>
      </c>
      <c r="F11" t="s">
        <v>284</v>
      </c>
      <c r="G11" t="s">
        <v>342</v>
      </c>
      <c r="H11">
        <v>7</v>
      </c>
      <c r="I11">
        <v>7</v>
      </c>
      <c r="J11" t="s">
        <v>598</v>
      </c>
      <c r="K11">
        <v>65</v>
      </c>
      <c r="L11" t="s">
        <v>306</v>
      </c>
      <c r="M11" t="s">
        <v>307</v>
      </c>
      <c r="P11" t="s">
        <v>572</v>
      </c>
      <c r="U11" s="54"/>
      <c r="V11" t="s">
        <v>573</v>
      </c>
      <c r="W11" s="54">
        <v>44862</v>
      </c>
      <c r="X11" s="54"/>
      <c r="Y11" t="s">
        <v>457</v>
      </c>
      <c r="AB11" s="54"/>
      <c r="AC11">
        <v>1</v>
      </c>
      <c r="AD11" s="68">
        <v>44862.414548610999</v>
      </c>
      <c r="AE11" s="68">
        <v>44862.414548610999</v>
      </c>
      <c r="AF11" s="21"/>
    </row>
    <row r="12" spans="1:32" x14ac:dyDescent="0.25">
      <c r="A12">
        <v>11</v>
      </c>
      <c r="B12" s="67" t="s">
        <v>601</v>
      </c>
      <c r="C12" t="s">
        <v>602</v>
      </c>
      <c r="D12" t="s">
        <v>568</v>
      </c>
      <c r="E12" t="s">
        <v>282</v>
      </c>
      <c r="F12" t="s">
        <v>284</v>
      </c>
      <c r="G12" t="s">
        <v>342</v>
      </c>
      <c r="H12">
        <v>7</v>
      </c>
      <c r="I12">
        <v>7</v>
      </c>
      <c r="J12" t="s">
        <v>598</v>
      </c>
      <c r="K12">
        <v>25</v>
      </c>
      <c r="L12" t="s">
        <v>304</v>
      </c>
      <c r="M12" t="s">
        <v>307</v>
      </c>
      <c r="P12" t="s">
        <v>572</v>
      </c>
      <c r="U12" s="54"/>
      <c r="V12" t="s">
        <v>573</v>
      </c>
      <c r="W12" s="54">
        <v>44862</v>
      </c>
      <c r="X12" s="54"/>
      <c r="Y12" t="s">
        <v>457</v>
      </c>
      <c r="AB12" s="54"/>
      <c r="AC12">
        <v>1</v>
      </c>
      <c r="AD12" s="68">
        <v>44862.415671296003</v>
      </c>
      <c r="AE12" s="68">
        <v>44862.415671296003</v>
      </c>
      <c r="AF12" s="21"/>
    </row>
    <row r="13" spans="1:32" x14ac:dyDescent="0.25">
      <c r="A13">
        <v>12</v>
      </c>
      <c r="B13" s="67" t="s">
        <v>603</v>
      </c>
      <c r="C13" t="s">
        <v>604</v>
      </c>
      <c r="D13" t="s">
        <v>568</v>
      </c>
      <c r="E13" t="s">
        <v>282</v>
      </c>
      <c r="F13" t="s">
        <v>284</v>
      </c>
      <c r="G13" t="s">
        <v>342</v>
      </c>
      <c r="H13">
        <v>7</v>
      </c>
      <c r="I13">
        <v>7</v>
      </c>
      <c r="J13" t="s">
        <v>598</v>
      </c>
      <c r="K13">
        <v>19</v>
      </c>
      <c r="L13" t="s">
        <v>306</v>
      </c>
      <c r="M13" t="s">
        <v>307</v>
      </c>
      <c r="P13" t="s">
        <v>572</v>
      </c>
      <c r="U13" s="54"/>
      <c r="V13" t="s">
        <v>573</v>
      </c>
      <c r="W13" s="54">
        <v>44862</v>
      </c>
      <c r="X13" s="54"/>
      <c r="Y13" t="s">
        <v>457</v>
      </c>
      <c r="AB13" s="54"/>
      <c r="AC13">
        <v>1</v>
      </c>
      <c r="AD13" s="68">
        <v>44862.416469907002</v>
      </c>
      <c r="AE13" s="68">
        <v>44862.416469907002</v>
      </c>
      <c r="AF13" s="21"/>
    </row>
    <row r="14" spans="1:32" x14ac:dyDescent="0.25">
      <c r="A14">
        <v>13</v>
      </c>
      <c r="B14" s="67" t="s">
        <v>605</v>
      </c>
      <c r="C14" t="s">
        <v>606</v>
      </c>
      <c r="D14" t="s">
        <v>568</v>
      </c>
      <c r="E14" t="s">
        <v>282</v>
      </c>
      <c r="F14" t="s">
        <v>284</v>
      </c>
      <c r="G14" t="s">
        <v>342</v>
      </c>
      <c r="H14">
        <v>7</v>
      </c>
      <c r="I14">
        <v>7</v>
      </c>
      <c r="J14" t="s">
        <v>607</v>
      </c>
      <c r="K14">
        <v>9</v>
      </c>
      <c r="L14" t="s">
        <v>306</v>
      </c>
      <c r="M14" t="s">
        <v>307</v>
      </c>
      <c r="P14" t="s">
        <v>572</v>
      </c>
      <c r="U14" s="54"/>
      <c r="V14" t="s">
        <v>573</v>
      </c>
      <c r="W14" s="54">
        <v>44862</v>
      </c>
      <c r="X14" s="54"/>
      <c r="Y14" t="s">
        <v>457</v>
      </c>
      <c r="AB14" s="54"/>
      <c r="AC14">
        <v>1</v>
      </c>
      <c r="AD14" s="68">
        <v>44862.424780093002</v>
      </c>
      <c r="AE14" s="68">
        <v>44862.424780093002</v>
      </c>
      <c r="AF14" s="21"/>
    </row>
    <row r="15" spans="1:32" x14ac:dyDescent="0.25">
      <c r="A15">
        <v>14</v>
      </c>
      <c r="B15" s="67" t="s">
        <v>608</v>
      </c>
      <c r="C15" t="s">
        <v>609</v>
      </c>
      <c r="D15" t="s">
        <v>568</v>
      </c>
      <c r="E15" t="s">
        <v>282</v>
      </c>
      <c r="F15" t="s">
        <v>284</v>
      </c>
      <c r="G15" t="s">
        <v>342</v>
      </c>
      <c r="H15">
        <v>7</v>
      </c>
      <c r="I15">
        <v>7</v>
      </c>
      <c r="J15" t="s">
        <v>610</v>
      </c>
      <c r="K15">
        <v>14</v>
      </c>
      <c r="L15" t="s">
        <v>304</v>
      </c>
      <c r="M15" t="s">
        <v>307</v>
      </c>
      <c r="N15" t="s">
        <v>611</v>
      </c>
      <c r="O15" t="s">
        <v>612</v>
      </c>
      <c r="P15" t="s">
        <v>572</v>
      </c>
      <c r="U15" s="54"/>
      <c r="V15" t="s">
        <v>573</v>
      </c>
      <c r="W15" s="54">
        <v>44862</v>
      </c>
      <c r="X15" s="54"/>
      <c r="Y15" t="s">
        <v>457</v>
      </c>
      <c r="AB15" s="54"/>
      <c r="AC15">
        <v>1</v>
      </c>
      <c r="AD15" s="68">
        <v>44862.426111111003</v>
      </c>
      <c r="AE15" s="68">
        <v>44862.426111111003</v>
      </c>
      <c r="AF15" s="21"/>
    </row>
    <row r="16" spans="1:32" x14ac:dyDescent="0.25">
      <c r="A16">
        <v>15</v>
      </c>
      <c r="B16" s="67" t="s">
        <v>883</v>
      </c>
      <c r="C16" t="s">
        <v>884</v>
      </c>
      <c r="D16" t="s">
        <v>568</v>
      </c>
      <c r="E16" t="s">
        <v>282</v>
      </c>
      <c r="F16" t="s">
        <v>282</v>
      </c>
      <c r="G16" t="s">
        <v>885</v>
      </c>
      <c r="H16">
        <v>1</v>
      </c>
      <c r="I16">
        <v>5</v>
      </c>
      <c r="J16" t="s">
        <v>886</v>
      </c>
      <c r="K16">
        <v>70</v>
      </c>
      <c r="L16" t="s">
        <v>304</v>
      </c>
      <c r="M16" t="s">
        <v>570</v>
      </c>
      <c r="P16" t="s">
        <v>569</v>
      </c>
      <c r="U16" s="54"/>
      <c r="V16" t="s">
        <v>887</v>
      </c>
      <c r="W16" s="54">
        <v>44846</v>
      </c>
      <c r="X16" s="54"/>
      <c r="Y16" t="s">
        <v>457</v>
      </c>
      <c r="AB16" s="54"/>
      <c r="AC16">
        <v>0</v>
      </c>
      <c r="AD16" s="68">
        <v>44875.497395833001</v>
      </c>
      <c r="AE16" s="68">
        <v>44875.497395833001</v>
      </c>
      <c r="AF16" s="21"/>
    </row>
    <row r="17" spans="1:32" x14ac:dyDescent="0.25">
      <c r="A17">
        <v>16</v>
      </c>
      <c r="B17" s="67" t="s">
        <v>888</v>
      </c>
      <c r="C17" t="s">
        <v>889</v>
      </c>
      <c r="D17" t="s">
        <v>568</v>
      </c>
      <c r="E17" t="s">
        <v>282</v>
      </c>
      <c r="F17" t="s">
        <v>282</v>
      </c>
      <c r="G17" t="s">
        <v>885</v>
      </c>
      <c r="H17">
        <v>1</v>
      </c>
      <c r="I17">
        <v>5</v>
      </c>
      <c r="J17" t="s">
        <v>886</v>
      </c>
      <c r="K17">
        <v>67</v>
      </c>
      <c r="L17" t="s">
        <v>306</v>
      </c>
      <c r="M17" t="s">
        <v>570</v>
      </c>
      <c r="P17" t="s">
        <v>569</v>
      </c>
      <c r="U17" s="54"/>
      <c r="V17" t="s">
        <v>887</v>
      </c>
      <c r="W17" s="54">
        <v>44846</v>
      </c>
      <c r="X17" s="54"/>
      <c r="Y17" t="s">
        <v>457</v>
      </c>
      <c r="AB17" s="54"/>
      <c r="AC17">
        <v>0</v>
      </c>
      <c r="AD17" s="68">
        <v>44875.499224537001</v>
      </c>
      <c r="AE17" s="68">
        <v>44875.499224537001</v>
      </c>
      <c r="AF17" s="21"/>
    </row>
    <row r="18" spans="1:32" x14ac:dyDescent="0.25">
      <c r="A18">
        <v>17</v>
      </c>
      <c r="B18" s="67" t="s">
        <v>890</v>
      </c>
      <c r="C18" t="s">
        <v>891</v>
      </c>
      <c r="D18" t="s">
        <v>568</v>
      </c>
      <c r="E18" t="s">
        <v>282</v>
      </c>
      <c r="F18" t="s">
        <v>282</v>
      </c>
      <c r="G18" t="s">
        <v>885</v>
      </c>
      <c r="H18">
        <v>1</v>
      </c>
      <c r="I18">
        <v>5</v>
      </c>
      <c r="J18" t="s">
        <v>886</v>
      </c>
      <c r="K18">
        <v>19</v>
      </c>
      <c r="L18" t="s">
        <v>306</v>
      </c>
      <c r="M18" t="s">
        <v>570</v>
      </c>
      <c r="P18" t="s">
        <v>569</v>
      </c>
      <c r="U18" s="54"/>
      <c r="V18" t="s">
        <v>887</v>
      </c>
      <c r="W18" s="54">
        <v>44846</v>
      </c>
      <c r="X18" s="54"/>
      <c r="Y18" t="s">
        <v>457</v>
      </c>
      <c r="AB18" s="54"/>
      <c r="AC18">
        <v>0</v>
      </c>
      <c r="AD18" s="68">
        <v>44875.507291667003</v>
      </c>
      <c r="AE18" s="68">
        <v>44875.507291667003</v>
      </c>
      <c r="AF18" s="21"/>
    </row>
    <row r="19" spans="1:32" x14ac:dyDescent="0.25">
      <c r="A19">
        <v>18</v>
      </c>
      <c r="B19" s="67" t="s">
        <v>892</v>
      </c>
      <c r="C19" t="s">
        <v>893</v>
      </c>
      <c r="D19" t="s">
        <v>568</v>
      </c>
      <c r="E19" t="s">
        <v>282</v>
      </c>
      <c r="F19" t="s">
        <v>282</v>
      </c>
      <c r="G19" t="s">
        <v>885</v>
      </c>
      <c r="H19">
        <v>1</v>
      </c>
      <c r="I19">
        <v>5</v>
      </c>
      <c r="J19" t="s">
        <v>886</v>
      </c>
      <c r="K19">
        <v>17</v>
      </c>
      <c r="L19" t="s">
        <v>304</v>
      </c>
      <c r="M19" t="s">
        <v>570</v>
      </c>
      <c r="P19" t="s">
        <v>569</v>
      </c>
      <c r="U19" s="54"/>
      <c r="V19" t="s">
        <v>887</v>
      </c>
      <c r="W19" s="54">
        <v>44846</v>
      </c>
      <c r="X19" s="54"/>
      <c r="Y19" t="s">
        <v>457</v>
      </c>
      <c r="AB19" s="54"/>
      <c r="AC19">
        <v>0</v>
      </c>
      <c r="AD19" s="68">
        <v>44875.509097221999</v>
      </c>
      <c r="AE19" s="68">
        <v>44875.509097221999</v>
      </c>
      <c r="AF19" s="21"/>
    </row>
    <row r="20" spans="1:32" x14ac:dyDescent="0.25">
      <c r="A20">
        <v>19</v>
      </c>
      <c r="B20" s="67" t="s">
        <v>894</v>
      </c>
      <c r="C20" t="s">
        <v>895</v>
      </c>
      <c r="D20" t="s">
        <v>568</v>
      </c>
      <c r="E20" t="s">
        <v>282</v>
      </c>
      <c r="F20" t="s">
        <v>282</v>
      </c>
      <c r="G20" t="s">
        <v>885</v>
      </c>
      <c r="H20">
        <v>2</v>
      </c>
      <c r="I20">
        <v>5</v>
      </c>
      <c r="J20" t="s">
        <v>886</v>
      </c>
      <c r="K20">
        <v>44</v>
      </c>
      <c r="L20" t="s">
        <v>306</v>
      </c>
      <c r="M20" t="s">
        <v>570</v>
      </c>
      <c r="P20" t="s">
        <v>569</v>
      </c>
      <c r="U20" s="54"/>
      <c r="V20" t="s">
        <v>887</v>
      </c>
      <c r="W20" s="54">
        <v>44846</v>
      </c>
      <c r="X20" s="54"/>
      <c r="Y20" t="s">
        <v>457</v>
      </c>
      <c r="AB20" s="54"/>
      <c r="AC20">
        <v>0</v>
      </c>
      <c r="AD20" s="68">
        <v>44875.510949074</v>
      </c>
      <c r="AE20" s="68">
        <v>44875.510949074</v>
      </c>
      <c r="AF20" s="21"/>
    </row>
    <row r="21" spans="1:32" x14ac:dyDescent="0.25">
      <c r="A21">
        <v>20</v>
      </c>
      <c r="B21" s="67" t="s">
        <v>896</v>
      </c>
      <c r="C21" t="s">
        <v>897</v>
      </c>
      <c r="D21" t="s">
        <v>568</v>
      </c>
      <c r="E21" t="s">
        <v>282</v>
      </c>
      <c r="F21" t="s">
        <v>282</v>
      </c>
      <c r="G21" t="s">
        <v>885</v>
      </c>
      <c r="H21">
        <v>2</v>
      </c>
      <c r="I21">
        <v>5</v>
      </c>
      <c r="J21" t="s">
        <v>886</v>
      </c>
      <c r="K21">
        <v>15</v>
      </c>
      <c r="L21" t="s">
        <v>304</v>
      </c>
      <c r="M21" t="s">
        <v>570</v>
      </c>
      <c r="P21" t="s">
        <v>569</v>
      </c>
      <c r="U21" s="54"/>
      <c r="V21" t="s">
        <v>887</v>
      </c>
      <c r="W21" s="54">
        <v>44846</v>
      </c>
      <c r="X21" s="54"/>
      <c r="Y21" t="s">
        <v>457</v>
      </c>
      <c r="AB21" s="54"/>
      <c r="AC21">
        <v>0</v>
      </c>
      <c r="AD21" s="68">
        <v>44875.517650463</v>
      </c>
      <c r="AE21" s="68">
        <v>44875.517650463</v>
      </c>
      <c r="AF21" s="21"/>
    </row>
    <row r="22" spans="1:32" x14ac:dyDescent="0.25">
      <c r="A22">
        <v>21</v>
      </c>
      <c r="B22" s="67" t="s">
        <v>898</v>
      </c>
      <c r="C22" t="s">
        <v>899</v>
      </c>
      <c r="D22" t="s">
        <v>568</v>
      </c>
      <c r="E22" t="s">
        <v>282</v>
      </c>
      <c r="F22" t="s">
        <v>282</v>
      </c>
      <c r="G22" t="s">
        <v>885</v>
      </c>
      <c r="H22">
        <v>2</v>
      </c>
      <c r="I22">
        <v>5</v>
      </c>
      <c r="J22" t="s">
        <v>886</v>
      </c>
      <c r="K22">
        <v>13</v>
      </c>
      <c r="L22" t="s">
        <v>306</v>
      </c>
      <c r="M22" t="s">
        <v>570</v>
      </c>
      <c r="P22" t="s">
        <v>569</v>
      </c>
      <c r="U22" s="54"/>
      <c r="V22" t="s">
        <v>887</v>
      </c>
      <c r="W22" s="54">
        <v>44846</v>
      </c>
      <c r="X22" s="54"/>
      <c r="Y22" t="s">
        <v>457</v>
      </c>
      <c r="AB22" s="54"/>
      <c r="AC22">
        <v>0</v>
      </c>
      <c r="AD22" s="68">
        <v>44875.519212963001</v>
      </c>
      <c r="AE22" s="68">
        <v>44875.519212963001</v>
      </c>
      <c r="AF22" s="21"/>
    </row>
  </sheetData>
  <conditionalFormatting sqref="T1">
    <cfRule type="cellIs" dxfId="15" priority="1948" operator="lessThan">
      <formula>14</formula>
    </cfRule>
    <cfRule type="cellIs" dxfId="14" priority="1949" operator="greaterThan">
      <formula>14</formula>
    </cfRule>
  </conditionalFormatting>
  <conditionalFormatting sqref="B2:B15">
    <cfRule type="duplicateValues" dxfId="13" priority="8"/>
    <cfRule type="duplicateValues" dxfId="12" priority="9"/>
  </conditionalFormatting>
  <conditionalFormatting sqref="B2:C15">
    <cfRule type="duplicateValues" dxfId="11" priority="10"/>
  </conditionalFormatting>
  <conditionalFormatting sqref="B2:B15">
    <cfRule type="duplicateValues" dxfId="10" priority="11"/>
  </conditionalFormatting>
  <conditionalFormatting sqref="B2:B15">
    <cfRule type="duplicateValues" dxfId="9" priority="12"/>
    <cfRule type="duplicateValues" dxfId="8" priority="13"/>
  </conditionalFormatting>
  <conditionalFormatting sqref="B2:C15">
    <cfRule type="duplicateValues" dxfId="7" priority="14"/>
  </conditionalFormatting>
  <conditionalFormatting sqref="B16:B22">
    <cfRule type="duplicateValues" dxfId="6" priority="1"/>
    <cfRule type="duplicateValues" dxfId="5" priority="2"/>
  </conditionalFormatting>
  <conditionalFormatting sqref="B16:C22">
    <cfRule type="duplicateValues" dxfId="4" priority="3"/>
  </conditionalFormatting>
  <conditionalFormatting sqref="B16:B22">
    <cfRule type="duplicateValues" dxfId="3" priority="4"/>
  </conditionalFormatting>
  <conditionalFormatting sqref="B16:B22">
    <cfRule type="duplicateValues" dxfId="2" priority="5"/>
    <cfRule type="duplicateValues" dxfId="1" priority="6"/>
  </conditionalFormatting>
  <conditionalFormatting sqref="B16:C22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Sheet1</vt:lpstr>
      <vt:lpstr>TOTAL KONTAK ERAT</vt:lpstr>
      <vt:lpstr>perdesa</vt:lpstr>
      <vt:lpstr>per kecamatan</vt:lpstr>
      <vt:lpstr>Sheet4</vt:lpstr>
      <vt:lpstr>Sheet2</vt:lpstr>
      <vt:lpstr>SEMUA KONTAK ERAT</vt:lpstr>
      <vt:lpstr>KONTAKERAT MASUK</vt:lpstr>
      <vt:lpstr>KONTAK ERAT KELUAR</vt:lpstr>
      <vt:lpstr>FORMAT KONTAK ERAT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USER</cp:lastModifiedBy>
  <cp:lastPrinted>2021-08-12T07:14:35Z</cp:lastPrinted>
  <dcterms:created xsi:type="dcterms:W3CDTF">2020-03-25T02:32:05Z</dcterms:created>
  <dcterms:modified xsi:type="dcterms:W3CDTF">2022-11-14T04:08:49Z</dcterms:modified>
</cp:coreProperties>
</file>