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860" activeTab="1"/>
  </bookViews>
  <sheets>
    <sheet name="TOTAL SUSPEK" sheetId="29" r:id="rId1"/>
    <sheet name="perdesa" sheetId="19" r:id="rId2"/>
    <sheet name="per kecamatan" sheetId="20" r:id="rId3"/>
    <sheet name="Sheet4" sheetId="24" state="hidden" r:id="rId4"/>
    <sheet name="Sheet2" sheetId="26" state="hidden" r:id="rId5"/>
    <sheet name="TOTAL DIRAWAT" sheetId="30" r:id="rId6"/>
    <sheet name="SUSPEK MASUK" sheetId="31" r:id="rId7"/>
    <sheet name="SUSPEK KELUAR" sheetId="32" r:id="rId8"/>
    <sheet name="TOTAL" sheetId="37" r:id="rId9"/>
  </sheets>
  <definedNames>
    <definedName name="_xlnm._FilterDatabase" localSheetId="1" hidden="1">perdesa!$A$4:$H$260</definedName>
    <definedName name="_xlnm._FilterDatabase" localSheetId="5" hidden="1">'TOTAL DIRAWAT'!#REF!</definedName>
    <definedName name="_xlnm._FilterDatabase" localSheetId="0" hidden="1">'TOTAL SUSPEK'!$A$1:$AB$29</definedName>
    <definedName name="CZ">#REF!</definedName>
    <definedName name="_xlnm.Print_Area" localSheetId="1">perdesa!$A$1:$Q$258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3" i="37" l="1"/>
  <c r="F232" i="37" l="1"/>
  <c r="F231" i="37" l="1"/>
  <c r="F230" i="37" l="1"/>
  <c r="F229" i="37" l="1"/>
  <c r="F228" i="37" l="1"/>
  <c r="F9" i="37" l="1"/>
  <c r="G9" i="37" s="1"/>
  <c r="C19" i="37"/>
  <c r="C20" i="37" s="1"/>
  <c r="C21" i="37" s="1"/>
  <c r="C22" i="37" s="1"/>
  <c r="C23" i="37" s="1"/>
  <c r="C24" i="37" s="1"/>
  <c r="C25" i="37" s="1"/>
  <c r="C26" i="37" s="1"/>
  <c r="C27" i="37" s="1"/>
  <c r="C28" i="37" s="1"/>
  <c r="C29" i="37" s="1"/>
  <c r="C30" i="37" s="1"/>
  <c r="C31" i="37" s="1"/>
  <c r="C32" i="37" s="1"/>
  <c r="C33" i="37" s="1"/>
  <c r="C34" i="37" s="1"/>
  <c r="C35" i="37" s="1"/>
  <c r="C36" i="37" s="1"/>
  <c r="C37" i="37" s="1"/>
  <c r="C38" i="37" s="1"/>
  <c r="C39" i="37" s="1"/>
  <c r="C40" i="37" s="1"/>
  <c r="C41" i="37" s="1"/>
  <c r="C42" i="37" s="1"/>
  <c r="C43" i="37" s="1"/>
  <c r="C44" i="37" s="1"/>
  <c r="C45" i="37" s="1"/>
  <c r="C46" i="37" s="1"/>
  <c r="C47" i="37" s="1"/>
  <c r="C48" i="37" s="1"/>
  <c r="C49" i="37" s="1"/>
  <c r="C50" i="37" s="1"/>
  <c r="C51" i="37" s="1"/>
  <c r="C52" i="37" s="1"/>
  <c r="C53" i="37" s="1"/>
  <c r="C54" i="37" s="1"/>
  <c r="C55" i="37" s="1"/>
  <c r="C56" i="37" s="1"/>
  <c r="C57" i="37" s="1"/>
  <c r="C58" i="37" s="1"/>
  <c r="C59" i="37" s="1"/>
  <c r="C60" i="37" s="1"/>
  <c r="C61" i="37" s="1"/>
  <c r="C62" i="37" s="1"/>
  <c r="C63" i="37" s="1"/>
  <c r="C64" i="37" s="1"/>
  <c r="C65" i="37" s="1"/>
  <c r="C66" i="37" s="1"/>
  <c r="C67" i="37" s="1"/>
  <c r="C68" i="37" s="1"/>
  <c r="C69" i="37" s="1"/>
  <c r="C70" i="37" s="1"/>
  <c r="C71" i="37" s="1"/>
  <c r="C72" i="37" s="1"/>
  <c r="C73" i="37" s="1"/>
  <c r="C74" i="37" s="1"/>
  <c r="C75" i="37" s="1"/>
  <c r="C76" i="37" s="1"/>
  <c r="C77" i="37" s="1"/>
  <c r="C78" i="37" s="1"/>
  <c r="C79" i="37" s="1"/>
  <c r="C80" i="37" s="1"/>
  <c r="C81" i="37" s="1"/>
  <c r="C82" i="37" s="1"/>
  <c r="C83" i="37" s="1"/>
  <c r="C84" i="37" s="1"/>
  <c r="C85" i="37" s="1"/>
  <c r="C86" i="37" s="1"/>
  <c r="C87" i="37" s="1"/>
  <c r="C88" i="37" s="1"/>
  <c r="C89" i="37" s="1"/>
  <c r="C90" i="37" s="1"/>
  <c r="C91" i="37" s="1"/>
  <c r="C92" i="37" s="1"/>
  <c r="C93" i="37" s="1"/>
  <c r="C94" i="37" s="1"/>
  <c r="C95" i="37" s="1"/>
  <c r="C96" i="37" s="1"/>
  <c r="C97" i="37" s="1"/>
  <c r="C98" i="37" s="1"/>
  <c r="C99" i="37" s="1"/>
  <c r="C100" i="37" s="1"/>
  <c r="C101" i="37" s="1"/>
  <c r="C102" i="37" s="1"/>
  <c r="C103" i="37" s="1"/>
  <c r="C104" i="37" s="1"/>
  <c r="C105" i="37" s="1"/>
  <c r="C106" i="37" s="1"/>
  <c r="C107" i="37" s="1"/>
  <c r="C108" i="37" s="1"/>
  <c r="C109" i="37" s="1"/>
  <c r="C110" i="37" s="1"/>
  <c r="C111" i="37" s="1"/>
  <c r="C112" i="37" s="1"/>
  <c r="C113" i="37" s="1"/>
  <c r="C114" i="37" s="1"/>
  <c r="C115" i="37" s="1"/>
  <c r="C116" i="37" s="1"/>
  <c r="C117" i="37" s="1"/>
  <c r="C118" i="37" s="1"/>
  <c r="C119" i="37" s="1"/>
  <c r="C120" i="37" s="1"/>
  <c r="C121" i="37" s="1"/>
  <c r="C122" i="37" s="1"/>
  <c r="C123" i="37" s="1"/>
  <c r="C124" i="37" s="1"/>
  <c r="C125" i="37" s="1"/>
  <c r="C126" i="37" s="1"/>
  <c r="C127" i="37" s="1"/>
  <c r="C128" i="37" s="1"/>
  <c r="C129" i="37" s="1"/>
  <c r="C130" i="37" s="1"/>
  <c r="C131" i="37" s="1"/>
  <c r="C132" i="37" s="1"/>
  <c r="C133" i="37" s="1"/>
  <c r="C134" i="37" s="1"/>
  <c r="C135" i="37" s="1"/>
  <c r="C136" i="37" s="1"/>
  <c r="C137" i="37" s="1"/>
  <c r="C138" i="37" s="1"/>
  <c r="C139" i="37" s="1"/>
  <c r="C140" i="37" s="1"/>
  <c r="C141" i="37" s="1"/>
  <c r="C142" i="37" s="1"/>
  <c r="C143" i="37" s="1"/>
  <c r="C144" i="37" s="1"/>
  <c r="C145" i="37" s="1"/>
  <c r="C146" i="37" s="1"/>
  <c r="C147" i="37" s="1"/>
  <c r="C148" i="37" s="1"/>
  <c r="C149" i="37" s="1"/>
  <c r="C150" i="37" s="1"/>
  <c r="C151" i="37" s="1"/>
  <c r="C152" i="37" s="1"/>
  <c r="C153" i="37" s="1"/>
  <c r="C154" i="37" s="1"/>
  <c r="C155" i="37" s="1"/>
  <c r="C156" i="37" s="1"/>
  <c r="C157" i="37" s="1"/>
  <c r="C158" i="37" s="1"/>
  <c r="C159" i="37" s="1"/>
  <c r="C160" i="37" s="1"/>
  <c r="C161" i="37" s="1"/>
  <c r="C162" i="37" s="1"/>
  <c r="C163" i="37" s="1"/>
  <c r="C164" i="37" s="1"/>
  <c r="C165" i="37" s="1"/>
  <c r="C166" i="37" s="1"/>
  <c r="C167" i="37" s="1"/>
  <c r="C168" i="37" s="1"/>
  <c r="C169" i="37" s="1"/>
  <c r="C170" i="37" s="1"/>
  <c r="C171" i="37" s="1"/>
  <c r="C172" i="37" s="1"/>
  <c r="C173" i="37" s="1"/>
  <c r="C174" i="37" s="1"/>
  <c r="C175" i="37" s="1"/>
  <c r="C176" i="37" s="1"/>
  <c r="C177" i="37" s="1"/>
  <c r="C178" i="37" s="1"/>
  <c r="C179" i="37" s="1"/>
  <c r="C180" i="37" s="1"/>
  <c r="C181" i="37" s="1"/>
  <c r="C182" i="37" s="1"/>
  <c r="C183" i="37" s="1"/>
  <c r="C184" i="37" s="1"/>
  <c r="C185" i="37" s="1"/>
  <c r="C186" i="37" s="1"/>
  <c r="C187" i="37" s="1"/>
  <c r="C188" i="37" s="1"/>
  <c r="C189" i="37" s="1"/>
  <c r="C190" i="37" s="1"/>
  <c r="C191" i="37" s="1"/>
  <c r="C192" i="37" s="1"/>
  <c r="C193" i="37" s="1"/>
  <c r="C194" i="37" s="1"/>
  <c r="C195" i="37" s="1"/>
  <c r="C196" i="37" s="1"/>
  <c r="C197" i="37" s="1"/>
  <c r="C198" i="37" s="1"/>
  <c r="C199" i="37" s="1"/>
  <c r="C200" i="37" s="1"/>
  <c r="C201" i="37" s="1"/>
  <c r="C202" i="37" s="1"/>
  <c r="C203" i="37" s="1"/>
  <c r="C204" i="37" s="1"/>
  <c r="C205" i="37" s="1"/>
  <c r="C206" i="37" s="1"/>
  <c r="C207" i="37" s="1"/>
  <c r="C208" i="37" s="1"/>
  <c r="C209" i="37" s="1"/>
  <c r="C210" i="37" s="1"/>
  <c r="C211" i="37" s="1"/>
  <c r="C212" i="37" s="1"/>
  <c r="C213" i="37" s="1"/>
  <c r="C214" i="37" s="1"/>
  <c r="E10" i="37"/>
  <c r="C215" i="37" l="1"/>
  <c r="E11" i="37"/>
  <c r="F10" i="37"/>
  <c r="G10" i="37" s="1"/>
  <c r="C216" i="37" l="1"/>
  <c r="C217" i="37" s="1"/>
  <c r="C218" i="37" s="1"/>
  <c r="C219" i="37" s="1"/>
  <c r="C220" i="37" s="1"/>
  <c r="C221" i="37" s="1"/>
  <c r="E12" i="37"/>
  <c r="F11" i="37"/>
  <c r="G11" i="37" s="1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99" i="19"/>
  <c r="D100" i="19"/>
  <c r="D101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72" i="19"/>
  <c r="D173" i="19"/>
  <c r="D174" i="19"/>
  <c r="D175" i="19"/>
  <c r="D176" i="19"/>
  <c r="D177" i="19"/>
  <c r="D178" i="19"/>
  <c r="D179" i="19"/>
  <c r="D180" i="19"/>
  <c r="D181" i="19"/>
  <c r="D182" i="19"/>
  <c r="D183" i="19"/>
  <c r="D184" i="19"/>
  <c r="D185" i="19"/>
  <c r="D186" i="19"/>
  <c r="D187" i="19"/>
  <c r="D188" i="19"/>
  <c r="D189" i="19"/>
  <c r="D190" i="19"/>
  <c r="D191" i="19"/>
  <c r="D192" i="19"/>
  <c r="D193" i="19"/>
  <c r="D194" i="19"/>
  <c r="D195" i="19"/>
  <c r="D196" i="19"/>
  <c r="D197" i="19"/>
  <c r="D198" i="19"/>
  <c r="D199" i="19"/>
  <c r="D20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218" i="19"/>
  <c r="D219" i="19"/>
  <c r="D220" i="19"/>
  <c r="D221" i="19"/>
  <c r="D222" i="19"/>
  <c r="D223" i="19"/>
  <c r="D224" i="19"/>
  <c r="D225" i="19"/>
  <c r="D226" i="19"/>
  <c r="D227" i="19"/>
  <c r="D228" i="19"/>
  <c r="D229" i="19"/>
  <c r="D230" i="19"/>
  <c r="D231" i="19"/>
  <c r="D232" i="19"/>
  <c r="D233" i="19"/>
  <c r="D234" i="19"/>
  <c r="D235" i="19"/>
  <c r="D236" i="19"/>
  <c r="D237" i="19"/>
  <c r="D238" i="19"/>
  <c r="D239" i="19"/>
  <c r="D240" i="19"/>
  <c r="D241" i="19"/>
  <c r="D242" i="19"/>
  <c r="D243" i="19"/>
  <c r="D244" i="19"/>
  <c r="D245" i="19"/>
  <c r="D246" i="19"/>
  <c r="D247" i="19"/>
  <c r="D248" i="19"/>
  <c r="D249" i="19"/>
  <c r="D250" i="19"/>
  <c r="D251" i="19"/>
  <c r="D252" i="19"/>
  <c r="D253" i="19"/>
  <c r="D254" i="19"/>
  <c r="D255" i="19"/>
  <c r="D256" i="19"/>
  <c r="F222" i="37" l="1"/>
  <c r="F216" i="37"/>
  <c r="E13" i="37"/>
  <c r="F12" i="37"/>
  <c r="G12" i="37" s="1"/>
  <c r="D258" i="19"/>
  <c r="P149" i="19"/>
  <c r="P50" i="19"/>
  <c r="A3" i="20"/>
  <c r="P257" i="19"/>
  <c r="O258" i="19"/>
  <c r="Q257" i="19"/>
  <c r="C20" i="20" s="1"/>
  <c r="P225" i="19"/>
  <c r="P223" i="19"/>
  <c r="P222" i="19"/>
  <c r="P209" i="19"/>
  <c r="P196" i="19"/>
  <c r="P190" i="19"/>
  <c r="P183" i="19"/>
  <c r="P182" i="19"/>
  <c r="P180" i="19"/>
  <c r="P174" i="19"/>
  <c r="P160" i="19"/>
  <c r="P140" i="19"/>
  <c r="P136" i="19"/>
  <c r="P122" i="19"/>
  <c r="P111" i="19"/>
  <c r="P100" i="19"/>
  <c r="P99" i="19"/>
  <c r="P89" i="19"/>
  <c r="P73" i="19"/>
  <c r="P66" i="19"/>
  <c r="P65" i="19"/>
  <c r="P62" i="19"/>
  <c r="P59" i="19"/>
  <c r="P51" i="19"/>
  <c r="P31" i="19"/>
  <c r="P14" i="19"/>
  <c r="P13" i="19"/>
  <c r="P256" i="19"/>
  <c r="P255" i="19"/>
  <c r="P254" i="19"/>
  <c r="P253" i="19"/>
  <c r="P252" i="19"/>
  <c r="P251" i="19"/>
  <c r="P250" i="19"/>
  <c r="P249" i="19"/>
  <c r="P248" i="19"/>
  <c r="P247" i="19"/>
  <c r="P246" i="19"/>
  <c r="P245" i="19"/>
  <c r="P244" i="19"/>
  <c r="P243" i="19"/>
  <c r="P242" i="19"/>
  <c r="P241" i="19"/>
  <c r="P240" i="19"/>
  <c r="P239" i="19"/>
  <c r="P238" i="19"/>
  <c r="P237" i="19"/>
  <c r="P236" i="19"/>
  <c r="P235" i="19"/>
  <c r="P234" i="19"/>
  <c r="P233" i="19"/>
  <c r="P232" i="19"/>
  <c r="P231" i="19"/>
  <c r="P230" i="19"/>
  <c r="P229" i="19"/>
  <c r="P228" i="19"/>
  <c r="P227" i="19"/>
  <c r="P226" i="19"/>
  <c r="P224" i="19"/>
  <c r="P221" i="19"/>
  <c r="P220" i="19"/>
  <c r="P219" i="19"/>
  <c r="P218" i="19"/>
  <c r="P217" i="19"/>
  <c r="P216" i="19"/>
  <c r="P215" i="19"/>
  <c r="P214" i="19"/>
  <c r="P213" i="19"/>
  <c r="P212" i="19"/>
  <c r="P211" i="19"/>
  <c r="P210" i="19"/>
  <c r="P208" i="19"/>
  <c r="P207" i="19"/>
  <c r="P206" i="19"/>
  <c r="P205" i="19"/>
  <c r="P204" i="19"/>
  <c r="P203" i="19"/>
  <c r="P202" i="19"/>
  <c r="P201" i="19"/>
  <c r="P200" i="19"/>
  <c r="P199" i="19"/>
  <c r="P198" i="19"/>
  <c r="P197" i="19"/>
  <c r="P195" i="19"/>
  <c r="P194" i="19"/>
  <c r="P193" i="19"/>
  <c r="P192" i="19"/>
  <c r="P191" i="19"/>
  <c r="P189" i="19"/>
  <c r="P188" i="19"/>
  <c r="P187" i="19"/>
  <c r="P186" i="19"/>
  <c r="P185" i="19"/>
  <c r="P184" i="19"/>
  <c r="P181" i="19"/>
  <c r="P179" i="19"/>
  <c r="P178" i="19"/>
  <c r="P177" i="19"/>
  <c r="P176" i="19"/>
  <c r="P175" i="19"/>
  <c r="P173" i="19"/>
  <c r="P172" i="19"/>
  <c r="P171" i="19"/>
  <c r="P170" i="19"/>
  <c r="P169" i="19"/>
  <c r="P168" i="19"/>
  <c r="P167" i="19"/>
  <c r="P166" i="19"/>
  <c r="P165" i="19"/>
  <c r="P164" i="19"/>
  <c r="P163" i="19"/>
  <c r="P162" i="19"/>
  <c r="P161" i="19"/>
  <c r="P159" i="19"/>
  <c r="P158" i="19"/>
  <c r="P157" i="19"/>
  <c r="P156" i="19"/>
  <c r="P155" i="19"/>
  <c r="P154" i="19"/>
  <c r="P153" i="19"/>
  <c r="P152" i="19"/>
  <c r="P151" i="19"/>
  <c r="P150" i="19"/>
  <c r="P148" i="19"/>
  <c r="P147" i="19"/>
  <c r="P146" i="19"/>
  <c r="P145" i="19"/>
  <c r="P144" i="19"/>
  <c r="P143" i="19"/>
  <c r="P142" i="19"/>
  <c r="P141" i="19"/>
  <c r="P139" i="19"/>
  <c r="P138" i="19"/>
  <c r="P137" i="19"/>
  <c r="P135" i="19"/>
  <c r="P134" i="19"/>
  <c r="P133" i="19"/>
  <c r="P132" i="19"/>
  <c r="P131" i="19"/>
  <c r="P130" i="19"/>
  <c r="P129" i="19"/>
  <c r="P128" i="19"/>
  <c r="P127" i="19"/>
  <c r="P126" i="19"/>
  <c r="P125" i="19"/>
  <c r="P124" i="19"/>
  <c r="P123" i="19"/>
  <c r="P121" i="19"/>
  <c r="P120" i="19"/>
  <c r="P119" i="19"/>
  <c r="P118" i="19"/>
  <c r="P117" i="19"/>
  <c r="P116" i="19"/>
  <c r="P115" i="19"/>
  <c r="P114" i="19"/>
  <c r="P113" i="19"/>
  <c r="P112" i="19"/>
  <c r="P110" i="19"/>
  <c r="P109" i="19"/>
  <c r="P108" i="19"/>
  <c r="P107" i="19"/>
  <c r="P106" i="19"/>
  <c r="P105" i="19"/>
  <c r="P104" i="19"/>
  <c r="P103" i="19"/>
  <c r="P102" i="19"/>
  <c r="P101" i="19"/>
  <c r="P98" i="19"/>
  <c r="P97" i="19"/>
  <c r="P96" i="19"/>
  <c r="P95" i="19"/>
  <c r="P94" i="19"/>
  <c r="P93" i="19"/>
  <c r="P92" i="19"/>
  <c r="P91" i="19"/>
  <c r="P90" i="19"/>
  <c r="P88" i="19"/>
  <c r="P87" i="19"/>
  <c r="P86" i="19"/>
  <c r="P85" i="19"/>
  <c r="P84" i="19"/>
  <c r="P83" i="19"/>
  <c r="P82" i="19"/>
  <c r="P81" i="19"/>
  <c r="P80" i="19"/>
  <c r="P79" i="19"/>
  <c r="P78" i="19"/>
  <c r="P77" i="19"/>
  <c r="P76" i="19"/>
  <c r="P75" i="19"/>
  <c r="P74" i="19"/>
  <c r="P72" i="19"/>
  <c r="P71" i="19"/>
  <c r="P70" i="19"/>
  <c r="P69" i="19"/>
  <c r="P68" i="19"/>
  <c r="P67" i="19"/>
  <c r="P64" i="19"/>
  <c r="P63" i="19"/>
  <c r="P61" i="19"/>
  <c r="P60" i="19"/>
  <c r="P58" i="19"/>
  <c r="P57" i="19"/>
  <c r="P56" i="19"/>
  <c r="P55" i="19"/>
  <c r="P54" i="19"/>
  <c r="P53" i="19"/>
  <c r="P52" i="19"/>
  <c r="P49" i="19"/>
  <c r="P48" i="19"/>
  <c r="P47" i="19"/>
  <c r="P46" i="19"/>
  <c r="P45" i="19"/>
  <c r="P44" i="19"/>
  <c r="P43" i="19"/>
  <c r="P42" i="19"/>
  <c r="P41" i="19"/>
  <c r="P40" i="19"/>
  <c r="P39" i="19"/>
  <c r="P38" i="19"/>
  <c r="P37" i="19"/>
  <c r="P36" i="19"/>
  <c r="P35" i="19"/>
  <c r="P34" i="19"/>
  <c r="P33" i="19"/>
  <c r="P32" i="19"/>
  <c r="P30" i="19"/>
  <c r="P29" i="19"/>
  <c r="P28" i="19"/>
  <c r="P27" i="19"/>
  <c r="P26" i="19"/>
  <c r="P25" i="19"/>
  <c r="P24" i="19"/>
  <c r="P23" i="19"/>
  <c r="P22" i="19"/>
  <c r="P21" i="19"/>
  <c r="P20" i="19"/>
  <c r="P19" i="19"/>
  <c r="P18" i="19"/>
  <c r="P17" i="19"/>
  <c r="P16" i="19"/>
  <c r="P15" i="19"/>
  <c r="P12" i="19"/>
  <c r="P11" i="19"/>
  <c r="P10" i="19"/>
  <c r="P9" i="19"/>
  <c r="M27" i="19"/>
  <c r="K237" i="19"/>
  <c r="H27" i="19"/>
  <c r="G237" i="19"/>
  <c r="F237" i="19"/>
  <c r="E27" i="19"/>
  <c r="M257" i="19"/>
  <c r="L257" i="19"/>
  <c r="K257" i="19"/>
  <c r="J257" i="19"/>
  <c r="I257" i="19"/>
  <c r="H257" i="19"/>
  <c r="G257" i="19"/>
  <c r="F257" i="19"/>
  <c r="E257" i="19"/>
  <c r="M155" i="19"/>
  <c r="K155" i="19"/>
  <c r="H155" i="19"/>
  <c r="G155" i="19"/>
  <c r="F155" i="19"/>
  <c r="E155" i="19"/>
  <c r="M134" i="19"/>
  <c r="K134" i="19"/>
  <c r="H134" i="19"/>
  <c r="G134" i="19"/>
  <c r="F134" i="19"/>
  <c r="E134" i="19"/>
  <c r="M100" i="19"/>
  <c r="K100" i="19"/>
  <c r="H100" i="19"/>
  <c r="G100" i="19"/>
  <c r="F100" i="19"/>
  <c r="E100" i="19"/>
  <c r="M203" i="19"/>
  <c r="K203" i="19"/>
  <c r="H203" i="19"/>
  <c r="G203" i="19"/>
  <c r="F203" i="19"/>
  <c r="E203" i="19"/>
  <c r="M8" i="19"/>
  <c r="M258" i="19" s="1"/>
  <c r="F8" i="19"/>
  <c r="F258" i="19" s="1"/>
  <c r="E8" i="19"/>
  <c r="E258" i="19" s="1"/>
  <c r="M65" i="19"/>
  <c r="K65" i="19"/>
  <c r="H65" i="19"/>
  <c r="G65" i="19"/>
  <c r="F65" i="19"/>
  <c r="E65" i="19"/>
  <c r="M187" i="19"/>
  <c r="K187" i="19"/>
  <c r="H187" i="19"/>
  <c r="G187" i="19"/>
  <c r="F187" i="19"/>
  <c r="E187" i="19"/>
  <c r="M83" i="19"/>
  <c r="K83" i="19"/>
  <c r="H83" i="19"/>
  <c r="G83" i="19"/>
  <c r="F83" i="19"/>
  <c r="E83" i="19"/>
  <c r="M175" i="19"/>
  <c r="K175" i="19"/>
  <c r="H175" i="19"/>
  <c r="G175" i="19"/>
  <c r="F175" i="19"/>
  <c r="E175" i="19"/>
  <c r="M44" i="19"/>
  <c r="K44" i="19"/>
  <c r="H44" i="19"/>
  <c r="G44" i="19"/>
  <c r="F44" i="19"/>
  <c r="E44" i="19"/>
  <c r="M115" i="19"/>
  <c r="K115" i="19"/>
  <c r="H115" i="19"/>
  <c r="G115" i="19"/>
  <c r="F115" i="19"/>
  <c r="E115" i="19"/>
  <c r="M217" i="19"/>
  <c r="K217" i="19"/>
  <c r="H217" i="19"/>
  <c r="G217" i="19"/>
  <c r="F217" i="19"/>
  <c r="E217" i="19"/>
  <c r="M237" i="19"/>
  <c r="F27" i="19"/>
  <c r="E237" i="19"/>
  <c r="H237" i="19"/>
  <c r="G27" i="19"/>
  <c r="K27" i="19"/>
  <c r="J44" i="19"/>
  <c r="I27" i="19"/>
  <c r="I44" i="19"/>
  <c r="I203" i="19"/>
  <c r="H8" i="19"/>
  <c r="H258" i="19" s="1"/>
  <c r="J100" i="19"/>
  <c r="J134" i="19"/>
  <c r="J83" i="19"/>
  <c r="J155" i="19"/>
  <c r="J187" i="19"/>
  <c r="J217" i="19"/>
  <c r="I100" i="19"/>
  <c r="I115" i="19"/>
  <c r="I175" i="19"/>
  <c r="J65" i="19"/>
  <c r="I187" i="19"/>
  <c r="J115" i="19"/>
  <c r="J175" i="19"/>
  <c r="I217" i="19"/>
  <c r="I83" i="19"/>
  <c r="J237" i="19"/>
  <c r="J203" i="19"/>
  <c r="K8" i="19"/>
  <c r="K258" i="19" s="1"/>
  <c r="I155" i="19"/>
  <c r="I134" i="19"/>
  <c r="I8" i="19"/>
  <c r="I258" i="19" s="1"/>
  <c r="G8" i="19"/>
  <c r="G258" i="19" s="1"/>
  <c r="I237" i="19"/>
  <c r="J27" i="19"/>
  <c r="I65" i="19"/>
  <c r="J8" i="19"/>
  <c r="J258" i="19" s="1"/>
  <c r="F223" i="37" l="1"/>
  <c r="E14" i="37"/>
  <c r="F13" i="37"/>
  <c r="G13" i="37" s="1"/>
  <c r="L217" i="19"/>
  <c r="L8" i="19"/>
  <c r="L187" i="19"/>
  <c r="L203" i="19"/>
  <c r="Q203" i="19"/>
  <c r="C16" i="20" s="1"/>
  <c r="Q217" i="19"/>
  <c r="C12" i="20" s="1"/>
  <c r="L83" i="19"/>
  <c r="Q115" i="19"/>
  <c r="C11" i="20" s="1"/>
  <c r="Q155" i="19"/>
  <c r="C6" i="20" s="1"/>
  <c r="Q175" i="19"/>
  <c r="C7" i="20" s="1"/>
  <c r="Q187" i="19"/>
  <c r="C17" i="20" s="1"/>
  <c r="Q237" i="19"/>
  <c r="C8" i="20" s="1"/>
  <c r="P8" i="19"/>
  <c r="Q8" i="19" s="1"/>
  <c r="Q27" i="19"/>
  <c r="C10" i="20" s="1"/>
  <c r="Q44" i="19"/>
  <c r="C13" i="20" s="1"/>
  <c r="Q65" i="19"/>
  <c r="C18" i="20" s="1"/>
  <c r="Q83" i="19"/>
  <c r="C9" i="20" s="1"/>
  <c r="Q100" i="19"/>
  <c r="C19" i="20" s="1"/>
  <c r="Q134" i="19"/>
  <c r="C14" i="20" s="1"/>
  <c r="L175" i="19"/>
  <c r="L155" i="19"/>
  <c r="L27" i="19"/>
  <c r="L237" i="19"/>
  <c r="L44" i="19"/>
  <c r="L65" i="19"/>
  <c r="L134" i="19"/>
  <c r="L115" i="19"/>
  <c r="L100" i="19"/>
  <c r="F224" i="37" l="1"/>
  <c r="F221" i="37"/>
  <c r="F220" i="37"/>
  <c r="E15" i="37"/>
  <c r="F14" i="37"/>
  <c r="G14" i="37" s="1"/>
  <c r="P258" i="19"/>
  <c r="L258" i="19"/>
  <c r="Q258" i="19"/>
  <c r="C15" i="20"/>
  <c r="C21" i="20" s="1"/>
  <c r="F225" i="37" l="1"/>
  <c r="E16" i="37"/>
  <c r="F15" i="37"/>
  <c r="G15" i="37" s="1"/>
  <c r="F227" i="37" l="1"/>
  <c r="F226" i="37"/>
  <c r="E17" i="37"/>
  <c r="F16" i="37"/>
  <c r="G16" i="37" s="1"/>
  <c r="E18" i="37" l="1"/>
  <c r="F17" i="37"/>
  <c r="G17" i="37" s="1"/>
  <c r="E19" i="37" l="1"/>
  <c r="F18" i="37"/>
  <c r="G18" i="37" s="1"/>
  <c r="E20" i="37" l="1"/>
  <c r="F19" i="37"/>
  <c r="G19" i="37" s="1"/>
  <c r="E21" i="37" l="1"/>
  <c r="F20" i="37"/>
  <c r="G20" i="37" s="1"/>
  <c r="E22" i="37" l="1"/>
  <c r="F21" i="37"/>
  <c r="G21" i="37" s="1"/>
  <c r="E23" i="37" l="1"/>
  <c r="F22" i="37"/>
  <c r="G22" i="37" s="1"/>
  <c r="E24" i="37" l="1"/>
  <c r="F23" i="37"/>
  <c r="G23" i="37" s="1"/>
  <c r="E25" i="37" l="1"/>
  <c r="F24" i="37"/>
  <c r="G24" i="37" s="1"/>
  <c r="E26" i="37" l="1"/>
  <c r="F25" i="37"/>
  <c r="G25" i="37" s="1"/>
  <c r="E27" i="37" l="1"/>
  <c r="F26" i="37"/>
  <c r="G26" i="37" s="1"/>
  <c r="E28" i="37" l="1"/>
  <c r="F27" i="37"/>
  <c r="G27" i="37" s="1"/>
  <c r="E29" i="37" l="1"/>
  <c r="F28" i="37"/>
  <c r="G28" i="37" s="1"/>
  <c r="E30" i="37" l="1"/>
  <c r="F29" i="37"/>
  <c r="G29" i="37" s="1"/>
  <c r="E31" i="37" l="1"/>
  <c r="F30" i="37"/>
  <c r="G30" i="37" s="1"/>
  <c r="E32" i="37" l="1"/>
  <c r="F31" i="37"/>
  <c r="G31" i="37" s="1"/>
  <c r="E33" i="37" l="1"/>
  <c r="F32" i="37"/>
  <c r="G32" i="37" s="1"/>
  <c r="E34" i="37" l="1"/>
  <c r="F33" i="37"/>
  <c r="G33" i="37" s="1"/>
  <c r="E35" i="37" l="1"/>
  <c r="F34" i="37"/>
  <c r="G34" i="37" s="1"/>
  <c r="E36" i="37" l="1"/>
  <c r="F35" i="37"/>
  <c r="G35" i="37" s="1"/>
  <c r="E37" i="37" l="1"/>
  <c r="F36" i="37"/>
  <c r="G36" i="37" s="1"/>
  <c r="E38" i="37" l="1"/>
  <c r="F37" i="37"/>
  <c r="G37" i="37" s="1"/>
  <c r="E39" i="37" l="1"/>
  <c r="F38" i="37"/>
  <c r="G38" i="37" s="1"/>
  <c r="E40" i="37" l="1"/>
  <c r="F39" i="37"/>
  <c r="G39" i="37" s="1"/>
  <c r="E41" i="37" l="1"/>
  <c r="F40" i="37"/>
  <c r="G40" i="37" s="1"/>
  <c r="E42" i="37" l="1"/>
  <c r="F41" i="37"/>
  <c r="G41" i="37" s="1"/>
  <c r="E43" i="37" l="1"/>
  <c r="F42" i="37"/>
  <c r="E44" i="37" l="1"/>
  <c r="F43" i="37"/>
  <c r="E45" i="37" l="1"/>
  <c r="F44" i="37"/>
  <c r="E46" i="37" l="1"/>
  <c r="F45" i="37"/>
  <c r="E47" i="37" l="1"/>
  <c r="F46" i="37"/>
  <c r="E48" i="37" l="1"/>
  <c r="F47" i="37"/>
  <c r="E49" i="37" l="1"/>
  <c r="F48" i="37"/>
  <c r="E50" i="37" l="1"/>
  <c r="F49" i="37"/>
  <c r="E51" i="37" l="1"/>
  <c r="F50" i="37"/>
  <c r="E52" i="37" l="1"/>
  <c r="F51" i="37"/>
  <c r="E53" i="37" l="1"/>
  <c r="F52" i="37"/>
  <c r="E54" i="37" l="1"/>
  <c r="F53" i="37"/>
  <c r="E55" i="37" l="1"/>
  <c r="F54" i="37"/>
  <c r="E56" i="37" l="1"/>
  <c r="F55" i="37"/>
  <c r="E57" i="37" l="1"/>
  <c r="F56" i="37"/>
  <c r="E58" i="37" l="1"/>
  <c r="F57" i="37"/>
  <c r="E59" i="37" l="1"/>
  <c r="F58" i="37"/>
  <c r="E60" i="37" l="1"/>
  <c r="F59" i="37"/>
  <c r="E61" i="37" l="1"/>
  <c r="F60" i="37"/>
  <c r="E62" i="37" l="1"/>
  <c r="F61" i="37"/>
  <c r="E63" i="37" l="1"/>
  <c r="F62" i="37"/>
  <c r="E64" i="37" l="1"/>
  <c r="F63" i="37"/>
  <c r="E65" i="37" l="1"/>
  <c r="F64" i="37"/>
  <c r="E66" i="37" l="1"/>
  <c r="F65" i="37"/>
  <c r="E67" i="37" l="1"/>
  <c r="F66" i="37"/>
  <c r="E68" i="37" l="1"/>
  <c r="F67" i="37"/>
  <c r="E69" i="37" l="1"/>
  <c r="F68" i="37"/>
  <c r="E70" i="37" l="1"/>
  <c r="F69" i="37"/>
  <c r="E71" i="37" l="1"/>
  <c r="F70" i="37"/>
  <c r="E72" i="37" l="1"/>
  <c r="F71" i="37"/>
  <c r="E73" i="37" l="1"/>
  <c r="F72" i="37"/>
  <c r="E74" i="37" l="1"/>
  <c r="F73" i="37"/>
  <c r="E75" i="37" l="1"/>
  <c r="F74" i="37"/>
  <c r="E76" i="37" l="1"/>
  <c r="F75" i="37"/>
  <c r="E77" i="37" l="1"/>
  <c r="F76" i="37"/>
  <c r="E78" i="37" l="1"/>
  <c r="F77" i="37"/>
  <c r="E79" i="37" l="1"/>
  <c r="F78" i="37"/>
  <c r="E80" i="37" l="1"/>
  <c r="F79" i="37"/>
  <c r="E81" i="37" l="1"/>
  <c r="F80" i="37"/>
  <c r="E82" i="37" l="1"/>
  <c r="F81" i="37"/>
  <c r="E83" i="37" l="1"/>
  <c r="F82" i="37"/>
  <c r="E84" i="37" l="1"/>
  <c r="F83" i="37"/>
  <c r="E85" i="37" l="1"/>
  <c r="F84" i="37"/>
  <c r="E86" i="37" l="1"/>
  <c r="F85" i="37"/>
  <c r="E87" i="37" l="1"/>
  <c r="F86" i="37"/>
  <c r="E88" i="37" l="1"/>
  <c r="F87" i="37"/>
  <c r="E89" i="37" l="1"/>
  <c r="F88" i="37"/>
  <c r="E90" i="37" l="1"/>
  <c r="F89" i="37"/>
  <c r="E91" i="37" l="1"/>
  <c r="F90" i="37"/>
  <c r="E92" i="37" l="1"/>
  <c r="F91" i="37"/>
  <c r="E93" i="37" l="1"/>
  <c r="F92" i="37"/>
  <c r="E94" i="37" l="1"/>
  <c r="F93" i="37"/>
  <c r="E95" i="37" l="1"/>
  <c r="F94" i="37"/>
  <c r="E96" i="37" l="1"/>
  <c r="F95" i="37"/>
  <c r="E97" i="37" l="1"/>
  <c r="F96" i="37"/>
  <c r="E98" i="37" l="1"/>
  <c r="F97" i="37"/>
  <c r="E99" i="37" l="1"/>
  <c r="F98" i="37"/>
  <c r="E100" i="37" l="1"/>
  <c r="F99" i="37"/>
  <c r="E101" i="37" l="1"/>
  <c r="F100" i="37"/>
  <c r="E102" i="37" l="1"/>
  <c r="F101" i="37"/>
  <c r="E103" i="37" l="1"/>
  <c r="F102" i="37"/>
  <c r="E104" i="37" l="1"/>
  <c r="F103" i="37"/>
  <c r="E105" i="37" l="1"/>
  <c r="F104" i="37"/>
  <c r="E106" i="37" l="1"/>
  <c r="F105" i="37"/>
  <c r="E107" i="37" l="1"/>
  <c r="F106" i="37"/>
  <c r="E108" i="37" l="1"/>
  <c r="F107" i="37"/>
  <c r="E109" i="37" l="1"/>
  <c r="F108" i="37"/>
  <c r="E110" i="37" l="1"/>
  <c r="F109" i="37"/>
  <c r="E111" i="37" l="1"/>
  <c r="F110" i="37"/>
  <c r="E112" i="37" l="1"/>
  <c r="F111" i="37"/>
  <c r="E113" i="37" l="1"/>
  <c r="F112" i="37"/>
  <c r="E114" i="37" l="1"/>
  <c r="F113" i="37"/>
  <c r="E115" i="37" l="1"/>
  <c r="F114" i="37"/>
  <c r="E116" i="37" l="1"/>
  <c r="F115" i="37"/>
  <c r="E117" i="37" l="1"/>
  <c r="F116" i="37"/>
  <c r="E118" i="37" l="1"/>
  <c r="F117" i="37"/>
  <c r="E119" i="37" l="1"/>
  <c r="F118" i="37"/>
  <c r="E120" i="37" l="1"/>
  <c r="F119" i="37"/>
  <c r="E121" i="37" l="1"/>
  <c r="F120" i="37"/>
  <c r="E122" i="37" l="1"/>
  <c r="F121" i="37"/>
  <c r="E123" i="37" l="1"/>
  <c r="F122" i="37"/>
  <c r="E124" i="37" l="1"/>
  <c r="F123" i="37"/>
  <c r="E125" i="37" l="1"/>
  <c r="F124" i="37"/>
  <c r="E126" i="37" l="1"/>
  <c r="F125" i="37"/>
  <c r="E127" i="37" l="1"/>
  <c r="F126" i="37"/>
  <c r="E128" i="37" l="1"/>
  <c r="F127" i="37"/>
  <c r="E129" i="37" l="1"/>
  <c r="F128" i="37"/>
  <c r="E130" i="37" l="1"/>
  <c r="F129" i="37"/>
  <c r="E131" i="37" l="1"/>
  <c r="F130" i="37"/>
  <c r="E132" i="37" l="1"/>
  <c r="F131" i="37"/>
  <c r="E133" i="37" l="1"/>
  <c r="F132" i="37"/>
  <c r="E134" i="37" l="1"/>
  <c r="F133" i="37"/>
  <c r="E135" i="37" l="1"/>
  <c r="F134" i="37"/>
  <c r="E136" i="37" l="1"/>
  <c r="F135" i="37"/>
  <c r="E137" i="37" l="1"/>
  <c r="F136" i="37"/>
  <c r="E138" i="37" l="1"/>
  <c r="F137" i="37"/>
  <c r="E139" i="37" l="1"/>
  <c r="F138" i="37"/>
  <c r="E140" i="37" l="1"/>
  <c r="F139" i="37"/>
  <c r="E141" i="37" l="1"/>
  <c r="F140" i="37"/>
  <c r="E142" i="37" l="1"/>
  <c r="F141" i="37"/>
  <c r="E143" i="37" l="1"/>
  <c r="F142" i="37"/>
  <c r="E144" i="37" l="1"/>
  <c r="F143" i="37"/>
  <c r="E145" i="37" l="1"/>
  <c r="F144" i="37"/>
  <c r="E146" i="37" l="1"/>
  <c r="F145" i="37"/>
  <c r="E147" i="37" l="1"/>
  <c r="F146" i="37"/>
  <c r="E148" i="37" l="1"/>
  <c r="F147" i="37"/>
  <c r="E149" i="37" l="1"/>
  <c r="F148" i="37"/>
  <c r="E150" i="37" l="1"/>
  <c r="F149" i="37"/>
  <c r="E151" i="37" l="1"/>
  <c r="F150" i="37"/>
  <c r="E152" i="37" l="1"/>
  <c r="F151" i="37"/>
  <c r="E153" i="37" l="1"/>
  <c r="F152" i="37"/>
  <c r="E154" i="37" l="1"/>
  <c r="F153" i="37"/>
  <c r="E155" i="37" l="1"/>
  <c r="F154" i="37"/>
  <c r="E156" i="37" l="1"/>
  <c r="F155" i="37"/>
  <c r="E157" i="37" l="1"/>
  <c r="F156" i="37"/>
  <c r="E158" i="37" l="1"/>
  <c r="F157" i="37"/>
  <c r="E159" i="37" l="1"/>
  <c r="F158" i="37"/>
  <c r="E160" i="37" l="1"/>
  <c r="F159" i="37"/>
  <c r="E161" i="37" l="1"/>
  <c r="F160" i="37"/>
  <c r="E162" i="37" l="1"/>
  <c r="F161" i="37"/>
  <c r="E163" i="37" l="1"/>
  <c r="F162" i="37"/>
  <c r="E164" i="37" l="1"/>
  <c r="F163" i="37"/>
  <c r="E165" i="37" l="1"/>
  <c r="F164" i="37"/>
  <c r="E166" i="37" l="1"/>
  <c r="F165" i="37"/>
  <c r="E167" i="37" l="1"/>
  <c r="F166" i="37"/>
  <c r="E168" i="37" l="1"/>
  <c r="F167" i="37"/>
  <c r="E169" i="37" l="1"/>
  <c r="F168" i="37"/>
  <c r="E170" i="37" l="1"/>
  <c r="F169" i="37"/>
  <c r="E171" i="37" l="1"/>
  <c r="F170" i="37"/>
  <c r="E172" i="37" l="1"/>
  <c r="F171" i="37"/>
  <c r="E173" i="37" l="1"/>
  <c r="F172" i="37"/>
  <c r="E174" i="37" l="1"/>
  <c r="F173" i="37"/>
  <c r="E175" i="37" l="1"/>
  <c r="F174" i="37"/>
  <c r="E176" i="37" l="1"/>
  <c r="F175" i="37"/>
  <c r="E177" i="37" l="1"/>
  <c r="F176" i="37"/>
  <c r="E178" i="37" l="1"/>
  <c r="F177" i="37"/>
  <c r="E179" i="37" l="1"/>
  <c r="F178" i="37"/>
  <c r="E180" i="37" l="1"/>
  <c r="F179" i="37"/>
  <c r="E181" i="37" l="1"/>
  <c r="F180" i="37"/>
  <c r="E182" i="37" l="1"/>
  <c r="F181" i="37"/>
  <c r="E183" i="37" l="1"/>
  <c r="F182" i="37"/>
  <c r="E184" i="37" l="1"/>
  <c r="F183" i="37"/>
  <c r="E185" i="37" l="1"/>
  <c r="F184" i="37"/>
  <c r="E186" i="37" l="1"/>
  <c r="F185" i="37"/>
  <c r="E187" i="37" l="1"/>
  <c r="F186" i="37"/>
  <c r="E188" i="37" l="1"/>
  <c r="F187" i="37"/>
  <c r="E189" i="37" l="1"/>
  <c r="F188" i="37"/>
  <c r="E190" i="37" l="1"/>
  <c r="F189" i="37"/>
  <c r="E191" i="37" l="1"/>
  <c r="F190" i="37"/>
  <c r="E192" i="37" l="1"/>
  <c r="F191" i="37"/>
  <c r="E193" i="37" l="1"/>
  <c r="F192" i="37"/>
  <c r="E194" i="37" l="1"/>
  <c r="F193" i="37"/>
  <c r="E195" i="37" l="1"/>
  <c r="F194" i="37"/>
  <c r="E196" i="37" l="1"/>
  <c r="F195" i="37"/>
  <c r="E197" i="37" l="1"/>
  <c r="F196" i="37"/>
  <c r="E198" i="37" l="1"/>
  <c r="F197" i="37"/>
  <c r="E199" i="37" l="1"/>
  <c r="F198" i="37"/>
  <c r="E200" i="37" l="1"/>
  <c r="F199" i="37"/>
  <c r="E201" i="37" l="1"/>
  <c r="F200" i="37"/>
  <c r="E202" i="37" l="1"/>
  <c r="F201" i="37"/>
  <c r="E203" i="37" l="1"/>
  <c r="F202" i="37"/>
  <c r="E204" i="37" l="1"/>
  <c r="F203" i="37"/>
  <c r="E205" i="37" l="1"/>
  <c r="F204" i="37"/>
  <c r="E206" i="37" l="1"/>
  <c r="F205" i="37"/>
  <c r="E207" i="37" l="1"/>
  <c r="F206" i="37"/>
  <c r="E208" i="37" l="1"/>
  <c r="F207" i="37"/>
  <c r="E209" i="37" l="1"/>
  <c r="F208" i="37"/>
  <c r="E210" i="37" l="1"/>
  <c r="F209" i="37"/>
  <c r="E211" i="37" l="1"/>
  <c r="F210" i="37"/>
  <c r="E212" i="37" l="1"/>
  <c r="F211" i="37"/>
  <c r="E213" i="37" l="1"/>
  <c r="F212" i="37"/>
  <c r="F213" i="37" l="1"/>
  <c r="F217" i="37" l="1"/>
  <c r="F218" i="37" l="1"/>
  <c r="F219" i="37" l="1"/>
  <c r="F215" i="37"/>
  <c r="F214" i="37"/>
</calcChain>
</file>

<file path=xl/sharedStrings.xml><?xml version="1.0" encoding="utf-8"?>
<sst xmlns="http://schemas.openxmlformats.org/spreadsheetml/2006/main" count="1466" uniqueCount="581">
  <si>
    <t>KARANGTENGAH</t>
  </si>
  <si>
    <t>NO</t>
  </si>
  <si>
    <t>KECAMATAN</t>
  </si>
  <si>
    <t xml:space="preserve"> DESA</t>
  </si>
  <si>
    <t>Mranggen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</si>
  <si>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</si>
  <si>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</si>
  <si>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</si>
  <si>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</si>
  <si>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</si>
  <si>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</si>
  <si>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</si>
  <si>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</si>
  <si>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</si>
  <si>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</si>
  <si>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</si>
  <si>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</si>
  <si>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</si>
  <si>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</si>
  <si>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</si>
  <si>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</si>
  <si>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</si>
  <si>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</si>
  <si>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</si>
  <si>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</si>
  <si>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</si>
  <si>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</si>
  <si>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</si>
  <si>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</si>
  <si>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</si>
  <si>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</si>
  <si>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</si>
  <si>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</si>
  <si>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</si>
  <si>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</si>
  <si>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</si>
  <si>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</si>
  <si>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</si>
  <si>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</si>
  <si>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</si>
  <si>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</si>
  <si>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</si>
  <si>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</si>
  <si>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</si>
  <si>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</si>
  <si>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</si>
  <si>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</si>
  <si>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</si>
  <si>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</si>
  <si>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</si>
  <si>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</si>
  <si>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</si>
  <si>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</si>
  <si>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</si>
  <si>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</si>
  <si>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</si>
  <si>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</si>
  <si>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</si>
  <si>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</si>
  <si>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</si>
  <si>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</si>
  <si>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</si>
  <si>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</si>
  <si>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</si>
  <si>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</si>
  <si>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</si>
  <si>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</si>
  <si>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</si>
  <si>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</si>
  <si>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</si>
  <si>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</si>
  <si>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</si>
  <si>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</si>
  <si>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</si>
  <si>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</si>
  <si>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</si>
  <si>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</si>
  <si>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</si>
  <si>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</si>
  <si>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</si>
  <si>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</si>
  <si>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</si>
  <si>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</si>
  <si>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</si>
  <si>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</si>
  <si>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</si>
  <si>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</si>
  <si>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</si>
  <si>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</si>
  <si>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</si>
  <si>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</si>
  <si>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</si>
  <si>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</si>
  <si>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</si>
  <si>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</si>
  <si>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</si>
  <si>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</si>
  <si>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</si>
  <si>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</si>
  <si>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</si>
  <si>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</si>
  <si>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</si>
  <si>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</si>
  <si>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</si>
  <si>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</si>
  <si>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</si>
  <si>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</si>
  <si>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</si>
  <si>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</si>
  <si>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</si>
  <si>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</si>
  <si>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</si>
  <si>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</si>
  <si>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</si>
  <si>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</si>
  <si>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</si>
  <si>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</si>
  <si>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</si>
  <si>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</si>
  <si>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</si>
  <si>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</si>
  <si>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</si>
  <si>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</si>
  <si>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</si>
  <si>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</si>
  <si>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</si>
  <si>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</si>
  <si>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</si>
  <si>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</si>
  <si>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</si>
  <si>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</si>
  <si>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</si>
  <si>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</si>
  <si>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</si>
  <si>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</si>
  <si>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</si>
  <si>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</si>
  <si>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</si>
  <si>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</si>
  <si>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</si>
  <si>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</si>
  <si>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</si>
  <si>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</si>
  <si>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</si>
  <si>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</si>
  <si>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</si>
  <si>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</si>
  <si>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</si>
  <si>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</si>
  <si>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</si>
  <si>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</si>
  <si>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</si>
  <si>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</si>
  <si>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</si>
  <si>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</si>
  <si>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</si>
  <si>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</si>
  <si>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</si>
  <si>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</si>
  <si>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</si>
  <si>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</si>
  <si>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</si>
  <si>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</si>
  <si>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</si>
  <si>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</si>
  <si>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</si>
  <si>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</si>
  <si>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</si>
  <si>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</si>
  <si>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</si>
  <si>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</si>
  <si>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</si>
  <si>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</si>
  <si>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</si>
  <si>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</si>
  <si>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</si>
  <si>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</si>
  <si>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</si>
  <si>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</si>
  <si>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</si>
  <si>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</si>
  <si>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</si>
  <si>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</si>
  <si>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</si>
  <si>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</si>
  <si>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</si>
  <si>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</si>
  <si>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</si>
  <si>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</si>
  <si>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</si>
  <si>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</si>
  <si>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</si>
  <si>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</si>
  <si>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</si>
  <si>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</si>
  <si>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</si>
  <si>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</si>
  <si>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</si>
  <si>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</si>
  <si>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</si>
  <si>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</si>
  <si>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</si>
  <si>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</si>
  <si>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</si>
  <si>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</si>
  <si>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</si>
  <si>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</si>
  <si>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</si>
  <si>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</si>
  <si>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</si>
  <si>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</si>
  <si>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</si>
  <si>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</si>
  <si>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</si>
  <si>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</si>
  <si>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</si>
  <si>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</si>
  <si>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</si>
  <si>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</si>
  <si>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</si>
  <si>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</si>
  <si>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</si>
  <si>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</si>
  <si>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</si>
  <si>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</si>
  <si>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</si>
  <si>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</si>
  <si>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</si>
  <si>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</si>
  <si>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</si>
  <si>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</si>
  <si>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</si>
  <si>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</si>
  <si>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</si>
  <si>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</si>
  <si>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</si>
  <si>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</si>
  <si>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</si>
  <si>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</si>
  <si>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</si>
  <si>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</si>
  <si>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</si>
  <si>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</si>
  <si>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</si>
  <si>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</si>
  <si>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</si>
  <si>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</si>
  <si>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</si>
  <si>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</si>
  <si>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</si>
  <si>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</si>
  <si>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</si>
  <si>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</si>
  <si>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</si>
  <si>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</si>
  <si>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</si>
  <si>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</si>
  <si>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</si>
  <si>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</si>
  <si>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</si>
  <si>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</si>
  <si>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</si>
  <si>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</si>
  <si>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</si>
  <si>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</si>
  <si>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</si>
  <si>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</si>
  <si>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</si>
  <si>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</si>
  <si>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</si>
  <si>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</si>
  <si>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</si>
  <si>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</si>
  <si>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</si>
  <si>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</si>
  <si>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</si>
  <si>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</si>
  <si>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</si>
  <si>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</si>
  <si>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</si>
  <si>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</si>
  <si>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</si>
  <si>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</si>
  <si>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</si>
  <si>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</si>
  <si>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</si>
  <si>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</si>
  <si>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</si>
  <si>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</si>
  <si>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</si>
  <si>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</si>
  <si>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</si>
  <si>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</si>
  <si>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</si>
  <si>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LUAR WILAYAH</t>
  </si>
  <si>
    <t>Kotakan</t>
  </si>
  <si>
    <t>MENINGGAL</t>
  </si>
  <si>
    <t>TERKONFIRMASI YANG DI RAWAT DI LUAR DEMAK</t>
  </si>
  <si>
    <t>TGL :</t>
  </si>
  <si>
    <t>KONFIRMASI  YANG DI TEMUKAN DI DEMAK</t>
  </si>
  <si>
    <t>KONFIRMASI YANG DI RARAT D DEMAK</t>
  </si>
  <si>
    <t>,</t>
  </si>
  <si>
    <t>OTG</t>
  </si>
  <si>
    <t>SEMBUH LUAR DAERAH</t>
  </si>
  <si>
    <t>SEMBUH DALAM DAERAH</t>
  </si>
  <si>
    <t>L</t>
  </si>
  <si>
    <t>RSUD Sunan Kalijaga Demak</t>
  </si>
  <si>
    <t>P</t>
  </si>
  <si>
    <t>-</t>
  </si>
  <si>
    <t>MRANGGEN</t>
  </si>
  <si>
    <t>ISOLASI MANDIRI</t>
  </si>
  <si>
    <t>demak</t>
  </si>
  <si>
    <t>RSUD K.R.M.T Wongsonegoro Semarang</t>
  </si>
  <si>
    <t>SULASTRI</t>
  </si>
  <si>
    <t>DARMAN</t>
  </si>
  <si>
    <t>0813-2545-0942</t>
  </si>
  <si>
    <t>ABDUL AZIZ</t>
  </si>
  <si>
    <t>REJOSARI RT05/01</t>
  </si>
  <si>
    <t>COVID Isolasi Mandiri</t>
  </si>
  <si>
    <t>SUYANTO, TN</t>
  </si>
  <si>
    <t>RS Nasional Diponegoro</t>
  </si>
  <si>
    <t>WRINGIN JAJAR RT -8/03 KEL. WRINGIN JAJAR, KEC. MRANGGEN</t>
  </si>
  <si>
    <t>Demam,Batuk</t>
  </si>
  <si>
    <t>Kedungmutih 01/02 wedung demak</t>
  </si>
  <si>
    <t>0821-3664-1181</t>
  </si>
  <si>
    <t>Sesak Napas</t>
  </si>
  <si>
    <t>Rumah</t>
  </si>
  <si>
    <t>YULI SUGIHARTI</t>
  </si>
  <si>
    <t>Demam</t>
  </si>
  <si>
    <t>0813-8349-4033</t>
  </si>
  <si>
    <t>Lain - Lain</t>
  </si>
  <si>
    <t>JAMBARI, TN</t>
  </si>
  <si>
    <t>M. ZUHRI</t>
  </si>
  <si>
    <t>0812-2953-7707</t>
  </si>
  <si>
    <t>Lemas</t>
  </si>
  <si>
    <t>SUMARTO</t>
  </si>
  <si>
    <t>0884-2711-4922</t>
  </si>
  <si>
    <t>SRI WAHYUNI</t>
  </si>
  <si>
    <t>KALISARI</t>
  </si>
  <si>
    <t>SUMBEREJO</t>
  </si>
  <si>
    <t>PURWOSARI</t>
  </si>
  <si>
    <t>SIDOGEMAH</t>
  </si>
  <si>
    <t>GEMULAK</t>
  </si>
  <si>
    <t>SRIWULAN</t>
  </si>
  <si>
    <t>DONOREJO</t>
  </si>
  <si>
    <t>REJOSARI</t>
  </si>
  <si>
    <t>BATURSARI</t>
  </si>
  <si>
    <t>MENUR</t>
  </si>
  <si>
    <t>WRINGINJAJAR</t>
  </si>
  <si>
    <t>SIDOREJO</t>
  </si>
  <si>
    <t>Dinkes Demak</t>
  </si>
  <si>
    <t>KEMBANGARUM</t>
  </si>
  <si>
    <t>jateng</t>
  </si>
  <si>
    <t>LOIRENG</t>
  </si>
  <si>
    <t>KEDUNGMUTIH</t>
  </si>
  <si>
    <t>ISOLASI MANDIRI LUAR</t>
  </si>
  <si>
    <t>BAMBANG SUJATMIKO</t>
  </si>
  <si>
    <t>0821-3262-6204-5</t>
  </si>
  <si>
    <t>KANGKUNG</t>
  </si>
  <si>
    <t>PONO</t>
  </si>
  <si>
    <t>JRAGUNG RT02/17</t>
  </si>
  <si>
    <t>Mual</t>
  </si>
  <si>
    <t>MAHARANI PUSPITASARI</t>
  </si>
  <si>
    <t>SYAFIUDIN</t>
  </si>
  <si>
    <t>SUMBEREJO RT02/08</t>
  </si>
  <si>
    <t>0813-2760-7087</t>
  </si>
  <si>
    <t>Sakit Perut,Sesak Napas</t>
  </si>
  <si>
    <t>SRIWULAN RT08/01</t>
  </si>
  <si>
    <t>0857-4362-6762</t>
  </si>
  <si>
    <t>Demam,Batuk,Sakit Tenggorokan,Pilek</t>
  </si>
  <si>
    <t>JRAGUNG</t>
  </si>
  <si>
    <t>JETAKSARI</t>
  </si>
  <si>
    <t>M. RUMAJI</t>
  </si>
  <si>
    <t>KEMBANGARUM RT11/12</t>
  </si>
  <si>
    <t>0823-2577-3548</t>
  </si>
  <si>
    <t>2020-06-21 00:00:00</t>
  </si>
  <si>
    <t>2020-06-22 00:00:00</t>
  </si>
  <si>
    <t>2020-06-17 00:00:00</t>
  </si>
  <si>
    <t>SUGIYARTI</t>
  </si>
  <si>
    <t>0858-4292-4931</t>
  </si>
  <si>
    <t>2020-06-12 00:00:00</t>
  </si>
  <si>
    <t>TELUK</t>
  </si>
  <si>
    <t>TELUK KAJAR RT03/05</t>
  </si>
  <si>
    <t>0896-3890-847</t>
  </si>
  <si>
    <t>Mual,Demam</t>
  </si>
  <si>
    <t>2020-06-16 00:00:00</t>
  </si>
  <si>
    <t>MIR`AH</t>
  </si>
  <si>
    <t>SIDOREJO RT02/04</t>
  </si>
  <si>
    <t>0823-0604-2525</t>
  </si>
  <si>
    <t>2020-06-15 00:00:00</t>
  </si>
  <si>
    <t>MUHAMAD TOPIK HIDAYAT</t>
  </si>
  <si>
    <t>PRIGI RT05/06</t>
  </si>
  <si>
    <t>2020-06-26 00:00:00</t>
  </si>
  <si>
    <t>COVID Sembuh</t>
  </si>
  <si>
    <t>Kembangarum</t>
  </si>
  <si>
    <t>CABEAN</t>
  </si>
  <si>
    <t>PRAMPELAN</t>
  </si>
  <si>
    <t>TRENGGULI</t>
  </si>
  <si>
    <t>Kedungori</t>
  </si>
  <si>
    <t>2020-06-03 00:00:00</t>
  </si>
  <si>
    <t xml:space="preserve">MRANGGEN </t>
  </si>
  <si>
    <t>TOTAL</t>
  </si>
  <si>
    <t>Betty Diah Novita</t>
  </si>
  <si>
    <t>3374016611730001</t>
  </si>
  <si>
    <t>Bukit seroja 2 no.178  4/2 Semarang</t>
  </si>
  <si>
    <t>0818828017733</t>
  </si>
  <si>
    <t>MONDOKERTO RT05/03</t>
  </si>
  <si>
    <t>2020-06-09 00:00:00</t>
  </si>
  <si>
    <t>0895-3840-0274-3</t>
  </si>
  <si>
    <t>2020-06-07 00:00:00</t>
  </si>
  <si>
    <t>Trengguli RT 03 RW 03 Wonosalam Demak</t>
  </si>
  <si>
    <t>2020-06-08 00:00:00</t>
  </si>
  <si>
    <t>KARANG RT04/05</t>
  </si>
  <si>
    <t>Lemas,Sakit Perut,Sesak Napas,Batuk,Demam</t>
  </si>
  <si>
    <t>0821-6053-0951</t>
  </si>
  <si>
    <t>KAYON RT03/01</t>
  </si>
  <si>
    <t>Batuk,Sesak Napas,Mual,Demam,Lemas</t>
  </si>
  <si>
    <t>Demam,Mual</t>
  </si>
  <si>
    <t>JL KH ABURROHMAN RT04/01</t>
  </si>
  <si>
    <t>Batuk,Sakit Tenggorokan</t>
  </si>
  <si>
    <t>LENGKONG RT02/05</t>
  </si>
  <si>
    <t>2020-06-02 00:00:00</t>
  </si>
  <si>
    <t>Demam,Batuk,Sesak Napas,Mual,Lemas,Sakit Kepala</t>
  </si>
  <si>
    <t>PUCANG GEDE RAYA NO 19 RT11/13</t>
  </si>
  <si>
    <t>2020-06-13 00:00:00</t>
  </si>
  <si>
    <t>Sesak Napas,Batuk,Sakit Kepala,Mual,Demam,Lemas</t>
  </si>
  <si>
    <t>0856-4059-2750</t>
  </si>
  <si>
    <t>Sakit Kepala,Demam</t>
  </si>
  <si>
    <t>RT.03 RW.06, Kel/Desa Cabean Kec. Demak</t>
  </si>
  <si>
    <t>SAWI</t>
  </si>
  <si>
    <t>DINKES PONTIANAK</t>
  </si>
  <si>
    <t>NAMA</t>
  </si>
  <si>
    <t>KABUPATEN</t>
  </si>
  <si>
    <t>KELURAHAN</t>
  </si>
  <si>
    <t>ALAMAT</t>
  </si>
  <si>
    <t>UMUR</t>
  </si>
  <si>
    <t>JENIS KELAMIN</t>
  </si>
  <si>
    <t>NO. TELP</t>
  </si>
  <si>
    <t>STATUS</t>
  </si>
  <si>
    <t>TOTAL KECAMATAN</t>
  </si>
  <si>
    <t>Suspek Dirawat</t>
  </si>
  <si>
    <t>RUMAH SAKIT</t>
  </si>
  <si>
    <t xml:space="preserve">REKAPITULASI DATA SUSPECT </t>
  </si>
  <si>
    <t>REKAP PASIEN DALAM PENGAWASAN (PDP) YANG MASIH DALAM PERAWATAN</t>
  </si>
  <si>
    <t>FASYANKES : RSUD SUNAN KALI JAGA DEMAK</t>
  </si>
  <si>
    <t>NIK</t>
  </si>
  <si>
    <t>PEKERJAAN</t>
  </si>
  <si>
    <t>TEMPAT PEKERJAAN</t>
  </si>
  <si>
    <t>KONDISI UMUM</t>
  </si>
  <si>
    <t>PERSINGGAHAN</t>
  </si>
  <si>
    <t>RIWAYAT MEDIS</t>
  </si>
  <si>
    <t>FAKTOR RESIKO</t>
  </si>
  <si>
    <t>GEJALA</t>
  </si>
  <si>
    <t>TGL MULAI GEJALA</t>
  </si>
  <si>
    <t>TGL MASUK RS</t>
  </si>
  <si>
    <t>TGL KELUAR RS</t>
  </si>
  <si>
    <t>JUMLAH KONTAK</t>
  </si>
  <si>
    <t>TGL UPDATE</t>
  </si>
  <si>
    <t>TGL LAPOR SISTEM</t>
  </si>
  <si>
    <t>SUSPEK</t>
  </si>
  <si>
    <t>REKAPITULASI DATA SUSPEK</t>
  </si>
  <si>
    <t xml:space="preserve">  </t>
  </si>
  <si>
    <t>SUSPEK TOTAL</t>
  </si>
  <si>
    <t>SUSPEK SEHAT</t>
  </si>
  <si>
    <t>SUSPEK DIRAWAT</t>
  </si>
  <si>
    <t>TGL</t>
  </si>
  <si>
    <t>SUSPEK BARU</t>
  </si>
  <si>
    <t>SUSPEK PULANG</t>
  </si>
  <si>
    <t>Mengurus Rumah Tangga</t>
  </si>
  <si>
    <t>Tidak Tahu</t>
  </si>
  <si>
    <t>TIDAK TAHU</t>
  </si>
  <si>
    <t>JAWA TENGAH</t>
  </si>
  <si>
    <t xml:space="preserve"> RS Umum Daerah K.R.M.T Wongsonegoro</t>
  </si>
  <si>
    <t>PROVINSI</t>
  </si>
  <si>
    <t>RT</t>
  </si>
  <si>
    <t>RW</t>
  </si>
  <si>
    <t>lemah</t>
  </si>
  <si>
    <t>PERSON ID</t>
  </si>
  <si>
    <t>KODE SAMPEL</t>
  </si>
  <si>
    <t>HASIL PEMERIKSAAN</t>
  </si>
  <si>
    <t>TANGGAL PEMERIKSAAN</t>
  </si>
  <si>
    <t>no</t>
  </si>
  <si>
    <t>BULUSARI</t>
  </si>
  <si>
    <t>'3321040507520006</t>
  </si>
  <si>
    <t>SOEMARNO</t>
  </si>
  <si>
    <t xml:space="preserve">BULUSARI SAYUNG RT 03/02 sayung demak </t>
  </si>
  <si>
    <t>085225994473</t>
  </si>
  <si>
    <t>DINAS KESEHATAN KAB. DEMAK TH 2021</t>
  </si>
  <si>
    <t>NEGATIF</t>
  </si>
  <si>
    <t>SESAK NAFAS</t>
  </si>
  <si>
    <t>'3321125005550003</t>
  </si>
  <si>
    <t>SUNTARI</t>
  </si>
  <si>
    <t>PONCOHARJO</t>
  </si>
  <si>
    <t>KRAJAN</t>
  </si>
  <si>
    <t>0812-2523-3620</t>
  </si>
  <si>
    <t>DI RUMAH SAJA</t>
  </si>
  <si>
    <t>RS Paru Dr. Ario Wirawan</t>
  </si>
  <si>
    <t>RS Umum Daerah Sultan Fatah Karangawen Demak</t>
  </si>
  <si>
    <t>'3321091508750005</t>
  </si>
  <si>
    <t>NGATIRAN</t>
  </si>
  <si>
    <t>TUWANG</t>
  </si>
  <si>
    <t>0823-3001-5529</t>
  </si>
  <si>
    <t>Wiraswasta</t>
  </si>
  <si>
    <t>DI WIRASWASTA</t>
  </si>
  <si>
    <t>MUAL MUNTAH</t>
  </si>
  <si>
    <t>Klinik Pratama Rawat Inap dan Bersalin Mardi Santoso</t>
  </si>
  <si>
    <t>AG.33331900001.1000182</t>
  </si>
  <si>
    <t>LEMAS</t>
  </si>
  <si>
    <t>RS Umum Sultan Agung Semarang</t>
  </si>
  <si>
    <t>0000-0000-000</t>
  </si>
  <si>
    <t>'3321070507580001</t>
  </si>
  <si>
    <t>NURHADI</t>
  </si>
  <si>
    <t>SIDOMULYO</t>
  </si>
  <si>
    <t>PONDOK</t>
  </si>
  <si>
    <t>0813-2761-6173</t>
  </si>
  <si>
    <t>Pegawai Negeri Sipil</t>
  </si>
  <si>
    <t>BATUK, DEMAM, KEPALA PUSING,</t>
  </si>
  <si>
    <t>AG.33331900001.1000204</t>
  </si>
  <si>
    <t>SUSPEK ISOLASI</t>
  </si>
  <si>
    <t>RS Umum Daerah Sunan Kalijaga</t>
  </si>
  <si>
    <t>Belum / Tidak Bekerja</t>
  </si>
  <si>
    <t>RS Umum Mardi Rahayu</t>
  </si>
  <si>
    <t>'3321010506850011</t>
  </si>
  <si>
    <t>RASMINTO</t>
  </si>
  <si>
    <t>KALITENGAH</t>
  </si>
  <si>
    <t>'9999332108100009</t>
  </si>
  <si>
    <t>BY NY WAHYU SAFITRI</t>
  </si>
  <si>
    <t>GEBANG</t>
  </si>
  <si>
    <t>GEBANG 05/01 BONANG DEMAK</t>
  </si>
  <si>
    <t>0857-9353-8713</t>
  </si>
  <si>
    <t>DEMAM,  LEMES</t>
  </si>
  <si>
    <t>POSITIF</t>
  </si>
  <si>
    <t>'3321101306400001</t>
  </si>
  <si>
    <t>BUSRI</t>
  </si>
  <si>
    <t>MLATEN</t>
  </si>
  <si>
    <t>0882-2109-8459</t>
  </si>
  <si>
    <t>DEMAM, MUNTAH, PUSING,</t>
  </si>
  <si>
    <t>RS Umum Pusat Dr. Kariadi</t>
  </si>
  <si>
    <t>'3321126307210004</t>
  </si>
  <si>
    <t>SAFIRA FIZA UMAIYAH</t>
  </si>
  <si>
    <t>0857-9353-8713-</t>
  </si>
  <si>
    <t>lemes</t>
  </si>
  <si>
    <t>'3321024602620004</t>
  </si>
  <si>
    <t>ENDANG SOKOWATI</t>
  </si>
  <si>
    <t>NGRAJEK</t>
  </si>
  <si>
    <t>'3374056606920003</t>
  </si>
  <si>
    <t>ULIN NIHAYATI</t>
  </si>
  <si>
    <t>DUKUH MANGGIAN</t>
  </si>
  <si>
    <t>0897-5476-900</t>
  </si>
  <si>
    <t>Karyawan Swasta</t>
  </si>
  <si>
    <t>AG.3374076.1000071</t>
  </si>
  <si>
    <t>'3321046010790004</t>
  </si>
  <si>
    <t>SUMAEROH</t>
  </si>
  <si>
    <t>0882-2549-2728</t>
  </si>
  <si>
    <t>Perangkat Desa</t>
  </si>
  <si>
    <t>AG.3374076.1000072</t>
  </si>
  <si>
    <t>Suspek Discard</t>
  </si>
  <si>
    <t>Suspek Isolasi</t>
  </si>
  <si>
    <t>(blank)</t>
  </si>
  <si>
    <t>Grand Total</t>
  </si>
  <si>
    <t>'3321125802960001</t>
  </si>
  <si>
    <t>NURUL FITRI FAUZIYAH</t>
  </si>
  <si>
    <t>MARGOLINDUK</t>
  </si>
  <si>
    <t>0000</t>
  </si>
  <si>
    <t>KU SESAK</t>
  </si>
  <si>
    <t>Lain-lain</t>
  </si>
  <si>
    <t>Sesak Napas,Demam</t>
  </si>
  <si>
    <t>'3321016506660003</t>
  </si>
  <si>
    <t>SRI YUNIARSIH</t>
  </si>
  <si>
    <t>BANDUNGREJO</t>
  </si>
  <si>
    <t>PONDOK MAJAPAHIT I BLOK M NO. 22</t>
  </si>
  <si>
    <t>0240-6725-555</t>
  </si>
  <si>
    <t>LEMAH</t>
  </si>
  <si>
    <t>'3321031702690001</t>
  </si>
  <si>
    <t>SRIWOYO</t>
  </si>
  <si>
    <t>PAMONGAN</t>
  </si>
  <si>
    <t>0000-00</t>
  </si>
  <si>
    <t>Petani/ Pekebun</t>
  </si>
  <si>
    <t>sesak</t>
  </si>
  <si>
    <t>TANGGAL : 18 SEPTEMBER 2021</t>
  </si>
  <si>
    <t>18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</si>
</sst>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[$-F800]dddd\,\ mmmm\ dd\,\ yyyy"/>
    <numFmt numFmtId="166" formatCode="s\t\r"/>
    <numFmt numFmtId="167" formatCode="d/m/yy\ h:m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4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164" fontId="2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9" fontId="10" fillId="0" borderId="0" applyFont="0" applyFill="0" applyBorder="0" applyAlignment="0" applyProtection="0"/>
  </cellStyleXfs>
  <cellXfs count="133">
    <xf numFmtId="0" fontId="0" fillId="0" borderId="0" xfId="0"/>
    <xf numFmtId="0" fontId="9" fillId="0" borderId="0" xfId="0" applyFont="1" applyAlignment="1"/>
    <xf numFmtId="0" fontId="0" fillId="0" borderId="6" xfId="0" applyBorder="1" applyAlignment="1">
      <alignment horizontal="left" vertical="justify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8" fillId="0" borderId="0" xfId="0" applyFont="1"/>
    <xf numFmtId="0" fontId="8" fillId="0" borderId="0" xfId="0" applyFont="1" applyBorder="1" applyAlignment="1">
      <alignment horizontal="left" vertical="center"/>
    </xf>
    <xf numFmtId="0" fontId="9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9" fillId="0" borderId="0" xfId="0" applyFont="1" applyAlignment="1">
      <alignment horizontal="centerContinuous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9" fillId="0" borderId="0" xfId="0" applyFont="1" applyFill="1" applyAlignment="1">
      <alignment horizontal="centerContinuous" vertical="center"/>
    </xf>
    <xf numFmtId="0" fontId="0" fillId="0" borderId="8" xfId="0" applyBorder="1" applyAlignme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0" fillId="2" borderId="0" xfId="0" applyFill="1"/>
    <xf numFmtId="0" fontId="0" fillId="0" borderId="11" xfId="0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left" wrapText="1"/>
    </xf>
    <xf numFmtId="15" fontId="0" fillId="2" borderId="5" xfId="0" applyNumberFormat="1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164" fontId="0" fillId="0" borderId="0" xfId="0" applyNumberFormat="1"/>
    <xf numFmtId="0" fontId="0" fillId="0" borderId="5" xfId="0" applyFill="1" applyBorder="1"/>
    <xf numFmtId="0" fontId="0" fillId="0" borderId="7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/>
    <xf numFmtId="0" fontId="0" fillId="5" borderId="6" xfId="0" applyFill="1" applyBorder="1" applyAlignment="1">
      <alignment horizontal="center"/>
    </xf>
    <xf numFmtId="0" fontId="0" fillId="5" borderId="6" xfId="0" applyFill="1" applyBorder="1"/>
    <xf numFmtId="49" fontId="0" fillId="0" borderId="8" xfId="0" applyNumberFormat="1" applyBorder="1" applyAlignment="1"/>
    <xf numFmtId="0" fontId="0" fillId="0" borderId="6" xfId="0" applyFill="1" applyBorder="1"/>
    <xf numFmtId="0" fontId="0" fillId="0" borderId="5" xfId="0" applyBorder="1" applyAlignment="1">
      <alignment horizontal="center" vertical="justify" wrapText="1"/>
    </xf>
    <xf numFmtId="0" fontId="0" fillId="0" borderId="5" xfId="0" applyBorder="1" applyAlignment="1">
      <alignment horizontal="left" vertical="justify"/>
    </xf>
    <xf numFmtId="0" fontId="0" fillId="0" borderId="5" xfId="0" applyBorder="1" applyAlignment="1">
      <alignment horizontal="left" vertical="center"/>
    </xf>
    <xf numFmtId="0" fontId="10" fillId="0" borderId="5" xfId="0" applyFont="1" applyFill="1" applyBorder="1"/>
    <xf numFmtId="0" fontId="10" fillId="2" borderId="5" xfId="0" applyFont="1" applyFill="1" applyBorder="1"/>
    <xf numFmtId="0" fontId="0" fillId="0" borderId="5" xfId="0" applyFill="1" applyBorder="1" applyAlignment="1">
      <alignment horizontal="center" vertical="justify" wrapText="1"/>
    </xf>
    <xf numFmtId="0" fontId="0" fillId="0" borderId="5" xfId="0" applyFill="1" applyBorder="1" applyAlignment="1">
      <alignment horizontal="left" vertical="justify" wrapText="1"/>
    </xf>
    <xf numFmtId="0" fontId="0" fillId="2" borderId="5" xfId="0" applyFill="1" applyBorder="1"/>
    <xf numFmtId="16" fontId="0" fillId="2" borderId="5" xfId="0" applyNumberFormat="1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165" fontId="0" fillId="0" borderId="5" xfId="0" applyNumberForma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14" fillId="0" borderId="0" xfId="7"/>
    <xf numFmtId="0" fontId="11" fillId="0" borderId="5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14" fontId="0" fillId="0" borderId="5" xfId="0" applyNumberFormat="1" applyBorder="1" applyAlignment="1">
      <alignment horizontal="center"/>
    </xf>
    <xf numFmtId="166" fontId="0" fillId="0" borderId="0" xfId="0" applyNumberFormat="1"/>
    <xf numFmtId="0" fontId="16" fillId="0" borderId="0" xfId="0" applyFont="1" applyFill="1" applyAlignment="1">
      <alignment horizontal="center" vertical="center"/>
    </xf>
    <xf numFmtId="167" fontId="0" fillId="0" borderId="0" xfId="0" applyNumberFormat="1"/>
    <xf numFmtId="14" fontId="0" fillId="0" borderId="0" xfId="0" applyNumberFormat="1"/>
    <xf numFmtId="1" fontId="14" fillId="0" borderId="0" xfId="7" applyNumberFormat="1"/>
    <xf numFmtId="1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Fill="1"/>
    <xf numFmtId="14" fontId="0" fillId="0" borderId="0" xfId="0" applyNumberFormat="1" applyFill="1"/>
    <xf numFmtId="167" fontId="0" fillId="0" borderId="0" xfId="0" applyNumberFormat="1" applyFill="1"/>
    <xf numFmtId="14" fontId="0" fillId="0" borderId="5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166" fontId="0" fillId="0" borderId="5" xfId="0" applyNumberFormat="1" applyBorder="1"/>
    <xf numFmtId="14" fontId="0" fillId="0" borderId="5" xfId="0" applyNumberFormat="1" applyBorder="1"/>
    <xf numFmtId="167" fontId="0" fillId="0" borderId="5" xfId="0" applyNumberFormat="1" applyBorder="1"/>
    <xf numFmtId="166" fontId="0" fillId="0" borderId="0" xfId="0" quotePrefix="1" applyNumberFormat="1"/>
    <xf numFmtId="0" fontId="0" fillId="0" borderId="0" xfId="0" pivotButton="1"/>
    <xf numFmtId="0" fontId="0" fillId="0" borderId="16" xfId="0" applyBorder="1" applyAlignment="1">
      <alignment horizontal="left"/>
    </xf>
    <xf numFmtId="0" fontId="0" fillId="0" borderId="17" xfId="0" applyBorder="1"/>
    <xf numFmtId="0" fontId="0" fillId="0" borderId="18" xfId="0" applyBorder="1" applyAlignment="1">
      <alignment horizontal="left"/>
    </xf>
    <xf numFmtId="0" fontId="0" fillId="0" borderId="19" xfId="0" applyBorder="1"/>
    <xf numFmtId="0" fontId="0" fillId="0" borderId="20" xfId="0" applyBorder="1" applyAlignment="1">
      <alignment horizontal="left"/>
    </xf>
    <xf numFmtId="0" fontId="0" fillId="0" borderId="21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justify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165" fontId="0" fillId="5" borderId="8" xfId="0" applyNumberFormat="1" applyFill="1" applyBorder="1" applyAlignment="1">
      <alignment horizontal="left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64" fontId="0" fillId="0" borderId="5" xfId="0" applyNumberFormat="1" applyBorder="1"/>
  </cellXfs>
  <cellStyles count="14">
    <cellStyle name="Comma [0] 2" xfId="6"/>
    <cellStyle name="Normal" xfId="0" builtinId="0"/>
    <cellStyle name="Normal 10" xfId="8"/>
    <cellStyle name="Normal 13" xfId="9"/>
    <cellStyle name="Normal 2" xfId="4"/>
    <cellStyle name="Normal 3" xfId="7"/>
    <cellStyle name="Normal 4" xfId="10"/>
    <cellStyle name="Normal 5" xfId="2"/>
    <cellStyle name="Normal 6" xfId="1"/>
    <cellStyle name="Normal 6 2" xfId="3"/>
    <cellStyle name="Normal 6 3" xfId="5"/>
    <cellStyle name="Normal 7" xfId="11"/>
    <cellStyle name="Normal 8" xfId="12"/>
    <cellStyle name="Percent 2" xfId="13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159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254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629150" y="512159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629150" y="510254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631531" y="512206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631531" y="510301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8"/>
  <sheetViews>
    <sheetView zoomScale="70" zoomScaleNormal="70" workbookViewId="0">
      <selection activeCell="C23" sqref="C23"/>
    </sheetView>
  </sheetViews>
  <sheetFormatPr defaultColWidth="9.140625" defaultRowHeight="12.75" x14ac:dyDescent="0.2"/>
  <cols>
    <col min="1" max="1" width="7.28515625" style="85" customWidth="1"/>
    <col min="2" max="2" width="26" style="75" customWidth="1"/>
    <col min="3" max="4" width="14.42578125" style="75" customWidth="1"/>
    <col min="5" max="5" width="19.140625" style="75" customWidth="1"/>
    <col min="6" max="6" width="31.7109375" style="75" customWidth="1"/>
    <col min="7" max="7" width="29.42578125" style="75" customWidth="1"/>
    <col min="8" max="8" width="7.7109375" style="75" customWidth="1"/>
    <col min="9" max="9" width="20.5703125" style="75" customWidth="1"/>
    <col min="10" max="10" width="21.140625" style="75" customWidth="1"/>
    <col min="11" max="11" width="20" style="75" customWidth="1"/>
    <col min="12" max="12" width="13.140625" style="75" customWidth="1"/>
    <col min="13" max="13" width="12" style="75" customWidth="1"/>
    <col min="14" max="14" width="17.5703125" style="75" customWidth="1"/>
    <col min="15" max="15" width="38.85546875" style="75" customWidth="1"/>
    <col min="16" max="16" width="23.5703125" style="75" customWidth="1"/>
    <col min="17" max="17" width="22.85546875" style="75" customWidth="1"/>
    <col min="18" max="18" width="15.5703125" style="75" customWidth="1"/>
    <col min="19" max="19" width="36.85546875" style="75" customWidth="1"/>
    <col min="20" max="20" width="14.140625" style="75" customWidth="1"/>
    <col min="21" max="21" width="35.5703125" style="75" customWidth="1"/>
    <col min="22" max="22" width="18.7109375" style="75" customWidth="1"/>
    <col min="23" max="23" width="9.140625" style="75"/>
    <col min="24" max="24" width="18.7109375" style="75" customWidth="1"/>
    <col min="25" max="25" width="22.28515625" style="75" customWidth="1"/>
    <col min="26" max="26" width="29.140625" style="75" customWidth="1"/>
    <col min="27" max="27" width="27.28515625" style="75" customWidth="1"/>
    <col min="28" max="28" width="14.7109375" style="75" customWidth="1"/>
    <col min="29" max="29" width="19.5703125" style="75" customWidth="1"/>
    <col min="30" max="30" width="24.28515625" style="75" customWidth="1"/>
    <col min="31" max="31" width="16.42578125" style="75" customWidth="1"/>
    <col min="32" max="16384" width="9.140625" style="75"/>
  </cols>
  <sheetData>
    <row r="1" spans="1:31" customFormat="1" ht="15" x14ac:dyDescent="0.25">
      <c r="A1" s="86" t="s">
        <v>481</v>
      </c>
      <c r="B1" t="s">
        <v>431</v>
      </c>
      <c r="C1" t="s">
        <v>473</v>
      </c>
      <c r="D1" t="s">
        <v>432</v>
      </c>
      <c r="E1" t="s">
        <v>2</v>
      </c>
      <c r="F1" t="s">
        <v>433</v>
      </c>
      <c r="G1" t="s">
        <v>474</v>
      </c>
      <c r="H1" t="s">
        <v>475</v>
      </c>
      <c r="I1" t="s">
        <v>434</v>
      </c>
      <c r="J1" t="s">
        <v>435</v>
      </c>
      <c r="K1" t="s">
        <v>436</v>
      </c>
      <c r="L1" t="s">
        <v>437</v>
      </c>
      <c r="M1" t="s">
        <v>446</v>
      </c>
      <c r="N1" t="s">
        <v>447</v>
      </c>
      <c r="O1" t="s">
        <v>448</v>
      </c>
      <c r="P1" t="s">
        <v>449</v>
      </c>
      <c r="Q1" t="s">
        <v>450</v>
      </c>
      <c r="R1" t="s">
        <v>451</v>
      </c>
      <c r="S1" t="s">
        <v>452</v>
      </c>
      <c r="T1" s="84" t="s">
        <v>453</v>
      </c>
      <c r="U1" t="s">
        <v>441</v>
      </c>
      <c r="V1" s="84" t="s">
        <v>454</v>
      </c>
      <c r="W1" s="84" t="s">
        <v>455</v>
      </c>
      <c r="X1" t="s">
        <v>438</v>
      </c>
      <c r="Y1" t="s">
        <v>478</v>
      </c>
      <c r="Z1" t="s">
        <v>479</v>
      </c>
      <c r="AA1" s="84" t="s">
        <v>480</v>
      </c>
      <c r="AB1" t="s">
        <v>456</v>
      </c>
      <c r="AC1" s="83" t="s">
        <v>457</v>
      </c>
      <c r="AD1" s="83" t="s">
        <v>458</v>
      </c>
      <c r="AE1" s="75"/>
    </row>
    <row r="2" spans="1:31" ht="15" x14ac:dyDescent="0.25">
      <c r="A2" s="86">
        <v>1</v>
      </c>
      <c r="B2" t="s">
        <v>484</v>
      </c>
      <c r="C2" t="s">
        <v>471</v>
      </c>
      <c r="D2" t="s">
        <v>283</v>
      </c>
      <c r="E2" t="s">
        <v>285</v>
      </c>
      <c r="F2" t="s">
        <v>482</v>
      </c>
      <c r="G2">
        <v>3</v>
      </c>
      <c r="H2">
        <v>2</v>
      </c>
      <c r="I2" t="s">
        <v>485</v>
      </c>
      <c r="J2">
        <v>69</v>
      </c>
      <c r="K2" t="s">
        <v>305</v>
      </c>
      <c r="L2" t="s">
        <v>486</v>
      </c>
      <c r="M2"/>
      <c r="N2"/>
      <c r="O2" t="s">
        <v>476</v>
      </c>
      <c r="P2"/>
      <c r="Q2"/>
      <c r="R2"/>
      <c r="S2"/>
      <c r="T2" s="84"/>
      <c r="U2" t="s">
        <v>472</v>
      </c>
      <c r="V2" s="84">
        <v>44382</v>
      </c>
      <c r="W2" s="84"/>
      <c r="X2" t="s">
        <v>440</v>
      </c>
      <c r="Y2"/>
      <c r="Z2"/>
      <c r="AA2" s="84"/>
      <c r="AB2">
        <v>0</v>
      </c>
      <c r="AC2" s="83">
        <v>44396.500775462999</v>
      </c>
      <c r="AD2" s="83">
        <v>44395.468495369998</v>
      </c>
    </row>
    <row r="3" spans="1:31" ht="15" x14ac:dyDescent="0.25">
      <c r="A3" s="86">
        <v>2</v>
      </c>
      <c r="B3" t="s">
        <v>491</v>
      </c>
      <c r="C3" t="s">
        <v>471</v>
      </c>
      <c r="D3" t="s">
        <v>283</v>
      </c>
      <c r="E3" t="s">
        <v>292</v>
      </c>
      <c r="F3" t="s">
        <v>492</v>
      </c>
      <c r="G3">
        <v>6</v>
      </c>
      <c r="H3">
        <v>3</v>
      </c>
      <c r="I3" t="s">
        <v>493</v>
      </c>
      <c r="J3">
        <v>66</v>
      </c>
      <c r="K3" t="s">
        <v>307</v>
      </c>
      <c r="L3" t="s">
        <v>494</v>
      </c>
      <c r="M3" t="s">
        <v>468</v>
      </c>
      <c r="N3" t="s">
        <v>495</v>
      </c>
      <c r="O3" t="s">
        <v>489</v>
      </c>
      <c r="P3"/>
      <c r="Q3"/>
      <c r="R3"/>
      <c r="S3"/>
      <c r="T3" s="84"/>
      <c r="U3" t="s">
        <v>496</v>
      </c>
      <c r="V3" s="84">
        <v>44424</v>
      </c>
      <c r="W3" s="84"/>
      <c r="X3" t="s">
        <v>440</v>
      </c>
      <c r="Y3"/>
      <c r="Z3"/>
      <c r="AA3" s="84"/>
      <c r="AB3">
        <v>0</v>
      </c>
      <c r="AC3" s="83">
        <v>44426.621064815001</v>
      </c>
      <c r="AD3" s="83">
        <v>44426.621064815001</v>
      </c>
    </row>
    <row r="4" spans="1:31" ht="15" x14ac:dyDescent="0.25">
      <c r="A4" s="86">
        <v>3</v>
      </c>
      <c r="B4" t="s">
        <v>561</v>
      </c>
      <c r="C4" t="s">
        <v>471</v>
      </c>
      <c r="D4" t="s">
        <v>283</v>
      </c>
      <c r="E4" t="s">
        <v>292</v>
      </c>
      <c r="F4" t="s">
        <v>562</v>
      </c>
      <c r="G4">
        <v>2</v>
      </c>
      <c r="H4">
        <v>2</v>
      </c>
      <c r="I4" t="s">
        <v>562</v>
      </c>
      <c r="J4">
        <v>25</v>
      </c>
      <c r="K4" t="s">
        <v>307</v>
      </c>
      <c r="L4" t="s">
        <v>563</v>
      </c>
      <c r="M4" t="s">
        <v>469</v>
      </c>
      <c r="N4" t="s">
        <v>470</v>
      </c>
      <c r="O4" t="s">
        <v>564</v>
      </c>
      <c r="P4" t="s">
        <v>283</v>
      </c>
      <c r="Q4" t="s">
        <v>565</v>
      </c>
      <c r="R4" t="s">
        <v>565</v>
      </c>
      <c r="S4" t="s">
        <v>566</v>
      </c>
      <c r="T4" s="84">
        <v>44454</v>
      </c>
      <c r="U4" t="s">
        <v>537</v>
      </c>
      <c r="V4" s="84">
        <v>44433</v>
      </c>
      <c r="W4" s="84"/>
      <c r="X4" t="s">
        <v>440</v>
      </c>
      <c r="Y4"/>
      <c r="Z4"/>
      <c r="AA4" s="84"/>
      <c r="AB4">
        <v>1</v>
      </c>
      <c r="AC4" s="83">
        <v>44456.852777777996</v>
      </c>
      <c r="AD4" s="83">
        <v>44433.733206019002</v>
      </c>
    </row>
    <row r="5" spans="1:31" ht="15" x14ac:dyDescent="0.25">
      <c r="A5" s="86">
        <v>4</v>
      </c>
      <c r="B5" t="s">
        <v>499</v>
      </c>
      <c r="C5" t="s">
        <v>471</v>
      </c>
      <c r="D5" t="s">
        <v>283</v>
      </c>
      <c r="E5" t="s">
        <v>291</v>
      </c>
      <c r="F5" t="s">
        <v>500</v>
      </c>
      <c r="G5">
        <v>12</v>
      </c>
      <c r="H5">
        <v>3</v>
      </c>
      <c r="I5" t="s">
        <v>500</v>
      </c>
      <c r="J5">
        <v>46</v>
      </c>
      <c r="K5" t="s">
        <v>305</v>
      </c>
      <c r="L5" t="s">
        <v>501</v>
      </c>
      <c r="M5" t="s">
        <v>502</v>
      </c>
      <c r="N5" t="s">
        <v>503</v>
      </c>
      <c r="O5" t="s">
        <v>504</v>
      </c>
      <c r="P5"/>
      <c r="Q5"/>
      <c r="R5"/>
      <c r="S5"/>
      <c r="T5" s="84"/>
      <c r="U5" t="s">
        <v>505</v>
      </c>
      <c r="V5" s="84">
        <v>44439</v>
      </c>
      <c r="W5" s="84"/>
      <c r="X5" t="s">
        <v>440</v>
      </c>
      <c r="Y5" t="s">
        <v>506</v>
      </c>
      <c r="Z5" t="s">
        <v>488</v>
      </c>
      <c r="AA5" s="84">
        <v>44439</v>
      </c>
      <c r="AB5">
        <v>0</v>
      </c>
      <c r="AC5" s="83">
        <v>44439.290775463</v>
      </c>
      <c r="AD5" s="83">
        <v>44439.290775463</v>
      </c>
    </row>
    <row r="6" spans="1:31" ht="15" x14ac:dyDescent="0.25">
      <c r="A6" s="86">
        <v>5</v>
      </c>
      <c r="B6" t="s">
        <v>511</v>
      </c>
      <c r="C6" t="s">
        <v>471</v>
      </c>
      <c r="D6" t="s">
        <v>283</v>
      </c>
      <c r="E6" t="s">
        <v>288</v>
      </c>
      <c r="F6" t="s">
        <v>512</v>
      </c>
      <c r="G6">
        <v>5</v>
      </c>
      <c r="H6">
        <v>6</v>
      </c>
      <c r="I6" t="s">
        <v>513</v>
      </c>
      <c r="J6">
        <v>63</v>
      </c>
      <c r="K6" t="s">
        <v>305</v>
      </c>
      <c r="L6" t="s">
        <v>514</v>
      </c>
      <c r="M6" t="s">
        <v>515</v>
      </c>
      <c r="N6" t="s">
        <v>470</v>
      </c>
      <c r="O6" t="s">
        <v>516</v>
      </c>
      <c r="P6"/>
      <c r="Q6"/>
      <c r="R6"/>
      <c r="S6"/>
      <c r="T6" s="84"/>
      <c r="U6" t="s">
        <v>505</v>
      </c>
      <c r="V6" s="84">
        <v>44445</v>
      </c>
      <c r="W6" s="84"/>
      <c r="X6" t="s">
        <v>440</v>
      </c>
      <c r="Y6" t="s">
        <v>517</v>
      </c>
      <c r="Z6" t="s">
        <v>488</v>
      </c>
      <c r="AA6" s="84">
        <v>44445</v>
      </c>
      <c r="AB6">
        <v>0</v>
      </c>
      <c r="AC6" s="83">
        <v>44445.784085648003</v>
      </c>
      <c r="AD6" s="83">
        <v>44445.784085648003</v>
      </c>
    </row>
    <row r="7" spans="1:31" ht="15" x14ac:dyDescent="0.25">
      <c r="A7" s="86">
        <v>6</v>
      </c>
      <c r="B7" t="s">
        <v>523</v>
      </c>
      <c r="C7" t="s">
        <v>471</v>
      </c>
      <c r="D7" t="s">
        <v>283</v>
      </c>
      <c r="E7" t="s">
        <v>309</v>
      </c>
      <c r="F7" t="s">
        <v>524</v>
      </c>
      <c r="G7">
        <v>4</v>
      </c>
      <c r="H7">
        <v>1</v>
      </c>
      <c r="I7" t="s">
        <v>524</v>
      </c>
      <c r="J7">
        <v>36</v>
      </c>
      <c r="K7" t="s">
        <v>305</v>
      </c>
      <c r="L7" t="s">
        <v>509</v>
      </c>
      <c r="M7" t="s">
        <v>469</v>
      </c>
      <c r="N7" t="s">
        <v>470</v>
      </c>
      <c r="O7" t="s">
        <v>476</v>
      </c>
      <c r="P7"/>
      <c r="Q7"/>
      <c r="R7"/>
      <c r="S7"/>
      <c r="T7" s="84"/>
      <c r="U7" t="s">
        <v>497</v>
      </c>
      <c r="V7" s="84">
        <v>44452</v>
      </c>
      <c r="W7" s="84"/>
      <c r="X7" t="s">
        <v>440</v>
      </c>
      <c r="Y7"/>
      <c r="Z7"/>
      <c r="AA7" s="84"/>
      <c r="AB7">
        <v>0</v>
      </c>
      <c r="AC7" s="83">
        <v>44453.345312500001</v>
      </c>
      <c r="AD7" s="83">
        <v>44452.454479166998</v>
      </c>
    </row>
    <row r="8" spans="1:31" ht="15" x14ac:dyDescent="0.25">
      <c r="A8" s="86">
        <v>7</v>
      </c>
      <c r="B8" t="s">
        <v>533</v>
      </c>
      <c r="C8" t="s">
        <v>471</v>
      </c>
      <c r="D8" t="s">
        <v>283</v>
      </c>
      <c r="E8" t="s">
        <v>290</v>
      </c>
      <c r="F8" t="s">
        <v>534</v>
      </c>
      <c r="G8">
        <v>9</v>
      </c>
      <c r="H8">
        <v>4</v>
      </c>
      <c r="I8" t="s">
        <v>534</v>
      </c>
      <c r="J8">
        <v>81</v>
      </c>
      <c r="K8" t="s">
        <v>305</v>
      </c>
      <c r="L8" t="s">
        <v>535</v>
      </c>
      <c r="M8" t="s">
        <v>469</v>
      </c>
      <c r="N8" t="s">
        <v>470</v>
      </c>
      <c r="O8" t="s">
        <v>536</v>
      </c>
      <c r="P8"/>
      <c r="Q8"/>
      <c r="R8"/>
      <c r="S8"/>
      <c r="T8" s="84"/>
      <c r="U8" t="s">
        <v>521</v>
      </c>
      <c r="V8" s="84">
        <v>44453</v>
      </c>
      <c r="W8" s="84"/>
      <c r="X8" t="s">
        <v>440</v>
      </c>
      <c r="Y8"/>
      <c r="Z8"/>
      <c r="AA8" s="84"/>
      <c r="AB8">
        <v>0</v>
      </c>
      <c r="AC8" s="83">
        <v>44454.396747685001</v>
      </c>
      <c r="AD8" s="83">
        <v>44454.041585648003</v>
      </c>
    </row>
    <row r="9" spans="1:31" ht="15" x14ac:dyDescent="0.25">
      <c r="A9" s="86">
        <v>8</v>
      </c>
      <c r="B9" t="s">
        <v>539</v>
      </c>
      <c r="C9" t="s">
        <v>471</v>
      </c>
      <c r="D9" t="s">
        <v>283</v>
      </c>
      <c r="E9" t="s">
        <v>292</v>
      </c>
      <c r="F9" t="s">
        <v>527</v>
      </c>
      <c r="G9">
        <v>5</v>
      </c>
      <c r="H9">
        <v>1</v>
      </c>
      <c r="I9" t="s">
        <v>528</v>
      </c>
      <c r="J9">
        <v>0</v>
      </c>
      <c r="K9" t="s">
        <v>307</v>
      </c>
      <c r="L9" t="s">
        <v>540</v>
      </c>
      <c r="M9" t="s">
        <v>520</v>
      </c>
      <c r="N9" t="s">
        <v>470</v>
      </c>
      <c r="O9" t="s">
        <v>541</v>
      </c>
      <c r="P9"/>
      <c r="Q9"/>
      <c r="R9"/>
      <c r="S9"/>
      <c r="T9" s="84"/>
      <c r="U9" t="s">
        <v>519</v>
      </c>
      <c r="V9" s="84">
        <v>44455</v>
      </c>
      <c r="W9" s="84"/>
      <c r="X9" t="s">
        <v>440</v>
      </c>
      <c r="Y9"/>
      <c r="Z9"/>
      <c r="AA9" s="84"/>
      <c r="AB9">
        <v>0</v>
      </c>
      <c r="AC9" s="83">
        <v>44455.563969907002</v>
      </c>
      <c r="AD9" s="83">
        <v>44455.563969907002</v>
      </c>
    </row>
    <row r="10" spans="1:31" ht="15" x14ac:dyDescent="0.25">
      <c r="A10" s="86">
        <v>9</v>
      </c>
      <c r="B10" t="s">
        <v>543</v>
      </c>
      <c r="C10" t="s">
        <v>471</v>
      </c>
      <c r="D10" t="s">
        <v>283</v>
      </c>
      <c r="E10" t="s">
        <v>282</v>
      </c>
      <c r="F10" t="s">
        <v>370</v>
      </c>
      <c r="G10">
        <v>2</v>
      </c>
      <c r="H10">
        <v>16</v>
      </c>
      <c r="I10" t="s">
        <v>544</v>
      </c>
      <c r="J10">
        <v>59</v>
      </c>
      <c r="K10" t="s">
        <v>307</v>
      </c>
      <c r="L10" t="s">
        <v>509</v>
      </c>
      <c r="M10" t="s">
        <v>469</v>
      </c>
      <c r="N10" t="s">
        <v>470</v>
      </c>
      <c r="O10" t="s">
        <v>476</v>
      </c>
      <c r="P10"/>
      <c r="Q10"/>
      <c r="R10"/>
      <c r="S10"/>
      <c r="T10" s="84"/>
      <c r="U10" t="s">
        <v>497</v>
      </c>
      <c r="V10" s="84">
        <v>44455</v>
      </c>
      <c r="W10" s="84"/>
      <c r="X10" t="s">
        <v>440</v>
      </c>
      <c r="Y10"/>
      <c r="Z10"/>
      <c r="AA10" s="84"/>
      <c r="AB10">
        <v>0</v>
      </c>
      <c r="AC10" s="83">
        <v>44456.290173611</v>
      </c>
      <c r="AD10" s="83">
        <v>44456.290173611</v>
      </c>
    </row>
    <row r="11" spans="1:31" ht="15" x14ac:dyDescent="0.25">
      <c r="A11" s="86">
        <v>10</v>
      </c>
      <c r="B11" t="s">
        <v>546</v>
      </c>
      <c r="C11" t="s">
        <v>471</v>
      </c>
      <c r="D11" t="s">
        <v>283</v>
      </c>
      <c r="E11" t="s">
        <v>285</v>
      </c>
      <c r="F11" t="s">
        <v>338</v>
      </c>
      <c r="G11">
        <v>2</v>
      </c>
      <c r="H11">
        <v>1</v>
      </c>
      <c r="I11" t="s">
        <v>547</v>
      </c>
      <c r="J11">
        <v>29</v>
      </c>
      <c r="K11" t="s">
        <v>307</v>
      </c>
      <c r="L11" t="s">
        <v>548</v>
      </c>
      <c r="M11" t="s">
        <v>549</v>
      </c>
      <c r="N11" t="s">
        <v>470</v>
      </c>
      <c r="O11" t="s">
        <v>507</v>
      </c>
      <c r="P11"/>
      <c r="Q11"/>
      <c r="R11"/>
      <c r="S11"/>
      <c r="T11" s="84"/>
      <c r="U11" t="s">
        <v>508</v>
      </c>
      <c r="V11" s="84">
        <v>44455</v>
      </c>
      <c r="W11" s="84"/>
      <c r="X11" t="s">
        <v>440</v>
      </c>
      <c r="Y11" t="s">
        <v>550</v>
      </c>
      <c r="Z11" t="s">
        <v>488</v>
      </c>
      <c r="AA11" s="84">
        <v>44455</v>
      </c>
      <c r="AB11">
        <v>0</v>
      </c>
      <c r="AC11" s="83">
        <v>44456.297303241001</v>
      </c>
      <c r="AD11" s="83">
        <v>44456.297303241001</v>
      </c>
    </row>
    <row r="12" spans="1:31" ht="15" x14ac:dyDescent="0.25">
      <c r="A12" s="86">
        <v>11</v>
      </c>
      <c r="B12" t="s">
        <v>552</v>
      </c>
      <c r="C12" t="s">
        <v>471</v>
      </c>
      <c r="D12" t="s">
        <v>283</v>
      </c>
      <c r="E12" t="s">
        <v>285</v>
      </c>
      <c r="F12" t="s">
        <v>343</v>
      </c>
      <c r="G12">
        <v>6</v>
      </c>
      <c r="H12">
        <v>2</v>
      </c>
      <c r="I12" t="s">
        <v>343</v>
      </c>
      <c r="J12">
        <v>41</v>
      </c>
      <c r="K12" t="s">
        <v>307</v>
      </c>
      <c r="L12" t="s">
        <v>553</v>
      </c>
      <c r="M12" t="s">
        <v>554</v>
      </c>
      <c r="N12" t="s">
        <v>470</v>
      </c>
      <c r="O12" t="s">
        <v>507</v>
      </c>
      <c r="P12"/>
      <c r="Q12"/>
      <c r="R12"/>
      <c r="S12"/>
      <c r="T12" s="84"/>
      <c r="U12" t="s">
        <v>508</v>
      </c>
      <c r="V12" s="84">
        <v>44455</v>
      </c>
      <c r="W12" s="84"/>
      <c r="X12" t="s">
        <v>440</v>
      </c>
      <c r="Y12" t="s">
        <v>555</v>
      </c>
      <c r="Z12" t="s">
        <v>488</v>
      </c>
      <c r="AA12" s="84">
        <v>44455</v>
      </c>
      <c r="AB12">
        <v>0</v>
      </c>
      <c r="AC12" s="83">
        <v>44456.299282407002</v>
      </c>
      <c r="AD12" s="83">
        <v>44456.299282407002</v>
      </c>
    </row>
    <row r="13" spans="1:31" ht="15" x14ac:dyDescent="0.25">
      <c r="A13" s="86">
        <v>12</v>
      </c>
      <c r="B13" t="s">
        <v>568</v>
      </c>
      <c r="C13" t="s">
        <v>471</v>
      </c>
      <c r="D13" t="s">
        <v>283</v>
      </c>
      <c r="E13" t="s">
        <v>309</v>
      </c>
      <c r="F13" t="s">
        <v>569</v>
      </c>
      <c r="G13">
        <v>3</v>
      </c>
      <c r="H13">
        <v>4</v>
      </c>
      <c r="I13" t="s">
        <v>570</v>
      </c>
      <c r="J13">
        <v>55</v>
      </c>
      <c r="K13" t="s">
        <v>307</v>
      </c>
      <c r="L13" t="s">
        <v>571</v>
      </c>
      <c r="M13" t="s">
        <v>469</v>
      </c>
      <c r="N13" t="s">
        <v>470</v>
      </c>
      <c r="O13" t="s">
        <v>572</v>
      </c>
      <c r="P13"/>
      <c r="Q13"/>
      <c r="R13"/>
      <c r="S13"/>
      <c r="T13" s="84"/>
      <c r="U13" t="s">
        <v>472</v>
      </c>
      <c r="V13" s="84">
        <v>44456</v>
      </c>
      <c r="W13" s="84"/>
      <c r="X13" t="s">
        <v>440</v>
      </c>
      <c r="Y13"/>
      <c r="Z13"/>
      <c r="AA13" s="84"/>
      <c r="AB13">
        <v>0</v>
      </c>
      <c r="AC13" s="83">
        <v>44456.893738425999</v>
      </c>
      <c r="AD13" s="83">
        <v>44456.447673611001</v>
      </c>
    </row>
    <row r="14" spans="1:31" ht="15" x14ac:dyDescent="0.25">
      <c r="A14" s="86">
        <v>13</v>
      </c>
      <c r="B14" t="s">
        <v>574</v>
      </c>
      <c r="C14" t="s">
        <v>471</v>
      </c>
      <c r="D14" t="s">
        <v>283</v>
      </c>
      <c r="E14" t="s">
        <v>284</v>
      </c>
      <c r="F14" t="s">
        <v>575</v>
      </c>
      <c r="G14">
        <v>11</v>
      </c>
      <c r="H14">
        <v>2</v>
      </c>
      <c r="I14" t="s">
        <v>575</v>
      </c>
      <c r="J14">
        <v>53</v>
      </c>
      <c r="K14" t="s">
        <v>305</v>
      </c>
      <c r="L14" t="s">
        <v>576</v>
      </c>
      <c r="M14" t="s">
        <v>577</v>
      </c>
      <c r="N14" t="s">
        <v>575</v>
      </c>
      <c r="O14" t="s">
        <v>578</v>
      </c>
      <c r="P14"/>
      <c r="Q14"/>
      <c r="R14"/>
      <c r="S14"/>
      <c r="T14" s="84"/>
      <c r="U14" t="s">
        <v>497</v>
      </c>
      <c r="V14" s="84">
        <v>44456</v>
      </c>
      <c r="W14" s="84"/>
      <c r="X14" t="s">
        <v>440</v>
      </c>
      <c r="Y14"/>
      <c r="Z14"/>
      <c r="AA14" s="84"/>
      <c r="AB14">
        <v>0</v>
      </c>
      <c r="AC14" s="83">
        <v>44457.416585648003</v>
      </c>
      <c r="AD14" s="83">
        <v>44457.416585648003</v>
      </c>
    </row>
    <row r="15" spans="1:31" ht="15" x14ac:dyDescent="0.25">
      <c r="A15" s="86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 s="84"/>
      <c r="U15"/>
      <c r="V15" s="84"/>
      <c r="W15" s="84"/>
      <c r="X15"/>
      <c r="Y15"/>
      <c r="Z15"/>
      <c r="AA15" s="84"/>
      <c r="AB15"/>
      <c r="AC15" s="83"/>
      <c r="AD15" s="83"/>
    </row>
    <row r="16" spans="1:31" ht="15" x14ac:dyDescent="0.25">
      <c r="A16" s="86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94"/>
      <c r="U16" s="14"/>
      <c r="V16" s="94"/>
      <c r="W16" s="94"/>
      <c r="X16" s="14"/>
      <c r="Y16" s="14"/>
      <c r="Z16" s="14"/>
      <c r="AA16" s="94"/>
      <c r="AB16" s="14"/>
      <c r="AC16" s="95"/>
      <c r="AD16" s="95"/>
    </row>
    <row r="17" spans="1:30" ht="15" x14ac:dyDescent="0.25">
      <c r="A17" s="86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94"/>
      <c r="U17" s="14"/>
      <c r="V17" s="94"/>
      <c r="W17" s="94"/>
      <c r="X17" s="14"/>
      <c r="Y17" s="14"/>
      <c r="Z17" s="14"/>
      <c r="AA17" s="94"/>
      <c r="AB17" s="14"/>
      <c r="AC17" s="95"/>
      <c r="AD17" s="95"/>
    </row>
    <row r="18" spans="1:30" ht="15" x14ac:dyDescent="0.25">
      <c r="A18" s="86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94"/>
      <c r="U18" s="14"/>
      <c r="V18" s="94"/>
      <c r="W18" s="94"/>
      <c r="X18" s="14"/>
      <c r="Y18" s="14"/>
      <c r="Z18" s="14"/>
      <c r="AA18" s="94"/>
      <c r="AB18" s="14"/>
      <c r="AC18" s="95"/>
      <c r="AD18" s="95"/>
    </row>
    <row r="19" spans="1:30" ht="15" x14ac:dyDescent="0.25">
      <c r="A19" s="86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94"/>
      <c r="U19" s="14"/>
      <c r="V19" s="94"/>
      <c r="W19" s="94"/>
      <c r="X19" s="14"/>
      <c r="Y19" s="14"/>
      <c r="Z19" s="14"/>
      <c r="AA19" s="94"/>
      <c r="AB19" s="14"/>
      <c r="AC19" s="95"/>
      <c r="AD19" s="95"/>
    </row>
    <row r="20" spans="1:30" ht="15" x14ac:dyDescent="0.25">
      <c r="A20" s="86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94"/>
      <c r="U20" s="14"/>
      <c r="V20" s="94"/>
      <c r="W20" s="94"/>
      <c r="X20" s="14"/>
      <c r="Y20" s="14"/>
      <c r="Z20" s="14"/>
      <c r="AA20" s="94"/>
      <c r="AB20" s="14"/>
      <c r="AC20" s="95"/>
      <c r="AD20" s="95"/>
    </row>
    <row r="21" spans="1:30" ht="15" x14ac:dyDescent="0.25">
      <c r="A21" s="86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94"/>
      <c r="U21" s="14"/>
      <c r="V21" s="94"/>
      <c r="W21" s="94"/>
      <c r="X21" s="14"/>
      <c r="Y21" s="14"/>
      <c r="Z21" s="14"/>
      <c r="AA21" s="94"/>
      <c r="AB21" s="14"/>
      <c r="AC21" s="95"/>
      <c r="AD21" s="95"/>
    </row>
    <row r="22" spans="1:30" ht="15" x14ac:dyDescent="0.25">
      <c r="A22" s="86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 s="84"/>
      <c r="U22"/>
      <c r="V22" s="84"/>
      <c r="W22" s="84"/>
      <c r="X22"/>
      <c r="Y22"/>
      <c r="Z22"/>
      <c r="AA22" s="84"/>
      <c r="AB22"/>
      <c r="AC22" s="83"/>
      <c r="AD22" s="83"/>
    </row>
    <row r="23" spans="1:30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 s="84"/>
      <c r="U23"/>
      <c r="V23" s="84"/>
      <c r="W23" s="84"/>
      <c r="X23"/>
      <c r="Y23"/>
      <c r="Z23"/>
      <c r="AA23" s="84"/>
      <c r="AB23"/>
      <c r="AC23" s="83"/>
      <c r="AD23" s="83"/>
    </row>
    <row r="24" spans="1:30" ht="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 s="84"/>
      <c r="U24"/>
      <c r="V24" s="84"/>
      <c r="W24" s="84"/>
      <c r="X24"/>
      <c r="Y24"/>
      <c r="Z24"/>
      <c r="AA24" s="84"/>
      <c r="AB24"/>
      <c r="AC24" s="83"/>
      <c r="AD24" s="83"/>
    </row>
    <row r="25" spans="1:30" ht="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 s="84"/>
      <c r="U25"/>
      <c r="V25" s="84"/>
      <c r="W25" s="84"/>
      <c r="X25"/>
      <c r="Y25"/>
      <c r="Z25"/>
      <c r="AA25" s="84"/>
      <c r="AB25"/>
      <c r="AC25" s="83"/>
      <c r="AD25" s="83"/>
    </row>
    <row r="26" spans="1:30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 s="84"/>
      <c r="U26"/>
      <c r="V26" s="84"/>
      <c r="W26" s="84"/>
      <c r="X26"/>
      <c r="Y26"/>
      <c r="Z26"/>
      <c r="AA26" s="84"/>
      <c r="AB26"/>
      <c r="AC26" s="83"/>
      <c r="AD26" s="83"/>
    </row>
    <row r="27" spans="1:30" ht="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 s="84"/>
      <c r="U27"/>
      <c r="V27" s="84"/>
      <c r="W27" s="84"/>
      <c r="X27"/>
      <c r="Y27"/>
      <c r="Z27"/>
      <c r="AA27" s="84"/>
      <c r="AB27"/>
      <c r="AC27" s="83"/>
      <c r="AD27" s="83"/>
    </row>
    <row r="28" spans="1:30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 s="84"/>
      <c r="U28"/>
      <c r="V28" s="84"/>
      <c r="W28" s="84"/>
      <c r="X28"/>
      <c r="Y28"/>
      <c r="Z28"/>
      <c r="AA28" s="84"/>
      <c r="AB28"/>
      <c r="AC28" s="83"/>
      <c r="AD28" s="83"/>
    </row>
    <row r="29" spans="1:30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 s="84"/>
      <c r="U29"/>
      <c r="V29" s="84"/>
      <c r="W29" s="84"/>
      <c r="X29"/>
      <c r="Y29"/>
      <c r="Z29"/>
      <c r="AA29" s="84"/>
      <c r="AB29"/>
      <c r="AC29" s="83"/>
      <c r="AD29" s="83"/>
    </row>
    <row r="30" spans="1:30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 s="84"/>
      <c r="U30"/>
      <c r="V30" s="84"/>
      <c r="W30" s="84"/>
      <c r="X30"/>
      <c r="Y30"/>
      <c r="Z30"/>
      <c r="AA30" s="84"/>
      <c r="AB30"/>
      <c r="AC30" s="83"/>
      <c r="AD30" s="83"/>
    </row>
    <row r="31" spans="1:30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 s="84"/>
      <c r="U31"/>
      <c r="V31" s="84"/>
      <c r="W31" s="84"/>
      <c r="X31"/>
      <c r="Y31"/>
      <c r="Z31"/>
      <c r="AA31" s="84"/>
      <c r="AB31"/>
      <c r="AC31" s="83"/>
      <c r="AD31" s="83"/>
    </row>
    <row r="32" spans="1:30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 s="84"/>
      <c r="U32"/>
      <c r="V32" s="84"/>
      <c r="W32" s="84"/>
      <c r="X32"/>
      <c r="Y32"/>
      <c r="Z32"/>
      <c r="AA32" s="84"/>
      <c r="AB32"/>
      <c r="AC32" s="83"/>
      <c r="AD32" s="83"/>
    </row>
    <row r="33" spans="1:30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 s="84"/>
      <c r="U33"/>
      <c r="V33" s="84"/>
      <c r="W33" s="84"/>
      <c r="X33"/>
      <c r="Y33"/>
      <c r="Z33"/>
      <c r="AA33" s="84"/>
      <c r="AB33"/>
      <c r="AC33" s="83"/>
      <c r="AD33" s="83"/>
    </row>
    <row r="34" spans="1:30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 s="84"/>
      <c r="U34"/>
      <c r="V34" s="84"/>
      <c r="W34" s="84"/>
      <c r="X34"/>
      <c r="Y34"/>
      <c r="Z34"/>
      <c r="AA34" s="84"/>
      <c r="AB34"/>
      <c r="AC34" s="83"/>
      <c r="AD34" s="83"/>
    </row>
    <row r="35" spans="1:30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 s="84"/>
      <c r="U35"/>
      <c r="V35" s="84"/>
      <c r="W35" s="84"/>
      <c r="X35"/>
      <c r="Y35"/>
      <c r="Z35"/>
      <c r="AA35" s="84"/>
      <c r="AB35"/>
      <c r="AC35" s="83"/>
      <c r="AD35" s="83"/>
    </row>
    <row r="36" spans="1:30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 s="84"/>
      <c r="U36"/>
      <c r="V36" s="84"/>
      <c r="W36" s="84"/>
      <c r="X36"/>
      <c r="Y36"/>
      <c r="Z36"/>
      <c r="AA36" s="84"/>
      <c r="AB36"/>
      <c r="AC36" s="83"/>
      <c r="AD36" s="83"/>
    </row>
    <row r="37" spans="1:30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 s="84"/>
      <c r="U37"/>
      <c r="V37" s="84"/>
      <c r="W37" s="84"/>
      <c r="X37"/>
      <c r="Y37"/>
      <c r="Z37"/>
      <c r="AA37" s="84"/>
      <c r="AB37"/>
      <c r="AC37" s="83"/>
      <c r="AD37" s="83"/>
    </row>
    <row r="38" spans="1:30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 s="84"/>
      <c r="U38"/>
      <c r="V38" s="84"/>
      <c r="W38" s="84"/>
      <c r="X38"/>
      <c r="Y38"/>
      <c r="Z38"/>
      <c r="AA38" s="84"/>
      <c r="AB38"/>
      <c r="AC38" s="83"/>
      <c r="AD38" s="83"/>
    </row>
    <row r="39" spans="1:30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 s="84"/>
      <c r="U39"/>
      <c r="V39" s="84"/>
      <c r="W39" s="84"/>
      <c r="X39"/>
      <c r="Y39"/>
      <c r="Z39"/>
      <c r="AA39" s="84"/>
      <c r="AB39"/>
      <c r="AC39" s="83"/>
      <c r="AD39" s="83"/>
    </row>
    <row r="40" spans="1:30" ht="15" x14ac:dyDescent="0.25">
      <c r="A40" s="86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 s="84"/>
      <c r="U40"/>
      <c r="V40" s="84"/>
      <c r="W40" s="84"/>
      <c r="X40"/>
      <c r="Y40"/>
      <c r="Z40"/>
      <c r="AA40" s="84"/>
      <c r="AB40"/>
      <c r="AC40" s="83"/>
      <c r="AD40" s="83"/>
    </row>
    <row r="41" spans="1:30" ht="15" x14ac:dyDescent="0.25">
      <c r="A41" s="86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 s="84"/>
      <c r="U41"/>
      <c r="V41" s="84"/>
      <c r="W41" s="84"/>
      <c r="X41"/>
      <c r="Y41"/>
      <c r="Z41"/>
      <c r="AA41" s="84"/>
      <c r="AB41"/>
      <c r="AC41" s="83"/>
      <c r="AD41" s="83"/>
    </row>
    <row r="42" spans="1:30" ht="15" x14ac:dyDescent="0.25">
      <c r="A42" s="86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 s="84"/>
      <c r="U42"/>
      <c r="V42" s="84"/>
      <c r="W42" s="84"/>
      <c r="X42"/>
      <c r="Y42"/>
      <c r="Z42"/>
      <c r="AA42" s="84"/>
      <c r="AB42"/>
      <c r="AC42" s="83"/>
      <c r="AD42" s="83"/>
    </row>
    <row r="43" spans="1:30" ht="15" x14ac:dyDescent="0.25">
      <c r="A43" s="86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 s="84"/>
      <c r="U43"/>
      <c r="V43" s="84"/>
      <c r="W43" s="84"/>
      <c r="X43"/>
      <c r="Y43"/>
      <c r="Z43"/>
      <c r="AA43" s="84"/>
      <c r="AB43"/>
      <c r="AC43" s="83"/>
      <c r="AD43" s="83"/>
    </row>
    <row r="44" spans="1:30" ht="15" x14ac:dyDescent="0.25">
      <c r="A44" s="86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 s="84"/>
      <c r="U44"/>
      <c r="V44" s="84"/>
      <c r="W44" s="84"/>
      <c r="X44"/>
      <c r="Y44"/>
      <c r="Z44"/>
      <c r="AA44" s="84"/>
      <c r="AB44"/>
      <c r="AC44" s="83"/>
      <c r="AD44" s="83"/>
    </row>
    <row r="45" spans="1:30" ht="15" x14ac:dyDescent="0.25">
      <c r="A45" s="86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 s="84"/>
      <c r="U45"/>
      <c r="V45" s="84"/>
      <c r="W45" s="84"/>
      <c r="X45"/>
      <c r="Y45"/>
      <c r="Z45"/>
      <c r="AA45" s="84"/>
      <c r="AB45"/>
      <c r="AC45" s="83"/>
      <c r="AD45" s="83"/>
    </row>
    <row r="46" spans="1:30" ht="15" x14ac:dyDescent="0.25">
      <c r="A46" s="8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 s="84"/>
      <c r="U46"/>
      <c r="V46" s="84"/>
      <c r="W46" s="84"/>
      <c r="X46"/>
      <c r="Y46"/>
      <c r="Z46"/>
      <c r="AA46" s="84"/>
      <c r="AB46"/>
      <c r="AC46" s="83"/>
      <c r="AD46" s="83"/>
    </row>
    <row r="47" spans="1:30" ht="15" x14ac:dyDescent="0.25">
      <c r="A47" s="86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 s="84"/>
      <c r="U47"/>
      <c r="V47" s="84"/>
      <c r="W47" s="84"/>
      <c r="X47"/>
      <c r="Y47"/>
      <c r="Z47"/>
      <c r="AA47" s="84"/>
      <c r="AB47"/>
      <c r="AC47" s="83"/>
      <c r="AD47" s="83"/>
    </row>
    <row r="48" spans="1:30" ht="15" x14ac:dyDescent="0.25">
      <c r="A48" s="86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 s="84"/>
      <c r="U48"/>
      <c r="V48" s="84"/>
      <c r="W48" s="84"/>
      <c r="X48"/>
      <c r="Y48"/>
      <c r="Z48"/>
      <c r="AA48" s="84"/>
      <c r="AB48"/>
      <c r="AC48" s="83"/>
      <c r="AD48" s="83"/>
    </row>
    <row r="49" spans="1:30" ht="15" x14ac:dyDescent="0.25">
      <c r="A49" s="86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 s="84"/>
      <c r="U49"/>
      <c r="V49" s="84"/>
      <c r="W49" s="84"/>
      <c r="X49"/>
      <c r="Y49"/>
      <c r="Z49"/>
      <c r="AA49" s="84"/>
      <c r="AB49"/>
      <c r="AC49" s="83"/>
      <c r="AD49" s="83"/>
    </row>
    <row r="50" spans="1:30" ht="15" x14ac:dyDescent="0.25">
      <c r="A50" s="86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 s="84"/>
      <c r="U50"/>
      <c r="V50" s="84"/>
      <c r="W50" s="84"/>
      <c r="X50"/>
      <c r="Y50"/>
      <c r="Z50"/>
      <c r="AA50" s="84"/>
      <c r="AB50"/>
      <c r="AC50" s="83"/>
      <c r="AD50" s="83"/>
    </row>
    <row r="51" spans="1:30" ht="15" x14ac:dyDescent="0.25">
      <c r="A51" s="86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 s="84"/>
      <c r="U51"/>
      <c r="V51" s="84"/>
      <c r="W51" s="84"/>
      <c r="X51"/>
      <c r="Y51"/>
      <c r="Z51"/>
      <c r="AA51" s="84"/>
      <c r="AB51"/>
      <c r="AC51" s="83"/>
      <c r="AD51" s="83"/>
    </row>
    <row r="52" spans="1:30" ht="15" x14ac:dyDescent="0.25">
      <c r="A52" s="86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 s="84"/>
      <c r="U52"/>
      <c r="V52" s="84"/>
      <c r="W52" s="84"/>
      <c r="X52"/>
      <c r="Y52"/>
      <c r="Z52"/>
      <c r="AA52" s="84"/>
      <c r="AB52"/>
      <c r="AC52" s="83"/>
      <c r="AD52" s="83"/>
    </row>
    <row r="53" spans="1:30" ht="15" x14ac:dyDescent="0.25">
      <c r="A53" s="86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 s="84"/>
      <c r="U53"/>
      <c r="V53" s="84"/>
      <c r="W53" s="84"/>
      <c r="X53"/>
      <c r="Y53"/>
      <c r="Z53"/>
      <c r="AA53" s="84"/>
      <c r="AB53"/>
      <c r="AC53" s="83"/>
      <c r="AD53" s="83"/>
    </row>
    <row r="54" spans="1:30" ht="15" x14ac:dyDescent="0.25">
      <c r="A54" s="86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 s="84"/>
      <c r="U54"/>
      <c r="V54" s="84"/>
      <c r="W54" s="84"/>
      <c r="X54"/>
      <c r="Y54"/>
      <c r="Z54"/>
      <c r="AA54" s="84"/>
      <c r="AB54"/>
      <c r="AC54" s="83"/>
      <c r="AD54" s="83"/>
    </row>
    <row r="55" spans="1:30" ht="15" x14ac:dyDescent="0.25">
      <c r="A55" s="86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 s="84"/>
      <c r="U55"/>
      <c r="V55" s="84"/>
      <c r="W55" s="84"/>
      <c r="X55"/>
      <c r="Y55"/>
      <c r="Z55"/>
      <c r="AA55" s="84"/>
      <c r="AB55"/>
      <c r="AC55" s="83"/>
      <c r="AD55" s="83"/>
    </row>
    <row r="56" spans="1:30" ht="15" x14ac:dyDescent="0.25">
      <c r="A56" s="8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 s="84"/>
      <c r="U56"/>
      <c r="V56" s="84"/>
      <c r="W56" s="84"/>
      <c r="X56"/>
      <c r="Y56"/>
      <c r="Z56"/>
      <c r="AA56" s="84"/>
      <c r="AB56"/>
      <c r="AC56" s="83"/>
      <c r="AD56" s="83"/>
    </row>
    <row r="57" spans="1:30" ht="15" x14ac:dyDescent="0.25">
      <c r="A57" s="86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 s="84"/>
      <c r="U57"/>
      <c r="V57" s="84"/>
      <c r="W57" s="84"/>
      <c r="X57"/>
      <c r="Y57"/>
      <c r="Z57"/>
      <c r="AA57" s="84"/>
      <c r="AB57"/>
      <c r="AC57" s="83"/>
      <c r="AD57" s="83"/>
    </row>
    <row r="58" spans="1:30" ht="15" x14ac:dyDescent="0.25">
      <c r="A58" s="86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 s="84"/>
      <c r="U58"/>
      <c r="V58" s="84"/>
      <c r="W58" s="84"/>
      <c r="X58"/>
      <c r="Y58"/>
      <c r="Z58"/>
      <c r="AA58" s="84"/>
      <c r="AB58"/>
      <c r="AC58" s="83"/>
      <c r="AD58" s="83"/>
    </row>
    <row r="59" spans="1:30" ht="15" x14ac:dyDescent="0.25">
      <c r="A59" s="86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 s="84"/>
      <c r="U59"/>
      <c r="V59" s="84"/>
      <c r="W59" s="84"/>
      <c r="X59"/>
      <c r="Y59"/>
      <c r="Z59"/>
      <c r="AA59" s="84"/>
      <c r="AB59"/>
      <c r="AC59" s="83"/>
      <c r="AD59" s="83"/>
    </row>
    <row r="60" spans="1:30" ht="15" x14ac:dyDescent="0.25">
      <c r="A60" s="86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 s="84"/>
      <c r="U60"/>
      <c r="V60" s="84"/>
      <c r="W60" s="84"/>
      <c r="X60"/>
      <c r="Y60"/>
      <c r="Z60"/>
      <c r="AA60" s="84"/>
      <c r="AB60"/>
      <c r="AC60" s="83"/>
      <c r="AD60" s="83"/>
    </row>
    <row r="61" spans="1:30" ht="15" x14ac:dyDescent="0.25">
      <c r="A61" s="86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 s="84"/>
      <c r="U61"/>
      <c r="V61" s="84"/>
      <c r="W61" s="84"/>
      <c r="X61"/>
      <c r="Y61"/>
      <c r="Z61"/>
      <c r="AA61" s="84"/>
      <c r="AB61"/>
      <c r="AC61" s="83"/>
      <c r="AD61" s="83"/>
    </row>
    <row r="62" spans="1:30" ht="15" x14ac:dyDescent="0.25">
      <c r="A62" s="86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 s="84"/>
      <c r="U62"/>
      <c r="V62" s="84"/>
      <c r="W62" s="84"/>
      <c r="X62"/>
      <c r="Y62"/>
      <c r="Z62"/>
      <c r="AA62" s="84"/>
      <c r="AB62"/>
      <c r="AC62" s="83"/>
      <c r="AD62" s="83"/>
    </row>
    <row r="63" spans="1:30" ht="15" x14ac:dyDescent="0.25">
      <c r="A63" s="86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 s="84"/>
      <c r="U63"/>
      <c r="V63" s="84"/>
      <c r="W63" s="84"/>
      <c r="X63"/>
      <c r="Y63"/>
      <c r="Z63"/>
      <c r="AA63" s="84"/>
      <c r="AB63"/>
      <c r="AC63" s="83"/>
      <c r="AD63" s="83"/>
    </row>
    <row r="64" spans="1:30" ht="15" x14ac:dyDescent="0.25">
      <c r="A64" s="86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 s="84"/>
      <c r="U64"/>
      <c r="V64" s="84"/>
      <c r="W64" s="84"/>
      <c r="X64"/>
      <c r="Y64"/>
      <c r="Z64"/>
      <c r="AA64" s="84"/>
      <c r="AB64"/>
      <c r="AC64" s="83"/>
      <c r="AD64" s="83"/>
    </row>
    <row r="65" spans="1:30" ht="15" x14ac:dyDescent="0.25">
      <c r="A65" s="86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 s="84"/>
      <c r="U65"/>
      <c r="V65" s="84"/>
      <c r="W65" s="84"/>
      <c r="X65"/>
      <c r="Y65"/>
      <c r="Z65"/>
      <c r="AA65" s="84"/>
      <c r="AB65"/>
      <c r="AC65" s="83"/>
      <c r="AD65" s="83"/>
    </row>
    <row r="66" spans="1:30" ht="15" x14ac:dyDescent="0.25">
      <c r="A66" s="8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 s="84"/>
      <c r="U66"/>
      <c r="V66" s="84"/>
      <c r="W66" s="84"/>
      <c r="X66"/>
      <c r="Y66"/>
      <c r="Z66"/>
      <c r="AA66" s="84"/>
      <c r="AB66"/>
      <c r="AC66" s="83"/>
      <c r="AD66" s="83"/>
    </row>
    <row r="67" spans="1:30" ht="15" x14ac:dyDescent="0.25">
      <c r="A67" s="86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 s="84"/>
      <c r="U67"/>
      <c r="V67" s="84"/>
      <c r="W67" s="84"/>
      <c r="X67"/>
      <c r="Y67"/>
      <c r="Z67"/>
      <c r="AA67" s="84"/>
      <c r="AB67"/>
      <c r="AC67" s="83"/>
      <c r="AD67" s="83"/>
    </row>
    <row r="68" spans="1:30" ht="15" x14ac:dyDescent="0.25">
      <c r="A68" s="86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 s="84"/>
      <c r="U68"/>
      <c r="V68" s="84"/>
      <c r="W68" s="84"/>
      <c r="X68"/>
      <c r="Y68"/>
      <c r="Z68"/>
      <c r="AA68" s="84"/>
      <c r="AB68"/>
      <c r="AC68" s="83"/>
      <c r="AD68" s="83"/>
    </row>
  </sheetData>
  <autoFilter ref="A1:AB29"/>
  <sortState ref="A2:AD29">
    <sortCondition sortBy="cellColor" ref="B2:B29" dxfId="51"/>
  </sortState>
  <conditionalFormatting sqref="B40:B1048576 B1">
    <cfRule type="duplicateValues" dxfId="50" priority="11"/>
  </conditionalFormatting>
  <conditionalFormatting sqref="B69:B1048576 B1">
    <cfRule type="duplicateValues" dxfId="49" priority="126"/>
  </conditionalFormatting>
  <conditionalFormatting sqref="B69:B1048576">
    <cfRule type="duplicateValues" dxfId="48" priority="129"/>
  </conditionalFormatting>
  <conditionalFormatting sqref="B69:B1048576">
    <cfRule type="duplicateValues" dxfId="47" priority="131"/>
  </conditionalFormatting>
  <conditionalFormatting sqref="A40:A68">
    <cfRule type="duplicateValues" dxfId="46" priority="134"/>
  </conditionalFormatting>
  <conditionalFormatting sqref="A22">
    <cfRule type="duplicateValues" dxfId="45" priority="146"/>
    <cfRule type="duplicateValues" dxfId="44" priority="147"/>
  </conditionalFormatting>
  <conditionalFormatting sqref="A2:A21">
    <cfRule type="duplicateValues" dxfId="43" priority="150"/>
    <cfRule type="duplicateValues" dxfId="42" priority="15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zoomScale="80" zoomScaleNormal="80" workbookViewId="0">
      <pane xSplit="3" ySplit="7" topLeftCell="D254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14" customWidth="1"/>
    <col min="4" max="4" width="22" style="1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26" hidden="1" customWidth="1"/>
    <col min="16" max="16" width="6.7109375" hidden="1" customWidth="1"/>
    <col min="17" max="17" width="17.42578125" customWidth="1"/>
  </cols>
  <sheetData>
    <row r="1" spans="1:17" x14ac:dyDescent="0.25">
      <c r="A1" s="15" t="s">
        <v>460</v>
      </c>
      <c r="B1" s="15"/>
      <c r="C1" s="19"/>
      <c r="D1" s="19"/>
    </row>
    <row r="2" spans="1:17" x14ac:dyDescent="0.25">
      <c r="A2" s="1"/>
      <c r="B2" s="1"/>
      <c r="C2" s="11"/>
      <c r="D2" s="11"/>
    </row>
    <row r="3" spans="1:17" x14ac:dyDescent="0.25">
      <c r="A3" s="1"/>
      <c r="B3" s="1"/>
      <c r="C3" s="11"/>
      <c r="D3" s="11"/>
    </row>
    <row r="4" spans="1:17" x14ac:dyDescent="0.25">
      <c r="A4" s="20" t="s">
        <v>298</v>
      </c>
      <c r="B4" s="59" t="s">
        <v>580</v>
      </c>
      <c r="C4" s="12"/>
      <c r="D4" s="12"/>
    </row>
    <row r="5" spans="1:17" ht="60" customHeight="1" x14ac:dyDescent="0.25">
      <c r="A5" s="122" t="s">
        <v>1</v>
      </c>
      <c r="B5" s="122" t="s">
        <v>2</v>
      </c>
      <c r="C5" s="124" t="s">
        <v>3</v>
      </c>
      <c r="D5" s="126" t="s">
        <v>459</v>
      </c>
      <c r="E5" s="117" t="s">
        <v>272</v>
      </c>
      <c r="F5" s="117" t="s">
        <v>273</v>
      </c>
      <c r="G5" s="118" t="s">
        <v>300</v>
      </c>
      <c r="H5" s="121" t="s">
        <v>299</v>
      </c>
      <c r="I5" s="121" t="s">
        <v>297</v>
      </c>
      <c r="J5" s="117" t="s">
        <v>296</v>
      </c>
      <c r="K5" s="118" t="s">
        <v>303</v>
      </c>
      <c r="L5" s="118" t="s">
        <v>304</v>
      </c>
      <c r="M5" s="117" t="s">
        <v>302</v>
      </c>
      <c r="Q5" s="111" t="s">
        <v>439</v>
      </c>
    </row>
    <row r="6" spans="1:17" ht="15" customHeight="1" x14ac:dyDescent="0.25">
      <c r="A6" s="123"/>
      <c r="B6" s="123"/>
      <c r="C6" s="125"/>
      <c r="D6" s="127"/>
      <c r="E6" s="117"/>
      <c r="F6" s="117"/>
      <c r="G6" s="119"/>
      <c r="H6" s="121"/>
      <c r="I6" s="121"/>
      <c r="J6" s="117"/>
      <c r="K6" s="119"/>
      <c r="L6" s="119"/>
      <c r="M6" s="117"/>
      <c r="Q6" s="112"/>
    </row>
    <row r="7" spans="1:17" ht="15.75" customHeight="1" x14ac:dyDescent="0.25">
      <c r="A7" s="123"/>
      <c r="B7" s="123"/>
      <c r="C7" s="125"/>
      <c r="D7" s="127"/>
      <c r="E7" s="117"/>
      <c r="F7" s="117"/>
      <c r="G7" s="120"/>
      <c r="H7" s="121"/>
      <c r="I7" s="121"/>
      <c r="J7" s="117"/>
      <c r="K7" s="120"/>
      <c r="L7" s="120"/>
      <c r="M7" s="117"/>
      <c r="Q7" s="113"/>
    </row>
    <row r="8" spans="1:17" x14ac:dyDescent="0.25">
      <c r="A8" s="61">
        <v>1</v>
      </c>
      <c r="B8" s="62" t="s">
        <v>4</v>
      </c>
      <c r="C8" s="43" t="s">
        <v>394</v>
      </c>
      <c r="D8" s="76">
        <f>COUNTIFS('TOTAL SUSPEK'!$F:$F,"kembangarum")</f>
        <v>0</v>
      </c>
      <c r="E8" s="21" t="e">
        <f>SUM(#REF!)</f>
        <v>#REF!</v>
      </c>
      <c r="F8" s="21" t="e">
        <f>SUM(#REF!)</f>
        <v>#REF!</v>
      </c>
      <c r="G8" s="21" t="e">
        <f>SUM(#REF!)</f>
        <v>#REF!</v>
      </c>
      <c r="H8" s="21" t="e">
        <f>SUM(#REF!)</f>
        <v>#REF!</v>
      </c>
      <c r="I8" s="21" t="e">
        <f>SUM(#REF!)</f>
        <v>#REF!</v>
      </c>
      <c r="J8" s="21" t="e">
        <f>SUM(#REF!)</f>
        <v>#REF!</v>
      </c>
      <c r="K8" s="21" t="e">
        <f>SUM(#REF!)</f>
        <v>#REF!</v>
      </c>
      <c r="L8" s="21">
        <f>SUM(D8:D26)</f>
        <v>2</v>
      </c>
      <c r="M8" s="21" t="e">
        <f>SUM(#REF!)</f>
        <v>#REF!</v>
      </c>
      <c r="P8" s="42">
        <f t="shared" ref="P8:P71" si="0">SUM(D8:D8)</f>
        <v>0</v>
      </c>
      <c r="Q8" s="132">
        <f>SUM(P8:P26)</f>
        <v>2</v>
      </c>
    </row>
    <row r="9" spans="1:17" x14ac:dyDescent="0.25">
      <c r="A9" s="61"/>
      <c r="B9" s="62" t="s">
        <v>4</v>
      </c>
      <c r="C9" s="43" t="s">
        <v>4</v>
      </c>
      <c r="D9" s="76">
        <f>COUNTIFS('TOTAL SUSPEK'!$F:$F,"mranggen")</f>
        <v>0</v>
      </c>
      <c r="E9" s="22"/>
      <c r="F9" s="23"/>
      <c r="G9" s="23"/>
      <c r="H9" s="23"/>
      <c r="I9" s="23"/>
      <c r="J9" s="23"/>
      <c r="K9" s="24"/>
      <c r="L9" s="24"/>
      <c r="M9" s="24"/>
      <c r="P9" s="42">
        <f t="shared" si="0"/>
        <v>0</v>
      </c>
      <c r="Q9" s="8"/>
    </row>
    <row r="10" spans="1:17" x14ac:dyDescent="0.25">
      <c r="A10" s="61"/>
      <c r="B10" s="62" t="s">
        <v>4</v>
      </c>
      <c r="C10" s="43" t="s">
        <v>5</v>
      </c>
      <c r="D10" s="76">
        <f>COUNTIFS('TOTAL SUSPEK'!$F:$F,"kangkung")</f>
        <v>0</v>
      </c>
      <c r="E10" s="22"/>
      <c r="F10" s="23"/>
      <c r="G10" s="23"/>
      <c r="H10" s="23"/>
      <c r="I10" s="23"/>
      <c r="J10" s="23"/>
      <c r="K10" s="24"/>
      <c r="L10" s="24"/>
      <c r="M10" s="24"/>
      <c r="P10" s="42">
        <f t="shared" si="0"/>
        <v>0</v>
      </c>
      <c r="Q10" s="8"/>
    </row>
    <row r="11" spans="1:17" x14ac:dyDescent="0.25">
      <c r="A11" s="61"/>
      <c r="B11" s="62" t="s">
        <v>4</v>
      </c>
      <c r="C11" s="43" t="s">
        <v>6</v>
      </c>
      <c r="D11" s="76">
        <f>COUNTIFS('TOTAL SUSPEK'!$F:$F,"Kalitengah")</f>
        <v>1</v>
      </c>
      <c r="E11" s="22"/>
      <c r="F11" s="23"/>
      <c r="G11" s="23"/>
      <c r="H11" s="23"/>
      <c r="I11" s="23"/>
      <c r="J11" s="23"/>
      <c r="K11" s="24"/>
      <c r="L11" s="24"/>
      <c r="M11" s="24"/>
      <c r="P11" s="42">
        <f t="shared" si="0"/>
        <v>1</v>
      </c>
      <c r="Q11" s="8"/>
    </row>
    <row r="12" spans="1:17" x14ac:dyDescent="0.25">
      <c r="A12" s="61"/>
      <c r="B12" s="62" t="s">
        <v>4</v>
      </c>
      <c r="C12" s="43" t="s">
        <v>7</v>
      </c>
      <c r="D12" s="76">
        <f>COUNTIFS('TOTAL SUSPEK'!$F:$F,"brumbung")</f>
        <v>0</v>
      </c>
      <c r="E12" s="22"/>
      <c r="F12" s="23"/>
      <c r="G12" s="23"/>
      <c r="H12" s="23"/>
      <c r="I12" s="23"/>
      <c r="J12" s="23"/>
      <c r="K12" s="24"/>
      <c r="L12" s="24"/>
      <c r="M12" s="24"/>
      <c r="P12" s="42">
        <f t="shared" si="0"/>
        <v>0</v>
      </c>
      <c r="Q12" s="8"/>
    </row>
    <row r="13" spans="1:17" x14ac:dyDescent="0.25">
      <c r="A13" s="61"/>
      <c r="B13" s="62" t="s">
        <v>4</v>
      </c>
      <c r="C13" s="43" t="s">
        <v>8</v>
      </c>
      <c r="D13" s="76">
        <f>COUNTIFS('TOTAL SUSPEK'!$F:$F,"Sumberejo",'TOTAL SUSPEK'!$E:$E,"mranggen")</f>
        <v>0</v>
      </c>
      <c r="E13" s="22"/>
      <c r="F13" s="23"/>
      <c r="G13" s="23"/>
      <c r="H13" s="23"/>
      <c r="I13" s="23"/>
      <c r="J13" s="23"/>
      <c r="K13" s="24"/>
      <c r="L13" s="24"/>
      <c r="M13" s="24"/>
      <c r="P13" s="42">
        <f t="shared" si="0"/>
        <v>0</v>
      </c>
      <c r="Q13" s="8"/>
    </row>
    <row r="14" spans="1:17" x14ac:dyDescent="0.25">
      <c r="A14" s="61"/>
      <c r="B14" s="62" t="s">
        <v>4</v>
      </c>
      <c r="C14" s="43" t="s">
        <v>9</v>
      </c>
      <c r="D14" s="76">
        <f>COUNTIFS('TOTAL SUSPEK'!$F:$F,"Bandungrejo",'TOTAL SUSPEK'!$E:$E,"mranggen")</f>
        <v>1</v>
      </c>
      <c r="E14" s="22"/>
      <c r="F14" s="23"/>
      <c r="G14" s="23"/>
      <c r="H14" s="23"/>
      <c r="I14" s="23"/>
      <c r="J14" s="23"/>
      <c r="K14" s="24"/>
      <c r="L14" s="24"/>
      <c r="M14" s="24"/>
      <c r="P14" s="42">
        <f t="shared" si="0"/>
        <v>1</v>
      </c>
      <c r="Q14" s="8"/>
    </row>
    <row r="15" spans="1:17" x14ac:dyDescent="0.25">
      <c r="A15" s="61"/>
      <c r="B15" s="62" t="s">
        <v>4</v>
      </c>
      <c r="C15" s="43" t="s">
        <v>10</v>
      </c>
      <c r="D15" s="76">
        <f>COUNTIFS('TOTAL SUSPEK'!$F:$F,"menur")</f>
        <v>0</v>
      </c>
      <c r="E15" s="22"/>
      <c r="F15" s="23"/>
      <c r="G15" s="23"/>
      <c r="H15" s="23"/>
      <c r="I15" s="23"/>
      <c r="J15" s="23"/>
      <c r="K15" s="24"/>
      <c r="L15" s="24"/>
      <c r="M15" s="24"/>
      <c r="P15" s="42">
        <f t="shared" si="0"/>
        <v>0</v>
      </c>
      <c r="Q15" s="8"/>
    </row>
    <row r="16" spans="1:17" x14ac:dyDescent="0.25">
      <c r="A16" s="61"/>
      <c r="B16" s="62" t="s">
        <v>4</v>
      </c>
      <c r="C16" s="43" t="s">
        <v>11</v>
      </c>
      <c r="D16" s="76">
        <f>COUNTIFS('TOTAL SUSPEK'!$F:$F,"wringinjajar")</f>
        <v>0</v>
      </c>
      <c r="E16" s="22"/>
      <c r="F16" s="23"/>
      <c r="G16" s="23"/>
      <c r="H16" s="23"/>
      <c r="I16" s="23"/>
      <c r="J16" s="23"/>
      <c r="K16" s="24"/>
      <c r="L16" s="24"/>
      <c r="M16" s="24"/>
      <c r="P16" s="42">
        <f t="shared" si="0"/>
        <v>0</v>
      </c>
      <c r="Q16" s="8"/>
    </row>
    <row r="17" spans="1:17" x14ac:dyDescent="0.25">
      <c r="A17" s="61"/>
      <c r="B17" s="62" t="s">
        <v>4</v>
      </c>
      <c r="C17" s="43" t="s">
        <v>12</v>
      </c>
      <c r="D17" s="76">
        <f>COUNTIFS('TOTAL SUSPEK'!$F:$F,"candisari")</f>
        <v>0</v>
      </c>
      <c r="E17" s="22"/>
      <c r="F17" s="23"/>
      <c r="G17" s="23"/>
      <c r="H17" s="23"/>
      <c r="I17" s="23"/>
      <c r="J17" s="23"/>
      <c r="K17" s="24"/>
      <c r="L17" s="24"/>
      <c r="M17" s="24"/>
      <c r="P17" s="42">
        <f t="shared" si="0"/>
        <v>0</v>
      </c>
      <c r="Q17" s="8"/>
    </row>
    <row r="18" spans="1:17" x14ac:dyDescent="0.25">
      <c r="A18" s="61"/>
      <c r="B18" s="62" t="s">
        <v>4</v>
      </c>
      <c r="C18" s="43" t="s">
        <v>13</v>
      </c>
      <c r="D18" s="76">
        <f>COUNTIFS('TOTAL SUSPEK'!$F:$F,"ngemplak")</f>
        <v>0</v>
      </c>
      <c r="E18" s="22"/>
      <c r="F18" s="23"/>
      <c r="G18" s="23"/>
      <c r="H18" s="23"/>
      <c r="I18" s="23"/>
      <c r="J18" s="23"/>
      <c r="K18" s="24"/>
      <c r="L18" s="24"/>
      <c r="M18" s="24"/>
      <c r="P18" s="42">
        <f t="shared" si="0"/>
        <v>0</v>
      </c>
      <c r="Q18" s="8"/>
    </row>
    <row r="19" spans="1:17" x14ac:dyDescent="0.25">
      <c r="A19" s="61"/>
      <c r="B19" s="62" t="s">
        <v>4</v>
      </c>
      <c r="C19" s="43" t="s">
        <v>14</v>
      </c>
      <c r="D19" s="76">
        <f>COUNTIFS('TOTAL SUSPEK'!$F:$F,"karangsono")</f>
        <v>0</v>
      </c>
      <c r="E19" s="22"/>
      <c r="F19" s="23"/>
      <c r="G19" s="23"/>
      <c r="H19" s="23"/>
      <c r="I19" s="23"/>
      <c r="J19" s="23"/>
      <c r="K19" s="24"/>
      <c r="L19" s="24"/>
      <c r="M19" s="24"/>
      <c r="P19" s="42">
        <f t="shared" si="0"/>
        <v>0</v>
      </c>
      <c r="Q19" s="8"/>
    </row>
    <row r="20" spans="1:17" x14ac:dyDescent="0.25">
      <c r="A20" s="61"/>
      <c r="B20" s="62" t="s">
        <v>4</v>
      </c>
      <c r="C20" s="43" t="s">
        <v>15</v>
      </c>
      <c r="D20" s="76">
        <f>COUNTIFS('TOTAL SUSPEK'!$F:$F,"jamus")</f>
        <v>0</v>
      </c>
      <c r="E20" s="22"/>
      <c r="F20" s="23"/>
      <c r="G20" s="23"/>
      <c r="H20" s="23"/>
      <c r="I20" s="23"/>
      <c r="J20" s="23"/>
      <c r="K20" s="24"/>
      <c r="L20" s="24"/>
      <c r="M20" s="24"/>
      <c r="P20" s="42">
        <f t="shared" si="0"/>
        <v>0</v>
      </c>
      <c r="Q20" s="8"/>
    </row>
    <row r="21" spans="1:17" x14ac:dyDescent="0.25">
      <c r="A21" s="61"/>
      <c r="B21" s="62" t="s">
        <v>4</v>
      </c>
      <c r="C21" s="43" t="s">
        <v>16</v>
      </c>
      <c r="D21" s="76">
        <f>COUNTIFS('TOTAL SUSPEK'!$F:$F,"waru")</f>
        <v>0</v>
      </c>
      <c r="E21" s="22"/>
      <c r="F21" s="23"/>
      <c r="G21" s="23"/>
      <c r="H21" s="23"/>
      <c r="I21" s="23"/>
      <c r="J21" s="23"/>
      <c r="K21" s="24"/>
      <c r="L21" s="24"/>
      <c r="M21" s="24"/>
      <c r="P21" s="42">
        <f t="shared" si="0"/>
        <v>0</v>
      </c>
      <c r="Q21" s="8"/>
    </row>
    <row r="22" spans="1:17" x14ac:dyDescent="0.25">
      <c r="A22" s="61"/>
      <c r="B22" s="62" t="s">
        <v>4</v>
      </c>
      <c r="C22" s="43" t="s">
        <v>17</v>
      </c>
      <c r="D22" s="76">
        <f>COUNTIFS('TOTAL SUSPEK'!$F:$F,"tegalarum")</f>
        <v>0</v>
      </c>
      <c r="E22" s="22"/>
      <c r="F22" s="23"/>
      <c r="G22" s="23"/>
      <c r="H22" s="23"/>
      <c r="I22" s="23"/>
      <c r="J22" s="23"/>
      <c r="K22" s="24"/>
      <c r="L22" s="24"/>
      <c r="M22" s="24"/>
      <c r="P22" s="42">
        <f t="shared" si="0"/>
        <v>0</v>
      </c>
      <c r="Q22" s="8"/>
    </row>
    <row r="23" spans="1:17" x14ac:dyDescent="0.25">
      <c r="A23" s="61"/>
      <c r="B23" s="62" t="s">
        <v>4</v>
      </c>
      <c r="C23" s="43" t="s">
        <v>18</v>
      </c>
      <c r="D23" s="76">
        <f>COUNTIFS('TOTAL SUSPEK'!$F:$F,"tamansari")</f>
        <v>0</v>
      </c>
      <c r="E23" s="22"/>
      <c r="F23" s="23"/>
      <c r="G23" s="23"/>
      <c r="H23" s="23"/>
      <c r="I23" s="23"/>
      <c r="J23" s="23"/>
      <c r="K23" s="24"/>
      <c r="L23" s="24"/>
      <c r="M23" s="24"/>
      <c r="P23" s="42">
        <f t="shared" si="0"/>
        <v>0</v>
      </c>
      <c r="Q23" s="8"/>
    </row>
    <row r="24" spans="1:17" x14ac:dyDescent="0.25">
      <c r="A24" s="61"/>
      <c r="B24" s="62" t="s">
        <v>4</v>
      </c>
      <c r="C24" s="43" t="s">
        <v>19</v>
      </c>
      <c r="D24" s="76">
        <f>COUNTIFS('TOTAL SUSPEK'!$F:$F,"banyumeneng")</f>
        <v>0</v>
      </c>
      <c r="E24" s="22"/>
      <c r="F24" s="23"/>
      <c r="G24" s="23"/>
      <c r="H24" s="23"/>
      <c r="I24" s="23"/>
      <c r="J24" s="23"/>
      <c r="K24" s="24"/>
      <c r="L24" s="24"/>
      <c r="M24" s="24"/>
      <c r="P24" s="42">
        <f t="shared" si="0"/>
        <v>0</v>
      </c>
      <c r="Q24" s="8"/>
    </row>
    <row r="25" spans="1:17" x14ac:dyDescent="0.25">
      <c r="A25" s="61"/>
      <c r="B25" s="62" t="s">
        <v>4</v>
      </c>
      <c r="C25" s="43" t="s">
        <v>20</v>
      </c>
      <c r="D25" s="76">
        <f>COUNTIFS('TOTAL SUSPEK'!$F:$F,"kebonbatur")</f>
        <v>0</v>
      </c>
      <c r="E25" s="22"/>
      <c r="F25" s="23"/>
      <c r="G25" s="23"/>
      <c r="H25" s="23"/>
      <c r="I25" s="23"/>
      <c r="J25" s="23"/>
      <c r="K25" s="24"/>
      <c r="L25" s="24"/>
      <c r="M25" s="24"/>
      <c r="P25" s="42">
        <f t="shared" si="0"/>
        <v>0</v>
      </c>
      <c r="Q25" s="8"/>
    </row>
    <row r="26" spans="1:17" x14ac:dyDescent="0.25">
      <c r="A26" s="61"/>
      <c r="B26" s="62" t="s">
        <v>4</v>
      </c>
      <c r="C26" s="43" t="s">
        <v>21</v>
      </c>
      <c r="D26" s="76">
        <f>COUNTIFS('TOTAL SUSPEK'!$F:$F,"batursari")</f>
        <v>0</v>
      </c>
      <c r="E26" s="22"/>
      <c r="F26" s="23"/>
      <c r="G26" s="23"/>
      <c r="H26" s="23"/>
      <c r="I26" s="23"/>
      <c r="J26" s="23"/>
      <c r="K26" s="24"/>
      <c r="L26" s="24"/>
      <c r="M26" s="24"/>
      <c r="P26" s="42">
        <f t="shared" si="0"/>
        <v>0</v>
      </c>
      <c r="Q26" s="8"/>
    </row>
    <row r="27" spans="1:17" ht="15" customHeight="1" x14ac:dyDescent="0.25">
      <c r="A27" s="61">
        <v>2</v>
      </c>
      <c r="B27" s="62" t="s">
        <v>22</v>
      </c>
      <c r="C27" s="43" t="s">
        <v>23</v>
      </c>
      <c r="D27" s="76">
        <f>COUNTIFS('TOTAL SUSPEK'!$F:$F,"wonowoso")</f>
        <v>0</v>
      </c>
      <c r="E27" s="22" t="e">
        <f>SUM(#REF!)</f>
        <v>#REF!</v>
      </c>
      <c r="F27" s="22" t="e">
        <f>SUM(#REF!)</f>
        <v>#REF!</v>
      </c>
      <c r="G27" s="22" t="e">
        <f>SUM(#REF!)</f>
        <v>#REF!</v>
      </c>
      <c r="H27" s="22" t="e">
        <f>SUM(#REF!)</f>
        <v>#REF!</v>
      </c>
      <c r="I27" s="22" t="e">
        <f>SUM(#REF!)</f>
        <v>#REF!</v>
      </c>
      <c r="J27" s="22" t="e">
        <f>SUM(#REF!)</f>
        <v>#REF!</v>
      </c>
      <c r="K27" s="22" t="e">
        <f>SUM(#REF!)</f>
        <v>#REF!</v>
      </c>
      <c r="L27" s="22">
        <f>SUM(D27:D43)</f>
        <v>0</v>
      </c>
      <c r="M27" s="22" t="e">
        <f>SUM(#REF!)</f>
        <v>#REF!</v>
      </c>
      <c r="P27" s="42">
        <f t="shared" si="0"/>
        <v>0</v>
      </c>
      <c r="Q27" s="132">
        <f>SUM(P27:P43)</f>
        <v>0</v>
      </c>
    </row>
    <row r="28" spans="1:17" ht="15" customHeight="1" x14ac:dyDescent="0.25">
      <c r="A28" s="61"/>
      <c r="B28" s="62" t="s">
        <v>22</v>
      </c>
      <c r="C28" s="43" t="s">
        <v>24</v>
      </c>
      <c r="D28" s="76">
        <f>COUNTIFS('TOTAL SUSPEK'!$F:$F,"sampang")</f>
        <v>0</v>
      </c>
      <c r="E28" s="22"/>
      <c r="F28" s="23"/>
      <c r="G28" s="23"/>
      <c r="H28" s="23"/>
      <c r="I28" s="23"/>
      <c r="J28" s="23"/>
      <c r="K28" s="24"/>
      <c r="L28" s="24"/>
      <c r="M28" s="24"/>
      <c r="P28" s="42">
        <f t="shared" si="0"/>
        <v>0</v>
      </c>
      <c r="Q28" s="8"/>
    </row>
    <row r="29" spans="1:17" ht="15" customHeight="1" x14ac:dyDescent="0.25">
      <c r="A29" s="61"/>
      <c r="B29" s="62" t="s">
        <v>22</v>
      </c>
      <c r="C29" s="43" t="s">
        <v>242</v>
      </c>
      <c r="D29" s="76">
        <f>COUNTIFS('TOTAL SUSPEK'!$F:$F,"tambakbulusan")</f>
        <v>0</v>
      </c>
      <c r="E29" s="22"/>
      <c r="F29" s="23"/>
      <c r="G29" s="23"/>
      <c r="H29" s="23"/>
      <c r="I29" s="23"/>
      <c r="J29" s="23"/>
      <c r="K29" s="24"/>
      <c r="L29" s="24"/>
      <c r="M29" s="24"/>
      <c r="P29" s="42">
        <f t="shared" si="0"/>
        <v>0</v>
      </c>
      <c r="Q29" s="8"/>
    </row>
    <row r="30" spans="1:17" ht="15" customHeight="1" x14ac:dyDescent="0.25">
      <c r="A30" s="61"/>
      <c r="B30" s="62" t="s">
        <v>22</v>
      </c>
      <c r="C30" s="43" t="s">
        <v>25</v>
      </c>
      <c r="D30" s="76">
        <f>COUNTIFS('TOTAL SUSPEK'!$F:$F,"pulosari")</f>
        <v>0</v>
      </c>
      <c r="E30" s="22"/>
      <c r="F30" s="23"/>
      <c r="G30" s="23"/>
      <c r="H30" s="23"/>
      <c r="I30" s="23"/>
      <c r="J30" s="23"/>
      <c r="K30" s="24"/>
      <c r="L30" s="24"/>
      <c r="M30" s="24"/>
      <c r="P30" s="42">
        <f t="shared" si="0"/>
        <v>0</v>
      </c>
      <c r="Q30" s="8"/>
    </row>
    <row r="31" spans="1:17" ht="15" customHeight="1" x14ac:dyDescent="0.25">
      <c r="A31" s="61"/>
      <c r="B31" s="62" t="s">
        <v>22</v>
      </c>
      <c r="C31" s="43" t="s">
        <v>26</v>
      </c>
      <c r="D31" s="76">
        <f>COUNTIFS('TOTAL SUSPEK'!$F:$F,"Rejosari",'TOTAL SUSPEK'!$E:$E,"karangtengah")</f>
        <v>0</v>
      </c>
      <c r="E31" s="22"/>
      <c r="F31" s="23"/>
      <c r="G31" s="23"/>
      <c r="H31" s="23"/>
      <c r="I31" s="23"/>
      <c r="J31" s="23"/>
      <c r="K31" s="24"/>
      <c r="L31" s="24"/>
      <c r="M31" s="24"/>
      <c r="P31" s="42">
        <f t="shared" si="0"/>
        <v>0</v>
      </c>
      <c r="Q31" s="8"/>
    </row>
    <row r="32" spans="1:17" ht="15" customHeight="1" x14ac:dyDescent="0.25">
      <c r="A32" s="61"/>
      <c r="B32" s="62" t="s">
        <v>22</v>
      </c>
      <c r="C32" s="43" t="s">
        <v>27</v>
      </c>
      <c r="D32" s="76">
        <f>COUNTIFS('TOTAL SUSPEK'!$F:$F,"Ploso")</f>
        <v>0</v>
      </c>
      <c r="E32" s="22"/>
      <c r="F32" s="23"/>
      <c r="G32" s="23"/>
      <c r="H32" s="23"/>
      <c r="I32" s="23"/>
      <c r="J32" s="23"/>
      <c r="K32" s="24"/>
      <c r="L32" s="24"/>
      <c r="M32" s="24"/>
      <c r="P32" s="42">
        <f t="shared" si="0"/>
        <v>0</v>
      </c>
      <c r="Q32" s="8"/>
    </row>
    <row r="33" spans="1:17" ht="15" customHeight="1" x14ac:dyDescent="0.25">
      <c r="A33" s="61"/>
      <c r="B33" s="62" t="s">
        <v>22</v>
      </c>
      <c r="C33" s="43" t="s">
        <v>28</v>
      </c>
      <c r="D33" s="76">
        <f>COUNTIFS('TOTAL SUSPEK'!$F:$F,"Wonokerto")</f>
        <v>0</v>
      </c>
      <c r="E33" s="22"/>
      <c r="F33" s="23"/>
      <c r="G33" s="23"/>
      <c r="H33" s="23"/>
      <c r="I33" s="23"/>
      <c r="J33" s="23"/>
      <c r="K33" s="24"/>
      <c r="L33" s="24"/>
      <c r="M33" s="24"/>
      <c r="P33" s="42">
        <f t="shared" si="0"/>
        <v>0</v>
      </c>
      <c r="Q33" s="8"/>
    </row>
    <row r="34" spans="1:17" ht="15" customHeight="1" x14ac:dyDescent="0.25">
      <c r="A34" s="61"/>
      <c r="B34" s="62" t="s">
        <v>22</v>
      </c>
      <c r="C34" s="43" t="s">
        <v>240</v>
      </c>
      <c r="D34" s="76">
        <f>COUNTIFS('TOTAL SUSPEK'!$F:$F,"Karangsari")</f>
        <v>0</v>
      </c>
      <c r="E34" s="22"/>
      <c r="F34" s="23"/>
      <c r="G34" s="23"/>
      <c r="H34" s="23"/>
      <c r="I34" s="23"/>
      <c r="J34" s="23"/>
      <c r="K34" s="24"/>
      <c r="L34" s="24"/>
      <c r="M34" s="24"/>
      <c r="P34" s="42">
        <f t="shared" si="0"/>
        <v>0</v>
      </c>
      <c r="Q34" s="8"/>
    </row>
    <row r="35" spans="1:17" ht="15" customHeight="1" x14ac:dyDescent="0.25">
      <c r="A35" s="61"/>
      <c r="B35" s="62" t="s">
        <v>22</v>
      </c>
      <c r="C35" s="43" t="s">
        <v>29</v>
      </c>
      <c r="D35" s="76">
        <f>COUNTIFS('TOTAL SUSPEK'!$F:$F,"Batu")</f>
        <v>0</v>
      </c>
      <c r="E35" s="22"/>
      <c r="F35" s="23"/>
      <c r="G35" s="23"/>
      <c r="H35" s="23"/>
      <c r="I35" s="23"/>
      <c r="J35" s="23"/>
      <c r="K35" s="24"/>
      <c r="L35" s="24"/>
      <c r="M35" s="24"/>
      <c r="P35" s="42">
        <f t="shared" si="0"/>
        <v>0</v>
      </c>
      <c r="Q35" s="8"/>
    </row>
    <row r="36" spans="1:17" ht="15" customHeight="1" x14ac:dyDescent="0.25">
      <c r="A36" s="61"/>
      <c r="B36" s="62" t="s">
        <v>22</v>
      </c>
      <c r="C36" s="43" t="s">
        <v>30</v>
      </c>
      <c r="D36" s="76">
        <f>COUNTIFS('TOTAL SUSPEK'!$F:$F,"Donorejo")</f>
        <v>0</v>
      </c>
      <c r="E36" s="22"/>
      <c r="F36" s="23"/>
      <c r="G36" s="23"/>
      <c r="H36" s="23"/>
      <c r="I36" s="23"/>
      <c r="J36" s="23"/>
      <c r="K36" s="24"/>
      <c r="L36" s="24"/>
      <c r="M36" s="24"/>
      <c r="P36" s="42">
        <f t="shared" si="0"/>
        <v>0</v>
      </c>
      <c r="Q36" s="8"/>
    </row>
    <row r="37" spans="1:17" ht="15" customHeight="1" x14ac:dyDescent="0.25">
      <c r="A37" s="61"/>
      <c r="B37" s="62" t="s">
        <v>22</v>
      </c>
      <c r="C37" s="43" t="s">
        <v>276</v>
      </c>
      <c r="D37" s="76">
        <f>COUNTIFS('TOTAL SUSPEK'!$F:$F,"Kedunguter")</f>
        <v>0</v>
      </c>
      <c r="E37" s="22"/>
      <c r="F37" s="23"/>
      <c r="G37" s="23"/>
      <c r="H37" s="23"/>
      <c r="I37" s="23"/>
      <c r="J37" s="23"/>
      <c r="K37" s="24"/>
      <c r="L37" s="24"/>
      <c r="M37" s="24"/>
      <c r="P37" s="42">
        <f t="shared" si="0"/>
        <v>0</v>
      </c>
      <c r="Q37" s="8"/>
    </row>
    <row r="38" spans="1:17" ht="15" customHeight="1" x14ac:dyDescent="0.25">
      <c r="A38" s="61"/>
      <c r="B38" s="62" t="s">
        <v>22</v>
      </c>
      <c r="C38" s="43" t="s">
        <v>277</v>
      </c>
      <c r="D38" s="76">
        <f>COUNTIFS('TOTAL SUSPEK'!$F:$F,"Karangtowo")</f>
        <v>0</v>
      </c>
      <c r="E38" s="22"/>
      <c r="F38" s="23"/>
      <c r="G38" s="23"/>
      <c r="H38" s="23"/>
      <c r="I38" s="23"/>
      <c r="J38" s="23"/>
      <c r="K38" s="24"/>
      <c r="L38" s="24"/>
      <c r="M38" s="24"/>
      <c r="P38" s="42">
        <f t="shared" si="0"/>
        <v>0</v>
      </c>
      <c r="Q38" s="8"/>
    </row>
    <row r="39" spans="1:17" ht="15" customHeight="1" x14ac:dyDescent="0.25">
      <c r="A39" s="61"/>
      <c r="B39" s="62" t="s">
        <v>22</v>
      </c>
      <c r="C39" s="43" t="s">
        <v>31</v>
      </c>
      <c r="D39" s="76">
        <f>COUNTIFS('TOTAL SUSPEK'!$F:$F,"Wonoagung")</f>
        <v>0</v>
      </c>
      <c r="E39" s="22"/>
      <c r="F39" s="23"/>
      <c r="G39" s="23"/>
      <c r="H39" s="23"/>
      <c r="I39" s="23"/>
      <c r="J39" s="23"/>
      <c r="K39" s="24"/>
      <c r="L39" s="24"/>
      <c r="M39" s="24"/>
      <c r="P39" s="42">
        <f t="shared" si="0"/>
        <v>0</v>
      </c>
      <c r="Q39" s="8"/>
    </row>
    <row r="40" spans="1:17" ht="15" customHeight="1" x14ac:dyDescent="0.25">
      <c r="A40" s="61"/>
      <c r="B40" s="62" t="s">
        <v>22</v>
      </c>
      <c r="C40" s="43" t="s">
        <v>32</v>
      </c>
      <c r="D40" s="76">
        <f>COUNTIFS('TOTAL SUSPEK'!$F:$F,"Klitih")</f>
        <v>0</v>
      </c>
      <c r="E40" s="22"/>
      <c r="F40" s="23"/>
      <c r="G40" s="23"/>
      <c r="H40" s="23"/>
      <c r="I40" s="23"/>
      <c r="J40" s="23"/>
      <c r="K40" s="24"/>
      <c r="L40" s="24"/>
      <c r="M40" s="24"/>
      <c r="P40" s="42">
        <f t="shared" si="0"/>
        <v>0</v>
      </c>
      <c r="Q40" s="8"/>
    </row>
    <row r="41" spans="1:17" ht="15" customHeight="1" x14ac:dyDescent="0.25">
      <c r="A41" s="61"/>
      <c r="B41" s="62" t="s">
        <v>22</v>
      </c>
      <c r="C41" s="43" t="s">
        <v>33</v>
      </c>
      <c r="D41" s="76">
        <f>COUNTIFS('TOTAL SUSPEK'!$F:$F,"Grogol")</f>
        <v>0</v>
      </c>
      <c r="E41" s="22"/>
      <c r="F41" s="23"/>
      <c r="G41" s="23"/>
      <c r="H41" s="23"/>
      <c r="I41" s="23"/>
      <c r="J41" s="23"/>
      <c r="K41" s="24"/>
      <c r="L41" s="24"/>
      <c r="M41" s="24"/>
      <c r="P41" s="42">
        <f t="shared" si="0"/>
        <v>0</v>
      </c>
      <c r="Q41" s="8"/>
    </row>
    <row r="42" spans="1:17" ht="15" customHeight="1" x14ac:dyDescent="0.25">
      <c r="A42" s="61"/>
      <c r="B42" s="62" t="s">
        <v>22</v>
      </c>
      <c r="C42" s="43" t="s">
        <v>34</v>
      </c>
      <c r="D42" s="76">
        <f>COUNTIFS('TOTAL SUSPEK'!$F:$F,"Pidodo")</f>
        <v>0</v>
      </c>
      <c r="E42" s="22"/>
      <c r="F42" s="23"/>
      <c r="G42" s="23"/>
      <c r="H42" s="23"/>
      <c r="I42" s="23"/>
      <c r="J42" s="23"/>
      <c r="K42" s="24"/>
      <c r="L42" s="24"/>
      <c r="M42" s="24"/>
      <c r="P42" s="42">
        <f t="shared" si="0"/>
        <v>0</v>
      </c>
      <c r="Q42" s="8"/>
    </row>
    <row r="43" spans="1:17" ht="15" customHeight="1" x14ac:dyDescent="0.25">
      <c r="A43" s="61"/>
      <c r="B43" s="62" t="s">
        <v>22</v>
      </c>
      <c r="C43" s="43" t="s">
        <v>35</v>
      </c>
      <c r="D43" s="76">
        <f>COUNTIFS('TOTAL SUSPEK'!$F:$F,"Dukun")</f>
        <v>0</v>
      </c>
      <c r="E43" s="22"/>
      <c r="F43" s="23"/>
      <c r="G43" s="23"/>
      <c r="H43" s="23"/>
      <c r="I43" s="23"/>
      <c r="J43" s="23"/>
      <c r="K43" s="24"/>
      <c r="L43" s="24"/>
      <c r="M43" s="24"/>
      <c r="P43" s="42">
        <f t="shared" si="0"/>
        <v>0</v>
      </c>
      <c r="Q43" s="8"/>
    </row>
    <row r="44" spans="1:17" x14ac:dyDescent="0.25">
      <c r="A44" s="47">
        <v>3</v>
      </c>
      <c r="B44" s="63" t="s">
        <v>36</v>
      </c>
      <c r="C44" s="43" t="s">
        <v>37</v>
      </c>
      <c r="D44" s="76">
        <f>COUNTIFS('TOTAL SUSPEK'!$F:$F,"Botorejo")</f>
        <v>0</v>
      </c>
      <c r="E44" s="22" t="e">
        <f>SUM(#REF!)</f>
        <v>#REF!</v>
      </c>
      <c r="F44" s="22" t="e">
        <f>SUM(#REF!)</f>
        <v>#REF!</v>
      </c>
      <c r="G44" s="22" t="e">
        <f>SUM(#REF!)</f>
        <v>#REF!</v>
      </c>
      <c r="H44" s="22" t="e">
        <f>SUM(#REF!)</f>
        <v>#REF!</v>
      </c>
      <c r="I44" s="22" t="e">
        <f>SUM(#REF!)</f>
        <v>#REF!</v>
      </c>
      <c r="J44" s="22" t="e">
        <f>SUM(#REF!)</f>
        <v>#REF!</v>
      </c>
      <c r="K44" s="22" t="e">
        <f>SUM(#REF!)</f>
        <v>#REF!</v>
      </c>
      <c r="L44" s="22">
        <f>SUM(D44:D64)</f>
        <v>0</v>
      </c>
      <c r="M44" s="22" t="e">
        <f>SUM(#REF!)</f>
        <v>#REF!</v>
      </c>
      <c r="P44" s="42">
        <f t="shared" si="0"/>
        <v>0</v>
      </c>
      <c r="Q44" s="132">
        <f>SUM(P44:P64)</f>
        <v>0</v>
      </c>
    </row>
    <row r="45" spans="1:17" x14ac:dyDescent="0.25">
      <c r="A45" s="47"/>
      <c r="B45" s="63" t="s">
        <v>36</v>
      </c>
      <c r="C45" s="43" t="s">
        <v>38</v>
      </c>
      <c r="D45" s="76">
        <f>COUNTIFS('TOTAL SUSPEK'!$F:$F,"Getas")</f>
        <v>0</v>
      </c>
      <c r="E45" s="22"/>
      <c r="F45" s="23"/>
      <c r="G45" s="23"/>
      <c r="H45" s="23"/>
      <c r="I45" s="23"/>
      <c r="J45" s="23"/>
      <c r="K45" s="24"/>
      <c r="L45" s="24"/>
      <c r="M45" s="24"/>
      <c r="P45" s="42">
        <f t="shared" si="0"/>
        <v>0</v>
      </c>
      <c r="Q45" s="8"/>
    </row>
    <row r="46" spans="1:17" x14ac:dyDescent="0.25">
      <c r="A46" s="47"/>
      <c r="B46" s="63" t="s">
        <v>36</v>
      </c>
      <c r="C46" s="43" t="s">
        <v>39</v>
      </c>
      <c r="D46" s="76">
        <f>COUNTIFS('TOTAL SUSPEK'!$F:$F,"Kuncir")</f>
        <v>0</v>
      </c>
      <c r="E46" s="22"/>
      <c r="F46" s="23"/>
      <c r="G46" s="23"/>
      <c r="H46" s="23"/>
      <c r="I46" s="23"/>
      <c r="J46" s="23"/>
      <c r="K46" s="24"/>
      <c r="L46" s="24"/>
      <c r="M46" s="24"/>
      <c r="P46" s="42">
        <f t="shared" si="0"/>
        <v>0</v>
      </c>
      <c r="Q46" s="8"/>
    </row>
    <row r="47" spans="1:17" x14ac:dyDescent="0.25">
      <c r="A47" s="47"/>
      <c r="B47" s="63" t="s">
        <v>36</v>
      </c>
      <c r="C47" s="43" t="s">
        <v>40</v>
      </c>
      <c r="D47" s="76">
        <f>COUNTIFS('TOTAL SUSPEK'!$F:$F,"trengguli")</f>
        <v>0</v>
      </c>
      <c r="E47" s="22"/>
      <c r="F47" s="23"/>
      <c r="G47" s="23"/>
      <c r="H47" s="23"/>
      <c r="I47" s="23"/>
      <c r="J47" s="23"/>
      <c r="K47" s="24"/>
      <c r="L47" s="24"/>
      <c r="M47" s="24"/>
      <c r="P47" s="42">
        <f t="shared" si="0"/>
        <v>0</v>
      </c>
      <c r="Q47" s="8"/>
    </row>
    <row r="48" spans="1:17" x14ac:dyDescent="0.25">
      <c r="A48" s="47"/>
      <c r="B48" s="63" t="s">
        <v>36</v>
      </c>
      <c r="C48" s="43" t="s">
        <v>41</v>
      </c>
      <c r="D48" s="76">
        <f>COUNTIFS('TOTAL SUSPEK'!$F:$F,"Mranak")</f>
        <v>0</v>
      </c>
      <c r="E48" s="22"/>
      <c r="F48" s="23"/>
      <c r="G48" s="23"/>
      <c r="H48" s="23"/>
      <c r="I48" s="23"/>
      <c r="J48" s="23"/>
      <c r="K48" s="24"/>
      <c r="L48" s="24"/>
      <c r="M48" s="24"/>
      <c r="P48" s="42">
        <f t="shared" si="0"/>
        <v>0</v>
      </c>
      <c r="Q48" s="8"/>
    </row>
    <row r="49" spans="1:17" x14ac:dyDescent="0.25">
      <c r="A49" s="47"/>
      <c r="B49" s="63" t="s">
        <v>36</v>
      </c>
      <c r="C49" s="43" t="s">
        <v>42</v>
      </c>
      <c r="D49" s="76">
        <f>COUNTIFS('TOTAL SUSPEK'!$F:$F,"Pilangrejo")</f>
        <v>0</v>
      </c>
      <c r="E49" s="22"/>
      <c r="F49" s="23"/>
      <c r="G49" s="23"/>
      <c r="H49" s="23"/>
      <c r="I49" s="23"/>
      <c r="J49" s="23"/>
      <c r="K49" s="24"/>
      <c r="L49" s="24"/>
      <c r="M49" s="24"/>
      <c r="P49" s="42">
        <f t="shared" si="0"/>
        <v>0</v>
      </c>
      <c r="Q49" s="8"/>
    </row>
    <row r="50" spans="1:17" x14ac:dyDescent="0.25">
      <c r="A50" s="47"/>
      <c r="B50" s="63" t="s">
        <v>36</v>
      </c>
      <c r="C50" s="43" t="s">
        <v>43</v>
      </c>
      <c r="D50" s="76">
        <f>COUNTIFS('TOTAL SUSPEK'!$F:$F,"Kerangkulon")</f>
        <v>0</v>
      </c>
      <c r="E50" s="22"/>
      <c r="F50" s="23"/>
      <c r="G50" s="23"/>
      <c r="H50" s="23"/>
      <c r="I50" s="23"/>
      <c r="J50" s="23"/>
      <c r="K50" s="24"/>
      <c r="L50" s="24"/>
      <c r="M50" s="24"/>
      <c r="P50" s="42">
        <f t="shared" si="0"/>
        <v>0</v>
      </c>
      <c r="Q50" s="8"/>
    </row>
    <row r="51" spans="1:17" x14ac:dyDescent="0.25">
      <c r="A51" s="47"/>
      <c r="B51" s="63" t="s">
        <v>36</v>
      </c>
      <c r="C51" s="43" t="s">
        <v>44</v>
      </c>
      <c r="D51" s="76">
        <f>COUNTIFS('TOTAL SUSPEK'!$F:$F,"Sidomulyo",'TOTAL SUSPEK'!$E:$E,"wonosalam")</f>
        <v>0</v>
      </c>
      <c r="E51" s="22"/>
      <c r="F51" s="23"/>
      <c r="G51" s="23"/>
      <c r="H51" s="23"/>
      <c r="I51" s="23"/>
      <c r="J51" s="23"/>
      <c r="K51" s="24"/>
      <c r="L51" s="24"/>
      <c r="M51" s="24"/>
      <c r="P51" s="42">
        <f t="shared" si="0"/>
        <v>0</v>
      </c>
      <c r="Q51" s="8"/>
    </row>
    <row r="52" spans="1:17" x14ac:dyDescent="0.25">
      <c r="A52" s="47"/>
      <c r="B52" s="63" t="s">
        <v>36</v>
      </c>
      <c r="C52" s="43" t="s">
        <v>45</v>
      </c>
      <c r="D52" s="76">
        <f>COUNTIFS('TOTAL SUSPEK'!$F:$F,"Bunderan")</f>
        <v>0</v>
      </c>
      <c r="E52" s="22"/>
      <c r="F52" s="23"/>
      <c r="G52" s="23"/>
      <c r="H52" s="23"/>
      <c r="I52" s="23"/>
      <c r="J52" s="23"/>
      <c r="K52" s="24"/>
      <c r="L52" s="24"/>
      <c r="M52" s="24"/>
      <c r="P52" s="42">
        <f t="shared" si="0"/>
        <v>0</v>
      </c>
      <c r="Q52" s="8"/>
    </row>
    <row r="53" spans="1:17" x14ac:dyDescent="0.25">
      <c r="A53" s="47"/>
      <c r="B53" s="63" t="s">
        <v>36</v>
      </c>
      <c r="C53" s="43" t="s">
        <v>46</v>
      </c>
      <c r="D53" s="76">
        <f>COUNTIFS('TOTAL SUSPEK'!$F:$F,"Mojodemak")</f>
        <v>0</v>
      </c>
      <c r="E53" s="22"/>
      <c r="F53" s="23"/>
      <c r="G53" s="23"/>
      <c r="H53" s="23"/>
      <c r="I53" s="23"/>
      <c r="J53" s="23"/>
      <c r="K53" s="24"/>
      <c r="L53" s="24"/>
      <c r="M53" s="24"/>
      <c r="P53" s="42">
        <f t="shared" si="0"/>
        <v>0</v>
      </c>
      <c r="Q53" s="8"/>
    </row>
    <row r="54" spans="1:17" x14ac:dyDescent="0.25">
      <c r="A54" s="47"/>
      <c r="B54" s="63" t="s">
        <v>36</v>
      </c>
      <c r="C54" s="43" t="s">
        <v>47</v>
      </c>
      <c r="D54" s="76">
        <f>COUNTIFS('TOTAL SUSPEK'!$F:$F,"Mrisen")</f>
        <v>0</v>
      </c>
      <c r="E54" s="22"/>
      <c r="F54" s="23"/>
      <c r="G54" s="23"/>
      <c r="H54" s="23"/>
      <c r="I54" s="23"/>
      <c r="J54" s="23"/>
      <c r="K54" s="24"/>
      <c r="L54" s="24"/>
      <c r="M54" s="24"/>
      <c r="P54" s="42">
        <f t="shared" si="0"/>
        <v>0</v>
      </c>
      <c r="Q54" s="8"/>
    </row>
    <row r="55" spans="1:17" x14ac:dyDescent="0.25">
      <c r="A55" s="47"/>
      <c r="B55" s="63" t="s">
        <v>36</v>
      </c>
      <c r="C55" s="43" t="s">
        <v>48</v>
      </c>
      <c r="D55" s="76">
        <f>COUNTIFS('TOTAL SUSPEK'!$F:$F,"Doreng")</f>
        <v>0</v>
      </c>
      <c r="E55" s="22"/>
      <c r="F55" s="23"/>
      <c r="G55" s="23"/>
      <c r="H55" s="23"/>
      <c r="I55" s="23"/>
      <c r="J55" s="23"/>
      <c r="K55" s="24"/>
      <c r="L55" s="24"/>
      <c r="M55" s="24"/>
      <c r="P55" s="42">
        <f t="shared" si="0"/>
        <v>0</v>
      </c>
      <c r="Q55" s="8"/>
    </row>
    <row r="56" spans="1:17" x14ac:dyDescent="0.25">
      <c r="A56" s="47"/>
      <c r="B56" s="63" t="s">
        <v>36</v>
      </c>
      <c r="C56" s="43" t="s">
        <v>274</v>
      </c>
      <c r="D56" s="76">
        <f>COUNTIFS('TOTAL SUSPEK'!$F:$F,"Karangrowo")</f>
        <v>0</v>
      </c>
      <c r="E56" s="22"/>
      <c r="F56" s="23"/>
      <c r="G56" s="23"/>
      <c r="H56" s="23"/>
      <c r="I56" s="23"/>
      <c r="J56" s="23"/>
      <c r="K56" s="24"/>
      <c r="L56" s="24"/>
      <c r="M56" s="24"/>
      <c r="P56" s="42">
        <f t="shared" si="0"/>
        <v>0</v>
      </c>
      <c r="Q56" s="8"/>
    </row>
    <row r="57" spans="1:17" x14ac:dyDescent="0.25">
      <c r="A57" s="47"/>
      <c r="B57" s="63" t="s">
        <v>36</v>
      </c>
      <c r="C57" s="43" t="s">
        <v>49</v>
      </c>
      <c r="D57" s="76">
        <f>COUNTIFS('TOTAL SUSPEK'!$F:$F,"Kalianyar")</f>
        <v>0</v>
      </c>
      <c r="E57" s="22"/>
      <c r="F57" s="23"/>
      <c r="G57" s="23"/>
      <c r="H57" s="23"/>
      <c r="I57" s="23"/>
      <c r="J57" s="23"/>
      <c r="K57" s="24"/>
      <c r="L57" s="24"/>
      <c r="M57" s="24"/>
      <c r="P57" s="42">
        <f t="shared" si="0"/>
        <v>0</v>
      </c>
      <c r="Q57" s="8"/>
    </row>
    <row r="58" spans="1:17" x14ac:dyDescent="0.25">
      <c r="A58" s="47"/>
      <c r="B58" s="63" t="s">
        <v>36</v>
      </c>
      <c r="C58" s="43" t="s">
        <v>36</v>
      </c>
      <c r="D58" s="76">
        <f>COUNTIFS('TOTAL SUSPEK'!$F:$F,"Wonosalam")</f>
        <v>0</v>
      </c>
      <c r="E58" s="22"/>
      <c r="F58" s="23"/>
      <c r="G58" s="23"/>
      <c r="H58" s="23"/>
      <c r="I58" s="23"/>
      <c r="J58" s="23"/>
      <c r="K58" s="24"/>
      <c r="L58" s="24"/>
      <c r="M58" s="24"/>
      <c r="P58" s="42">
        <f t="shared" si="0"/>
        <v>0</v>
      </c>
      <c r="Q58" s="8"/>
    </row>
    <row r="59" spans="1:17" x14ac:dyDescent="0.25">
      <c r="A59" s="47"/>
      <c r="B59" s="63" t="s">
        <v>36</v>
      </c>
      <c r="C59" s="43" t="s">
        <v>50</v>
      </c>
      <c r="D59" s="76">
        <f>COUNTIFS('TOTAL SUSPEK'!$F:$F,"Tlogorejo",'TOTAL SUSPEK'!$E:$E,"wonosalam")</f>
        <v>0</v>
      </c>
      <c r="E59" s="22"/>
      <c r="F59" s="23"/>
      <c r="G59" s="23"/>
      <c r="H59" s="23"/>
      <c r="I59" s="23"/>
      <c r="J59" s="23"/>
      <c r="K59" s="24"/>
      <c r="L59" s="24"/>
      <c r="M59" s="24"/>
      <c r="P59" s="42">
        <f t="shared" si="0"/>
        <v>0</v>
      </c>
      <c r="Q59" s="8"/>
    </row>
    <row r="60" spans="1:17" x14ac:dyDescent="0.25">
      <c r="A60" s="47"/>
      <c r="B60" s="63" t="s">
        <v>36</v>
      </c>
      <c r="C60" s="43" t="s">
        <v>51</v>
      </c>
      <c r="D60" s="76">
        <f>COUNTIFS('TOTAL SUSPEK'!$F:$F,"Tlogodowo")</f>
        <v>0</v>
      </c>
      <c r="E60" s="22"/>
      <c r="F60" s="23"/>
      <c r="G60" s="23"/>
      <c r="H60" s="23"/>
      <c r="I60" s="23"/>
      <c r="J60" s="23"/>
      <c r="K60" s="24"/>
      <c r="L60" s="24"/>
      <c r="M60" s="24"/>
      <c r="P60" s="42">
        <f t="shared" si="0"/>
        <v>0</v>
      </c>
      <c r="Q60" s="8"/>
    </row>
    <row r="61" spans="1:17" x14ac:dyDescent="0.25">
      <c r="A61" s="47"/>
      <c r="B61" s="63" t="s">
        <v>36</v>
      </c>
      <c r="C61" s="43" t="s">
        <v>52</v>
      </c>
      <c r="D61" s="76">
        <f>COUNTIFS('TOTAL SUSPEK'!$F:$F,"Lempuyang")</f>
        <v>0</v>
      </c>
      <c r="E61" s="22"/>
      <c r="F61" s="23"/>
      <c r="G61" s="23"/>
      <c r="H61" s="23"/>
      <c r="I61" s="23"/>
      <c r="J61" s="23"/>
      <c r="K61" s="24"/>
      <c r="L61" s="24"/>
      <c r="M61" s="24"/>
      <c r="P61" s="42">
        <f t="shared" si="0"/>
        <v>0</v>
      </c>
      <c r="Q61" s="8"/>
    </row>
    <row r="62" spans="1:17" x14ac:dyDescent="0.25">
      <c r="A62" s="47"/>
      <c r="B62" s="63" t="s">
        <v>36</v>
      </c>
      <c r="C62" s="43" t="s">
        <v>53</v>
      </c>
      <c r="D62" s="76">
        <f>COUNTIFS('TOTAL SUSPEK'!$F:$F,"Karangrejo",'TOTAL SUSPEK'!$E:$E,"Wonosalam")</f>
        <v>0</v>
      </c>
      <c r="E62" s="22"/>
      <c r="F62" s="23"/>
      <c r="G62" s="23"/>
      <c r="H62" s="23"/>
      <c r="I62" s="23"/>
      <c r="J62" s="23"/>
      <c r="K62" s="24"/>
      <c r="L62" s="24"/>
      <c r="M62" s="24"/>
      <c r="P62" s="42">
        <f t="shared" si="0"/>
        <v>0</v>
      </c>
      <c r="Q62" s="8"/>
    </row>
    <row r="63" spans="1:17" x14ac:dyDescent="0.25">
      <c r="A63" s="47"/>
      <c r="B63" s="63" t="s">
        <v>36</v>
      </c>
      <c r="C63" s="43" t="s">
        <v>275</v>
      </c>
      <c r="D63" s="76">
        <f>COUNTIFS('TOTAL SUSPEK'!$F:$F,"Kendaldoyong")</f>
        <v>0</v>
      </c>
      <c r="E63" s="22"/>
      <c r="F63" s="23"/>
      <c r="G63" s="23"/>
      <c r="H63" s="23"/>
      <c r="I63" s="23"/>
      <c r="J63" s="23"/>
      <c r="K63" s="24"/>
      <c r="L63" s="24"/>
      <c r="M63" s="24"/>
      <c r="P63" s="42">
        <f t="shared" si="0"/>
        <v>0</v>
      </c>
      <c r="Q63" s="8"/>
    </row>
    <row r="64" spans="1:17" x14ac:dyDescent="0.25">
      <c r="A64" s="47"/>
      <c r="B64" s="63" t="s">
        <v>36</v>
      </c>
      <c r="C64" s="43" t="s">
        <v>54</v>
      </c>
      <c r="D64" s="76">
        <f>COUNTIFS('TOTAL SUSPEK'!$F:$F,"Jogoloyo")</f>
        <v>0</v>
      </c>
      <c r="E64" s="22"/>
      <c r="F64" s="23"/>
      <c r="G64" s="23"/>
      <c r="H64" s="23"/>
      <c r="I64" s="23"/>
      <c r="J64" s="23"/>
      <c r="K64" s="24"/>
      <c r="L64" s="24"/>
      <c r="M64" s="24"/>
      <c r="P64" s="42">
        <f t="shared" si="0"/>
        <v>0</v>
      </c>
      <c r="Q64" s="8"/>
    </row>
    <row r="65" spans="1:17" x14ac:dyDescent="0.25">
      <c r="A65" s="61">
        <v>4</v>
      </c>
      <c r="B65" s="62" t="s">
        <v>55</v>
      </c>
      <c r="C65" s="64" t="s">
        <v>56</v>
      </c>
      <c r="D65" s="76">
        <f>COUNTIFS('TOTAL SUSPEK'!$F:$F,"Kedondong",'TOTAL SUSPEK'!$E:$E,"gajah")</f>
        <v>0</v>
      </c>
      <c r="E65" s="22" t="e">
        <f>SUM(#REF!)</f>
        <v>#REF!</v>
      </c>
      <c r="F65" s="22" t="e">
        <f>SUM(#REF!)</f>
        <v>#REF!</v>
      </c>
      <c r="G65" s="22" t="e">
        <f>SUM(#REF!)</f>
        <v>#REF!</v>
      </c>
      <c r="H65" s="22" t="e">
        <f>SUM(#REF!)</f>
        <v>#REF!</v>
      </c>
      <c r="I65" s="22" t="e">
        <f>SUM(#REF!)</f>
        <v>#REF!</v>
      </c>
      <c r="J65" s="22" t="e">
        <f>SUM(#REF!)</f>
        <v>#REF!</v>
      </c>
      <c r="K65" s="22" t="e">
        <f>SUM(#REF!)</f>
        <v>#REF!</v>
      </c>
      <c r="L65" s="22">
        <f>SUM(D65:D82)</f>
        <v>0</v>
      </c>
      <c r="M65" s="22" t="e">
        <f>SUM(#REF!)</f>
        <v>#REF!</v>
      </c>
      <c r="P65" s="42">
        <f t="shared" si="0"/>
        <v>0</v>
      </c>
      <c r="Q65" s="132">
        <f>SUM(P65:P82)</f>
        <v>0</v>
      </c>
    </row>
    <row r="66" spans="1:17" x14ac:dyDescent="0.25">
      <c r="A66" s="61"/>
      <c r="B66" s="62" t="s">
        <v>55</v>
      </c>
      <c r="C66" s="65" t="s">
        <v>57</v>
      </c>
      <c r="D66" s="76">
        <f>COUNTIFS('TOTAL SUSPEK'!$F:$F,"Banjarsari",'TOTAL SUSPEK'!$E:$E,"gajah")</f>
        <v>0</v>
      </c>
      <c r="E66" s="22"/>
      <c r="F66" s="23"/>
      <c r="G66" s="23"/>
      <c r="H66" s="23"/>
      <c r="I66" s="23"/>
      <c r="J66" s="23"/>
      <c r="K66" s="24"/>
      <c r="L66" s="24"/>
      <c r="M66" s="24"/>
      <c r="P66" s="42">
        <f t="shared" si="0"/>
        <v>0</v>
      </c>
      <c r="Q66" s="8"/>
    </row>
    <row r="67" spans="1:17" x14ac:dyDescent="0.25">
      <c r="A67" s="61"/>
      <c r="B67" s="62" t="s">
        <v>55</v>
      </c>
      <c r="C67" s="64" t="s">
        <v>55</v>
      </c>
      <c r="D67" s="76">
        <f>COUNTIFS('TOTAL SUSPEK'!$F:$F,"Gajah")</f>
        <v>0</v>
      </c>
      <c r="E67" s="22"/>
      <c r="F67" s="23"/>
      <c r="G67" s="23"/>
      <c r="H67" s="23"/>
      <c r="I67" s="23"/>
      <c r="J67" s="23"/>
      <c r="K67" s="24"/>
      <c r="L67" s="24"/>
      <c r="M67" s="24"/>
      <c r="P67" s="42">
        <f t="shared" si="0"/>
        <v>0</v>
      </c>
      <c r="Q67" s="8"/>
    </row>
    <row r="68" spans="1:17" x14ac:dyDescent="0.25">
      <c r="A68" s="61"/>
      <c r="B68" s="62" t="s">
        <v>55</v>
      </c>
      <c r="C68" s="64" t="s">
        <v>58</v>
      </c>
      <c r="D68" s="76">
        <f>COUNTIFS('TOTAL SUSPEK'!$F:$F,"Sari")</f>
        <v>0</v>
      </c>
      <c r="E68" s="22"/>
      <c r="F68" s="23"/>
      <c r="G68" s="23"/>
      <c r="H68" s="23"/>
      <c r="I68" s="23"/>
      <c r="J68" s="23"/>
      <c r="K68" s="24"/>
      <c r="L68" s="24"/>
      <c r="M68" s="24"/>
      <c r="P68" s="42">
        <f t="shared" si="0"/>
        <v>0</v>
      </c>
      <c r="Q68" s="8"/>
    </row>
    <row r="69" spans="1:17" x14ac:dyDescent="0.25">
      <c r="A69" s="61"/>
      <c r="B69" s="62" t="s">
        <v>55</v>
      </c>
      <c r="C69" s="64" t="s">
        <v>59</v>
      </c>
      <c r="D69" s="76">
        <f>COUNTIFS('TOTAL SUSPEK'!$F:$F,"Boyolali")</f>
        <v>0</v>
      </c>
      <c r="E69" s="22"/>
      <c r="F69" s="23"/>
      <c r="G69" s="23"/>
      <c r="H69" s="23"/>
      <c r="I69" s="23"/>
      <c r="J69" s="23"/>
      <c r="K69" s="24"/>
      <c r="L69" s="24"/>
      <c r="M69" s="24"/>
      <c r="P69" s="42">
        <f t="shared" si="0"/>
        <v>0</v>
      </c>
      <c r="Q69" s="8"/>
    </row>
    <row r="70" spans="1:17" x14ac:dyDescent="0.25">
      <c r="A70" s="61"/>
      <c r="B70" s="62" t="s">
        <v>55</v>
      </c>
      <c r="C70" s="64" t="s">
        <v>60</v>
      </c>
      <c r="D70" s="76">
        <f>COUNTIFS('TOTAL SUSPEK'!$F:$F,"Jatisono")</f>
        <v>0</v>
      </c>
      <c r="E70" s="22"/>
      <c r="F70" s="23"/>
      <c r="G70" s="23"/>
      <c r="H70" s="23"/>
      <c r="I70" s="23"/>
      <c r="J70" s="23"/>
      <c r="K70" s="24"/>
      <c r="L70" s="24"/>
      <c r="M70" s="24"/>
      <c r="P70" s="42">
        <f t="shared" si="0"/>
        <v>0</v>
      </c>
      <c r="Q70" s="8"/>
    </row>
    <row r="71" spans="1:17" x14ac:dyDescent="0.25">
      <c r="A71" s="61"/>
      <c r="B71" s="62" t="s">
        <v>55</v>
      </c>
      <c r="C71" s="64" t="s">
        <v>61</v>
      </c>
      <c r="D71" s="76">
        <f>COUNTIFS('TOTAL SUSPEK'!$F:$F,"Sambiroto")</f>
        <v>0</v>
      </c>
      <c r="E71" s="22"/>
      <c r="F71" s="23"/>
      <c r="G71" s="23"/>
      <c r="H71" s="23"/>
      <c r="I71" s="23"/>
      <c r="J71" s="23"/>
      <c r="K71" s="24"/>
      <c r="L71" s="24"/>
      <c r="M71" s="24"/>
      <c r="P71" s="42">
        <f t="shared" si="0"/>
        <v>0</v>
      </c>
      <c r="Q71" s="8"/>
    </row>
    <row r="72" spans="1:17" x14ac:dyDescent="0.25">
      <c r="A72" s="61"/>
      <c r="B72" s="62" t="s">
        <v>55</v>
      </c>
      <c r="C72" s="64" t="s">
        <v>62</v>
      </c>
      <c r="D72" s="76">
        <f>COUNTIFS('TOTAL SUSPEK'!$F:$F,"Tlogopandogan")</f>
        <v>0</v>
      </c>
      <c r="E72" s="22"/>
      <c r="F72" s="23"/>
      <c r="G72" s="23"/>
      <c r="H72" s="23"/>
      <c r="I72" s="23"/>
      <c r="J72" s="23"/>
      <c r="K72" s="24"/>
      <c r="L72" s="24"/>
      <c r="M72" s="24"/>
      <c r="P72" s="42">
        <f t="shared" ref="P72:P135" si="1">SUM(D72:D72)</f>
        <v>0</v>
      </c>
      <c r="Q72" s="8"/>
    </row>
    <row r="73" spans="1:17" x14ac:dyDescent="0.25">
      <c r="A73" s="61"/>
      <c r="B73" s="62" t="s">
        <v>55</v>
      </c>
      <c r="C73" s="64" t="s">
        <v>63</v>
      </c>
      <c r="D73" s="76">
        <f>COUNTIFS('TOTAL SUSPEK'!$F:$F,"Surodadi",'TOTAL SUSPEK'!$E:$E,"gajah")</f>
        <v>0</v>
      </c>
      <c r="E73" s="22"/>
      <c r="F73" s="23"/>
      <c r="G73" s="23"/>
      <c r="H73" s="23"/>
      <c r="I73" s="23"/>
      <c r="J73" s="23"/>
      <c r="K73" s="24"/>
      <c r="L73" s="24"/>
      <c r="M73" s="24"/>
      <c r="P73" s="42">
        <f t="shared" si="1"/>
        <v>0</v>
      </c>
      <c r="Q73" s="8"/>
    </row>
    <row r="74" spans="1:17" x14ac:dyDescent="0.25">
      <c r="A74" s="61"/>
      <c r="B74" s="62" t="s">
        <v>55</v>
      </c>
      <c r="C74" s="64" t="s">
        <v>64</v>
      </c>
      <c r="D74" s="76">
        <f>COUNTIFS('TOTAL SUSPEK'!$F:$F,"Gedangalas")</f>
        <v>0</v>
      </c>
      <c r="E74" s="22"/>
      <c r="F74" s="23"/>
      <c r="G74" s="23"/>
      <c r="H74" s="23"/>
      <c r="I74" s="23"/>
      <c r="J74" s="23"/>
      <c r="K74" s="24"/>
      <c r="L74" s="24"/>
      <c r="M74" s="24"/>
      <c r="P74" s="42">
        <f t="shared" si="1"/>
        <v>0</v>
      </c>
      <c r="Q74" s="8"/>
    </row>
    <row r="75" spans="1:17" x14ac:dyDescent="0.25">
      <c r="A75" s="61"/>
      <c r="B75" s="62" t="s">
        <v>55</v>
      </c>
      <c r="C75" s="64" t="s">
        <v>65</v>
      </c>
      <c r="D75" s="76">
        <f>COUNTIFS('TOTAL SUSPEK'!$F:$F,"Sambung")</f>
        <v>0</v>
      </c>
      <c r="E75" s="22"/>
      <c r="F75" s="23"/>
      <c r="G75" s="23"/>
      <c r="H75" s="23"/>
      <c r="I75" s="23"/>
      <c r="J75" s="23"/>
      <c r="K75" s="24"/>
      <c r="L75" s="24"/>
      <c r="M75" s="24"/>
      <c r="P75" s="42">
        <f t="shared" si="1"/>
        <v>0</v>
      </c>
      <c r="Q75" s="8"/>
    </row>
    <row r="76" spans="1:17" x14ac:dyDescent="0.25">
      <c r="A76" s="61"/>
      <c r="B76" s="62" t="s">
        <v>55</v>
      </c>
      <c r="C76" s="64" t="s">
        <v>66</v>
      </c>
      <c r="D76" s="76">
        <f>COUNTIFS('TOTAL SUSPEK'!$F:$F,"Tambirejo")</f>
        <v>0</v>
      </c>
      <c r="E76" s="22"/>
      <c r="F76" s="23"/>
      <c r="G76" s="23"/>
      <c r="H76" s="23"/>
      <c r="I76" s="23"/>
      <c r="J76" s="23"/>
      <c r="K76" s="24"/>
      <c r="L76" s="24"/>
      <c r="M76" s="24"/>
      <c r="P76" s="42">
        <f t="shared" si="1"/>
        <v>0</v>
      </c>
      <c r="Q76" s="8"/>
    </row>
    <row r="77" spans="1:17" x14ac:dyDescent="0.25">
      <c r="A77" s="61"/>
      <c r="B77" s="62" t="s">
        <v>55</v>
      </c>
      <c r="C77" s="64" t="s">
        <v>67</v>
      </c>
      <c r="D77" s="76">
        <f>COUNTIFS('TOTAL SUSPEK'!$F:$F,"Mlatiharjo")</f>
        <v>0</v>
      </c>
      <c r="E77" s="22"/>
      <c r="F77" s="23"/>
      <c r="G77" s="23"/>
      <c r="H77" s="23"/>
      <c r="I77" s="23"/>
      <c r="J77" s="23"/>
      <c r="K77" s="24"/>
      <c r="L77" s="24"/>
      <c r="M77" s="24"/>
      <c r="P77" s="42">
        <f t="shared" si="1"/>
        <v>0</v>
      </c>
      <c r="Q77" s="8"/>
    </row>
    <row r="78" spans="1:17" x14ac:dyDescent="0.25">
      <c r="A78" s="61"/>
      <c r="B78" s="62" t="s">
        <v>55</v>
      </c>
      <c r="C78" s="64" t="s">
        <v>68</v>
      </c>
      <c r="D78" s="76">
        <f>COUNTIFS('TOTAL SUSPEK'!$F:$F,"Mojosimo")</f>
        <v>0</v>
      </c>
      <c r="E78" s="22"/>
      <c r="F78" s="23"/>
      <c r="G78" s="23"/>
      <c r="H78" s="23"/>
      <c r="I78" s="23"/>
      <c r="J78" s="23"/>
      <c r="K78" s="24"/>
      <c r="L78" s="24"/>
      <c r="M78" s="24"/>
      <c r="P78" s="42">
        <f t="shared" si="1"/>
        <v>0</v>
      </c>
      <c r="Q78" s="8"/>
    </row>
    <row r="79" spans="1:17" x14ac:dyDescent="0.25">
      <c r="A79" s="61"/>
      <c r="B79" s="62" t="s">
        <v>55</v>
      </c>
      <c r="C79" s="64" t="s">
        <v>69</v>
      </c>
      <c r="D79" s="76">
        <f>COUNTIFS('TOTAL SUSPEK'!$F:$F,"Medini")</f>
        <v>0</v>
      </c>
      <c r="E79" s="22"/>
      <c r="F79" s="23"/>
      <c r="G79" s="23"/>
      <c r="H79" s="23"/>
      <c r="I79" s="23"/>
      <c r="J79" s="23"/>
      <c r="K79" s="24"/>
      <c r="L79" s="24"/>
      <c r="M79" s="24"/>
      <c r="P79" s="42">
        <f t="shared" si="1"/>
        <v>0</v>
      </c>
      <c r="Q79" s="8"/>
    </row>
    <row r="80" spans="1:17" x14ac:dyDescent="0.25">
      <c r="A80" s="61"/>
      <c r="B80" s="62" t="s">
        <v>55</v>
      </c>
      <c r="C80" s="64" t="s">
        <v>70</v>
      </c>
      <c r="D80" s="76">
        <f>COUNTIFS('TOTAL SUSPEK'!$F:$F,"Wilalung")</f>
        <v>0</v>
      </c>
      <c r="E80" s="22"/>
      <c r="F80" s="23"/>
      <c r="G80" s="23"/>
      <c r="H80" s="23"/>
      <c r="I80" s="23"/>
      <c r="J80" s="23"/>
      <c r="K80" s="24"/>
      <c r="L80" s="24"/>
      <c r="M80" s="24"/>
      <c r="P80" s="42">
        <f t="shared" si="1"/>
        <v>0</v>
      </c>
      <c r="Q80" s="8"/>
    </row>
    <row r="81" spans="1:17" x14ac:dyDescent="0.25">
      <c r="A81" s="61"/>
      <c r="B81" s="62" t="s">
        <v>55</v>
      </c>
      <c r="C81" s="64" t="s">
        <v>71</v>
      </c>
      <c r="D81" s="76">
        <f>COUNTIFS('TOTAL SUSPEK'!$F:$F,"Tanjunganyar")</f>
        <v>0</v>
      </c>
      <c r="E81" s="22"/>
      <c r="F81" s="23"/>
      <c r="G81" s="23"/>
      <c r="H81" s="23"/>
      <c r="I81" s="23"/>
      <c r="J81" s="23"/>
      <c r="K81" s="24"/>
      <c r="L81" s="24"/>
      <c r="M81" s="24"/>
      <c r="P81" s="42">
        <f t="shared" si="1"/>
        <v>0</v>
      </c>
      <c r="Q81" s="8"/>
    </row>
    <row r="82" spans="1:17" x14ac:dyDescent="0.25">
      <c r="A82" s="61"/>
      <c r="B82" s="62" t="s">
        <v>55</v>
      </c>
      <c r="C82" s="64" t="s">
        <v>72</v>
      </c>
      <c r="D82" s="76">
        <f>COUNTIFS('TOTAL SUSPEK'!$F:$F,"Mlekang")</f>
        <v>0</v>
      </c>
      <c r="E82" s="22"/>
      <c r="F82" s="23"/>
      <c r="G82" s="23"/>
      <c r="H82" s="23"/>
      <c r="I82" s="23"/>
      <c r="J82" s="23"/>
      <c r="K82" s="24"/>
      <c r="L82" s="24"/>
      <c r="M82" s="24"/>
      <c r="P82" s="42">
        <f t="shared" si="1"/>
        <v>0</v>
      </c>
      <c r="Q82" s="8"/>
    </row>
    <row r="83" spans="1:17" ht="15" customHeight="1" x14ac:dyDescent="0.25">
      <c r="A83" s="61">
        <v>5</v>
      </c>
      <c r="B83" s="18" t="s">
        <v>73</v>
      </c>
      <c r="C83" s="43" t="s">
        <v>74</v>
      </c>
      <c r="D83" s="76">
        <f>COUNTIFS('TOTAL SUSPEK'!$F:$F,"Cangkring B")</f>
        <v>0</v>
      </c>
      <c r="E83" s="22" t="e">
        <f>SUM(#REF!)</f>
        <v>#REF!</v>
      </c>
      <c r="F83" s="22" t="e">
        <f>SUM(#REF!)</f>
        <v>#REF!</v>
      </c>
      <c r="G83" s="22" t="e">
        <f>SUM(#REF!)</f>
        <v>#REF!</v>
      </c>
      <c r="H83" s="22" t="e">
        <f>SUM(#REF!)</f>
        <v>#REF!</v>
      </c>
      <c r="I83" s="22" t="e">
        <f>SUM(#REF!)</f>
        <v>#REF!</v>
      </c>
      <c r="J83" s="22" t="e">
        <f>SUM(#REF!)</f>
        <v>#REF!</v>
      </c>
      <c r="K83" s="22" t="e">
        <f>SUM(#REF!)</f>
        <v>#REF!</v>
      </c>
      <c r="L83" s="22">
        <f>SUM(D83:D99)</f>
        <v>1</v>
      </c>
      <c r="M83" s="22" t="e">
        <f>SUM(#REF!)</f>
        <v>#REF!</v>
      </c>
      <c r="P83" s="42">
        <f t="shared" si="1"/>
        <v>0</v>
      </c>
      <c r="Q83" s="132">
        <f>SUM(P83:P99)</f>
        <v>1</v>
      </c>
    </row>
    <row r="84" spans="1:17" ht="15" customHeight="1" x14ac:dyDescent="0.25">
      <c r="A84" s="61"/>
      <c r="B84" s="18" t="s">
        <v>73</v>
      </c>
      <c r="C84" s="43" t="s">
        <v>75</v>
      </c>
      <c r="D84" s="76">
        <f>COUNTIFS('TOTAL SUSPEK'!$F:$F,"Undaan Lor")</f>
        <v>0</v>
      </c>
      <c r="E84" s="22"/>
      <c r="F84" s="23"/>
      <c r="G84" s="23"/>
      <c r="H84" s="23"/>
      <c r="I84" s="23"/>
      <c r="J84" s="23"/>
      <c r="K84" s="24"/>
      <c r="L84" s="24"/>
      <c r="M84" s="24"/>
      <c r="P84" s="42">
        <f t="shared" si="1"/>
        <v>0</v>
      </c>
      <c r="Q84" s="8"/>
    </row>
    <row r="85" spans="1:17" ht="15" customHeight="1" x14ac:dyDescent="0.25">
      <c r="A85" s="61"/>
      <c r="B85" s="18" t="s">
        <v>73</v>
      </c>
      <c r="C85" s="43" t="s">
        <v>76</v>
      </c>
      <c r="D85" s="76">
        <f>COUNTIFS('TOTAL SUSPEK'!$F:$F,"Undaan Kidul")</f>
        <v>0</v>
      </c>
      <c r="E85" s="22"/>
      <c r="F85" s="23"/>
      <c r="G85" s="23"/>
      <c r="H85" s="23"/>
      <c r="I85" s="23"/>
      <c r="J85" s="23"/>
      <c r="K85" s="24"/>
      <c r="L85" s="24"/>
      <c r="M85" s="24"/>
      <c r="P85" s="42">
        <f t="shared" si="1"/>
        <v>0</v>
      </c>
      <c r="Q85" s="8"/>
    </row>
    <row r="86" spans="1:17" ht="15" customHeight="1" x14ac:dyDescent="0.25">
      <c r="A86" s="61"/>
      <c r="B86" s="18" t="s">
        <v>73</v>
      </c>
      <c r="C86" s="43" t="s">
        <v>77</v>
      </c>
      <c r="D86" s="76">
        <f>COUNTIFS('TOTAL SUSPEK'!$F:$F,"Ketanjung")</f>
        <v>0</v>
      </c>
      <c r="E86" s="22"/>
      <c r="F86" s="23"/>
      <c r="G86" s="23"/>
      <c r="H86" s="23"/>
      <c r="I86" s="23"/>
      <c r="J86" s="23"/>
      <c r="K86" s="24"/>
      <c r="L86" s="24"/>
      <c r="M86" s="24"/>
      <c r="P86" s="42">
        <f t="shared" si="1"/>
        <v>0</v>
      </c>
      <c r="Q86" s="8"/>
    </row>
    <row r="87" spans="1:17" ht="15" customHeight="1" x14ac:dyDescent="0.25">
      <c r="A87" s="61"/>
      <c r="B87" s="18" t="s">
        <v>73</v>
      </c>
      <c r="C87" s="43" t="s">
        <v>280</v>
      </c>
      <c r="D87" s="76">
        <f>COUNTIFS('TOTAL SUSPEK'!$F:$F,"Cangkring Rembang")</f>
        <v>0</v>
      </c>
      <c r="E87" s="22"/>
      <c r="F87" s="23"/>
      <c r="G87" s="23"/>
      <c r="H87" s="23"/>
      <c r="I87" s="23"/>
      <c r="J87" s="23"/>
      <c r="K87" s="24"/>
      <c r="L87" s="24"/>
      <c r="M87" s="24"/>
      <c r="P87" s="42">
        <f t="shared" si="1"/>
        <v>0</v>
      </c>
      <c r="Q87" s="8"/>
    </row>
    <row r="88" spans="1:17" ht="15" customHeight="1" x14ac:dyDescent="0.25">
      <c r="A88" s="61"/>
      <c r="B88" s="18" t="s">
        <v>73</v>
      </c>
      <c r="C88" s="43" t="s">
        <v>79</v>
      </c>
      <c r="D88" s="76">
        <f>COUNTIFS('TOTAL SUSPEK'!$F:$F,"Tuwang")</f>
        <v>1</v>
      </c>
      <c r="E88" s="22"/>
      <c r="F88" s="23"/>
      <c r="G88" s="23"/>
      <c r="H88" s="23"/>
      <c r="I88" s="23"/>
      <c r="J88" s="23"/>
      <c r="K88" s="24"/>
      <c r="L88" s="24"/>
      <c r="M88" s="24"/>
      <c r="P88" s="42">
        <f t="shared" si="1"/>
        <v>1</v>
      </c>
      <c r="Q88" s="8"/>
    </row>
    <row r="89" spans="1:17" ht="15" customHeight="1" x14ac:dyDescent="0.25">
      <c r="A89" s="61"/>
      <c r="B89" s="18" t="s">
        <v>73</v>
      </c>
      <c r="C89" s="43" t="s">
        <v>80</v>
      </c>
      <c r="D89" s="76">
        <f>COUNTIFS('TOTAL SUSPEK'!$F:$F,"Wonorejo",'TOTAL SUSPEK'!$E:$E,"karanganyar")</f>
        <v>0</v>
      </c>
      <c r="E89" s="22"/>
      <c r="F89" s="23"/>
      <c r="G89" s="23"/>
      <c r="H89" s="23"/>
      <c r="I89" s="23"/>
      <c r="J89" s="23"/>
      <c r="K89" s="24"/>
      <c r="L89" s="24"/>
      <c r="M89" s="24"/>
      <c r="P89" s="42">
        <f t="shared" si="1"/>
        <v>0</v>
      </c>
      <c r="Q89" s="8"/>
    </row>
    <row r="90" spans="1:17" ht="15" customHeight="1" x14ac:dyDescent="0.25">
      <c r="A90" s="61"/>
      <c r="B90" s="18" t="s">
        <v>73</v>
      </c>
      <c r="C90" s="43" t="s">
        <v>281</v>
      </c>
      <c r="D90" s="76">
        <f>COUNTIFS('TOTAL SUSPEK'!$F:$F,"Ngemplik Wetan")</f>
        <v>0</v>
      </c>
      <c r="E90" s="22"/>
      <c r="F90" s="23"/>
      <c r="G90" s="23"/>
      <c r="H90" s="23"/>
      <c r="I90" s="23"/>
      <c r="J90" s="23"/>
      <c r="K90" s="24"/>
      <c r="L90" s="24"/>
      <c r="M90" s="24"/>
      <c r="P90" s="42">
        <f t="shared" si="1"/>
        <v>0</v>
      </c>
      <c r="Q90" s="8"/>
    </row>
    <row r="91" spans="1:17" ht="15" customHeight="1" x14ac:dyDescent="0.25">
      <c r="A91" s="61"/>
      <c r="B91" s="18" t="s">
        <v>73</v>
      </c>
      <c r="C91" s="43" t="s">
        <v>73</v>
      </c>
      <c r="D91" s="76">
        <f>COUNTIFS('TOTAL SUSPEK'!$F:$F,"Karanganyar")</f>
        <v>0</v>
      </c>
      <c r="E91" s="22"/>
      <c r="F91" s="23"/>
      <c r="G91" s="23"/>
      <c r="H91" s="23"/>
      <c r="I91" s="23"/>
      <c r="J91" s="23"/>
      <c r="K91" s="24"/>
      <c r="L91" s="24"/>
      <c r="M91" s="24"/>
      <c r="P91" s="42">
        <f t="shared" si="1"/>
        <v>0</v>
      </c>
      <c r="Q91" s="8"/>
    </row>
    <row r="92" spans="1:17" ht="15" customHeight="1" x14ac:dyDescent="0.25">
      <c r="A92" s="61"/>
      <c r="B92" s="18" t="s">
        <v>73</v>
      </c>
      <c r="C92" s="43" t="s">
        <v>81</v>
      </c>
      <c r="D92" s="76">
        <f>COUNTIFS('TOTAL SUSPEK'!$F:$F,"Ngaluran")</f>
        <v>0</v>
      </c>
      <c r="E92" s="22"/>
      <c r="F92" s="23"/>
      <c r="G92" s="23"/>
      <c r="H92" s="23"/>
      <c r="I92" s="23"/>
      <c r="J92" s="23"/>
      <c r="K92" s="24"/>
      <c r="L92" s="24"/>
      <c r="M92" s="24"/>
      <c r="P92" s="42">
        <f t="shared" si="1"/>
        <v>0</v>
      </c>
      <c r="Q92" s="8"/>
    </row>
    <row r="93" spans="1:17" ht="15" customHeight="1" x14ac:dyDescent="0.25">
      <c r="A93" s="61"/>
      <c r="B93" s="18" t="s">
        <v>73</v>
      </c>
      <c r="C93" s="43" t="s">
        <v>82</v>
      </c>
      <c r="D93" s="76">
        <f>COUNTIFS('TOTAL SUSPEK'!$F:$F,"Kedungwaru Kidul")</f>
        <v>0</v>
      </c>
      <c r="E93" s="22"/>
      <c r="F93" s="23"/>
      <c r="G93" s="23"/>
      <c r="H93" s="23"/>
      <c r="I93" s="23"/>
      <c r="J93" s="23"/>
      <c r="K93" s="24"/>
      <c r="L93" s="24"/>
      <c r="M93" s="24"/>
      <c r="P93" s="42">
        <f t="shared" si="1"/>
        <v>0</v>
      </c>
      <c r="Q93" s="8"/>
    </row>
    <row r="94" spans="1:17" ht="15" customHeight="1" x14ac:dyDescent="0.25">
      <c r="A94" s="61"/>
      <c r="B94" s="18" t="s">
        <v>73</v>
      </c>
      <c r="C94" s="43" t="s">
        <v>83</v>
      </c>
      <c r="D94" s="76">
        <f>COUNTIFS('TOTAL SUSPEK'!$F:$F,"Kedungwaru Lor")</f>
        <v>0</v>
      </c>
      <c r="E94" s="22"/>
      <c r="F94" s="23"/>
      <c r="G94" s="23"/>
      <c r="H94" s="23"/>
      <c r="I94" s="23"/>
      <c r="J94" s="23"/>
      <c r="K94" s="24"/>
      <c r="L94" s="24"/>
      <c r="M94" s="24"/>
      <c r="P94" s="42">
        <f t="shared" si="1"/>
        <v>0</v>
      </c>
      <c r="Q94" s="8"/>
    </row>
    <row r="95" spans="1:17" ht="15" customHeight="1" x14ac:dyDescent="0.25">
      <c r="A95" s="61"/>
      <c r="B95" s="18" t="s">
        <v>73</v>
      </c>
      <c r="C95" s="43" t="s">
        <v>84</v>
      </c>
      <c r="D95" s="76">
        <f>COUNTIFS('TOTAL SUSPEK'!$F:$F,"Tugu Lor")</f>
        <v>0</v>
      </c>
      <c r="E95" s="22"/>
      <c r="F95" s="23"/>
      <c r="G95" s="23"/>
      <c r="H95" s="23"/>
      <c r="I95" s="23"/>
      <c r="J95" s="23"/>
      <c r="K95" s="24"/>
      <c r="L95" s="24"/>
      <c r="M95" s="24"/>
      <c r="P95" s="42">
        <f t="shared" si="1"/>
        <v>0</v>
      </c>
      <c r="Q95" s="8"/>
    </row>
    <row r="96" spans="1:17" ht="15" customHeight="1" x14ac:dyDescent="0.25">
      <c r="A96" s="61"/>
      <c r="B96" s="18" t="s">
        <v>73</v>
      </c>
      <c r="C96" s="43" t="s">
        <v>295</v>
      </c>
      <c r="D96" s="76">
        <f>COUNTIFS('TOTAL SUSPEK'!$F:$F,"Kotakan")</f>
        <v>0</v>
      </c>
      <c r="E96" s="22"/>
      <c r="F96" s="23"/>
      <c r="G96" s="23"/>
      <c r="H96" s="23"/>
      <c r="I96" s="23"/>
      <c r="J96" s="23"/>
      <c r="K96" s="24"/>
      <c r="L96" s="24"/>
      <c r="M96" s="24"/>
      <c r="P96" s="42">
        <f t="shared" si="1"/>
        <v>0</v>
      </c>
      <c r="Q96" s="8"/>
    </row>
    <row r="97" spans="1:17" ht="15" customHeight="1" x14ac:dyDescent="0.25">
      <c r="A97" s="61"/>
      <c r="B97" s="18" t="s">
        <v>73</v>
      </c>
      <c r="C97" s="43" t="s">
        <v>85</v>
      </c>
      <c r="D97" s="76">
        <f>COUNTIFS('TOTAL SUSPEK'!$F:$F,"Wonoketingal")</f>
        <v>0</v>
      </c>
      <c r="E97" s="22"/>
      <c r="F97" s="23"/>
      <c r="G97" s="23"/>
      <c r="H97" s="23"/>
      <c r="I97" s="23"/>
      <c r="J97" s="23"/>
      <c r="K97" s="24"/>
      <c r="L97" s="24"/>
      <c r="M97" s="24"/>
      <c r="P97" s="42">
        <f t="shared" si="1"/>
        <v>0</v>
      </c>
      <c r="Q97" s="8"/>
    </row>
    <row r="98" spans="1:17" ht="15" customHeight="1" x14ac:dyDescent="0.25">
      <c r="A98" s="61"/>
      <c r="B98" s="18" t="s">
        <v>73</v>
      </c>
      <c r="C98" s="43" t="s">
        <v>86</v>
      </c>
      <c r="D98" s="76">
        <f>COUNTIFS('TOTAL SUSPEK'!$F:$F,"Jatirejo")</f>
        <v>0</v>
      </c>
      <c r="E98" s="22"/>
      <c r="F98" s="23"/>
      <c r="G98" s="23"/>
      <c r="H98" s="23"/>
      <c r="I98" s="23"/>
      <c r="J98" s="23"/>
      <c r="K98" s="24"/>
      <c r="L98" s="24"/>
      <c r="M98" s="24"/>
      <c r="P98" s="42">
        <f t="shared" si="1"/>
        <v>0</v>
      </c>
      <c r="Q98" s="8"/>
    </row>
    <row r="99" spans="1:17" ht="15" customHeight="1" x14ac:dyDescent="0.25">
      <c r="A99" s="61"/>
      <c r="B99" s="18" t="s">
        <v>73</v>
      </c>
      <c r="C99" s="43" t="s">
        <v>9</v>
      </c>
      <c r="D99" s="76">
        <f>COUNTIFS('TOTAL SUSPEK'!$F:$F,"Bandungrejo",'TOTAL SUSPEK'!$E:$E,"Karanganyar")</f>
        <v>0</v>
      </c>
      <c r="E99" s="22"/>
      <c r="F99" s="23"/>
      <c r="G99" s="23"/>
      <c r="H99" s="23"/>
      <c r="I99" s="23"/>
      <c r="J99" s="23"/>
      <c r="K99" s="24"/>
      <c r="L99" s="24"/>
      <c r="M99" s="24"/>
      <c r="P99" s="42">
        <f t="shared" si="1"/>
        <v>0</v>
      </c>
      <c r="Q99" s="8"/>
    </row>
    <row r="100" spans="1:17" ht="15" customHeight="1" x14ac:dyDescent="0.25">
      <c r="A100" s="61">
        <v>6</v>
      </c>
      <c r="B100" s="18" t="s">
        <v>87</v>
      </c>
      <c r="C100" s="43" t="s">
        <v>88</v>
      </c>
      <c r="D100" s="76">
        <f>COUNTIFS('TOTAL SUSPEK'!$F:$F,"Mijen",'TOTAL SUSPEK'!$E:$E,"mijen")</f>
        <v>0</v>
      </c>
      <c r="E100" s="22" t="e">
        <f>SUM(#REF!)</f>
        <v>#REF!</v>
      </c>
      <c r="F100" s="22" t="e">
        <f>SUM(#REF!)</f>
        <v>#REF!</v>
      </c>
      <c r="G100" s="22" t="e">
        <f>SUM(#REF!)</f>
        <v>#REF!</v>
      </c>
      <c r="H100" s="22" t="e">
        <f>SUM(#REF!)</f>
        <v>#REF!</v>
      </c>
      <c r="I100" s="22" t="e">
        <f>SUM(#REF!)</f>
        <v>#REF!</v>
      </c>
      <c r="J100" s="22" t="e">
        <f>SUM(#REF!)</f>
        <v>#REF!</v>
      </c>
      <c r="K100" s="22" t="e">
        <f>SUM(#REF!)</f>
        <v>#REF!</v>
      </c>
      <c r="L100" s="22">
        <f>SUM(D100:D114)</f>
        <v>1</v>
      </c>
      <c r="M100" s="22" t="e">
        <f>SUM(#REF!)</f>
        <v>#REF!</v>
      </c>
      <c r="P100" s="42">
        <f t="shared" si="1"/>
        <v>0</v>
      </c>
      <c r="Q100" s="132">
        <f>SUM(P100:P114)</f>
        <v>1</v>
      </c>
    </row>
    <row r="101" spans="1:17" ht="15" customHeight="1" x14ac:dyDescent="0.25">
      <c r="A101" s="61"/>
      <c r="B101" s="18" t="s">
        <v>87</v>
      </c>
      <c r="C101" s="43" t="s">
        <v>89</v>
      </c>
      <c r="D101" s="76">
        <f>COUNTIFS('TOTAL SUSPEK'!$F:$F,"Geneng")</f>
        <v>0</v>
      </c>
      <c r="E101" s="22"/>
      <c r="F101" s="23"/>
      <c r="G101" s="23"/>
      <c r="H101" s="23"/>
      <c r="I101" s="23"/>
      <c r="J101" s="23"/>
      <c r="K101" s="24"/>
      <c r="L101" s="24"/>
      <c r="M101" s="24"/>
      <c r="P101" s="42">
        <f t="shared" si="1"/>
        <v>0</v>
      </c>
      <c r="Q101" s="8"/>
    </row>
    <row r="102" spans="1:17" ht="15" customHeight="1" x14ac:dyDescent="0.25">
      <c r="A102" s="61"/>
      <c r="B102" s="18" t="s">
        <v>87</v>
      </c>
      <c r="C102" s="43" t="s">
        <v>90</v>
      </c>
      <c r="D102" s="76">
        <f>COUNTIFS('TOTAL SUSPEK'!$F:$F,"Tanggul")</f>
        <v>0</v>
      </c>
      <c r="E102" s="22"/>
      <c r="F102" s="23"/>
      <c r="G102" s="23"/>
      <c r="H102" s="23"/>
      <c r="I102" s="23"/>
      <c r="J102" s="23"/>
      <c r="K102" s="24"/>
      <c r="L102" s="24"/>
      <c r="M102" s="24"/>
      <c r="P102" s="42">
        <f t="shared" si="1"/>
        <v>0</v>
      </c>
      <c r="Q102" s="8"/>
    </row>
    <row r="103" spans="1:17" ht="15" customHeight="1" x14ac:dyDescent="0.25">
      <c r="A103" s="61"/>
      <c r="B103" s="18" t="s">
        <v>87</v>
      </c>
      <c r="C103" s="43" t="s">
        <v>91</v>
      </c>
      <c r="D103" s="76">
        <f>COUNTIFS('TOTAL SUSPEK'!$F:$F,"Bantengmati")</f>
        <v>0</v>
      </c>
      <c r="E103" s="22"/>
      <c r="F103" s="23"/>
      <c r="G103" s="23"/>
      <c r="H103" s="23"/>
      <c r="I103" s="23"/>
      <c r="J103" s="23"/>
      <c r="K103" s="24"/>
      <c r="L103" s="24"/>
      <c r="M103" s="24"/>
      <c r="P103" s="42">
        <f t="shared" si="1"/>
        <v>0</v>
      </c>
      <c r="Q103" s="8"/>
    </row>
    <row r="104" spans="1:17" ht="15" customHeight="1" x14ac:dyDescent="0.25">
      <c r="A104" s="61"/>
      <c r="B104" s="18" t="s">
        <v>87</v>
      </c>
      <c r="C104" s="43" t="s">
        <v>92</v>
      </c>
      <c r="D104" s="76">
        <f>COUNTIFS('TOTAL SUSPEK'!$F:$F,"Mlaten")</f>
        <v>1</v>
      </c>
      <c r="E104" s="22"/>
      <c r="F104" s="23"/>
      <c r="G104" s="23"/>
      <c r="H104" s="23"/>
      <c r="I104" s="23"/>
      <c r="J104" s="23"/>
      <c r="K104" s="24"/>
      <c r="L104" s="24"/>
      <c r="M104" s="24"/>
      <c r="P104" s="42">
        <f t="shared" si="1"/>
        <v>1</v>
      </c>
      <c r="Q104" s="8"/>
    </row>
    <row r="105" spans="1:17" ht="15" customHeight="1" x14ac:dyDescent="0.25">
      <c r="A105" s="61"/>
      <c r="B105" s="18" t="s">
        <v>87</v>
      </c>
      <c r="C105" s="43" t="s">
        <v>93</v>
      </c>
      <c r="D105" s="76">
        <f>COUNTIFS('TOTAL SUSPEK'!$F:$F,"Bermi")</f>
        <v>0</v>
      </c>
      <c r="E105" s="22"/>
      <c r="F105" s="23"/>
      <c r="G105" s="23"/>
      <c r="H105" s="23"/>
      <c r="I105" s="23"/>
      <c r="J105" s="23"/>
      <c r="K105" s="24"/>
      <c r="L105" s="24"/>
      <c r="M105" s="24"/>
      <c r="P105" s="42">
        <f t="shared" si="1"/>
        <v>0</v>
      </c>
      <c r="Q105" s="8"/>
    </row>
    <row r="106" spans="1:17" ht="15" customHeight="1" x14ac:dyDescent="0.25">
      <c r="A106" s="61"/>
      <c r="B106" s="18" t="s">
        <v>87</v>
      </c>
      <c r="C106" s="43" t="s">
        <v>94</v>
      </c>
      <c r="D106" s="76">
        <f>COUNTIFS('TOTAL SUSPEK'!$F:$F,"Gempolsongo")</f>
        <v>0</v>
      </c>
      <c r="E106" s="22"/>
      <c r="F106" s="23"/>
      <c r="G106" s="23"/>
      <c r="H106" s="23"/>
      <c r="I106" s="23"/>
      <c r="J106" s="23"/>
      <c r="K106" s="24"/>
      <c r="L106" s="24"/>
      <c r="M106" s="24"/>
      <c r="P106" s="42">
        <f t="shared" si="1"/>
        <v>0</v>
      </c>
      <c r="Q106" s="8"/>
    </row>
    <row r="107" spans="1:17" ht="15" customHeight="1" x14ac:dyDescent="0.25">
      <c r="A107" s="61"/>
      <c r="B107" s="18" t="s">
        <v>87</v>
      </c>
      <c r="C107" s="43" t="s">
        <v>95</v>
      </c>
      <c r="D107" s="76">
        <f>COUNTIFS('TOTAL SUSPEK'!$F:$F,"Ngelo wetan")</f>
        <v>0</v>
      </c>
      <c r="E107" s="22"/>
      <c r="F107" s="23"/>
      <c r="G107" s="23"/>
      <c r="H107" s="23"/>
      <c r="I107" s="23"/>
      <c r="J107" s="23"/>
      <c r="K107" s="24"/>
      <c r="L107" s="24"/>
      <c r="M107" s="24"/>
      <c r="P107" s="42">
        <f t="shared" si="1"/>
        <v>0</v>
      </c>
      <c r="Q107" s="8"/>
    </row>
    <row r="108" spans="1:17" ht="15" customHeight="1" x14ac:dyDescent="0.25">
      <c r="A108" s="61"/>
      <c r="B108" s="18" t="s">
        <v>87</v>
      </c>
      <c r="C108" s="43" t="s">
        <v>96</v>
      </c>
      <c r="D108" s="76">
        <f>COUNTIFS('TOTAL SUSPEK'!$F:$F,"Bakung")</f>
        <v>0</v>
      </c>
      <c r="E108" s="22"/>
      <c r="F108" s="23"/>
      <c r="G108" s="23"/>
      <c r="H108" s="23"/>
      <c r="I108" s="23"/>
      <c r="J108" s="23"/>
      <c r="K108" s="24"/>
      <c r="L108" s="24"/>
      <c r="M108" s="24"/>
      <c r="P108" s="42">
        <f t="shared" si="1"/>
        <v>0</v>
      </c>
      <c r="Q108" s="8"/>
    </row>
    <row r="109" spans="1:17" ht="15" customHeight="1" x14ac:dyDescent="0.25">
      <c r="A109" s="61"/>
      <c r="B109" s="18" t="s">
        <v>87</v>
      </c>
      <c r="C109" s="43" t="s">
        <v>97</v>
      </c>
      <c r="D109" s="76">
        <f>COUNTIFS('TOTAL SUSPEK'!$F:$F,"Pasir")</f>
        <v>0</v>
      </c>
      <c r="E109" s="22"/>
      <c r="F109" s="23"/>
      <c r="G109" s="23"/>
      <c r="H109" s="23"/>
      <c r="I109" s="23"/>
      <c r="J109" s="23"/>
      <c r="K109" s="24"/>
      <c r="L109" s="24"/>
      <c r="M109" s="24"/>
      <c r="P109" s="42">
        <f t="shared" si="1"/>
        <v>0</v>
      </c>
      <c r="Q109" s="8"/>
    </row>
    <row r="110" spans="1:17" ht="15" customHeight="1" x14ac:dyDescent="0.25">
      <c r="A110" s="61"/>
      <c r="B110" s="18" t="s">
        <v>87</v>
      </c>
      <c r="C110" s="43" t="s">
        <v>98</v>
      </c>
      <c r="D110" s="76">
        <f>COUNTIFS('TOTAL SUSPEK'!$F:$F,"Jleper")</f>
        <v>0</v>
      </c>
      <c r="E110" s="22"/>
      <c r="F110" s="23"/>
      <c r="G110" s="23"/>
      <c r="H110" s="23"/>
      <c r="I110" s="23"/>
      <c r="J110" s="23"/>
      <c r="K110" s="24"/>
      <c r="L110" s="24"/>
      <c r="M110" s="24"/>
      <c r="P110" s="42">
        <f t="shared" si="1"/>
        <v>0</v>
      </c>
      <c r="Q110" s="8"/>
    </row>
    <row r="111" spans="1:17" ht="15" customHeight="1" x14ac:dyDescent="0.25">
      <c r="A111" s="61"/>
      <c r="B111" s="18" t="s">
        <v>87</v>
      </c>
      <c r="C111" s="43" t="s">
        <v>26</v>
      </c>
      <c r="D111" s="76">
        <f>COUNTIFS('TOTAL SUSPEK'!$F:$F,"Rejosari",'TOTAL SUSPEK'!$E:$E,"mijen")</f>
        <v>0</v>
      </c>
      <c r="E111" s="22"/>
      <c r="F111" s="23"/>
      <c r="G111" s="23"/>
      <c r="H111" s="23"/>
      <c r="I111" s="23"/>
      <c r="J111" s="23"/>
      <c r="K111" s="24"/>
      <c r="L111" s="24"/>
      <c r="M111" s="24"/>
      <c r="P111" s="42">
        <f t="shared" si="1"/>
        <v>0</v>
      </c>
      <c r="Q111" s="8"/>
    </row>
    <row r="112" spans="1:17" ht="15" customHeight="1" x14ac:dyDescent="0.25">
      <c r="A112" s="61"/>
      <c r="B112" s="18" t="s">
        <v>87</v>
      </c>
      <c r="C112" s="43" t="s">
        <v>99</v>
      </c>
      <c r="D112" s="76">
        <f>COUNTIFS('TOTAL SUSPEK'!$F:$F,"Ngegot")</f>
        <v>0</v>
      </c>
      <c r="E112" s="22"/>
      <c r="F112" s="23"/>
      <c r="G112" s="23"/>
      <c r="H112" s="23"/>
      <c r="I112" s="23"/>
      <c r="J112" s="23"/>
      <c r="K112" s="24"/>
      <c r="L112" s="24"/>
      <c r="M112" s="24"/>
      <c r="P112" s="42">
        <f t="shared" si="1"/>
        <v>0</v>
      </c>
      <c r="Q112" s="8"/>
    </row>
    <row r="113" spans="1:17" ht="15" customHeight="1" x14ac:dyDescent="0.25">
      <c r="A113" s="61"/>
      <c r="B113" s="18" t="s">
        <v>87</v>
      </c>
      <c r="C113" s="43" t="s">
        <v>100</v>
      </c>
      <c r="D113" s="76">
        <f>COUNTIFS('TOTAL SUSPEK'!$F:$F,"Pecuk")</f>
        <v>0</v>
      </c>
      <c r="E113" s="22"/>
      <c r="F113" s="23"/>
      <c r="G113" s="23"/>
      <c r="H113" s="23"/>
      <c r="I113" s="23"/>
      <c r="J113" s="23"/>
      <c r="K113" s="24"/>
      <c r="L113" s="24"/>
      <c r="M113" s="24"/>
      <c r="P113" s="42">
        <f t="shared" si="1"/>
        <v>0</v>
      </c>
      <c r="Q113" s="8"/>
    </row>
    <row r="114" spans="1:17" ht="15" customHeight="1" x14ac:dyDescent="0.25">
      <c r="A114" s="61"/>
      <c r="B114" s="18" t="s">
        <v>87</v>
      </c>
      <c r="C114" s="43" t="s">
        <v>101</v>
      </c>
      <c r="D114" s="76">
        <f>COUNTIFS('TOTAL SUSPEK'!$F:$F,"Ngelo Kulon")</f>
        <v>0</v>
      </c>
      <c r="E114" s="22"/>
      <c r="F114" s="23"/>
      <c r="G114" s="23"/>
      <c r="H114" s="23"/>
      <c r="I114" s="23"/>
      <c r="J114" s="23"/>
      <c r="K114" s="24"/>
      <c r="L114" s="24"/>
      <c r="M114" s="24"/>
      <c r="P114" s="42">
        <f t="shared" si="1"/>
        <v>0</v>
      </c>
      <c r="Q114" s="8"/>
    </row>
    <row r="115" spans="1:17" x14ac:dyDescent="0.25">
      <c r="A115" s="61">
        <v>7</v>
      </c>
      <c r="B115" s="18" t="s">
        <v>102</v>
      </c>
      <c r="C115" s="43" t="s">
        <v>103</v>
      </c>
      <c r="D115" s="76">
        <f>COUNTIFS('TOTAL SUSPEK'!$F:$F,"Betokan")</f>
        <v>0</v>
      </c>
      <c r="E115" s="22" t="e">
        <f>SUM(#REF!)</f>
        <v>#REF!</v>
      </c>
      <c r="F115" s="22" t="e">
        <f>SUM(#REF!)</f>
        <v>#REF!</v>
      </c>
      <c r="G115" s="22" t="e">
        <f>SUM(#REF!)</f>
        <v>#REF!</v>
      </c>
      <c r="H115" s="22" t="e">
        <f>SUM(#REF!)</f>
        <v>#REF!</v>
      </c>
      <c r="I115" s="22" t="e">
        <f>SUM(#REF!)</f>
        <v>#REF!</v>
      </c>
      <c r="J115" s="22" t="e">
        <f>SUM(#REF!)</f>
        <v>#REF!</v>
      </c>
      <c r="K115" s="22" t="e">
        <f>SUM(#REF!)</f>
        <v>#REF!</v>
      </c>
      <c r="L115" s="22">
        <f>SUM(D115:D133)</f>
        <v>0</v>
      </c>
      <c r="M115" s="22" t="e">
        <f>SUM(#REF!)</f>
        <v>#REF!</v>
      </c>
      <c r="P115" s="42">
        <f t="shared" si="1"/>
        <v>0</v>
      </c>
      <c r="Q115" s="132">
        <f>SUM(P115:P133)</f>
        <v>0</v>
      </c>
    </row>
    <row r="116" spans="1:17" x14ac:dyDescent="0.25">
      <c r="A116" s="61"/>
      <c r="B116" s="18" t="s">
        <v>102</v>
      </c>
      <c r="C116" s="43" t="s">
        <v>104</v>
      </c>
      <c r="D116" s="76">
        <f>COUNTIFS('TOTAL SUSPEK'!$F:$F,"Kalicilik")</f>
        <v>0</v>
      </c>
      <c r="E116" s="22"/>
      <c r="F116" s="23"/>
      <c r="G116" s="23"/>
      <c r="H116" s="23"/>
      <c r="I116" s="23"/>
      <c r="J116" s="23"/>
      <c r="K116" s="24"/>
      <c r="L116" s="24"/>
      <c r="M116" s="24"/>
      <c r="P116" s="42">
        <f t="shared" si="1"/>
        <v>0</v>
      </c>
      <c r="Q116" s="8"/>
    </row>
    <row r="117" spans="1:17" x14ac:dyDescent="0.25">
      <c r="A117" s="61"/>
      <c r="B117" s="18" t="s">
        <v>102</v>
      </c>
      <c r="C117" s="43" t="s">
        <v>105</v>
      </c>
      <c r="D117" s="76">
        <f>COUNTIFS('TOTAL SUSPEK'!$F:$F,"Kadilangu")</f>
        <v>0</v>
      </c>
      <c r="E117" s="22"/>
      <c r="F117" s="23"/>
      <c r="G117" s="23"/>
      <c r="H117" s="23"/>
      <c r="I117" s="23"/>
      <c r="J117" s="23"/>
      <c r="K117" s="24"/>
      <c r="L117" s="24"/>
      <c r="M117" s="24"/>
      <c r="P117" s="42">
        <f t="shared" si="1"/>
        <v>0</v>
      </c>
      <c r="Q117" s="8"/>
    </row>
    <row r="118" spans="1:17" x14ac:dyDescent="0.25">
      <c r="A118" s="61"/>
      <c r="B118" s="18" t="s">
        <v>102</v>
      </c>
      <c r="C118" s="43" t="s">
        <v>106</v>
      </c>
      <c r="D118" s="76">
        <f>COUNTIFS('TOTAL SUSPEK'!$F:$F,"Singorejo")</f>
        <v>0</v>
      </c>
      <c r="E118" s="22"/>
      <c r="F118" s="23"/>
      <c r="G118" s="23"/>
      <c r="H118" s="23"/>
      <c r="I118" s="23"/>
      <c r="J118" s="23"/>
      <c r="K118" s="24"/>
      <c r="L118" s="24"/>
      <c r="M118" s="24"/>
      <c r="P118" s="42">
        <f t="shared" si="1"/>
        <v>0</v>
      </c>
      <c r="Q118" s="8"/>
    </row>
    <row r="119" spans="1:17" x14ac:dyDescent="0.25">
      <c r="A119" s="61"/>
      <c r="B119" s="18" t="s">
        <v>102</v>
      </c>
      <c r="C119" s="43" t="s">
        <v>107</v>
      </c>
      <c r="D119" s="76">
        <f>COUNTIFS('TOTAL SUSPEK'!$F:$F,"Karangmlati")</f>
        <v>0</v>
      </c>
      <c r="E119" s="22"/>
      <c r="F119" s="23"/>
      <c r="G119" s="23"/>
      <c r="H119" s="23"/>
      <c r="I119" s="23"/>
      <c r="J119" s="23"/>
      <c r="K119" s="24"/>
      <c r="L119" s="24"/>
      <c r="M119" s="24"/>
      <c r="P119" s="42">
        <f t="shared" si="1"/>
        <v>0</v>
      </c>
      <c r="Q119" s="8"/>
    </row>
    <row r="120" spans="1:17" x14ac:dyDescent="0.25">
      <c r="A120" s="61"/>
      <c r="B120" s="18" t="s">
        <v>102</v>
      </c>
      <c r="C120" s="43" t="s">
        <v>108</v>
      </c>
      <c r="D120" s="76">
        <f>COUNTIFS('TOTAL SUSPEK'!$F:$F,"Bintoro")</f>
        <v>0</v>
      </c>
      <c r="E120" s="22"/>
      <c r="F120" s="23"/>
      <c r="G120" s="23"/>
      <c r="H120" s="23"/>
      <c r="I120" s="23"/>
      <c r="J120" s="23"/>
      <c r="K120" s="24"/>
      <c r="L120" s="24"/>
      <c r="M120" s="24"/>
      <c r="P120" s="42">
        <f t="shared" si="1"/>
        <v>0</v>
      </c>
      <c r="Q120" s="8"/>
    </row>
    <row r="121" spans="1:17" x14ac:dyDescent="0.25">
      <c r="A121" s="61"/>
      <c r="B121" s="18" t="s">
        <v>102</v>
      </c>
      <c r="C121" s="43" t="s">
        <v>109</v>
      </c>
      <c r="D121" s="76">
        <f>COUNTIFS('TOTAL SUSPEK'!$F:$F,"Turirejo")</f>
        <v>0</v>
      </c>
      <c r="E121" s="22"/>
      <c r="F121" s="23"/>
      <c r="G121" s="23"/>
      <c r="H121" s="23"/>
      <c r="I121" s="23"/>
      <c r="J121" s="23"/>
      <c r="K121" s="24"/>
      <c r="L121" s="24"/>
      <c r="M121" s="24"/>
      <c r="P121" s="42">
        <f t="shared" si="1"/>
        <v>0</v>
      </c>
      <c r="Q121" s="8"/>
    </row>
    <row r="122" spans="1:17" s="14" customFormat="1" x14ac:dyDescent="0.25">
      <c r="A122" s="66"/>
      <c r="B122" s="67" t="s">
        <v>102</v>
      </c>
      <c r="C122" s="43" t="s">
        <v>56</v>
      </c>
      <c r="D122" s="76">
        <f>COUNTIFS('TOTAL SUSPEK'!$F:$F,"Kedondong",'TOTAL SUSPEK'!$E:$E,"demak")</f>
        <v>0</v>
      </c>
      <c r="E122" s="28"/>
      <c r="F122" s="29"/>
      <c r="G122" s="29"/>
      <c r="H122" s="29"/>
      <c r="I122" s="29"/>
      <c r="J122" s="29"/>
      <c r="K122" s="30"/>
      <c r="L122" s="30"/>
      <c r="M122" s="30"/>
      <c r="P122" s="42">
        <f t="shared" si="1"/>
        <v>0</v>
      </c>
      <c r="Q122" s="43"/>
    </row>
    <row r="123" spans="1:17" x14ac:dyDescent="0.25">
      <c r="A123" s="61"/>
      <c r="B123" s="18" t="s">
        <v>102</v>
      </c>
      <c r="C123" s="68" t="s">
        <v>110</v>
      </c>
      <c r="D123" s="76">
        <f>COUNTIFS('TOTAL SUSPEK'!$F:$F,"Bango")</f>
        <v>0</v>
      </c>
      <c r="E123" s="22"/>
      <c r="F123" s="23"/>
      <c r="G123" s="23"/>
      <c r="H123" s="23"/>
      <c r="I123" s="23"/>
      <c r="J123" s="23"/>
      <c r="K123" s="24"/>
      <c r="L123" s="24"/>
      <c r="M123" s="24"/>
      <c r="P123" s="42">
        <f t="shared" si="1"/>
        <v>0</v>
      </c>
      <c r="Q123" s="8"/>
    </row>
    <row r="124" spans="1:17" x14ac:dyDescent="0.25">
      <c r="A124" s="61"/>
      <c r="B124" s="18" t="s">
        <v>102</v>
      </c>
      <c r="C124" s="43" t="s">
        <v>111</v>
      </c>
      <c r="D124" s="76">
        <f>COUNTIFS('TOTAL SUSPEK'!$F:$F,"Raji")</f>
        <v>0</v>
      </c>
      <c r="E124" s="22"/>
      <c r="F124" s="23"/>
      <c r="G124" s="23"/>
      <c r="H124" s="23"/>
      <c r="I124" s="23"/>
      <c r="J124" s="23"/>
      <c r="K124" s="24"/>
      <c r="L124" s="24"/>
      <c r="M124" s="24"/>
      <c r="P124" s="42">
        <f t="shared" si="1"/>
        <v>0</v>
      </c>
      <c r="Q124" s="8"/>
    </row>
    <row r="125" spans="1:17" x14ac:dyDescent="0.25">
      <c r="A125" s="61"/>
      <c r="B125" s="18" t="s">
        <v>102</v>
      </c>
      <c r="C125" s="43" t="s">
        <v>112</v>
      </c>
      <c r="D125" s="76">
        <f>COUNTIFS('TOTAL SUSPEK'!$F:$F,"Mulyorejo")</f>
        <v>0</v>
      </c>
      <c r="E125" s="22"/>
      <c r="F125" s="23"/>
      <c r="G125" s="23"/>
      <c r="H125" s="23"/>
      <c r="I125" s="23"/>
      <c r="J125" s="23"/>
      <c r="K125" s="24"/>
      <c r="L125" s="24"/>
      <c r="M125" s="24"/>
      <c r="P125" s="42">
        <f t="shared" si="1"/>
        <v>0</v>
      </c>
      <c r="Q125" s="8"/>
    </row>
    <row r="126" spans="1:17" x14ac:dyDescent="0.25">
      <c r="A126" s="61"/>
      <c r="B126" s="18" t="s">
        <v>102</v>
      </c>
      <c r="C126" s="43" t="s">
        <v>113</v>
      </c>
      <c r="D126" s="76">
        <f>COUNTIFS('TOTAL SUSPEK'!$F:$F,"Sedo")</f>
        <v>0</v>
      </c>
      <c r="E126" s="22"/>
      <c r="F126" s="23"/>
      <c r="G126" s="23"/>
      <c r="H126" s="23"/>
      <c r="I126" s="23"/>
      <c r="J126" s="23"/>
      <c r="K126" s="24"/>
      <c r="L126" s="24"/>
      <c r="M126" s="24"/>
      <c r="P126" s="42">
        <f t="shared" si="1"/>
        <v>0</v>
      </c>
      <c r="Q126" s="8"/>
    </row>
    <row r="127" spans="1:17" x14ac:dyDescent="0.25">
      <c r="A127" s="61"/>
      <c r="B127" s="18" t="s">
        <v>102</v>
      </c>
      <c r="C127" s="68" t="s">
        <v>114</v>
      </c>
      <c r="D127" s="76">
        <f>COUNTIFS('TOTAL SUSPEK'!$F:$F,"Bolo")</f>
        <v>0</v>
      </c>
      <c r="E127" s="22"/>
      <c r="F127" s="23"/>
      <c r="G127" s="23"/>
      <c r="H127" s="23"/>
      <c r="I127" s="23"/>
      <c r="J127" s="23"/>
      <c r="K127" s="24"/>
      <c r="L127" s="24"/>
      <c r="M127" s="24"/>
      <c r="P127" s="42">
        <f t="shared" si="1"/>
        <v>0</v>
      </c>
      <c r="Q127" s="8"/>
    </row>
    <row r="128" spans="1:17" x14ac:dyDescent="0.25">
      <c r="A128" s="61"/>
      <c r="B128" s="18" t="s">
        <v>102</v>
      </c>
      <c r="C128" s="43" t="s">
        <v>115</v>
      </c>
      <c r="D128" s="76">
        <f>COUNTIFS('TOTAL SUSPEK'!$F:$F,"Katonsari")</f>
        <v>0</v>
      </c>
      <c r="E128" s="22"/>
      <c r="F128" s="23"/>
      <c r="G128" s="23"/>
      <c r="H128" s="23"/>
      <c r="I128" s="23"/>
      <c r="J128" s="23"/>
      <c r="K128" s="24"/>
      <c r="L128" s="24"/>
      <c r="M128" s="24"/>
      <c r="P128" s="42">
        <f t="shared" si="1"/>
        <v>0</v>
      </c>
      <c r="Q128" s="8"/>
    </row>
    <row r="129" spans="1:17" x14ac:dyDescent="0.25">
      <c r="A129" s="61"/>
      <c r="B129" s="18" t="s">
        <v>102</v>
      </c>
      <c r="C129" s="43" t="s">
        <v>116</v>
      </c>
      <c r="D129" s="76">
        <f>COUNTIFS('TOTAL SUSPEK'!$F:$F,"Kalikondang")</f>
        <v>0</v>
      </c>
      <c r="E129" s="22"/>
      <c r="F129" s="23"/>
      <c r="G129" s="23"/>
      <c r="H129" s="23"/>
      <c r="I129" s="23"/>
      <c r="J129" s="23"/>
      <c r="K129" s="24"/>
      <c r="L129" s="24"/>
      <c r="M129" s="24"/>
      <c r="P129" s="42">
        <f t="shared" si="1"/>
        <v>0</v>
      </c>
      <c r="Q129" s="8"/>
    </row>
    <row r="130" spans="1:17" x14ac:dyDescent="0.25">
      <c r="A130" s="61"/>
      <c r="B130" s="18" t="s">
        <v>102</v>
      </c>
      <c r="C130" s="43" t="s">
        <v>117</v>
      </c>
      <c r="D130" s="76">
        <f>COUNTIFS('TOTAL SUSPEK'!$F:$F,"Cabean")</f>
        <v>0</v>
      </c>
      <c r="E130" s="22"/>
      <c r="F130" s="23"/>
      <c r="G130" s="23"/>
      <c r="H130" s="23"/>
      <c r="I130" s="23"/>
      <c r="J130" s="23"/>
      <c r="K130" s="24"/>
      <c r="L130" s="24"/>
      <c r="M130" s="24"/>
      <c r="P130" s="42">
        <f t="shared" si="1"/>
        <v>0</v>
      </c>
      <c r="Q130" s="8"/>
    </row>
    <row r="131" spans="1:17" x14ac:dyDescent="0.25">
      <c r="A131" s="61"/>
      <c r="B131" s="18" t="s">
        <v>102</v>
      </c>
      <c r="C131" s="43" t="s">
        <v>118</v>
      </c>
      <c r="D131" s="76">
        <f>COUNTIFS('TOTAL SUSPEK'!$F:$F,"Tempuran")</f>
        <v>0</v>
      </c>
      <c r="E131" s="22"/>
      <c r="F131" s="23"/>
      <c r="G131" s="23"/>
      <c r="H131" s="23"/>
      <c r="I131" s="23"/>
      <c r="J131" s="23"/>
      <c r="K131" s="24"/>
      <c r="L131" s="24"/>
      <c r="M131" s="24"/>
      <c r="P131" s="42">
        <f t="shared" si="1"/>
        <v>0</v>
      </c>
      <c r="Q131" s="8"/>
    </row>
    <row r="132" spans="1:17" x14ac:dyDescent="0.25">
      <c r="A132" s="61"/>
      <c r="B132" s="18" t="s">
        <v>102</v>
      </c>
      <c r="C132" s="43" t="s">
        <v>119</v>
      </c>
      <c r="D132" s="76">
        <f>COUNTIFS('TOTAL SUSPEK'!$F:$F,"Donorojo")</f>
        <v>0</v>
      </c>
      <c r="E132" s="22"/>
      <c r="F132" s="23"/>
      <c r="G132" s="23"/>
      <c r="H132" s="23"/>
      <c r="I132" s="23"/>
      <c r="J132" s="23"/>
      <c r="K132" s="24"/>
      <c r="L132" s="24"/>
      <c r="M132" s="24"/>
      <c r="P132" s="42">
        <f t="shared" si="1"/>
        <v>0</v>
      </c>
      <c r="Q132" s="8"/>
    </row>
    <row r="133" spans="1:17" x14ac:dyDescent="0.25">
      <c r="A133" s="61"/>
      <c r="B133" s="18" t="s">
        <v>102</v>
      </c>
      <c r="C133" s="43" t="s">
        <v>120</v>
      </c>
      <c r="D133" s="76">
        <f>COUNTIFS('TOTAL SUSPEK'!$F:$F,"Mangunjiwan")</f>
        <v>0</v>
      </c>
      <c r="E133" s="22"/>
      <c r="F133" s="23"/>
      <c r="G133" s="23"/>
      <c r="H133" s="23"/>
      <c r="I133" s="23"/>
      <c r="J133" s="23"/>
      <c r="K133" s="24"/>
      <c r="L133" s="24"/>
      <c r="M133" s="24"/>
      <c r="P133" s="42">
        <f t="shared" si="1"/>
        <v>0</v>
      </c>
      <c r="Q133" s="8"/>
    </row>
    <row r="134" spans="1:17" x14ac:dyDescent="0.25">
      <c r="A134" s="61">
        <v>8</v>
      </c>
      <c r="B134" s="18" t="s">
        <v>121</v>
      </c>
      <c r="C134" s="43" t="s">
        <v>122</v>
      </c>
      <c r="D134" s="76">
        <f>COUNTIFS('TOTAL SUSPEK'!$F:$F,"Morodemak")</f>
        <v>0</v>
      </c>
      <c r="E134" s="22" t="e">
        <f>SUM(#REF!)</f>
        <v>#REF!</v>
      </c>
      <c r="F134" s="22" t="e">
        <f>SUM(#REF!)</f>
        <v>#REF!</v>
      </c>
      <c r="G134" s="22" t="e">
        <f>SUM(#REF!)</f>
        <v>#REF!</v>
      </c>
      <c r="H134" s="22" t="e">
        <f>SUM(#REF!)</f>
        <v>#REF!</v>
      </c>
      <c r="I134" s="22" t="e">
        <f>SUM(#REF!)</f>
        <v>#REF!</v>
      </c>
      <c r="J134" s="22" t="e">
        <f>SUM(#REF!)</f>
        <v>#REF!</v>
      </c>
      <c r="K134" s="22" t="e">
        <f>SUM(#REF!)</f>
        <v>#REF!</v>
      </c>
      <c r="L134" s="22">
        <f>SUM(D134:D154)</f>
        <v>3</v>
      </c>
      <c r="M134" s="22" t="e">
        <f>SUM(#REF!)</f>
        <v>#REF!</v>
      </c>
      <c r="P134" s="42">
        <f t="shared" si="1"/>
        <v>0</v>
      </c>
      <c r="Q134" s="132">
        <f>SUM(P134:P154)</f>
        <v>3</v>
      </c>
    </row>
    <row r="135" spans="1:17" x14ac:dyDescent="0.25">
      <c r="A135" s="61"/>
      <c r="B135" s="18" t="s">
        <v>121</v>
      </c>
      <c r="C135" s="43" t="s">
        <v>123</v>
      </c>
      <c r="D135" s="76">
        <f>COUNTIFS('TOTAL SUSPEK'!$F:$F,"Purworejo")</f>
        <v>0</v>
      </c>
      <c r="E135" s="22"/>
      <c r="F135" s="23"/>
      <c r="G135" s="23"/>
      <c r="H135" s="23"/>
      <c r="I135" s="23"/>
      <c r="J135" s="23"/>
      <c r="K135" s="24"/>
      <c r="L135" s="24"/>
      <c r="M135" s="24"/>
      <c r="P135" s="42">
        <f t="shared" si="1"/>
        <v>0</v>
      </c>
      <c r="Q135" s="8"/>
    </row>
    <row r="136" spans="1:17" x14ac:dyDescent="0.25">
      <c r="A136" s="61"/>
      <c r="B136" s="18" t="s">
        <v>121</v>
      </c>
      <c r="C136" s="43" t="s">
        <v>8</v>
      </c>
      <c r="D136" s="76">
        <f>COUNTIFS('TOTAL SUSPEK'!$F:$F,"Sumberejo",'TOTAL SUSPEK'!$E:$E,"bonang")</f>
        <v>0</v>
      </c>
      <c r="E136" s="22"/>
      <c r="F136" s="23"/>
      <c r="G136" s="23"/>
      <c r="H136" s="23"/>
      <c r="I136" s="23"/>
      <c r="J136" s="23"/>
      <c r="K136" s="24"/>
      <c r="L136" s="24"/>
      <c r="M136" s="24"/>
      <c r="P136" s="42">
        <f t="shared" ref="P136:P199" si="2">SUM(D136:D136)</f>
        <v>0</v>
      </c>
      <c r="Q136" s="8"/>
    </row>
    <row r="137" spans="1:17" x14ac:dyDescent="0.25">
      <c r="A137" s="61"/>
      <c r="B137" s="18" t="s">
        <v>121</v>
      </c>
      <c r="C137" s="43" t="s">
        <v>124</v>
      </c>
      <c r="D137" s="76">
        <f>COUNTIFS('TOTAL SUSPEK'!$F:$F,"Gebangarum")</f>
        <v>0</v>
      </c>
      <c r="E137" s="22"/>
      <c r="F137" s="23"/>
      <c r="G137" s="23"/>
      <c r="H137" s="23"/>
      <c r="I137" s="23"/>
      <c r="J137" s="23"/>
      <c r="K137" s="24"/>
      <c r="L137" s="24"/>
      <c r="M137" s="24"/>
      <c r="P137" s="42">
        <f t="shared" si="2"/>
        <v>0</v>
      </c>
      <c r="Q137" s="8"/>
    </row>
    <row r="138" spans="1:17" x14ac:dyDescent="0.25">
      <c r="A138" s="61"/>
      <c r="B138" s="18" t="s">
        <v>121</v>
      </c>
      <c r="C138" s="43" t="s">
        <v>125</v>
      </c>
      <c r="D138" s="76">
        <f>COUNTIFS('TOTAL SUSPEK'!$F:$F,"Gebang")</f>
        <v>1</v>
      </c>
      <c r="E138" s="22"/>
      <c r="F138" s="23"/>
      <c r="G138" s="23"/>
      <c r="H138" s="23"/>
      <c r="I138" s="23"/>
      <c r="J138" s="23"/>
      <c r="K138" s="24"/>
      <c r="L138" s="24"/>
      <c r="M138" s="24"/>
      <c r="P138" s="42">
        <f t="shared" si="2"/>
        <v>1</v>
      </c>
      <c r="Q138" s="8"/>
    </row>
    <row r="139" spans="1:17" x14ac:dyDescent="0.25">
      <c r="A139" s="61"/>
      <c r="B139" s="18" t="s">
        <v>121</v>
      </c>
      <c r="C139" s="43" t="s">
        <v>126</v>
      </c>
      <c r="D139" s="76">
        <f>COUNTIFS('TOTAL SUSPEK'!$F:$F,"Kembangan")</f>
        <v>0</v>
      </c>
      <c r="E139" s="22"/>
      <c r="F139" s="23"/>
      <c r="G139" s="23"/>
      <c r="H139" s="23"/>
      <c r="I139" s="23"/>
      <c r="J139" s="23"/>
      <c r="K139" s="24"/>
      <c r="L139" s="24"/>
      <c r="M139" s="24"/>
      <c r="P139" s="42">
        <f t="shared" si="2"/>
        <v>0</v>
      </c>
      <c r="Q139" s="8"/>
    </row>
    <row r="140" spans="1:17" x14ac:dyDescent="0.25">
      <c r="A140" s="61"/>
      <c r="B140" s="18" t="s">
        <v>121</v>
      </c>
      <c r="C140" s="43" t="s">
        <v>53</v>
      </c>
      <c r="D140" s="76">
        <f>COUNTIFS('TOTAL SUSPEK'!$F:$F,"Karangrejo",'TOTAL SUSPEK'!$E:$E,"bonang")</f>
        <v>0</v>
      </c>
      <c r="E140" s="22"/>
      <c r="F140" s="23"/>
      <c r="G140" s="23"/>
      <c r="H140" s="23"/>
      <c r="I140" s="23"/>
      <c r="J140" s="23"/>
      <c r="K140" s="24"/>
      <c r="L140" s="24"/>
      <c r="M140" s="24"/>
      <c r="P140" s="42">
        <f t="shared" si="2"/>
        <v>0</v>
      </c>
      <c r="Q140" s="8"/>
    </row>
    <row r="141" spans="1:17" x14ac:dyDescent="0.25">
      <c r="A141" s="61"/>
      <c r="B141" s="18" t="s">
        <v>121</v>
      </c>
      <c r="C141" s="43" t="s">
        <v>127</v>
      </c>
      <c r="D141" s="76">
        <f>COUNTIFS('TOTAL SUSPEK'!$F:$F,"Sukodono")</f>
        <v>0</v>
      </c>
      <c r="E141" s="22"/>
      <c r="F141" s="23"/>
      <c r="G141" s="23"/>
      <c r="H141" s="23"/>
      <c r="I141" s="23"/>
      <c r="J141" s="23"/>
      <c r="K141" s="24"/>
      <c r="L141" s="24"/>
      <c r="M141" s="24"/>
      <c r="P141" s="42">
        <f t="shared" si="2"/>
        <v>0</v>
      </c>
      <c r="Q141" s="8"/>
    </row>
    <row r="142" spans="1:17" x14ac:dyDescent="0.25">
      <c r="A142" s="61"/>
      <c r="B142" s="18" t="s">
        <v>121</v>
      </c>
      <c r="C142" s="43" t="s">
        <v>128</v>
      </c>
      <c r="D142" s="76">
        <f>COUNTIFS('TOTAL SUSPEK'!$F:$F,"Tlogoboyo")</f>
        <v>0</v>
      </c>
      <c r="E142" s="22"/>
      <c r="F142" s="23"/>
      <c r="G142" s="23"/>
      <c r="H142" s="23"/>
      <c r="I142" s="23"/>
      <c r="J142" s="23"/>
      <c r="K142" s="24"/>
      <c r="L142" s="24"/>
      <c r="M142" s="24"/>
      <c r="P142" s="42">
        <f t="shared" si="2"/>
        <v>0</v>
      </c>
      <c r="Q142" s="8"/>
    </row>
    <row r="143" spans="1:17" x14ac:dyDescent="0.25">
      <c r="A143" s="61"/>
      <c r="B143" s="18" t="s">
        <v>121</v>
      </c>
      <c r="C143" s="43" t="s">
        <v>129</v>
      </c>
      <c r="D143" s="76">
        <f>COUNTIFS('TOTAL SUSPEK'!$F:$F,"Margolinduk")</f>
        <v>1</v>
      </c>
      <c r="E143" s="22"/>
      <c r="F143" s="23"/>
      <c r="G143" s="23"/>
      <c r="H143" s="23"/>
      <c r="I143" s="23"/>
      <c r="J143" s="23"/>
      <c r="K143" s="24"/>
      <c r="L143" s="24"/>
      <c r="M143" s="24"/>
      <c r="P143" s="42">
        <f t="shared" si="2"/>
        <v>1</v>
      </c>
      <c r="Q143" s="8"/>
    </row>
    <row r="144" spans="1:17" x14ac:dyDescent="0.25">
      <c r="A144" s="61"/>
      <c r="B144" s="18" t="s">
        <v>121</v>
      </c>
      <c r="C144" s="43" t="s">
        <v>130</v>
      </c>
      <c r="D144" s="76">
        <f>COUNTIFS('TOTAL SUSPEK'!$F:$F,"Tridonorejo")</f>
        <v>0</v>
      </c>
      <c r="E144" s="22"/>
      <c r="F144" s="23"/>
      <c r="G144" s="23"/>
      <c r="H144" s="23"/>
      <c r="I144" s="23"/>
      <c r="J144" s="23"/>
      <c r="K144" s="24"/>
      <c r="L144" s="24"/>
      <c r="M144" s="24"/>
      <c r="P144" s="42">
        <f t="shared" si="2"/>
        <v>0</v>
      </c>
      <c r="Q144" s="8"/>
    </row>
    <row r="145" spans="1:17" x14ac:dyDescent="0.25">
      <c r="A145" s="61"/>
      <c r="B145" s="18" t="s">
        <v>121</v>
      </c>
      <c r="C145" s="43" t="s">
        <v>131</v>
      </c>
      <c r="D145" s="76">
        <f>COUNTIFS('TOTAL SUSPEK'!$F:$F,"Wonosari")</f>
        <v>0</v>
      </c>
      <c r="E145" s="22"/>
      <c r="F145" s="23"/>
      <c r="G145" s="23"/>
      <c r="H145" s="23"/>
      <c r="I145" s="23"/>
      <c r="J145" s="23"/>
      <c r="K145" s="24"/>
      <c r="L145" s="24"/>
      <c r="M145" s="24"/>
      <c r="P145" s="42">
        <f t="shared" si="2"/>
        <v>0</v>
      </c>
      <c r="Q145" s="8"/>
    </row>
    <row r="146" spans="1:17" x14ac:dyDescent="0.25">
      <c r="A146" s="61"/>
      <c r="B146" s="18" t="s">
        <v>121</v>
      </c>
      <c r="C146" s="43" t="s">
        <v>132</v>
      </c>
      <c r="D146" s="76">
        <f>COUNTIFS('TOTAL SUSPEK'!$F:$F,"Jatirogo")</f>
        <v>0</v>
      </c>
      <c r="E146" s="22"/>
      <c r="F146" s="23"/>
      <c r="G146" s="23"/>
      <c r="H146" s="23"/>
      <c r="I146" s="23"/>
      <c r="J146" s="23"/>
      <c r="K146" s="24"/>
      <c r="L146" s="24"/>
      <c r="M146" s="24"/>
      <c r="P146" s="42">
        <f t="shared" si="2"/>
        <v>0</v>
      </c>
      <c r="Q146" s="8"/>
    </row>
    <row r="147" spans="1:17" x14ac:dyDescent="0.25">
      <c r="A147" s="61"/>
      <c r="B147" s="18" t="s">
        <v>121</v>
      </c>
      <c r="C147" s="43" t="s">
        <v>133</v>
      </c>
      <c r="D147" s="76">
        <f>COUNTIFS('TOTAL SUSPEK'!$F:$F,"Poncoharjo")</f>
        <v>1</v>
      </c>
      <c r="E147" s="22"/>
      <c r="F147" s="23"/>
      <c r="G147" s="23"/>
      <c r="H147" s="23"/>
      <c r="I147" s="23"/>
      <c r="J147" s="23"/>
      <c r="K147" s="24"/>
      <c r="L147" s="24"/>
      <c r="M147" s="24"/>
      <c r="P147" s="42">
        <f t="shared" si="2"/>
        <v>1</v>
      </c>
      <c r="Q147" s="8"/>
    </row>
    <row r="148" spans="1:17" x14ac:dyDescent="0.25">
      <c r="A148" s="61"/>
      <c r="B148" s="18" t="s">
        <v>121</v>
      </c>
      <c r="C148" s="43" t="s">
        <v>134</v>
      </c>
      <c r="D148" s="76">
        <f>COUNTIFS('TOTAL SUSPEK'!$F:$F,"Jali")</f>
        <v>0</v>
      </c>
      <c r="E148" s="22"/>
      <c r="F148" s="23"/>
      <c r="G148" s="23"/>
      <c r="H148" s="23"/>
      <c r="I148" s="23"/>
      <c r="J148" s="23"/>
      <c r="K148" s="24"/>
      <c r="L148" s="24"/>
      <c r="M148" s="24"/>
      <c r="P148" s="42">
        <f t="shared" si="2"/>
        <v>0</v>
      </c>
      <c r="Q148" s="8"/>
    </row>
    <row r="149" spans="1:17" x14ac:dyDescent="0.25">
      <c r="A149" s="61"/>
      <c r="B149" s="18" t="s">
        <v>121</v>
      </c>
      <c r="C149" s="43" t="s">
        <v>135</v>
      </c>
      <c r="D149" s="76">
        <f>COUNTIFS('TOTAL SUSPEK'!$F:$F,"Krajanbogo")</f>
        <v>0</v>
      </c>
      <c r="E149" s="22"/>
      <c r="F149" s="23"/>
      <c r="G149" s="23"/>
      <c r="H149" s="23"/>
      <c r="I149" s="23"/>
      <c r="J149" s="23"/>
      <c r="K149" s="24"/>
      <c r="L149" s="24"/>
      <c r="M149" s="24"/>
      <c r="P149" s="42">
        <f t="shared" si="2"/>
        <v>0</v>
      </c>
      <c r="Q149" s="8"/>
    </row>
    <row r="150" spans="1:17" x14ac:dyDescent="0.25">
      <c r="A150" s="61"/>
      <c r="B150" s="18" t="s">
        <v>121</v>
      </c>
      <c r="C150" s="43" t="s">
        <v>136</v>
      </c>
      <c r="D150" s="76">
        <f>COUNTIFS('TOTAL SUSPEK'!$F:$F,"Serangan")</f>
        <v>0</v>
      </c>
      <c r="E150" s="22"/>
      <c r="F150" s="23"/>
      <c r="G150" s="23"/>
      <c r="H150" s="23"/>
      <c r="I150" s="23"/>
      <c r="J150" s="23"/>
      <c r="K150" s="24"/>
      <c r="L150" s="24"/>
      <c r="M150" s="24"/>
      <c r="P150" s="42">
        <f t="shared" si="2"/>
        <v>0</v>
      </c>
      <c r="Q150" s="8"/>
    </row>
    <row r="151" spans="1:17" x14ac:dyDescent="0.25">
      <c r="A151" s="61"/>
      <c r="B151" s="18" t="s">
        <v>121</v>
      </c>
      <c r="C151" s="68" t="s">
        <v>137</v>
      </c>
      <c r="D151" s="76">
        <f>COUNTIFS('TOTAL SUSPEK'!$F:$F,"Betahwalang")</f>
        <v>0</v>
      </c>
      <c r="E151" s="22"/>
      <c r="F151" s="23"/>
      <c r="G151" s="23"/>
      <c r="H151" s="23"/>
      <c r="I151" s="23"/>
      <c r="J151" s="23"/>
      <c r="K151" s="24"/>
      <c r="L151" s="24"/>
      <c r="M151" s="24"/>
      <c r="P151" s="42">
        <f t="shared" si="2"/>
        <v>0</v>
      </c>
      <c r="Q151" s="8"/>
    </row>
    <row r="152" spans="1:17" x14ac:dyDescent="0.25">
      <c r="A152" s="61"/>
      <c r="B152" s="18" t="s">
        <v>121</v>
      </c>
      <c r="C152" s="43" t="s">
        <v>138</v>
      </c>
      <c r="D152" s="76">
        <f>COUNTIFS('TOTAL SUSPEK'!$F:$F,"Jatimulyo")</f>
        <v>0</v>
      </c>
      <c r="E152" s="22"/>
      <c r="F152" s="23"/>
      <c r="G152" s="23"/>
      <c r="H152" s="23"/>
      <c r="I152" s="23"/>
      <c r="J152" s="23"/>
      <c r="K152" s="24"/>
      <c r="L152" s="24"/>
      <c r="M152" s="24"/>
      <c r="P152" s="42">
        <f t="shared" si="2"/>
        <v>0</v>
      </c>
      <c r="Q152" s="8"/>
    </row>
    <row r="153" spans="1:17" x14ac:dyDescent="0.25">
      <c r="A153" s="61"/>
      <c r="B153" s="18" t="s">
        <v>121</v>
      </c>
      <c r="C153" s="43" t="s">
        <v>139</v>
      </c>
      <c r="D153" s="76">
        <f>COUNTIFS('TOTAL SUSPEK'!$F:$F,"Weding")</f>
        <v>0</v>
      </c>
      <c r="E153" s="22"/>
      <c r="F153" s="23"/>
      <c r="G153" s="23"/>
      <c r="H153" s="23"/>
      <c r="I153" s="23"/>
      <c r="J153" s="23"/>
      <c r="K153" s="24"/>
      <c r="L153" s="24"/>
      <c r="M153" s="24"/>
      <c r="P153" s="42">
        <f t="shared" si="2"/>
        <v>0</v>
      </c>
      <c r="Q153" s="8"/>
    </row>
    <row r="154" spans="1:17" x14ac:dyDescent="0.25">
      <c r="A154" s="61"/>
      <c r="B154" s="18" t="s">
        <v>121</v>
      </c>
      <c r="C154" s="43" t="s">
        <v>140</v>
      </c>
      <c r="D154" s="76">
        <f>COUNTIFS('TOTAL SUSPEK'!$F:$F,"Bonangrejo")</f>
        <v>0</v>
      </c>
      <c r="E154" s="22"/>
      <c r="F154" s="23"/>
      <c r="G154" s="23"/>
      <c r="H154" s="23"/>
      <c r="I154" s="23"/>
      <c r="J154" s="23"/>
      <c r="K154" s="24"/>
      <c r="L154" s="24"/>
      <c r="M154" s="24"/>
      <c r="P154" s="42">
        <f t="shared" si="2"/>
        <v>0</v>
      </c>
      <c r="Q154" s="8"/>
    </row>
    <row r="155" spans="1:17" ht="15" customHeight="1" x14ac:dyDescent="0.25">
      <c r="A155" s="61">
        <v>9</v>
      </c>
      <c r="B155" s="18" t="s">
        <v>141</v>
      </c>
      <c r="C155" s="43" t="s">
        <v>142</v>
      </c>
      <c r="D155" s="76">
        <f>COUNTIFS('TOTAL SUSPEK'!$F:$F,"Temuroso")</f>
        <v>0</v>
      </c>
      <c r="E155" s="22" t="e">
        <f>SUM(#REF!)</f>
        <v>#REF!</v>
      </c>
      <c r="F155" s="22" t="e">
        <f>SUM(#REF!)</f>
        <v>#REF!</v>
      </c>
      <c r="G155" s="22" t="e">
        <f>SUM(#REF!)</f>
        <v>#REF!</v>
      </c>
      <c r="H155" s="22" t="e">
        <f>SUM(#REF!)</f>
        <v>#REF!</v>
      </c>
      <c r="I155" s="22" t="e">
        <f>SUM(#REF!)</f>
        <v>#REF!</v>
      </c>
      <c r="J155" s="22" t="e">
        <f>SUM(#REF!)</f>
        <v>#REF!</v>
      </c>
      <c r="K155" s="22" t="e">
        <f>SUM(#REF!)</f>
        <v>#REF!</v>
      </c>
      <c r="L155" s="22">
        <f>SUM(D155:D174)</f>
        <v>1</v>
      </c>
      <c r="M155" s="22" t="e">
        <f>SUM(#REF!)</f>
        <v>#REF!</v>
      </c>
      <c r="P155" s="42">
        <f t="shared" si="2"/>
        <v>0</v>
      </c>
      <c r="Q155" s="132">
        <f>SUM(P155:P174)</f>
        <v>1</v>
      </c>
    </row>
    <row r="156" spans="1:17" ht="15" customHeight="1" x14ac:dyDescent="0.25">
      <c r="A156" s="61"/>
      <c r="B156" s="18" t="s">
        <v>141</v>
      </c>
      <c r="C156" s="43" t="s">
        <v>143</v>
      </c>
      <c r="D156" s="76">
        <f>COUNTIFS('TOTAL SUSPEK'!$F:$F,"Turitempel")</f>
        <v>0</v>
      </c>
      <c r="E156" s="22"/>
      <c r="F156" s="23"/>
      <c r="G156" s="23"/>
      <c r="H156" s="23"/>
      <c r="I156" s="23"/>
      <c r="J156" s="23"/>
      <c r="K156" s="24"/>
      <c r="L156" s="24"/>
      <c r="M156" s="24"/>
      <c r="P156" s="42">
        <f t="shared" si="2"/>
        <v>0</v>
      </c>
      <c r="Q156" s="8"/>
    </row>
    <row r="157" spans="1:17" ht="15" customHeight="1" x14ac:dyDescent="0.25">
      <c r="A157" s="61"/>
      <c r="B157" s="18" t="s">
        <v>141</v>
      </c>
      <c r="C157" s="43" t="s">
        <v>144</v>
      </c>
      <c r="D157" s="76">
        <f>COUNTIFS('TOTAL SUSPEK'!$F:$F,"Tlogoweru")</f>
        <v>0</v>
      </c>
      <c r="E157" s="22"/>
      <c r="F157" s="23"/>
      <c r="G157" s="23"/>
      <c r="H157" s="23"/>
      <c r="I157" s="23"/>
      <c r="J157" s="23"/>
      <c r="K157" s="24"/>
      <c r="L157" s="24"/>
      <c r="M157" s="24"/>
      <c r="P157" s="42">
        <f t="shared" si="2"/>
        <v>0</v>
      </c>
      <c r="Q157" s="8"/>
    </row>
    <row r="158" spans="1:17" ht="15" customHeight="1" x14ac:dyDescent="0.25">
      <c r="A158" s="61"/>
      <c r="B158" s="18" t="s">
        <v>141</v>
      </c>
      <c r="C158" s="43" t="s">
        <v>145</v>
      </c>
      <c r="D158" s="76">
        <f>COUNTIFS('TOTAL SUSPEK'!$F:$F,"Trimulyo")</f>
        <v>0</v>
      </c>
      <c r="E158" s="22"/>
      <c r="F158" s="23"/>
      <c r="G158" s="23"/>
      <c r="H158" s="23"/>
      <c r="I158" s="23"/>
      <c r="J158" s="23"/>
      <c r="K158" s="24"/>
      <c r="L158" s="24"/>
      <c r="M158" s="24"/>
      <c r="P158" s="42">
        <f t="shared" si="2"/>
        <v>0</v>
      </c>
      <c r="Q158" s="8"/>
    </row>
    <row r="159" spans="1:17" ht="15" customHeight="1" x14ac:dyDescent="0.25">
      <c r="A159" s="61"/>
      <c r="B159" s="18" t="s">
        <v>141</v>
      </c>
      <c r="C159" s="43" t="s">
        <v>146</v>
      </c>
      <c r="D159" s="76">
        <f>COUNTIFS('TOTAL SUSPEK'!$F:$F,"Bakalrejo")</f>
        <v>0</v>
      </c>
      <c r="E159" s="22"/>
      <c r="F159" s="23"/>
      <c r="G159" s="23"/>
      <c r="H159" s="23"/>
      <c r="I159" s="23"/>
      <c r="J159" s="23"/>
      <c r="K159" s="24"/>
      <c r="L159" s="24"/>
      <c r="M159" s="24"/>
      <c r="P159" s="42">
        <f t="shared" si="2"/>
        <v>0</v>
      </c>
      <c r="Q159" s="8"/>
    </row>
    <row r="160" spans="1:17" ht="15" customHeight="1" x14ac:dyDescent="0.25">
      <c r="A160" s="61"/>
      <c r="B160" s="18" t="s">
        <v>141</v>
      </c>
      <c r="C160" s="43" t="s">
        <v>50</v>
      </c>
      <c r="D160" s="76">
        <f>COUNTIFS('TOTAL SUSPEK'!$F:$F,"Tlogorejo",'TOTAL SUSPEK'!$E:$E,"guntur")</f>
        <v>0</v>
      </c>
      <c r="E160" s="22"/>
      <c r="F160" s="23"/>
      <c r="G160" s="23"/>
      <c r="H160" s="23"/>
      <c r="I160" s="23"/>
      <c r="J160" s="23"/>
      <c r="K160" s="24"/>
      <c r="L160" s="24"/>
      <c r="M160" s="24"/>
      <c r="P160" s="42">
        <f t="shared" si="2"/>
        <v>0</v>
      </c>
      <c r="Q160" s="8"/>
    </row>
    <row r="161" spans="1:17" ht="15" customHeight="1" x14ac:dyDescent="0.25">
      <c r="A161" s="61"/>
      <c r="B161" s="18" t="s">
        <v>141</v>
      </c>
      <c r="C161" s="43" t="s">
        <v>147</v>
      </c>
      <c r="D161" s="76">
        <f>COUNTIFS('TOTAL SUSPEK'!$F:$F,"Bumiharjo")</f>
        <v>0</v>
      </c>
      <c r="E161" s="22"/>
      <c r="F161" s="23"/>
      <c r="G161" s="23"/>
      <c r="H161" s="23"/>
      <c r="I161" s="23"/>
      <c r="J161" s="23"/>
      <c r="K161" s="24"/>
      <c r="L161" s="24"/>
      <c r="M161" s="24"/>
      <c r="P161" s="42">
        <f t="shared" si="2"/>
        <v>0</v>
      </c>
      <c r="Q161" s="8"/>
    </row>
    <row r="162" spans="1:17" ht="15" customHeight="1" x14ac:dyDescent="0.25">
      <c r="A162" s="61"/>
      <c r="B162" s="18" t="s">
        <v>141</v>
      </c>
      <c r="C162" s="43" t="s">
        <v>148</v>
      </c>
      <c r="D162" s="76">
        <f>COUNTIFS('TOTAL SUSPEK'!$F:$F,"Sidoharjo")</f>
        <v>0</v>
      </c>
      <c r="E162" s="22"/>
      <c r="F162" s="23"/>
      <c r="G162" s="23"/>
      <c r="H162" s="23"/>
      <c r="I162" s="23"/>
      <c r="J162" s="23"/>
      <c r="K162" s="24"/>
      <c r="L162" s="24"/>
      <c r="M162" s="24"/>
      <c r="P162" s="42">
        <f t="shared" si="2"/>
        <v>0</v>
      </c>
      <c r="Q162" s="8"/>
    </row>
    <row r="163" spans="1:17" ht="15" customHeight="1" x14ac:dyDescent="0.25">
      <c r="A163" s="61"/>
      <c r="B163" s="18" t="s">
        <v>141</v>
      </c>
      <c r="C163" s="43" t="s">
        <v>149</v>
      </c>
      <c r="D163" s="76">
        <f>COUNTIFS('TOTAL SUSPEK'!$F:$F,"Bogosari")</f>
        <v>0</v>
      </c>
      <c r="E163" s="22"/>
      <c r="F163" s="23"/>
      <c r="G163" s="23"/>
      <c r="H163" s="23"/>
      <c r="I163" s="23"/>
      <c r="J163" s="23"/>
      <c r="K163" s="24"/>
      <c r="L163" s="24"/>
      <c r="M163" s="24"/>
      <c r="P163" s="42">
        <f t="shared" si="2"/>
        <v>0</v>
      </c>
      <c r="Q163" s="8"/>
    </row>
    <row r="164" spans="1:17" ht="15" customHeight="1" x14ac:dyDescent="0.25">
      <c r="A164" s="61"/>
      <c r="B164" s="18" t="s">
        <v>141</v>
      </c>
      <c r="C164" s="43" t="s">
        <v>150</v>
      </c>
      <c r="D164" s="76">
        <f>COUNTIFS('TOTAL SUSPEK'!$F:$F,"Guntur")</f>
        <v>0</v>
      </c>
      <c r="E164" s="22"/>
      <c r="F164" s="23"/>
      <c r="G164" s="23"/>
      <c r="H164" s="23"/>
      <c r="I164" s="23"/>
      <c r="J164" s="23"/>
      <c r="K164" s="24"/>
      <c r="L164" s="24"/>
      <c r="M164" s="24"/>
      <c r="P164" s="42">
        <f t="shared" si="2"/>
        <v>0</v>
      </c>
      <c r="Q164" s="8"/>
    </row>
    <row r="165" spans="1:17" ht="15" customHeight="1" x14ac:dyDescent="0.25">
      <c r="A165" s="61"/>
      <c r="B165" s="18" t="s">
        <v>141</v>
      </c>
      <c r="C165" s="43" t="s">
        <v>151</v>
      </c>
      <c r="D165" s="76">
        <f>COUNTIFS('TOTAL SUSPEK'!$F:$F,"Blerong")</f>
        <v>0</v>
      </c>
      <c r="E165" s="22"/>
      <c r="F165" s="23"/>
      <c r="G165" s="23"/>
      <c r="H165" s="23"/>
      <c r="I165" s="23"/>
      <c r="J165" s="23"/>
      <c r="K165" s="24"/>
      <c r="L165" s="24"/>
      <c r="M165" s="24"/>
      <c r="P165" s="42">
        <f t="shared" si="2"/>
        <v>0</v>
      </c>
      <c r="Q165" s="8"/>
    </row>
    <row r="166" spans="1:17" ht="15" customHeight="1" x14ac:dyDescent="0.25">
      <c r="A166" s="61"/>
      <c r="B166" s="18" t="s">
        <v>141</v>
      </c>
      <c r="C166" s="43" t="s">
        <v>152</v>
      </c>
      <c r="D166" s="76">
        <f>COUNTIFS('TOTAL SUSPEK'!$F:$F,"Pamongan")</f>
        <v>1</v>
      </c>
      <c r="E166" s="22"/>
      <c r="F166" s="23"/>
      <c r="G166" s="23"/>
      <c r="H166" s="23"/>
      <c r="I166" s="23"/>
      <c r="J166" s="23"/>
      <c r="K166" s="24"/>
      <c r="L166" s="24"/>
      <c r="M166" s="24"/>
      <c r="P166" s="42">
        <f t="shared" si="2"/>
        <v>1</v>
      </c>
      <c r="Q166" s="8"/>
    </row>
    <row r="167" spans="1:17" ht="15" customHeight="1" x14ac:dyDescent="0.25">
      <c r="A167" s="61"/>
      <c r="B167" s="18" t="s">
        <v>141</v>
      </c>
      <c r="C167" s="43" t="s">
        <v>153</v>
      </c>
      <c r="D167" s="76">
        <f>COUNTIFS('TOTAL SUSPEK'!$F:$F,"Sukorejo")</f>
        <v>0</v>
      </c>
      <c r="E167" s="22"/>
      <c r="F167" s="23"/>
      <c r="G167" s="23"/>
      <c r="H167" s="23"/>
      <c r="I167" s="23"/>
      <c r="J167" s="23"/>
      <c r="K167" s="24"/>
      <c r="L167" s="24"/>
      <c r="M167" s="24"/>
      <c r="P167" s="42">
        <f t="shared" si="2"/>
        <v>0</v>
      </c>
      <c r="Q167" s="8"/>
    </row>
    <row r="168" spans="1:17" ht="15" customHeight="1" x14ac:dyDescent="0.25">
      <c r="A168" s="61"/>
      <c r="B168" s="18" t="s">
        <v>141</v>
      </c>
      <c r="C168" s="43" t="s">
        <v>154</v>
      </c>
      <c r="D168" s="76">
        <f>COUNTIFS('TOTAL SUSPEK'!$F:$F,"Sarirejo")</f>
        <v>0</v>
      </c>
      <c r="E168" s="22"/>
      <c r="F168" s="23"/>
      <c r="G168" s="23"/>
      <c r="H168" s="23"/>
      <c r="I168" s="23"/>
      <c r="J168" s="23"/>
      <c r="K168" s="24"/>
      <c r="L168" s="24"/>
      <c r="M168" s="24"/>
      <c r="P168" s="42">
        <f t="shared" si="2"/>
        <v>0</v>
      </c>
      <c r="Q168" s="8"/>
    </row>
    <row r="169" spans="1:17" ht="15" customHeight="1" x14ac:dyDescent="0.25">
      <c r="A169" s="61"/>
      <c r="B169" s="18" t="s">
        <v>141</v>
      </c>
      <c r="C169" s="43" t="s">
        <v>155</v>
      </c>
      <c r="D169" s="76">
        <f>COUNTIFS('TOTAL SUSPEK'!$F:$F,"Sidokumpul")</f>
        <v>0</v>
      </c>
      <c r="E169" s="22"/>
      <c r="F169" s="23"/>
      <c r="G169" s="23"/>
      <c r="H169" s="23"/>
      <c r="I169" s="23"/>
      <c r="J169" s="23"/>
      <c r="K169" s="24"/>
      <c r="L169" s="24"/>
      <c r="M169" s="24"/>
      <c r="P169" s="42">
        <f t="shared" si="2"/>
        <v>0</v>
      </c>
      <c r="Q169" s="8"/>
    </row>
    <row r="170" spans="1:17" ht="15" customHeight="1" x14ac:dyDescent="0.25">
      <c r="A170" s="61"/>
      <c r="B170" s="18" t="s">
        <v>141</v>
      </c>
      <c r="C170" s="43" t="s">
        <v>156</v>
      </c>
      <c r="D170" s="76">
        <f>COUNTIFS('TOTAL SUSPEK'!$F:$F,"Gaji")</f>
        <v>0</v>
      </c>
      <c r="E170" s="22"/>
      <c r="F170" s="23"/>
      <c r="G170" s="23"/>
      <c r="H170" s="23"/>
      <c r="I170" s="23"/>
      <c r="J170" s="23"/>
      <c r="K170" s="24"/>
      <c r="L170" s="24"/>
      <c r="M170" s="24"/>
      <c r="P170" s="42">
        <f t="shared" si="2"/>
        <v>0</v>
      </c>
      <c r="Q170" s="8"/>
    </row>
    <row r="171" spans="1:17" ht="15" customHeight="1" x14ac:dyDescent="0.25">
      <c r="A171" s="61"/>
      <c r="B171" s="18" t="s">
        <v>141</v>
      </c>
      <c r="C171" s="43" t="s">
        <v>157</v>
      </c>
      <c r="D171" s="76">
        <f>COUNTIFS('TOTAL SUSPEK'!$F:$F,"Banjarejo")</f>
        <v>0</v>
      </c>
      <c r="E171" s="22"/>
      <c r="F171" s="23"/>
      <c r="G171" s="23"/>
      <c r="H171" s="23"/>
      <c r="I171" s="23"/>
      <c r="J171" s="23"/>
      <c r="K171" s="24"/>
      <c r="L171" s="24"/>
      <c r="M171" s="24"/>
      <c r="P171" s="42">
        <f t="shared" si="2"/>
        <v>0</v>
      </c>
      <c r="Q171" s="8"/>
    </row>
    <row r="172" spans="1:17" ht="15" customHeight="1" x14ac:dyDescent="0.25">
      <c r="A172" s="61"/>
      <c r="B172" s="18" t="s">
        <v>141</v>
      </c>
      <c r="C172" s="43" t="s">
        <v>158</v>
      </c>
      <c r="D172" s="76">
        <f>COUNTIFS('TOTAL SUSPEK'!$F:$F,"Krandon")</f>
        <v>0</v>
      </c>
      <c r="E172" s="22"/>
      <c r="F172" s="23"/>
      <c r="G172" s="23"/>
      <c r="H172" s="23"/>
      <c r="I172" s="23"/>
      <c r="J172" s="23"/>
      <c r="K172" s="24"/>
      <c r="L172" s="24"/>
      <c r="M172" s="24"/>
      <c r="P172" s="42">
        <f t="shared" si="2"/>
        <v>0</v>
      </c>
      <c r="Q172" s="8"/>
    </row>
    <row r="173" spans="1:17" ht="15" customHeight="1" x14ac:dyDescent="0.25">
      <c r="A173" s="61"/>
      <c r="B173" s="18" t="s">
        <v>141</v>
      </c>
      <c r="C173" s="43" t="s">
        <v>159</v>
      </c>
      <c r="D173" s="76">
        <f>COUNTIFS('TOTAL SUSPEK'!$F:$F,"Tangkis")</f>
        <v>0</v>
      </c>
      <c r="E173" s="22"/>
      <c r="F173" s="23"/>
      <c r="G173" s="23"/>
      <c r="H173" s="23"/>
      <c r="I173" s="23"/>
      <c r="J173" s="23"/>
      <c r="K173" s="24"/>
      <c r="L173" s="24"/>
      <c r="M173" s="24"/>
      <c r="P173" s="42">
        <f t="shared" si="2"/>
        <v>0</v>
      </c>
      <c r="Q173" s="8"/>
    </row>
    <row r="174" spans="1:17" ht="15" customHeight="1" x14ac:dyDescent="0.25">
      <c r="A174" s="61"/>
      <c r="B174" s="18" t="s">
        <v>141</v>
      </c>
      <c r="C174" s="43" t="s">
        <v>80</v>
      </c>
      <c r="D174" s="76">
        <f>COUNTIFS('TOTAL SUSPEK'!$F:$F,"Wonorejo",'TOTAL SUSPEK'!$E:$E,"guntur")</f>
        <v>0</v>
      </c>
      <c r="E174" s="22"/>
      <c r="F174" s="23"/>
      <c r="G174" s="23"/>
      <c r="H174" s="23"/>
      <c r="I174" s="23"/>
      <c r="J174" s="23"/>
      <c r="K174" s="24"/>
      <c r="L174" s="24"/>
      <c r="M174" s="24"/>
      <c r="P174" s="42">
        <f t="shared" si="2"/>
        <v>0</v>
      </c>
      <c r="Q174" s="8"/>
    </row>
    <row r="175" spans="1:17" ht="15" customHeight="1" x14ac:dyDescent="0.25">
      <c r="A175" s="5">
        <v>10</v>
      </c>
      <c r="B175" s="18" t="s">
        <v>164</v>
      </c>
      <c r="C175" s="43" t="s">
        <v>160</v>
      </c>
      <c r="D175" s="76">
        <f>COUNTIFS('TOTAL SUSPEK'!$F:$F,"Bumirejo")</f>
        <v>0</v>
      </c>
      <c r="E175" s="22" t="e">
        <f>SUM(#REF!)</f>
        <v>#REF!</v>
      </c>
      <c r="F175" s="22" t="e">
        <f>SUM(#REF!)</f>
        <v>#REF!</v>
      </c>
      <c r="G175" s="22" t="e">
        <f>SUM(#REF!)</f>
        <v>#REF!</v>
      </c>
      <c r="H175" s="22" t="e">
        <f>SUM(#REF!)</f>
        <v>#REF!</v>
      </c>
      <c r="I175" s="22" t="e">
        <f>SUM(#REF!)</f>
        <v>#REF!</v>
      </c>
      <c r="J175" s="22" t="e">
        <f>SUM(#REF!)</f>
        <v>#REF!</v>
      </c>
      <c r="K175" s="22" t="e">
        <f>SUM(#REF!)</f>
        <v>#REF!</v>
      </c>
      <c r="L175" s="22">
        <f>SUM(D175:D186)</f>
        <v>1</v>
      </c>
      <c r="M175" s="22" t="e">
        <f>SUM(#REF!)</f>
        <v>#REF!</v>
      </c>
      <c r="P175" s="42">
        <f t="shared" si="2"/>
        <v>0</v>
      </c>
      <c r="Q175" s="132">
        <f>SUM(P175:P186)</f>
        <v>1</v>
      </c>
    </row>
    <row r="176" spans="1:17" ht="15" customHeight="1" x14ac:dyDescent="0.25">
      <c r="A176" s="5"/>
      <c r="B176" s="18" t="s">
        <v>164</v>
      </c>
      <c r="C176" s="43" t="s">
        <v>161</v>
      </c>
      <c r="D176" s="76">
        <f>COUNTIFS('TOTAL SUSPEK'!$F:$F,"Pundenarum")</f>
        <v>0</v>
      </c>
      <c r="E176" s="22"/>
      <c r="F176" s="23"/>
      <c r="G176" s="23"/>
      <c r="H176" s="23"/>
      <c r="I176" s="23"/>
      <c r="J176" s="23"/>
      <c r="K176" s="24"/>
      <c r="L176" s="24"/>
      <c r="M176" s="24"/>
      <c r="P176" s="42">
        <f t="shared" si="2"/>
        <v>0</v>
      </c>
      <c r="Q176" s="8"/>
    </row>
    <row r="177" spans="1:17" ht="15" customHeight="1" x14ac:dyDescent="0.25">
      <c r="A177" s="5"/>
      <c r="B177" s="18" t="s">
        <v>164</v>
      </c>
      <c r="C177" s="43" t="s">
        <v>162</v>
      </c>
      <c r="D177" s="76">
        <f>COUNTIFS('TOTAL SUSPEK'!$F:$F,"Kuripan")</f>
        <v>0</v>
      </c>
      <c r="E177" s="22"/>
      <c r="F177" s="23"/>
      <c r="G177" s="23"/>
      <c r="H177" s="23"/>
      <c r="I177" s="23"/>
      <c r="J177" s="23"/>
      <c r="K177" s="24"/>
      <c r="L177" s="24"/>
      <c r="M177" s="24"/>
      <c r="P177" s="42">
        <f t="shared" si="2"/>
        <v>0</v>
      </c>
      <c r="Q177" s="8"/>
    </row>
    <row r="178" spans="1:17" ht="15" customHeight="1" x14ac:dyDescent="0.25">
      <c r="A178" s="5"/>
      <c r="B178" s="18" t="s">
        <v>164</v>
      </c>
      <c r="C178" s="43" t="s">
        <v>163</v>
      </c>
      <c r="D178" s="76">
        <f>COUNTIFS('TOTAL SUSPEK'!$F:$F,"Brambang")</f>
        <v>0</v>
      </c>
      <c r="E178" s="22"/>
      <c r="F178" s="23"/>
      <c r="G178" s="23"/>
      <c r="H178" s="23"/>
      <c r="I178" s="23"/>
      <c r="J178" s="23"/>
      <c r="K178" s="24"/>
      <c r="L178" s="24"/>
      <c r="M178" s="24"/>
      <c r="P178" s="42">
        <f t="shared" si="2"/>
        <v>0</v>
      </c>
      <c r="Q178" s="8"/>
    </row>
    <row r="179" spans="1:17" ht="15" customHeight="1" x14ac:dyDescent="0.25">
      <c r="A179" s="5"/>
      <c r="B179" s="18" t="s">
        <v>164</v>
      </c>
      <c r="C179" s="43" t="s">
        <v>164</v>
      </c>
      <c r="D179" s="76">
        <f>COUNTIFS('TOTAL SUSPEK'!$F:$F,"Karangawen")</f>
        <v>0</v>
      </c>
      <c r="E179" s="22"/>
      <c r="F179" s="23"/>
      <c r="G179" s="23"/>
      <c r="H179" s="23"/>
      <c r="I179" s="23"/>
      <c r="J179" s="23"/>
      <c r="K179" s="24"/>
      <c r="L179" s="24"/>
      <c r="M179" s="24"/>
      <c r="P179" s="42">
        <f t="shared" si="2"/>
        <v>0</v>
      </c>
      <c r="Q179" s="8"/>
    </row>
    <row r="180" spans="1:17" ht="15" customHeight="1" x14ac:dyDescent="0.25">
      <c r="A180" s="5"/>
      <c r="B180" s="18" t="s">
        <v>164</v>
      </c>
      <c r="C180" s="43" t="s">
        <v>165</v>
      </c>
      <c r="D180" s="76">
        <f>COUNTIFS('TOTAL SUSPEK'!$F:$F,"Sidorejo",'TOTAL SUSPEK'!$E:$E,"karangawen")</f>
        <v>0</v>
      </c>
      <c r="E180" s="22"/>
      <c r="F180" s="23"/>
      <c r="G180" s="23"/>
      <c r="H180" s="23"/>
      <c r="I180" s="23"/>
      <c r="J180" s="23"/>
      <c r="K180" s="24"/>
      <c r="L180" s="24"/>
      <c r="M180" s="24"/>
      <c r="P180" s="42">
        <f t="shared" si="2"/>
        <v>0</v>
      </c>
      <c r="Q180" s="8"/>
    </row>
    <row r="181" spans="1:17" ht="15" customHeight="1" x14ac:dyDescent="0.25">
      <c r="A181" s="5"/>
      <c r="B181" s="18" t="s">
        <v>164</v>
      </c>
      <c r="C181" s="43" t="s">
        <v>166</v>
      </c>
      <c r="D181" s="76">
        <f>COUNTIFS('TOTAL SUSPEK'!$F:$F,"Wonosekar")</f>
        <v>0</v>
      </c>
      <c r="E181" s="22"/>
      <c r="F181" s="23"/>
      <c r="G181" s="23"/>
      <c r="H181" s="23"/>
      <c r="I181" s="23"/>
      <c r="J181" s="23"/>
      <c r="K181" s="24"/>
      <c r="L181" s="24"/>
      <c r="M181" s="24"/>
      <c r="P181" s="42">
        <f t="shared" si="2"/>
        <v>0</v>
      </c>
      <c r="Q181" s="8"/>
    </row>
    <row r="182" spans="1:17" ht="15" customHeight="1" x14ac:dyDescent="0.25">
      <c r="A182" s="5"/>
      <c r="B182" s="18" t="s">
        <v>164</v>
      </c>
      <c r="C182" s="43" t="s">
        <v>50</v>
      </c>
      <c r="D182" s="76">
        <f>COUNTIFS('TOTAL SUSPEK'!$F:$F,"Tlogorejo",'TOTAL SUSPEK'!$E:$E,"Karangawen")</f>
        <v>0</v>
      </c>
      <c r="E182" s="22"/>
      <c r="F182" s="23"/>
      <c r="G182" s="23"/>
      <c r="H182" s="23"/>
      <c r="I182" s="23"/>
      <c r="J182" s="23"/>
      <c r="K182" s="24"/>
      <c r="L182" s="24"/>
      <c r="M182" s="24"/>
      <c r="P182" s="42">
        <f t="shared" si="2"/>
        <v>0</v>
      </c>
      <c r="Q182" s="8"/>
    </row>
    <row r="183" spans="1:17" ht="15" customHeight="1" x14ac:dyDescent="0.25">
      <c r="A183" s="5"/>
      <c r="B183" s="18" t="s">
        <v>164</v>
      </c>
      <c r="C183" s="43" t="s">
        <v>26</v>
      </c>
      <c r="D183" s="76">
        <f>COUNTIFS('TOTAL SUSPEK'!$F:$F,"Rejosari",'TOTAL SUSPEK'!$E:$E,"karangawen")</f>
        <v>0</v>
      </c>
      <c r="E183" s="22"/>
      <c r="F183" s="23"/>
      <c r="G183" s="23"/>
      <c r="H183" s="23"/>
      <c r="I183" s="23"/>
      <c r="J183" s="23"/>
      <c r="K183" s="24"/>
      <c r="L183" s="24"/>
      <c r="M183" s="24"/>
      <c r="P183" s="42">
        <f t="shared" si="2"/>
        <v>0</v>
      </c>
      <c r="Q183" s="8"/>
    </row>
    <row r="184" spans="1:17" ht="15" customHeight="1" x14ac:dyDescent="0.25">
      <c r="A184" s="5"/>
      <c r="B184" s="18" t="s">
        <v>164</v>
      </c>
      <c r="C184" s="43" t="s">
        <v>167</v>
      </c>
      <c r="D184" s="76">
        <f>COUNTIFS('TOTAL SUSPEK'!$F:$F,"Teluk")</f>
        <v>0</v>
      </c>
      <c r="E184" s="22"/>
      <c r="F184" s="23"/>
      <c r="G184" s="23"/>
      <c r="H184" s="23"/>
      <c r="I184" s="23"/>
      <c r="J184" s="23"/>
      <c r="K184" s="24"/>
      <c r="L184" s="24"/>
      <c r="M184" s="24"/>
      <c r="P184" s="42">
        <f t="shared" si="2"/>
        <v>0</v>
      </c>
      <c r="Q184" s="8"/>
    </row>
    <row r="185" spans="1:17" ht="15" customHeight="1" x14ac:dyDescent="0.25">
      <c r="A185" s="5"/>
      <c r="B185" s="18" t="s">
        <v>164</v>
      </c>
      <c r="C185" s="43" t="s">
        <v>168</v>
      </c>
      <c r="D185" s="76">
        <f>COUNTIFS('TOTAL SUSPEK'!$F:$F,"Margohayu")</f>
        <v>0</v>
      </c>
      <c r="E185" s="22"/>
      <c r="F185" s="23"/>
      <c r="G185" s="23"/>
      <c r="H185" s="23"/>
      <c r="I185" s="23"/>
      <c r="J185" s="23"/>
      <c r="K185" s="24"/>
      <c r="L185" s="24"/>
      <c r="M185" s="24"/>
      <c r="P185" s="42">
        <f t="shared" si="2"/>
        <v>0</v>
      </c>
      <c r="Q185" s="8"/>
    </row>
    <row r="186" spans="1:17" ht="15" customHeight="1" x14ac:dyDescent="0.25">
      <c r="A186" s="5"/>
      <c r="B186" s="18" t="s">
        <v>164</v>
      </c>
      <c r="C186" s="43" t="s">
        <v>169</v>
      </c>
      <c r="D186" s="76">
        <f>COUNTIFS('TOTAL SUSPEK'!$F:$F,"Jragung")</f>
        <v>1</v>
      </c>
      <c r="E186" s="22"/>
      <c r="F186" s="23"/>
      <c r="G186" s="23"/>
      <c r="H186" s="23"/>
      <c r="I186" s="23"/>
      <c r="J186" s="23"/>
      <c r="K186" s="24"/>
      <c r="L186" s="24"/>
      <c r="M186" s="24"/>
      <c r="P186" s="42">
        <f t="shared" si="2"/>
        <v>1</v>
      </c>
      <c r="Q186" s="8"/>
    </row>
    <row r="187" spans="1:17" x14ac:dyDescent="0.25">
      <c r="A187" s="5">
        <v>11</v>
      </c>
      <c r="B187" s="18" t="s">
        <v>170</v>
      </c>
      <c r="C187" s="43" t="s">
        <v>171</v>
      </c>
      <c r="D187" s="76">
        <f>COUNTIFS('TOTAL SUSPEK'!$F:$F,"Harjowinangun")</f>
        <v>0</v>
      </c>
      <c r="E187" s="22" t="e">
        <f>SUM(#REF!)</f>
        <v>#REF!</v>
      </c>
      <c r="F187" s="22" t="e">
        <f>SUM(#REF!)</f>
        <v>#REF!</v>
      </c>
      <c r="G187" s="22" t="e">
        <f>SUM(#REF!)</f>
        <v>#REF!</v>
      </c>
      <c r="H187" s="22" t="e">
        <f>SUM(#REF!)</f>
        <v>#REF!</v>
      </c>
      <c r="I187" s="22" t="e">
        <f>SUM(#REF!)</f>
        <v>#REF!</v>
      </c>
      <c r="J187" s="22" t="e">
        <f>SUM(#REF!)</f>
        <v>#REF!</v>
      </c>
      <c r="K187" s="22" t="e">
        <f>SUM(#REF!)</f>
        <v>#REF!</v>
      </c>
      <c r="L187" s="22">
        <f>SUM(D187:D202)</f>
        <v>1</v>
      </c>
      <c r="M187" s="22" t="e">
        <f>SUM(#REF!)</f>
        <v>#REF!</v>
      </c>
      <c r="P187" s="42">
        <f t="shared" si="2"/>
        <v>0</v>
      </c>
      <c r="Q187" s="132">
        <f>SUM(P187:P202)</f>
        <v>1</v>
      </c>
    </row>
    <row r="188" spans="1:17" x14ac:dyDescent="0.25">
      <c r="A188" s="5"/>
      <c r="B188" s="18" t="s">
        <v>170</v>
      </c>
      <c r="C188" s="43" t="s">
        <v>170</v>
      </c>
      <c r="D188" s="76">
        <f>COUNTIFS('TOTAL SUSPEK'!$F:$F,"Dempet")</f>
        <v>0</v>
      </c>
      <c r="E188" s="22"/>
      <c r="F188" s="23"/>
      <c r="G188" s="23"/>
      <c r="H188" s="23"/>
      <c r="I188" s="23"/>
      <c r="J188" s="23"/>
      <c r="K188" s="24"/>
      <c r="L188" s="24"/>
      <c r="M188" s="24"/>
      <c r="P188" s="42">
        <f t="shared" si="2"/>
        <v>0</v>
      </c>
      <c r="Q188" s="8"/>
    </row>
    <row r="189" spans="1:17" x14ac:dyDescent="0.25">
      <c r="A189" s="5"/>
      <c r="B189" s="18" t="s">
        <v>170</v>
      </c>
      <c r="C189" s="43" t="s">
        <v>172</v>
      </c>
      <c r="D189" s="76">
        <f>COUNTIFS('TOTAL SUSPEK'!$F:$F,"Brakas")</f>
        <v>0</v>
      </c>
      <c r="E189" s="22"/>
      <c r="F189" s="23"/>
      <c r="G189" s="23"/>
      <c r="H189" s="23"/>
      <c r="I189" s="23"/>
      <c r="J189" s="23"/>
      <c r="K189" s="24"/>
      <c r="L189" s="24"/>
      <c r="M189" s="24"/>
      <c r="P189" s="42">
        <f t="shared" si="2"/>
        <v>0</v>
      </c>
      <c r="Q189" s="8"/>
    </row>
    <row r="190" spans="1:17" x14ac:dyDescent="0.25">
      <c r="A190" s="5"/>
      <c r="B190" s="18" t="s">
        <v>170</v>
      </c>
      <c r="C190" s="68" t="s">
        <v>44</v>
      </c>
      <c r="D190" s="76">
        <f>COUNTIFS('TOTAL SUSPEK'!$F:$F,"Sidomulyo",'TOTAL SUSPEK'!$E:$E,"dempet")</f>
        <v>1</v>
      </c>
      <c r="E190" s="22"/>
      <c r="F190" s="23"/>
      <c r="G190" s="23"/>
      <c r="H190" s="23"/>
      <c r="I190" s="23"/>
      <c r="J190" s="23"/>
      <c r="K190" s="24"/>
      <c r="L190" s="24"/>
      <c r="M190" s="24"/>
      <c r="P190" s="42">
        <f t="shared" si="2"/>
        <v>1</v>
      </c>
      <c r="Q190" s="8"/>
    </row>
    <row r="191" spans="1:17" x14ac:dyDescent="0.25">
      <c r="A191" s="5"/>
      <c r="B191" s="18" t="s">
        <v>170</v>
      </c>
      <c r="C191" s="43" t="s">
        <v>173</v>
      </c>
      <c r="D191" s="76">
        <f>COUNTIFS('TOTAL SUSPEK'!$F:$F,"Gempoldenok")</f>
        <v>0</v>
      </c>
      <c r="E191" s="22"/>
      <c r="F191" s="23"/>
      <c r="G191" s="23"/>
      <c r="H191" s="23"/>
      <c r="I191" s="23"/>
      <c r="J191" s="23"/>
      <c r="K191" s="24"/>
      <c r="L191" s="24"/>
      <c r="M191" s="24"/>
      <c r="P191" s="42">
        <f t="shared" si="2"/>
        <v>0</v>
      </c>
      <c r="Q191" s="8"/>
    </row>
    <row r="192" spans="1:17" x14ac:dyDescent="0.25">
      <c r="A192" s="5"/>
      <c r="B192" s="18" t="s">
        <v>170</v>
      </c>
      <c r="C192" s="43" t="s">
        <v>174</v>
      </c>
      <c r="D192" s="76">
        <f>COUNTIFS('TOTAL SUSPEK'!$F:$F,"Botosengon")</f>
        <v>0</v>
      </c>
      <c r="E192" s="22"/>
      <c r="F192" s="23"/>
      <c r="G192" s="23"/>
      <c r="H192" s="23"/>
      <c r="I192" s="23"/>
      <c r="J192" s="23"/>
      <c r="K192" s="24"/>
      <c r="L192" s="24"/>
      <c r="M192" s="24"/>
      <c r="P192" s="42">
        <f t="shared" si="2"/>
        <v>0</v>
      </c>
      <c r="Q192" s="8"/>
    </row>
    <row r="193" spans="1:17" x14ac:dyDescent="0.25">
      <c r="A193" s="5"/>
      <c r="B193" s="18" t="s">
        <v>170</v>
      </c>
      <c r="C193" s="43" t="s">
        <v>175</v>
      </c>
      <c r="D193" s="76">
        <f>COUNTIFS('TOTAL SUSPEK'!$F:$F,"Merak")</f>
        <v>0</v>
      </c>
      <c r="E193" s="22"/>
      <c r="F193" s="23"/>
      <c r="G193" s="23"/>
      <c r="H193" s="23"/>
      <c r="I193" s="23"/>
      <c r="J193" s="23"/>
      <c r="K193" s="24"/>
      <c r="L193" s="24"/>
      <c r="M193" s="24"/>
      <c r="P193" s="42">
        <f t="shared" si="2"/>
        <v>0</v>
      </c>
      <c r="Q193" s="8"/>
    </row>
    <row r="194" spans="1:17" x14ac:dyDescent="0.25">
      <c r="A194" s="5"/>
      <c r="B194" s="18" t="s">
        <v>170</v>
      </c>
      <c r="C194" s="43" t="s">
        <v>176</v>
      </c>
      <c r="D194" s="76">
        <f>COUNTIFS('TOTAL SUSPEK'!$F:$F,"Kebonsari")</f>
        <v>0</v>
      </c>
      <c r="E194" s="22"/>
      <c r="F194" s="23"/>
      <c r="G194" s="23"/>
      <c r="H194" s="23"/>
      <c r="I194" s="23"/>
      <c r="J194" s="23"/>
      <c r="K194" s="24"/>
      <c r="L194" s="24"/>
      <c r="M194" s="24"/>
      <c r="P194" s="42">
        <f t="shared" si="2"/>
        <v>0</v>
      </c>
      <c r="Q194" s="8"/>
    </row>
    <row r="195" spans="1:17" x14ac:dyDescent="0.25">
      <c r="A195" s="5"/>
      <c r="B195" s="18" t="s">
        <v>170</v>
      </c>
      <c r="C195" s="43" t="s">
        <v>177</v>
      </c>
      <c r="D195" s="76">
        <f>COUNTIFS('TOTAL SUSPEK'!$F:$F,"Balerejo")</f>
        <v>0</v>
      </c>
      <c r="E195" s="22"/>
      <c r="F195" s="23"/>
      <c r="G195" s="23"/>
      <c r="H195" s="23"/>
      <c r="I195" s="23"/>
      <c r="J195" s="23"/>
      <c r="K195" s="24"/>
      <c r="L195" s="24"/>
      <c r="M195" s="24"/>
      <c r="P195" s="42">
        <f t="shared" si="2"/>
        <v>0</v>
      </c>
      <c r="Q195" s="8"/>
    </row>
    <row r="196" spans="1:17" x14ac:dyDescent="0.25">
      <c r="A196" s="5"/>
      <c r="B196" s="18" t="s">
        <v>170</v>
      </c>
      <c r="C196" s="43" t="s">
        <v>53</v>
      </c>
      <c r="D196" s="76">
        <f>COUNTIFS('TOTAL SUSPEK'!$F:$F,"Karangrejo",'TOTAL SUSPEK'!$E:$E,"dempet")</f>
        <v>0</v>
      </c>
      <c r="E196" s="22"/>
      <c r="F196" s="23"/>
      <c r="G196" s="23"/>
      <c r="H196" s="23"/>
      <c r="I196" s="23"/>
      <c r="J196" s="23"/>
      <c r="K196" s="24"/>
      <c r="L196" s="24"/>
      <c r="M196" s="24"/>
      <c r="P196" s="42">
        <f t="shared" si="2"/>
        <v>0</v>
      </c>
      <c r="Q196" s="8"/>
    </row>
    <row r="197" spans="1:17" x14ac:dyDescent="0.25">
      <c r="A197" s="5"/>
      <c r="B197" s="18" t="s">
        <v>170</v>
      </c>
      <c r="C197" s="43" t="s">
        <v>178</v>
      </c>
      <c r="D197" s="76">
        <f>COUNTIFS('TOTAL SUSPEK'!$F:$F,"Baleromo")</f>
        <v>0</v>
      </c>
      <c r="E197" s="22"/>
      <c r="F197" s="23"/>
      <c r="G197" s="23"/>
      <c r="H197" s="23"/>
      <c r="I197" s="23"/>
      <c r="J197" s="23"/>
      <c r="K197" s="24"/>
      <c r="L197" s="24"/>
      <c r="M197" s="24"/>
      <c r="P197" s="42">
        <f t="shared" si="2"/>
        <v>0</v>
      </c>
      <c r="Q197" s="8"/>
    </row>
    <row r="198" spans="1:17" x14ac:dyDescent="0.25">
      <c r="A198" s="5"/>
      <c r="B198" s="18" t="s">
        <v>170</v>
      </c>
      <c r="C198" s="43" t="s">
        <v>179</v>
      </c>
      <c r="D198" s="76">
        <f>COUNTIFS('TOTAL SUSPEK'!$F:$F,"Jerukgulung")</f>
        <v>0</v>
      </c>
      <c r="E198" s="22"/>
      <c r="F198" s="23"/>
      <c r="G198" s="23"/>
      <c r="H198" s="23"/>
      <c r="I198" s="23"/>
      <c r="J198" s="23"/>
      <c r="K198" s="24"/>
      <c r="L198" s="24"/>
      <c r="M198" s="24"/>
      <c r="P198" s="42">
        <f t="shared" si="2"/>
        <v>0</v>
      </c>
      <c r="Q198" s="8"/>
    </row>
    <row r="199" spans="1:17" x14ac:dyDescent="0.25">
      <c r="A199" s="5"/>
      <c r="B199" s="18" t="s">
        <v>170</v>
      </c>
      <c r="C199" s="43" t="s">
        <v>180</v>
      </c>
      <c r="D199" s="76">
        <f>COUNTIFS('TOTAL SUSPEK'!$F:$F,"Kunir")</f>
        <v>0</v>
      </c>
      <c r="E199" s="22"/>
      <c r="F199" s="23"/>
      <c r="G199" s="23"/>
      <c r="H199" s="23"/>
      <c r="I199" s="23"/>
      <c r="J199" s="23"/>
      <c r="K199" s="24"/>
      <c r="L199" s="24"/>
      <c r="M199" s="24"/>
      <c r="P199" s="42">
        <f t="shared" si="2"/>
        <v>0</v>
      </c>
      <c r="Q199" s="8"/>
    </row>
    <row r="200" spans="1:17" x14ac:dyDescent="0.25">
      <c r="A200" s="5"/>
      <c r="B200" s="18" t="s">
        <v>170</v>
      </c>
      <c r="C200" s="43" t="s">
        <v>398</v>
      </c>
      <c r="D200" s="76">
        <f>COUNTIFS('TOTAL SUSPEK'!$F:$F,"Kedungori")</f>
        <v>0</v>
      </c>
      <c r="E200" s="22"/>
      <c r="F200" s="23"/>
      <c r="G200" s="23"/>
      <c r="H200" s="23"/>
      <c r="I200" s="23"/>
      <c r="J200" s="23"/>
      <c r="K200" s="24"/>
      <c r="L200" s="24"/>
      <c r="M200" s="24"/>
      <c r="P200" s="42">
        <f t="shared" ref="P200:P257" si="3">SUM(D200:D200)</f>
        <v>0</v>
      </c>
      <c r="Q200" s="8"/>
    </row>
    <row r="201" spans="1:17" x14ac:dyDescent="0.25">
      <c r="A201" s="5"/>
      <c r="B201" s="18" t="s">
        <v>170</v>
      </c>
      <c r="C201" s="68" t="s">
        <v>181</v>
      </c>
      <c r="D201" s="76">
        <f>COUNTIFS('TOTAL SUSPEK'!$F:$F,"Kuwu")</f>
        <v>0</v>
      </c>
      <c r="E201" s="22"/>
      <c r="F201" s="23"/>
      <c r="G201" s="23"/>
      <c r="H201" s="23"/>
      <c r="I201" s="23"/>
      <c r="J201" s="23"/>
      <c r="K201" s="24"/>
      <c r="L201" s="24"/>
      <c r="M201" s="24"/>
      <c r="P201" s="42">
        <f t="shared" si="3"/>
        <v>0</v>
      </c>
      <c r="Q201" s="8"/>
    </row>
    <row r="202" spans="1:17" x14ac:dyDescent="0.25">
      <c r="A202" s="5"/>
      <c r="B202" s="18" t="s">
        <v>170</v>
      </c>
      <c r="C202" s="43" t="s">
        <v>182</v>
      </c>
      <c r="D202" s="76">
        <f>COUNTIFS('TOTAL SUSPEK'!$F:$F,"Kramat")</f>
        <v>0</v>
      </c>
      <c r="E202" s="22"/>
      <c r="F202" s="23"/>
      <c r="G202" s="23"/>
      <c r="H202" s="23"/>
      <c r="I202" s="23"/>
      <c r="J202" s="23"/>
      <c r="K202" s="24"/>
      <c r="L202" s="24"/>
      <c r="M202" s="24"/>
      <c r="P202" s="42">
        <f t="shared" si="3"/>
        <v>0</v>
      </c>
      <c r="Q202" s="8"/>
    </row>
    <row r="203" spans="1:17" ht="15" customHeight="1" x14ac:dyDescent="0.25">
      <c r="A203" s="5">
        <v>12</v>
      </c>
      <c r="B203" s="18" t="s">
        <v>183</v>
      </c>
      <c r="C203" s="43" t="s">
        <v>184</v>
      </c>
      <c r="D203" s="76">
        <f>COUNTIFS('TOTAL SUSPEK'!$F:$F,"Mangunrejo")</f>
        <v>0</v>
      </c>
      <c r="E203" s="22" t="e">
        <f>SUM(#REF!)</f>
        <v>#REF!</v>
      </c>
      <c r="F203" s="22" t="e">
        <f>SUM(#REF!)</f>
        <v>#REF!</v>
      </c>
      <c r="G203" s="22" t="e">
        <f>SUM(#REF!)</f>
        <v>#REF!</v>
      </c>
      <c r="H203" s="22" t="e">
        <f>SUM(#REF!)</f>
        <v>#REF!</v>
      </c>
      <c r="I203" s="22" t="e">
        <f>SUM(#REF!)</f>
        <v>#REF!</v>
      </c>
      <c r="J203" s="22" t="e">
        <f>SUM(#REF!)</f>
        <v>#REF!</v>
      </c>
      <c r="K203" s="22" t="e">
        <f>SUM(#REF!)</f>
        <v>#REF!</v>
      </c>
      <c r="L203" s="22">
        <f>SUM(D203:D216)</f>
        <v>0</v>
      </c>
      <c r="M203" s="22" t="e">
        <f>SUM(#REF!)</f>
        <v>#REF!</v>
      </c>
      <c r="P203" s="42">
        <f t="shared" si="3"/>
        <v>0</v>
      </c>
      <c r="Q203" s="132">
        <f>SUM(P203:P216)</f>
        <v>0</v>
      </c>
    </row>
    <row r="204" spans="1:17" ht="15" customHeight="1" x14ac:dyDescent="0.25">
      <c r="A204" s="5"/>
      <c r="B204" s="18" t="s">
        <v>183</v>
      </c>
      <c r="C204" s="43" t="s">
        <v>185</v>
      </c>
      <c r="D204" s="76">
        <f>COUNTIFS('TOTAL SUSPEK'!$F:$F,"Tlogosih")</f>
        <v>0</v>
      </c>
      <c r="E204" s="22"/>
      <c r="F204" s="23"/>
      <c r="G204" s="23"/>
      <c r="H204" s="23"/>
      <c r="I204" s="23"/>
      <c r="J204" s="23"/>
      <c r="K204" s="24"/>
      <c r="L204" s="24"/>
      <c r="M204" s="24"/>
      <c r="P204" s="42">
        <f t="shared" si="3"/>
        <v>0</v>
      </c>
      <c r="Q204" s="8"/>
    </row>
    <row r="205" spans="1:17" ht="15" customHeight="1" x14ac:dyDescent="0.25">
      <c r="A205" s="5"/>
      <c r="B205" s="18" t="s">
        <v>183</v>
      </c>
      <c r="C205" s="43" t="s">
        <v>186</v>
      </c>
      <c r="D205" s="76">
        <f>COUNTIFS('TOTAL SUSPEK'!$F:$F,"Megonten")</f>
        <v>0</v>
      </c>
      <c r="E205" s="22"/>
      <c r="F205" s="23"/>
      <c r="G205" s="23"/>
      <c r="H205" s="23"/>
      <c r="I205" s="23"/>
      <c r="J205" s="23"/>
      <c r="K205" s="24"/>
      <c r="L205" s="24"/>
      <c r="M205" s="24"/>
      <c r="P205" s="42">
        <f t="shared" si="3"/>
        <v>0</v>
      </c>
      <c r="Q205" s="8"/>
    </row>
    <row r="206" spans="1:17" ht="15" customHeight="1" x14ac:dyDescent="0.25">
      <c r="A206" s="5"/>
      <c r="B206" s="18" t="s">
        <v>183</v>
      </c>
      <c r="C206" s="43" t="s">
        <v>187</v>
      </c>
      <c r="D206" s="76">
        <f>COUNTIFS('TOTAL SUSPEK'!$F:$F,"Soko kidul")</f>
        <v>0</v>
      </c>
      <c r="E206" s="22"/>
      <c r="F206" s="23"/>
      <c r="G206" s="23"/>
      <c r="H206" s="23"/>
      <c r="I206" s="23"/>
      <c r="J206" s="23"/>
      <c r="K206" s="24"/>
      <c r="L206" s="24"/>
      <c r="M206" s="24"/>
      <c r="P206" s="42">
        <f t="shared" si="3"/>
        <v>0</v>
      </c>
      <c r="Q206" s="8"/>
    </row>
    <row r="207" spans="1:17" ht="15" customHeight="1" x14ac:dyDescent="0.25">
      <c r="A207" s="5"/>
      <c r="B207" s="18" t="s">
        <v>183</v>
      </c>
      <c r="C207" s="43" t="s">
        <v>188</v>
      </c>
      <c r="D207" s="76">
        <f>COUNTIFS('TOTAL SUSPEK'!$F:$F,"Pilang wetan")</f>
        <v>0</v>
      </c>
      <c r="E207" s="22"/>
      <c r="F207" s="23"/>
      <c r="G207" s="23"/>
      <c r="H207" s="23"/>
      <c r="I207" s="23"/>
      <c r="J207" s="23"/>
      <c r="K207" s="24"/>
      <c r="L207" s="24"/>
      <c r="M207" s="24"/>
      <c r="P207" s="42">
        <f t="shared" si="3"/>
        <v>0</v>
      </c>
      <c r="Q207" s="8"/>
    </row>
    <row r="208" spans="1:17" ht="15" customHeight="1" x14ac:dyDescent="0.25">
      <c r="A208" s="5"/>
      <c r="B208" s="18" t="s">
        <v>183</v>
      </c>
      <c r="C208" s="43" t="s">
        <v>183</v>
      </c>
      <c r="D208" s="76">
        <f>COUNTIFS('TOTAL SUSPEK'!$F:$F,"Kebonagung")</f>
        <v>0</v>
      </c>
      <c r="E208" s="22"/>
      <c r="F208" s="23"/>
      <c r="G208" s="23"/>
      <c r="H208" s="23"/>
      <c r="I208" s="23"/>
      <c r="J208" s="23"/>
      <c r="K208" s="24"/>
      <c r="L208" s="24"/>
      <c r="M208" s="24"/>
      <c r="P208" s="42">
        <f t="shared" si="3"/>
        <v>0</v>
      </c>
      <c r="Q208" s="8"/>
    </row>
    <row r="209" spans="1:17" ht="15" customHeight="1" x14ac:dyDescent="0.25">
      <c r="A209" s="5"/>
      <c r="B209" s="18" t="s">
        <v>183</v>
      </c>
      <c r="C209" s="43" t="s">
        <v>88</v>
      </c>
      <c r="D209" s="76">
        <f>COUNTIFS('TOTAL SUSPEK'!$F:$F,"Mijen",'TOTAL SUSPEK'!$E:$E,"kebonagung")</f>
        <v>0</v>
      </c>
      <c r="E209" s="22"/>
      <c r="F209" s="23"/>
      <c r="G209" s="23"/>
      <c r="H209" s="23"/>
      <c r="I209" s="23"/>
      <c r="J209" s="23"/>
      <c r="K209" s="24"/>
      <c r="L209" s="24"/>
      <c r="M209" s="24"/>
      <c r="P209" s="42">
        <f t="shared" si="3"/>
        <v>0</v>
      </c>
      <c r="Q209" s="8"/>
    </row>
    <row r="210" spans="1:17" ht="15" customHeight="1" x14ac:dyDescent="0.25">
      <c r="A210" s="5"/>
      <c r="B210" s="18" t="s">
        <v>183</v>
      </c>
      <c r="C210" s="43" t="s">
        <v>189</v>
      </c>
      <c r="D210" s="76">
        <f>COUNTIFS('TOTAL SUSPEK'!$F:$F,"Klampok Lor")</f>
        <v>0</v>
      </c>
      <c r="E210" s="22"/>
      <c r="F210" s="23"/>
      <c r="G210" s="23"/>
      <c r="H210" s="23"/>
      <c r="I210" s="23"/>
      <c r="J210" s="23"/>
      <c r="K210" s="24"/>
      <c r="L210" s="24"/>
      <c r="M210" s="24"/>
      <c r="P210" s="42">
        <f t="shared" si="3"/>
        <v>0</v>
      </c>
      <c r="Q210" s="8"/>
    </row>
    <row r="211" spans="1:17" ht="15" customHeight="1" x14ac:dyDescent="0.25">
      <c r="A211" s="5"/>
      <c r="B211" s="18" t="s">
        <v>183</v>
      </c>
      <c r="C211" s="43" t="s">
        <v>190</v>
      </c>
      <c r="D211" s="76">
        <f>COUNTIFS('TOTAL SUSPEK'!$F:$F,"Werdoyo")</f>
        <v>0</v>
      </c>
      <c r="E211" s="22"/>
      <c r="F211" s="23"/>
      <c r="G211" s="23"/>
      <c r="H211" s="23"/>
      <c r="I211" s="23"/>
      <c r="J211" s="23"/>
      <c r="K211" s="24"/>
      <c r="L211" s="24"/>
      <c r="M211" s="24"/>
      <c r="P211" s="42">
        <f t="shared" si="3"/>
        <v>0</v>
      </c>
      <c r="Q211" s="8"/>
    </row>
    <row r="212" spans="1:17" ht="15" customHeight="1" x14ac:dyDescent="0.25">
      <c r="A212" s="5"/>
      <c r="B212" s="18" t="s">
        <v>183</v>
      </c>
      <c r="C212" s="43" t="s">
        <v>191</v>
      </c>
      <c r="D212" s="76">
        <f>COUNTIFS('TOTAL SUSPEK'!$F:$F,"Babat")</f>
        <v>0</v>
      </c>
      <c r="E212" s="22"/>
      <c r="F212" s="23"/>
      <c r="G212" s="23"/>
      <c r="H212" s="23"/>
      <c r="I212" s="23"/>
      <c r="J212" s="23"/>
      <c r="K212" s="24"/>
      <c r="L212" s="24"/>
      <c r="M212" s="24"/>
      <c r="P212" s="42">
        <f t="shared" si="3"/>
        <v>0</v>
      </c>
      <c r="Q212" s="8"/>
    </row>
    <row r="213" spans="1:17" ht="15" customHeight="1" x14ac:dyDescent="0.25">
      <c r="A213" s="5"/>
      <c r="B213" s="18" t="s">
        <v>183</v>
      </c>
      <c r="C213" s="43" t="s">
        <v>192</v>
      </c>
      <c r="D213" s="76">
        <f>COUNTIFS('TOTAL SUSPEK'!$F:$F,"Prigi")</f>
        <v>0</v>
      </c>
      <c r="E213" s="22"/>
      <c r="F213" s="23"/>
      <c r="G213" s="23"/>
      <c r="H213" s="23"/>
      <c r="I213" s="23"/>
      <c r="J213" s="23"/>
      <c r="K213" s="24"/>
      <c r="L213" s="24"/>
      <c r="M213" s="24"/>
      <c r="P213" s="42">
        <f t="shared" si="3"/>
        <v>0</v>
      </c>
      <c r="Q213" s="8"/>
    </row>
    <row r="214" spans="1:17" ht="15" customHeight="1" x14ac:dyDescent="0.25">
      <c r="A214" s="5"/>
      <c r="B214" s="18" t="s">
        <v>183</v>
      </c>
      <c r="C214" s="43" t="s">
        <v>193</v>
      </c>
      <c r="D214" s="76">
        <f>COUNTIFS('TOTAL SUSPEK'!$F:$F,"Sarimulyo")</f>
        <v>0</v>
      </c>
      <c r="E214" s="22"/>
      <c r="F214" s="23"/>
      <c r="G214" s="23"/>
      <c r="H214" s="23"/>
      <c r="I214" s="23"/>
      <c r="J214" s="23"/>
      <c r="K214" s="24"/>
      <c r="L214" s="24"/>
      <c r="M214" s="24"/>
      <c r="P214" s="42">
        <f t="shared" si="3"/>
        <v>0</v>
      </c>
      <c r="Q214" s="8"/>
    </row>
    <row r="215" spans="1:17" ht="15" customHeight="1" x14ac:dyDescent="0.25">
      <c r="A215" s="5"/>
      <c r="B215" s="18" t="s">
        <v>183</v>
      </c>
      <c r="C215" s="43" t="s">
        <v>194</v>
      </c>
      <c r="D215" s="76">
        <f>COUNTIFS('TOTAL SUSPEK'!$F:$F,"Solowire")</f>
        <v>0</v>
      </c>
      <c r="E215" s="22"/>
      <c r="F215" s="23"/>
      <c r="G215" s="23"/>
      <c r="H215" s="23"/>
      <c r="I215" s="23"/>
      <c r="J215" s="23"/>
      <c r="K215" s="24"/>
      <c r="L215" s="24"/>
      <c r="M215" s="24"/>
      <c r="P215" s="42">
        <f t="shared" si="3"/>
        <v>0</v>
      </c>
      <c r="Q215" s="8"/>
    </row>
    <row r="216" spans="1:17" ht="15" customHeight="1" x14ac:dyDescent="0.25">
      <c r="A216" s="5"/>
      <c r="B216" s="18" t="s">
        <v>183</v>
      </c>
      <c r="C216" s="43" t="s">
        <v>195</v>
      </c>
      <c r="D216" s="76">
        <f>COUNTIFS('TOTAL SUSPEK'!$F:$F,"Mangunan Lor")</f>
        <v>0</v>
      </c>
      <c r="E216" s="22"/>
      <c r="F216" s="23"/>
      <c r="G216" s="23"/>
      <c r="H216" s="23"/>
      <c r="I216" s="23"/>
      <c r="J216" s="23"/>
      <c r="K216" s="24"/>
      <c r="L216" s="24"/>
      <c r="M216" s="24"/>
      <c r="P216" s="42">
        <f t="shared" si="3"/>
        <v>0</v>
      </c>
      <c r="Q216" s="8"/>
    </row>
    <row r="217" spans="1:17" x14ac:dyDescent="0.25">
      <c r="A217" s="5">
        <v>13</v>
      </c>
      <c r="B217" s="18" t="s">
        <v>196</v>
      </c>
      <c r="C217" s="43" t="s">
        <v>197</v>
      </c>
      <c r="D217" s="76">
        <f>COUNTIFS('TOTAL SUSPEK'!$F:$F,"Bedono")</f>
        <v>0</v>
      </c>
      <c r="E217" s="22" t="e">
        <f>SUM(#REF!)</f>
        <v>#REF!</v>
      </c>
      <c r="F217" s="22" t="e">
        <f>SUM(#REF!)</f>
        <v>#REF!</v>
      </c>
      <c r="G217" s="22" t="e">
        <f>SUM(#REF!)</f>
        <v>#REF!</v>
      </c>
      <c r="H217" s="22" t="e">
        <f>SUM(#REF!)</f>
        <v>#REF!</v>
      </c>
      <c r="I217" s="22" t="e">
        <f>SUM(#REF!)</f>
        <v>#REF!</v>
      </c>
      <c r="J217" s="22" t="e">
        <f>SUM(#REF!)</f>
        <v>#REF!</v>
      </c>
      <c r="K217" s="22" t="e">
        <f>SUM(#REF!)</f>
        <v>#REF!</v>
      </c>
      <c r="L217" s="22">
        <f>SUM(D217:D236)</f>
        <v>3</v>
      </c>
      <c r="M217" s="22" t="e">
        <f>SUM(#REF!)</f>
        <v>#REF!</v>
      </c>
      <c r="N217" s="41" t="s">
        <v>342</v>
      </c>
      <c r="P217" s="42">
        <f t="shared" si="3"/>
        <v>0</v>
      </c>
      <c r="Q217" s="132">
        <f>SUM(P217:P236)</f>
        <v>3</v>
      </c>
    </row>
    <row r="218" spans="1:17" x14ac:dyDescent="0.25">
      <c r="A218" s="5"/>
      <c r="B218" s="18" t="s">
        <v>196</v>
      </c>
      <c r="C218" s="43" t="s">
        <v>198</v>
      </c>
      <c r="D218" s="76">
        <f>COUNTIFS('TOTAL SUSPEK'!$F:$F,"Gemulak")</f>
        <v>0</v>
      </c>
      <c r="E218" s="22"/>
      <c r="F218" s="23"/>
      <c r="G218" s="23" t="s">
        <v>301</v>
      </c>
      <c r="H218" s="23"/>
      <c r="I218" s="23"/>
      <c r="J218" s="23"/>
      <c r="K218" s="24"/>
      <c r="L218" s="24"/>
      <c r="M218" s="24"/>
      <c r="N218" s="69" t="s">
        <v>343</v>
      </c>
      <c r="P218" s="42">
        <f t="shared" si="3"/>
        <v>0</v>
      </c>
      <c r="Q218" s="8"/>
    </row>
    <row r="219" spans="1:17" x14ac:dyDescent="0.25">
      <c r="A219" s="5"/>
      <c r="B219" s="18" t="s">
        <v>196</v>
      </c>
      <c r="C219" s="43" t="s">
        <v>199</v>
      </c>
      <c r="D219" s="76">
        <f>COUNTIFS('TOTAL SUSPEK'!$F:$F,"Sriwulan")</f>
        <v>1</v>
      </c>
      <c r="E219" s="22"/>
      <c r="F219" s="23"/>
      <c r="G219" s="23"/>
      <c r="H219" s="23"/>
      <c r="I219" s="23"/>
      <c r="J219" s="23"/>
      <c r="K219" s="24"/>
      <c r="L219" s="24"/>
      <c r="M219" s="24"/>
      <c r="N219" s="70" t="s">
        <v>338</v>
      </c>
      <c r="P219" s="42">
        <f t="shared" si="3"/>
        <v>1</v>
      </c>
      <c r="Q219" s="8"/>
    </row>
    <row r="220" spans="1:17" x14ac:dyDescent="0.25">
      <c r="A220" s="5"/>
      <c r="B220" s="18" t="s">
        <v>196</v>
      </c>
      <c r="C220" s="43" t="s">
        <v>200</v>
      </c>
      <c r="D220" s="76">
        <f>COUNTIFS('TOTAL SUSPEK'!$F:$F,"Tugu")</f>
        <v>0</v>
      </c>
      <c r="E220" s="22"/>
      <c r="F220" s="23"/>
      <c r="G220" s="23"/>
      <c r="H220" s="23"/>
      <c r="I220" s="23"/>
      <c r="J220" s="23"/>
      <c r="K220" s="24"/>
      <c r="L220" s="24"/>
      <c r="M220" s="24"/>
      <c r="N220" s="41" t="s">
        <v>396</v>
      </c>
      <c r="P220" s="42">
        <f t="shared" si="3"/>
        <v>0</v>
      </c>
      <c r="Q220" s="8"/>
    </row>
    <row r="221" spans="1:17" x14ac:dyDescent="0.25">
      <c r="A221" s="5"/>
      <c r="B221" s="18" t="s">
        <v>196</v>
      </c>
      <c r="C221" s="43" t="s">
        <v>201</v>
      </c>
      <c r="D221" s="76">
        <f>COUNTIFS('TOTAL SUSPEK'!$F:$F,"Purwosari")</f>
        <v>0</v>
      </c>
      <c r="E221" s="22"/>
      <c r="F221" s="23"/>
      <c r="G221" s="23"/>
      <c r="H221" s="23"/>
      <c r="I221" s="23"/>
      <c r="J221" s="23"/>
      <c r="K221" s="24"/>
      <c r="L221" s="24"/>
      <c r="M221" s="24"/>
      <c r="N221" s="70" t="s">
        <v>340</v>
      </c>
      <c r="P221" s="42">
        <f t="shared" si="3"/>
        <v>0</v>
      </c>
      <c r="Q221" s="8"/>
    </row>
    <row r="222" spans="1:17" x14ac:dyDescent="0.25">
      <c r="A222" s="5"/>
      <c r="B222" s="18" t="s">
        <v>196</v>
      </c>
      <c r="C222" s="43" t="s">
        <v>63</v>
      </c>
      <c r="D222" s="76">
        <f>COUNTIFS('TOTAL SUSPEK'!$F:$F,"surodadi",'TOTAL SUSPEK'!$E:$E,"sayung")</f>
        <v>0</v>
      </c>
      <c r="E222" s="22"/>
      <c r="F222" s="23"/>
      <c r="G222" s="23"/>
      <c r="H222" s="23"/>
      <c r="I222" s="23"/>
      <c r="J222" s="23"/>
      <c r="K222" s="24"/>
      <c r="L222" s="24"/>
      <c r="M222" s="24"/>
      <c r="N222" s="34" t="s">
        <v>353</v>
      </c>
      <c r="P222" s="42">
        <f t="shared" si="3"/>
        <v>0</v>
      </c>
      <c r="Q222" s="8"/>
    </row>
    <row r="223" spans="1:17" x14ac:dyDescent="0.25">
      <c r="A223" s="5"/>
      <c r="B223" s="18" t="s">
        <v>196</v>
      </c>
      <c r="C223" s="43" t="s">
        <v>165</v>
      </c>
      <c r="D223" s="76">
        <f>COUNTIFS('TOTAL SUSPEK'!$F:$F,"sidorejo",'TOTAL SUSPEK'!$E:$E,"sayung")</f>
        <v>0</v>
      </c>
      <c r="E223" s="22"/>
      <c r="F223" s="23"/>
      <c r="G223" s="23"/>
      <c r="H223" s="23"/>
      <c r="I223" s="23"/>
      <c r="J223" s="23"/>
      <c r="K223" s="24"/>
      <c r="L223" s="24"/>
      <c r="M223" s="24"/>
      <c r="N223" s="34" t="s">
        <v>353</v>
      </c>
      <c r="P223" s="42">
        <f t="shared" si="3"/>
        <v>0</v>
      </c>
      <c r="Q223" s="8"/>
    </row>
    <row r="224" spans="1:17" x14ac:dyDescent="0.25">
      <c r="A224" s="5"/>
      <c r="B224" s="18" t="s">
        <v>196</v>
      </c>
      <c r="C224" s="43" t="s">
        <v>202</v>
      </c>
      <c r="D224" s="76">
        <f>COUNTIFS('TOTAL SUSPEK'!$F:$F,"Timbulsloko")</f>
        <v>0</v>
      </c>
      <c r="E224" s="22"/>
      <c r="F224" s="23"/>
      <c r="G224" s="23"/>
      <c r="H224" s="23"/>
      <c r="I224" s="23"/>
      <c r="J224" s="23"/>
      <c r="K224" s="24"/>
      <c r="L224" s="24"/>
      <c r="M224" s="24"/>
      <c r="N224" s="70" t="s">
        <v>340</v>
      </c>
      <c r="P224" s="42">
        <f t="shared" si="3"/>
        <v>0</v>
      </c>
      <c r="Q224" s="8"/>
    </row>
    <row r="225" spans="1:17" x14ac:dyDescent="0.25">
      <c r="A225" s="5"/>
      <c r="B225" s="18" t="s">
        <v>196</v>
      </c>
      <c r="C225" s="43" t="s">
        <v>57</v>
      </c>
      <c r="D225" s="76">
        <f>COUNTIFS('TOTAL SUSPEK'!$F:$F,"banjarsari",'TOTAL SUSPEK'!$E:$E,"sayung")</f>
        <v>0</v>
      </c>
      <c r="E225" s="22"/>
      <c r="F225" s="23"/>
      <c r="G225" s="23"/>
      <c r="H225" s="23"/>
      <c r="I225" s="23"/>
      <c r="J225" s="23"/>
      <c r="K225" s="24"/>
      <c r="L225" s="24"/>
      <c r="M225" s="24"/>
      <c r="N225" s="41" t="s">
        <v>371</v>
      </c>
      <c r="P225" s="42">
        <f t="shared" si="3"/>
        <v>0</v>
      </c>
      <c r="Q225" s="8"/>
    </row>
    <row r="226" spans="1:17" x14ac:dyDescent="0.25">
      <c r="A226" s="5"/>
      <c r="B226" s="18" t="s">
        <v>196</v>
      </c>
      <c r="C226" s="43" t="s">
        <v>203</v>
      </c>
      <c r="D226" s="76">
        <f>COUNTIFS('TOTAL SUSPEK'!$F:$F,"sidogemah")</f>
        <v>0</v>
      </c>
      <c r="E226" s="22"/>
      <c r="F226" s="23"/>
      <c r="G226" s="23"/>
      <c r="H226" s="23"/>
      <c r="I226" s="23"/>
      <c r="J226" s="23"/>
      <c r="K226" s="24"/>
      <c r="L226" s="24"/>
      <c r="M226" s="24"/>
      <c r="N226" s="70" t="s">
        <v>341</v>
      </c>
      <c r="P226" s="42">
        <f t="shared" si="3"/>
        <v>0</v>
      </c>
      <c r="Q226" s="8"/>
    </row>
    <row r="227" spans="1:17" x14ac:dyDescent="0.25">
      <c r="A227" s="5"/>
      <c r="B227" s="18" t="s">
        <v>196</v>
      </c>
      <c r="C227" s="43" t="s">
        <v>204</v>
      </c>
      <c r="D227" s="76">
        <f>COUNTIFS('TOTAL SUSPEK'!$F:$F,"Tambakroto")</f>
        <v>0</v>
      </c>
      <c r="E227" s="22"/>
      <c r="F227" s="23"/>
      <c r="G227" s="23"/>
      <c r="H227" s="23"/>
      <c r="I227" s="23"/>
      <c r="J227" s="23"/>
      <c r="K227" s="24"/>
      <c r="L227" s="24"/>
      <c r="M227" s="24"/>
      <c r="N227" s="70" t="s">
        <v>340</v>
      </c>
      <c r="P227" s="42">
        <f t="shared" si="3"/>
        <v>0</v>
      </c>
      <c r="Q227" s="8"/>
    </row>
    <row r="228" spans="1:17" x14ac:dyDescent="0.25">
      <c r="A228" s="5"/>
      <c r="B228" s="18" t="s">
        <v>196</v>
      </c>
      <c r="C228" s="43" t="s">
        <v>205</v>
      </c>
      <c r="D228" s="76">
        <f>COUNTIFS('TOTAL SUSPEK'!$F:$F,"Kalisari")</f>
        <v>1</v>
      </c>
      <c r="E228" s="22"/>
      <c r="F228" s="23"/>
      <c r="G228" s="23"/>
      <c r="H228" s="23"/>
      <c r="I228" s="23"/>
      <c r="J228" s="23"/>
      <c r="K228" s="24"/>
      <c r="L228" s="24"/>
      <c r="M228" s="24"/>
      <c r="P228" s="42">
        <f t="shared" si="3"/>
        <v>1</v>
      </c>
      <c r="Q228" s="8"/>
    </row>
    <row r="229" spans="1:17" x14ac:dyDescent="0.25">
      <c r="A229" s="5"/>
      <c r="B229" s="18" t="s">
        <v>196</v>
      </c>
      <c r="C229" s="43" t="s">
        <v>206</v>
      </c>
      <c r="D229" s="76">
        <f>COUNTIFS('TOTAL SUSPEK'!$F:$F,"Dombo")</f>
        <v>0</v>
      </c>
      <c r="E229" s="22"/>
      <c r="F229" s="23"/>
      <c r="G229" s="23"/>
      <c r="H229" s="23"/>
      <c r="I229" s="23"/>
      <c r="J229" s="23"/>
      <c r="K229" s="24"/>
      <c r="L229" s="24"/>
      <c r="M229" s="24"/>
      <c r="P229" s="42">
        <f t="shared" si="3"/>
        <v>0</v>
      </c>
      <c r="Q229" s="8"/>
    </row>
    <row r="230" spans="1:17" x14ac:dyDescent="0.25">
      <c r="A230" s="5"/>
      <c r="B230" s="18" t="s">
        <v>196</v>
      </c>
      <c r="C230" s="43" t="s">
        <v>207</v>
      </c>
      <c r="D230" s="76">
        <f>COUNTIFS('TOTAL SUSPEK'!$F:$F,"Bulusari")</f>
        <v>1</v>
      </c>
      <c r="E230" s="22"/>
      <c r="F230" s="23"/>
      <c r="G230" s="23"/>
      <c r="H230" s="23"/>
      <c r="I230" s="23"/>
      <c r="J230" s="23"/>
      <c r="K230" s="24"/>
      <c r="L230" s="24"/>
      <c r="M230" s="24"/>
      <c r="P230" s="42">
        <f t="shared" si="3"/>
        <v>1</v>
      </c>
      <c r="Q230" s="8"/>
    </row>
    <row r="231" spans="1:17" x14ac:dyDescent="0.25">
      <c r="A231" s="5"/>
      <c r="B231" s="18" t="s">
        <v>196</v>
      </c>
      <c r="C231" s="43" t="s">
        <v>208</v>
      </c>
      <c r="D231" s="76">
        <f>COUNTIFS('TOTAL SUSPEK'!$F:$F,"Jetaksari")</f>
        <v>0</v>
      </c>
      <c r="E231" s="22"/>
      <c r="F231" s="23"/>
      <c r="G231" s="23"/>
      <c r="H231" s="23"/>
      <c r="I231" s="23"/>
      <c r="J231" s="23"/>
      <c r="K231" s="24"/>
      <c r="L231" s="24"/>
      <c r="M231" s="24"/>
      <c r="P231" s="42">
        <f t="shared" si="3"/>
        <v>0</v>
      </c>
      <c r="Q231" s="8"/>
    </row>
    <row r="232" spans="1:17" x14ac:dyDescent="0.25">
      <c r="A232" s="5"/>
      <c r="B232" s="18" t="s">
        <v>196</v>
      </c>
      <c r="C232" s="43" t="s">
        <v>209</v>
      </c>
      <c r="D232" s="76">
        <f>COUNTIFS('TOTAL SUSPEK'!$F:$F,"Karangasem")</f>
        <v>0</v>
      </c>
      <c r="E232" s="22"/>
      <c r="F232" s="23"/>
      <c r="G232" s="23"/>
      <c r="H232" s="23"/>
      <c r="I232" s="23"/>
      <c r="J232" s="23"/>
      <c r="K232" s="24"/>
      <c r="L232" s="24"/>
      <c r="M232" s="24"/>
      <c r="P232" s="42">
        <f t="shared" si="3"/>
        <v>0</v>
      </c>
      <c r="Q232" s="8"/>
    </row>
    <row r="233" spans="1:17" x14ac:dyDescent="0.25">
      <c r="A233" s="5"/>
      <c r="B233" s="18" t="s">
        <v>196</v>
      </c>
      <c r="C233" s="43" t="s">
        <v>210</v>
      </c>
      <c r="D233" s="76">
        <f>COUNTIFS('TOTAL SUSPEK'!$F:$F,"Prampelan")</f>
        <v>0</v>
      </c>
      <c r="E233" s="22"/>
      <c r="F233" s="23"/>
      <c r="G233" s="23"/>
      <c r="H233" s="23"/>
      <c r="I233" s="23"/>
      <c r="J233" s="23"/>
      <c r="K233" s="24"/>
      <c r="L233" s="24"/>
      <c r="M233" s="24"/>
      <c r="P233" s="42">
        <f t="shared" si="3"/>
        <v>0</v>
      </c>
      <c r="Q233" s="8"/>
    </row>
    <row r="234" spans="1:17" x14ac:dyDescent="0.25">
      <c r="A234" s="5"/>
      <c r="B234" s="18" t="s">
        <v>196</v>
      </c>
      <c r="C234" s="43" t="s">
        <v>211</v>
      </c>
      <c r="D234" s="76">
        <f>COUNTIFS('TOTAL SUSPEK'!$F:$F,"Sayung")</f>
        <v>0</v>
      </c>
      <c r="E234" s="22"/>
      <c r="F234" s="23"/>
      <c r="G234" s="23"/>
      <c r="H234" s="23"/>
      <c r="I234" s="23"/>
      <c r="J234" s="23"/>
      <c r="K234" s="24"/>
      <c r="L234" s="24"/>
      <c r="M234" s="24"/>
      <c r="P234" s="42">
        <f t="shared" si="3"/>
        <v>0</v>
      </c>
      <c r="Q234" s="8"/>
    </row>
    <row r="235" spans="1:17" x14ac:dyDescent="0.25">
      <c r="A235" s="5"/>
      <c r="B235" s="18" t="s">
        <v>196</v>
      </c>
      <c r="C235" s="43" t="s">
        <v>212</v>
      </c>
      <c r="D235" s="76">
        <f>COUNTIFS('TOTAL SUSPEK'!$F:$F,"Pilangsari")</f>
        <v>0</v>
      </c>
      <c r="E235" s="22"/>
      <c r="F235" s="23"/>
      <c r="G235" s="23"/>
      <c r="H235" s="23"/>
      <c r="I235" s="23"/>
      <c r="J235" s="23"/>
      <c r="K235" s="24"/>
      <c r="L235" s="24"/>
      <c r="M235" s="24"/>
      <c r="P235" s="42">
        <f t="shared" si="3"/>
        <v>0</v>
      </c>
      <c r="Q235" s="8"/>
    </row>
    <row r="236" spans="1:17" x14ac:dyDescent="0.25">
      <c r="A236" s="5"/>
      <c r="B236" s="18" t="s">
        <v>196</v>
      </c>
      <c r="C236" s="43" t="s">
        <v>213</v>
      </c>
      <c r="D236" s="76">
        <f>COUNTIFS('TOTAL SUSPEK'!$F:$F,"loireng")</f>
        <v>0</v>
      </c>
      <c r="E236" s="22"/>
      <c r="F236" s="23"/>
      <c r="G236" s="23"/>
      <c r="H236" s="23"/>
      <c r="I236" s="23"/>
      <c r="J236" s="23"/>
      <c r="K236" s="24"/>
      <c r="L236" s="24"/>
      <c r="M236" s="24"/>
      <c r="P236" s="42">
        <f t="shared" si="3"/>
        <v>0</v>
      </c>
      <c r="Q236" s="8"/>
    </row>
    <row r="237" spans="1:17" x14ac:dyDescent="0.25">
      <c r="A237" s="5">
        <v>14</v>
      </c>
      <c r="B237" s="18" t="s">
        <v>214</v>
      </c>
      <c r="C237" s="43" t="s">
        <v>214</v>
      </c>
      <c r="D237" s="76">
        <f>COUNTIFS('TOTAL SUSPEK'!$F:$F,"Wedung")</f>
        <v>0</v>
      </c>
      <c r="E237" s="22" t="e">
        <f>SUM(#REF!)</f>
        <v>#REF!</v>
      </c>
      <c r="F237" s="22" t="e">
        <f>SUM(#REF!)</f>
        <v>#REF!</v>
      </c>
      <c r="G237" s="22" t="e">
        <f>SUM(#REF!)</f>
        <v>#REF!</v>
      </c>
      <c r="H237" s="22" t="e">
        <f>SUM(#REF!)</f>
        <v>#REF!</v>
      </c>
      <c r="I237" s="22" t="e">
        <f>SUM(#REF!)</f>
        <v>#REF!</v>
      </c>
      <c r="J237" s="22" t="e">
        <f>SUM(#REF!)</f>
        <v>#REF!</v>
      </c>
      <c r="K237" s="22" t="e">
        <f>SUM(#REF!)</f>
        <v>#REF!</v>
      </c>
      <c r="L237" s="22">
        <f>SUM(D237:D256)</f>
        <v>0</v>
      </c>
      <c r="M237" s="22" t="e">
        <f>SUM(#REF!)</f>
        <v>#REF!</v>
      </c>
      <c r="P237" s="42">
        <f t="shared" si="3"/>
        <v>0</v>
      </c>
      <c r="Q237" s="132">
        <f>SUM(P237:P256)</f>
        <v>0</v>
      </c>
    </row>
    <row r="238" spans="1:17" x14ac:dyDescent="0.25">
      <c r="A238" s="5"/>
      <c r="B238" s="18" t="s">
        <v>214</v>
      </c>
      <c r="C238" s="43" t="s">
        <v>215</v>
      </c>
      <c r="D238" s="76">
        <f>COUNTIFS('TOTAL SUSPEK'!$F:$F,"Ruwit")</f>
        <v>0</v>
      </c>
      <c r="E238" s="22"/>
      <c r="F238" s="23"/>
      <c r="G238" s="23"/>
      <c r="H238" s="23"/>
      <c r="I238" s="23"/>
      <c r="J238" s="23"/>
      <c r="K238" s="24"/>
      <c r="L238" s="24"/>
      <c r="M238" s="24"/>
      <c r="P238" s="42">
        <f t="shared" si="3"/>
        <v>0</v>
      </c>
      <c r="Q238" s="8"/>
    </row>
    <row r="239" spans="1:17" x14ac:dyDescent="0.25">
      <c r="A239" s="5"/>
      <c r="B239" s="18" t="s">
        <v>214</v>
      </c>
      <c r="C239" s="43" t="s">
        <v>216</v>
      </c>
      <c r="D239" s="76">
        <f>COUNTIFS('TOTAL SUSPEK'!$F:$F,"Bungo")</f>
        <v>0</v>
      </c>
      <c r="E239" s="22"/>
      <c r="F239" s="23"/>
      <c r="G239" s="23"/>
      <c r="H239" s="23"/>
      <c r="I239" s="23"/>
      <c r="J239" s="23"/>
      <c r="K239" s="24"/>
      <c r="L239" s="24"/>
      <c r="M239" s="24"/>
      <c r="P239" s="42">
        <f t="shared" si="3"/>
        <v>0</v>
      </c>
      <c r="Q239" s="8"/>
    </row>
    <row r="240" spans="1:17" x14ac:dyDescent="0.25">
      <c r="A240" s="5"/>
      <c r="B240" s="18" t="s">
        <v>214</v>
      </c>
      <c r="C240" s="43" t="s">
        <v>217</v>
      </c>
      <c r="D240" s="76">
        <f>COUNTIFS('TOTAL SUSPEK'!$F:$F,"Ngawen")</f>
        <v>0</v>
      </c>
      <c r="E240" s="22"/>
      <c r="F240" s="23"/>
      <c r="G240" s="23"/>
      <c r="H240" s="23"/>
      <c r="I240" s="23"/>
      <c r="J240" s="23"/>
      <c r="K240" s="24"/>
      <c r="L240" s="24"/>
      <c r="M240" s="24"/>
      <c r="P240" s="42">
        <f t="shared" si="3"/>
        <v>0</v>
      </c>
      <c r="Q240" s="8"/>
    </row>
    <row r="241" spans="1:17" x14ac:dyDescent="0.25">
      <c r="A241" s="5"/>
      <c r="B241" s="18" t="s">
        <v>214</v>
      </c>
      <c r="C241" s="43" t="s">
        <v>218</v>
      </c>
      <c r="D241" s="76">
        <f>COUNTIFS('TOTAL SUSPEK'!$F:$F,"Kenduren")</f>
        <v>0</v>
      </c>
      <c r="E241" s="22"/>
      <c r="F241" s="23"/>
      <c r="G241" s="23"/>
      <c r="H241" s="23"/>
      <c r="I241" s="23"/>
      <c r="J241" s="23"/>
      <c r="K241" s="24"/>
      <c r="L241" s="24"/>
      <c r="M241" s="24"/>
      <c r="P241" s="42">
        <f t="shared" si="3"/>
        <v>0</v>
      </c>
      <c r="Q241" s="8"/>
    </row>
    <row r="242" spans="1:17" x14ac:dyDescent="0.25">
      <c r="A242" s="5"/>
      <c r="B242" s="18" t="s">
        <v>214</v>
      </c>
      <c r="C242" s="43" t="s">
        <v>219</v>
      </c>
      <c r="D242" s="76">
        <f>COUNTIFS('TOTAL SUSPEK'!$F:$F,"Buko")</f>
        <v>0</v>
      </c>
      <c r="E242" s="22"/>
      <c r="F242" s="23"/>
      <c r="G242" s="23"/>
      <c r="H242" s="23"/>
      <c r="I242" s="23"/>
      <c r="J242" s="23"/>
      <c r="K242" s="24"/>
      <c r="L242" s="24"/>
      <c r="M242" s="24"/>
      <c r="P242" s="42">
        <f t="shared" si="3"/>
        <v>0</v>
      </c>
      <c r="Q242" s="8"/>
    </row>
    <row r="243" spans="1:17" x14ac:dyDescent="0.25">
      <c r="A243" s="5"/>
      <c r="B243" s="18" t="s">
        <v>214</v>
      </c>
      <c r="C243" s="43" t="s">
        <v>220</v>
      </c>
      <c r="D243" s="76">
        <f>COUNTIFS('TOTAL SUSPEK'!$F:$F,"Mandung")</f>
        <v>0</v>
      </c>
      <c r="E243" s="22"/>
      <c r="F243" s="23"/>
      <c r="G243" s="23"/>
      <c r="H243" s="23"/>
      <c r="I243" s="23"/>
      <c r="J243" s="23"/>
      <c r="K243" s="24"/>
      <c r="L243" s="24"/>
      <c r="M243" s="24"/>
      <c r="P243" s="42">
        <f t="shared" si="3"/>
        <v>0</v>
      </c>
      <c r="Q243" s="8"/>
    </row>
    <row r="244" spans="1:17" x14ac:dyDescent="0.25">
      <c r="A244" s="5"/>
      <c r="B244" s="18" t="s">
        <v>214</v>
      </c>
      <c r="C244" s="43" t="s">
        <v>221</v>
      </c>
      <c r="D244" s="76">
        <f>COUNTIFS('TOTAL SUSPEK'!$F:$F,"Berahan Wetan")</f>
        <v>0</v>
      </c>
      <c r="E244" s="22"/>
      <c r="F244" s="23"/>
      <c r="G244" s="23"/>
      <c r="H244" s="23"/>
      <c r="I244" s="23"/>
      <c r="J244" s="23"/>
      <c r="K244" s="24"/>
      <c r="L244" s="24"/>
      <c r="M244" s="24"/>
      <c r="P244" s="42">
        <f t="shared" si="3"/>
        <v>0</v>
      </c>
      <c r="Q244" s="8"/>
    </row>
    <row r="245" spans="1:17" x14ac:dyDescent="0.25">
      <c r="A245" s="5"/>
      <c r="B245" s="18" t="s">
        <v>214</v>
      </c>
      <c r="C245" s="43" t="s">
        <v>222</v>
      </c>
      <c r="D245" s="76">
        <f>COUNTIFS('TOTAL SUSPEK'!$F:$F,"Berahan Kulon")</f>
        <v>0</v>
      </c>
      <c r="E245" s="22"/>
      <c r="F245" s="23"/>
      <c r="G245" s="23"/>
      <c r="H245" s="23"/>
      <c r="I245" s="23"/>
      <c r="J245" s="23"/>
      <c r="K245" s="24"/>
      <c r="L245" s="24"/>
      <c r="M245" s="24"/>
      <c r="P245" s="42">
        <f t="shared" si="3"/>
        <v>0</v>
      </c>
      <c r="Q245" s="8"/>
    </row>
    <row r="246" spans="1:17" x14ac:dyDescent="0.25">
      <c r="A246" s="5"/>
      <c r="B246" s="18" t="s">
        <v>214</v>
      </c>
      <c r="C246" s="43" t="s">
        <v>223</v>
      </c>
      <c r="D246" s="76">
        <f>COUNTIFS('TOTAL SUSPEK'!$F:$F,"Tempel")</f>
        <v>0</v>
      </c>
      <c r="E246" s="22"/>
      <c r="F246" s="23"/>
      <c r="G246" s="23"/>
      <c r="H246" s="23"/>
      <c r="I246" s="23"/>
      <c r="J246" s="23"/>
      <c r="K246" s="24"/>
      <c r="L246" s="24"/>
      <c r="M246" s="24"/>
      <c r="P246" s="42">
        <f t="shared" si="3"/>
        <v>0</v>
      </c>
      <c r="Q246" s="8"/>
    </row>
    <row r="247" spans="1:17" x14ac:dyDescent="0.25">
      <c r="A247" s="5"/>
      <c r="B247" s="18" t="s">
        <v>214</v>
      </c>
      <c r="C247" s="43" t="s">
        <v>279</v>
      </c>
      <c r="D247" s="76">
        <f>COUNTIFS('TOTAL SUSPEK'!$F:$F,"Kedungkarang")</f>
        <v>0</v>
      </c>
      <c r="E247" s="22"/>
      <c r="F247" s="23"/>
      <c r="G247" s="23"/>
      <c r="H247" s="23"/>
      <c r="I247" s="23"/>
      <c r="J247" s="23"/>
      <c r="K247" s="24"/>
      <c r="L247" s="24"/>
      <c r="M247" s="24"/>
      <c r="P247" s="42">
        <f t="shared" si="3"/>
        <v>0</v>
      </c>
      <c r="Q247" s="8"/>
    </row>
    <row r="248" spans="1:17" x14ac:dyDescent="0.25">
      <c r="A248" s="5"/>
      <c r="B248" s="18" t="s">
        <v>214</v>
      </c>
      <c r="C248" s="43" t="s">
        <v>278</v>
      </c>
      <c r="D248" s="76">
        <f>COUNTIFS('TOTAL SUSPEK'!$F:$F,"Kedungmutih")</f>
        <v>0</v>
      </c>
      <c r="E248" s="22"/>
      <c r="F248" s="23"/>
      <c r="G248" s="23"/>
      <c r="H248" s="23"/>
      <c r="I248" s="23"/>
      <c r="J248" s="23"/>
      <c r="K248" s="24"/>
      <c r="L248" s="24"/>
      <c r="M248" s="24"/>
      <c r="P248" s="42">
        <f t="shared" si="3"/>
        <v>0</v>
      </c>
      <c r="Q248" s="8"/>
    </row>
    <row r="249" spans="1:17" x14ac:dyDescent="0.25">
      <c r="A249" s="5"/>
      <c r="B249" s="18" t="s">
        <v>214</v>
      </c>
      <c r="C249" s="43" t="s">
        <v>224</v>
      </c>
      <c r="D249" s="76">
        <f>COUNTIFS('TOTAL SUSPEK'!$F:$F,"Jungsemi")</f>
        <v>0</v>
      </c>
      <c r="E249" s="22"/>
      <c r="F249" s="23"/>
      <c r="G249" s="23"/>
      <c r="H249" s="23"/>
      <c r="I249" s="23"/>
      <c r="J249" s="23"/>
      <c r="K249" s="24"/>
      <c r="L249" s="24"/>
      <c r="M249" s="24"/>
      <c r="P249" s="42">
        <f t="shared" si="3"/>
        <v>0</v>
      </c>
      <c r="Q249" s="8"/>
    </row>
    <row r="250" spans="1:17" x14ac:dyDescent="0.25">
      <c r="A250" s="5"/>
      <c r="B250" s="18" t="s">
        <v>214</v>
      </c>
      <c r="C250" s="43" t="s">
        <v>225</v>
      </c>
      <c r="D250" s="76">
        <f>COUNTIFS('TOTAL SUSPEK'!$F:$F,"Jetak")</f>
        <v>0</v>
      </c>
      <c r="E250" s="22"/>
      <c r="F250" s="23"/>
      <c r="G250" s="23"/>
      <c r="H250" s="23"/>
      <c r="I250" s="23"/>
      <c r="J250" s="23"/>
      <c r="K250" s="24"/>
      <c r="L250" s="24"/>
      <c r="M250" s="24"/>
      <c r="P250" s="42">
        <f t="shared" si="3"/>
        <v>0</v>
      </c>
      <c r="Q250" s="8"/>
    </row>
    <row r="251" spans="1:17" x14ac:dyDescent="0.25">
      <c r="A251" s="5"/>
      <c r="B251" s="18" t="s">
        <v>214</v>
      </c>
      <c r="C251" s="43" t="s">
        <v>226</v>
      </c>
      <c r="D251" s="76">
        <f>COUNTIFS('TOTAL SUSPEK'!$F:$F,"Jungpasir")</f>
        <v>0</v>
      </c>
      <c r="E251" s="22"/>
      <c r="F251" s="23"/>
      <c r="G251" s="23"/>
      <c r="H251" s="23"/>
      <c r="I251" s="23"/>
      <c r="J251" s="23"/>
      <c r="K251" s="24"/>
      <c r="L251" s="24"/>
      <c r="M251" s="24"/>
      <c r="P251" s="42">
        <f t="shared" si="3"/>
        <v>0</v>
      </c>
      <c r="Q251" s="8"/>
    </row>
    <row r="252" spans="1:17" x14ac:dyDescent="0.25">
      <c r="A252" s="5"/>
      <c r="B252" s="18" t="s">
        <v>214</v>
      </c>
      <c r="C252" s="43" t="s">
        <v>227</v>
      </c>
      <c r="D252" s="76">
        <f>COUNTIFS('TOTAL SUSPEK'!$F:$F,"Mutih kulon")</f>
        <v>0</v>
      </c>
      <c r="E252" s="22"/>
      <c r="F252" s="23"/>
      <c r="G252" s="23"/>
      <c r="H252" s="23"/>
      <c r="I252" s="23"/>
      <c r="J252" s="23"/>
      <c r="K252" s="24"/>
      <c r="L252" s="24"/>
      <c r="M252" s="24"/>
      <c r="P252" s="42">
        <f t="shared" si="3"/>
        <v>0</v>
      </c>
      <c r="Q252" s="8"/>
    </row>
    <row r="253" spans="1:17" x14ac:dyDescent="0.25">
      <c r="A253" s="5"/>
      <c r="B253" s="18" t="s">
        <v>214</v>
      </c>
      <c r="C253" s="43" t="s">
        <v>228</v>
      </c>
      <c r="D253" s="76">
        <f>COUNTIFS('TOTAL SUSPEK'!$F:$F,"Mutih Wetan")</f>
        <v>0</v>
      </c>
      <c r="E253" s="22"/>
      <c r="F253" s="23"/>
      <c r="G253" s="23"/>
      <c r="H253" s="23"/>
      <c r="I253" s="23"/>
      <c r="J253" s="23"/>
      <c r="K253" s="24"/>
      <c r="L253" s="24"/>
      <c r="M253" s="24"/>
      <c r="P253" s="42">
        <f t="shared" si="3"/>
        <v>0</v>
      </c>
      <c r="Q253" s="8"/>
    </row>
    <row r="254" spans="1:17" x14ac:dyDescent="0.25">
      <c r="A254" s="5"/>
      <c r="B254" s="18" t="s">
        <v>214</v>
      </c>
      <c r="C254" s="43" t="s">
        <v>229</v>
      </c>
      <c r="D254" s="76">
        <f>COUNTIFS('TOTAL SUSPEK'!$F:$F,"Kendalasem")</f>
        <v>0</v>
      </c>
      <c r="E254" s="22"/>
      <c r="F254" s="23"/>
      <c r="G254" s="23"/>
      <c r="H254" s="23"/>
      <c r="I254" s="23"/>
      <c r="J254" s="23"/>
      <c r="K254" s="24"/>
      <c r="L254" s="24"/>
      <c r="M254" s="24"/>
      <c r="P254" s="42">
        <f t="shared" si="3"/>
        <v>0</v>
      </c>
      <c r="Q254" s="8"/>
    </row>
    <row r="255" spans="1:17" x14ac:dyDescent="0.25">
      <c r="A255" s="5"/>
      <c r="B255" s="18" t="s">
        <v>214</v>
      </c>
      <c r="C255" s="43" t="s">
        <v>230</v>
      </c>
      <c r="D255" s="76">
        <f>COUNTIFS('TOTAL SUSPEK'!$F:$F,"Babalan")</f>
        <v>0</v>
      </c>
      <c r="E255" s="22"/>
      <c r="F255" s="23"/>
      <c r="G255" s="23"/>
      <c r="H255" s="23"/>
      <c r="I255" s="23"/>
      <c r="J255" s="23"/>
      <c r="K255" s="24"/>
      <c r="L255" s="24"/>
      <c r="M255" s="24"/>
      <c r="P255" s="42">
        <f t="shared" si="3"/>
        <v>0</v>
      </c>
      <c r="Q255" s="8"/>
    </row>
    <row r="256" spans="1:17" x14ac:dyDescent="0.25">
      <c r="A256" s="5"/>
      <c r="B256" s="18" t="s">
        <v>214</v>
      </c>
      <c r="C256" s="43" t="s">
        <v>231</v>
      </c>
      <c r="D256" s="76">
        <f>COUNTIFS('TOTAL SUSPEK'!$F:$F,"Tedunan")</f>
        <v>0</v>
      </c>
      <c r="E256" s="22"/>
      <c r="F256" s="23"/>
      <c r="G256" s="23"/>
      <c r="H256" s="23"/>
      <c r="I256" s="23"/>
      <c r="J256" s="23"/>
      <c r="K256" s="24"/>
      <c r="L256" s="24"/>
      <c r="M256" s="24"/>
      <c r="P256" s="42">
        <f t="shared" si="3"/>
        <v>0</v>
      </c>
      <c r="Q256" s="8"/>
    </row>
    <row r="257" spans="1:17" x14ac:dyDescent="0.25">
      <c r="A257" s="17"/>
      <c r="B257" s="2" t="s">
        <v>294</v>
      </c>
      <c r="C257" s="60"/>
      <c r="D257" s="16">
        <v>0</v>
      </c>
      <c r="E257" s="27" t="e">
        <f>#REF!</f>
        <v>#REF!</v>
      </c>
      <c r="F257" s="27" t="e">
        <f>#REF!</f>
        <v>#REF!</v>
      </c>
      <c r="G257" s="27" t="e">
        <f>#REF!</f>
        <v>#REF!</v>
      </c>
      <c r="H257" s="27" t="e">
        <f>#REF!</f>
        <v>#REF!</v>
      </c>
      <c r="I257" s="27" t="e">
        <f>#REF!</f>
        <v>#REF!</v>
      </c>
      <c r="J257" s="27" t="e">
        <f>#REF!</f>
        <v>#REF!</v>
      </c>
      <c r="K257" s="27" t="e">
        <f>#REF!</f>
        <v>#REF!</v>
      </c>
      <c r="L257" s="27">
        <f>D257</f>
        <v>0</v>
      </c>
      <c r="M257" s="27" t="e">
        <f>#REF!</f>
        <v>#REF!</v>
      </c>
      <c r="P257" s="42">
        <f t="shared" si="3"/>
        <v>0</v>
      </c>
      <c r="Q257" s="8">
        <f>D257</f>
        <v>0</v>
      </c>
    </row>
    <row r="258" spans="1:17" ht="15" customHeight="1" x14ac:dyDescent="0.25">
      <c r="A258" s="114" t="s">
        <v>232</v>
      </c>
      <c r="B258" s="115"/>
      <c r="C258" s="44"/>
      <c r="D258" s="31">
        <f t="shared" ref="D258" si="4">SUM(D8:D257)</f>
        <v>13</v>
      </c>
      <c r="E258" s="25" t="e">
        <f t="shared" ref="E258:M258" si="5">SUM(E8:E257)</f>
        <v>#REF!</v>
      </c>
      <c r="F258" s="25" t="e">
        <f t="shared" si="5"/>
        <v>#REF!</v>
      </c>
      <c r="G258" s="25" t="e">
        <f t="shared" si="5"/>
        <v>#REF!</v>
      </c>
      <c r="H258" s="25" t="e">
        <f t="shared" si="5"/>
        <v>#REF!</v>
      </c>
      <c r="I258" s="25" t="e">
        <f t="shared" si="5"/>
        <v>#REF!</v>
      </c>
      <c r="J258" s="25" t="e">
        <f t="shared" si="5"/>
        <v>#REF!</v>
      </c>
      <c r="K258" s="25" t="e">
        <f t="shared" si="5"/>
        <v>#REF!</v>
      </c>
      <c r="L258" s="25">
        <f t="shared" si="5"/>
        <v>13</v>
      </c>
      <c r="M258" s="25" t="e">
        <f t="shared" si="5"/>
        <v>#REF!</v>
      </c>
      <c r="O258" s="26">
        <f>SUM(O8:O257)</f>
        <v>0</v>
      </c>
      <c r="P258" s="45">
        <f>SUM(P8:P257)</f>
        <v>13</v>
      </c>
      <c r="Q258" s="31">
        <f>SUM(Q8:Q257)</f>
        <v>13</v>
      </c>
    </row>
    <row r="259" spans="1:17" ht="15" customHeight="1" x14ac:dyDescent="0.25">
      <c r="A259" s="10"/>
      <c r="B259" s="3"/>
      <c r="C259" s="13"/>
      <c r="D259" s="13"/>
    </row>
    <row r="260" spans="1:17" ht="15" customHeight="1" x14ac:dyDescent="0.25">
      <c r="A260" s="4"/>
      <c r="B260" s="9"/>
    </row>
    <row r="261" spans="1:17" ht="15" customHeight="1" x14ac:dyDescent="0.25">
      <c r="A261" s="4"/>
    </row>
    <row r="262" spans="1:17" x14ac:dyDescent="0.25">
      <c r="A262" s="4"/>
    </row>
    <row r="263" spans="1:17" x14ac:dyDescent="0.25">
      <c r="A263" s="4"/>
    </row>
    <row r="264" spans="1:17" x14ac:dyDescent="0.25">
      <c r="A264" s="4"/>
    </row>
    <row r="265" spans="1:17" x14ac:dyDescent="0.25">
      <c r="A265" s="4"/>
    </row>
    <row r="266" spans="1:17" x14ac:dyDescent="0.25">
      <c r="A266" s="4"/>
      <c r="D266" s="13"/>
    </row>
    <row r="267" spans="1:17" x14ac:dyDescent="0.25">
      <c r="A267" s="4"/>
    </row>
    <row r="268" spans="1:17" x14ac:dyDescent="0.25">
      <c r="A268" s="4"/>
    </row>
    <row r="269" spans="1:17" x14ac:dyDescent="0.25">
      <c r="A269" s="4"/>
    </row>
    <row r="270" spans="1:17" x14ac:dyDescent="0.25">
      <c r="A270" s="4"/>
    </row>
    <row r="271" spans="1:17" x14ac:dyDescent="0.25">
      <c r="A271" s="4"/>
    </row>
    <row r="272" spans="1:17" x14ac:dyDescent="0.25">
      <c r="A272" s="4"/>
    </row>
    <row r="273" spans="1:1" customFormat="1" x14ac:dyDescent="0.25">
      <c r="A273" s="4"/>
    </row>
    <row r="274" spans="1:1" customFormat="1" x14ac:dyDescent="0.25">
      <c r="A274" s="4"/>
    </row>
    <row r="275" spans="1:1" customFormat="1" x14ac:dyDescent="0.25">
      <c r="A275" s="4"/>
    </row>
    <row r="276" spans="1:1" customFormat="1" x14ac:dyDescent="0.25">
      <c r="A276" s="4"/>
    </row>
    <row r="277" spans="1:1" customFormat="1" x14ac:dyDescent="0.25">
      <c r="A277" s="4"/>
    </row>
    <row r="278" spans="1:1" customFormat="1" x14ac:dyDescent="0.25">
      <c r="A278" s="4"/>
    </row>
    <row r="279" spans="1:1" customFormat="1" x14ac:dyDescent="0.25">
      <c r="A279" s="4"/>
    </row>
    <row r="280" spans="1:1" customFormat="1" x14ac:dyDescent="0.25">
      <c r="A280" s="4"/>
    </row>
    <row r="281" spans="1:1" customFormat="1" x14ac:dyDescent="0.25">
      <c r="A281" s="4"/>
    </row>
    <row r="282" spans="1:1" customFormat="1" x14ac:dyDescent="0.25">
      <c r="A282" s="4"/>
    </row>
    <row r="283" spans="1:1" customFormat="1" x14ac:dyDescent="0.25">
      <c r="A283" s="4"/>
    </row>
    <row r="284" spans="1:1" customFormat="1" x14ac:dyDescent="0.25">
      <c r="A284" s="4"/>
    </row>
    <row r="285" spans="1:1" customFormat="1" x14ac:dyDescent="0.25">
      <c r="A285" s="4"/>
    </row>
    <row r="286" spans="1:1" customFormat="1" x14ac:dyDescent="0.25">
      <c r="A286" s="4"/>
    </row>
    <row r="287" spans="1:1" customFormat="1" x14ac:dyDescent="0.25">
      <c r="A287" s="4"/>
    </row>
    <row r="288" spans="1:1" customFormat="1" x14ac:dyDescent="0.25">
      <c r="A288" s="4"/>
    </row>
    <row r="289" spans="1:1" customFormat="1" x14ac:dyDescent="0.25">
      <c r="A289" s="4"/>
    </row>
    <row r="290" spans="1:1" customFormat="1" x14ac:dyDescent="0.25">
      <c r="A290" s="4"/>
    </row>
    <row r="291" spans="1:1" customFormat="1" x14ac:dyDescent="0.25">
      <c r="A291" s="4"/>
    </row>
    <row r="292" spans="1:1" customFormat="1" x14ac:dyDescent="0.25">
      <c r="A292" s="4"/>
    </row>
    <row r="293" spans="1:1" customFormat="1" x14ac:dyDescent="0.25">
      <c r="A293" s="4"/>
    </row>
    <row r="294" spans="1:1" customFormat="1" x14ac:dyDescent="0.25">
      <c r="A294" s="4"/>
    </row>
    <row r="295" spans="1:1" customFormat="1" x14ac:dyDescent="0.25">
      <c r="A295" s="4"/>
    </row>
    <row r="296" spans="1:1" customFormat="1" x14ac:dyDescent="0.25">
      <c r="A296" s="4"/>
    </row>
    <row r="297" spans="1:1" customFormat="1" x14ac:dyDescent="0.25">
      <c r="A297" s="4"/>
    </row>
    <row r="298" spans="1:1" customFormat="1" x14ac:dyDescent="0.25">
      <c r="A298" s="4"/>
    </row>
    <row r="299" spans="1:1" customFormat="1" x14ac:dyDescent="0.25">
      <c r="A299" s="4"/>
    </row>
    <row r="300" spans="1:1" customFormat="1" x14ac:dyDescent="0.25">
      <c r="A300" s="4"/>
    </row>
    <row r="301" spans="1:1" customFormat="1" x14ac:dyDescent="0.25">
      <c r="A301" s="4"/>
    </row>
    <row r="302" spans="1:1" customFormat="1" x14ac:dyDescent="0.25">
      <c r="A302" s="4"/>
    </row>
    <row r="303" spans="1:1" customFormat="1" x14ac:dyDescent="0.25">
      <c r="A303" s="4"/>
    </row>
    <row r="304" spans="1:1" customFormat="1" x14ac:dyDescent="0.25">
      <c r="A304" s="4"/>
    </row>
    <row r="305" spans="1:2" customFormat="1" x14ac:dyDescent="0.25">
      <c r="A305" s="4"/>
    </row>
    <row r="306" spans="1:2" customFormat="1" x14ac:dyDescent="0.25">
      <c r="A306" s="4"/>
    </row>
    <row r="307" spans="1:2" customFormat="1" x14ac:dyDescent="0.25">
      <c r="A307" s="4"/>
    </row>
    <row r="308" spans="1:2" customFormat="1" x14ac:dyDescent="0.25">
      <c r="A308" s="4"/>
    </row>
    <row r="309" spans="1:2" customFormat="1" x14ac:dyDescent="0.25">
      <c r="A309" s="4"/>
    </row>
    <row r="310" spans="1:2" customFormat="1" x14ac:dyDescent="0.25">
      <c r="A310" s="4"/>
    </row>
    <row r="311" spans="1:2" customFormat="1" x14ac:dyDescent="0.25">
      <c r="A311" s="4"/>
    </row>
    <row r="312" spans="1:2" customFormat="1" x14ac:dyDescent="0.25">
      <c r="A312" s="4"/>
    </row>
    <row r="313" spans="1:2" customFormat="1" x14ac:dyDescent="0.25">
      <c r="A313" s="4"/>
    </row>
    <row r="314" spans="1:2" customFormat="1" x14ac:dyDescent="0.25">
      <c r="A314" s="4"/>
    </row>
    <row r="315" spans="1:2" customFormat="1" x14ac:dyDescent="0.25">
      <c r="A315" s="4"/>
    </row>
    <row r="316" spans="1:2" customFormat="1" x14ac:dyDescent="0.25">
      <c r="A316" s="4"/>
    </row>
    <row r="317" spans="1:2" customFormat="1" x14ac:dyDescent="0.25">
      <c r="A317" s="4"/>
    </row>
    <row r="318" spans="1:2" customFormat="1" x14ac:dyDescent="0.25">
      <c r="A318" s="4"/>
      <c r="B318" t="s">
        <v>233</v>
      </c>
    </row>
    <row r="319" spans="1:2" customFormat="1" x14ac:dyDescent="0.25">
      <c r="A319" s="4"/>
    </row>
    <row r="320" spans="1:2" customFormat="1" x14ac:dyDescent="0.25">
      <c r="A320" s="5" t="s">
        <v>1</v>
      </c>
      <c r="B320" s="6" t="s">
        <v>234</v>
      </c>
    </row>
    <row r="321" spans="1:2" customFormat="1" x14ac:dyDescent="0.25">
      <c r="A321" s="7" t="s">
        <v>235</v>
      </c>
      <c r="B321" s="8" t="s">
        <v>236</v>
      </c>
    </row>
    <row r="322" spans="1:2" customFormat="1" x14ac:dyDescent="0.25">
      <c r="A322" s="7" t="s">
        <v>237</v>
      </c>
      <c r="B322" s="8" t="s">
        <v>9</v>
      </c>
    </row>
    <row r="323" spans="1:2" customFormat="1" x14ac:dyDescent="0.25">
      <c r="A323" s="7" t="s">
        <v>238</v>
      </c>
      <c r="B323" s="8" t="s">
        <v>21</v>
      </c>
    </row>
    <row r="324" spans="1:2" customFormat="1" x14ac:dyDescent="0.25">
      <c r="A324" s="7" t="s">
        <v>239</v>
      </c>
      <c r="B324" s="8" t="s">
        <v>240</v>
      </c>
    </row>
    <row r="325" spans="1:2" customFormat="1" x14ac:dyDescent="0.25">
      <c r="A325" s="7" t="s">
        <v>241</v>
      </c>
      <c r="B325" s="8" t="s">
        <v>242</v>
      </c>
    </row>
    <row r="326" spans="1:2" customFormat="1" x14ac:dyDescent="0.25">
      <c r="A326" s="7" t="s">
        <v>243</v>
      </c>
      <c r="B326" s="8" t="s">
        <v>37</v>
      </c>
    </row>
    <row r="327" spans="1:2" customFormat="1" x14ac:dyDescent="0.25">
      <c r="A327" s="7" t="s">
        <v>244</v>
      </c>
      <c r="B327" s="8" t="s">
        <v>41</v>
      </c>
    </row>
    <row r="328" spans="1:2" customFormat="1" x14ac:dyDescent="0.25">
      <c r="A328" s="7" t="s">
        <v>245</v>
      </c>
      <c r="B328" s="8" t="s">
        <v>38</v>
      </c>
    </row>
    <row r="329" spans="1:2" customFormat="1" x14ac:dyDescent="0.25">
      <c r="A329" s="7" t="s">
        <v>246</v>
      </c>
      <c r="B329" s="8" t="s">
        <v>57</v>
      </c>
    </row>
    <row r="330" spans="1:2" customFormat="1" x14ac:dyDescent="0.25">
      <c r="A330" s="7" t="s">
        <v>247</v>
      </c>
      <c r="B330" s="8" t="s">
        <v>66</v>
      </c>
    </row>
    <row r="331" spans="1:2" customFormat="1" x14ac:dyDescent="0.25">
      <c r="A331" s="7" t="s">
        <v>248</v>
      </c>
      <c r="B331" s="8" t="s">
        <v>55</v>
      </c>
    </row>
    <row r="332" spans="1:2" customFormat="1" x14ac:dyDescent="0.25">
      <c r="A332" s="7" t="s">
        <v>249</v>
      </c>
      <c r="B332" s="8" t="s">
        <v>65</v>
      </c>
    </row>
    <row r="333" spans="1:2" customFormat="1" x14ac:dyDescent="0.25">
      <c r="A333" s="7" t="s">
        <v>250</v>
      </c>
      <c r="B333" s="8" t="s">
        <v>77</v>
      </c>
    </row>
    <row r="334" spans="1:2" customFormat="1" x14ac:dyDescent="0.25">
      <c r="A334" s="7" t="s">
        <v>251</v>
      </c>
      <c r="B334" s="8" t="s">
        <v>78</v>
      </c>
    </row>
    <row r="335" spans="1:2" customFormat="1" x14ac:dyDescent="0.25">
      <c r="A335" s="7" t="s">
        <v>252</v>
      </c>
      <c r="B335" s="8" t="s">
        <v>253</v>
      </c>
    </row>
    <row r="336" spans="1:2" customFormat="1" x14ac:dyDescent="0.25">
      <c r="A336" s="7" t="s">
        <v>254</v>
      </c>
      <c r="B336" s="8" t="s">
        <v>73</v>
      </c>
    </row>
    <row r="337" spans="1:2" customFormat="1" x14ac:dyDescent="0.25">
      <c r="A337" s="7" t="s">
        <v>255</v>
      </c>
      <c r="B337" s="8" t="s">
        <v>81</v>
      </c>
    </row>
    <row r="338" spans="1:2" customFormat="1" x14ac:dyDescent="0.25">
      <c r="A338" s="7" t="s">
        <v>256</v>
      </c>
      <c r="B338" s="8" t="s">
        <v>9</v>
      </c>
    </row>
    <row r="339" spans="1:2" customFormat="1" x14ac:dyDescent="0.25">
      <c r="A339" s="7" t="s">
        <v>257</v>
      </c>
      <c r="B339" s="8" t="s">
        <v>108</v>
      </c>
    </row>
    <row r="340" spans="1:2" customFormat="1" x14ac:dyDescent="0.25">
      <c r="A340" s="7" t="s">
        <v>258</v>
      </c>
      <c r="B340" s="8" t="s">
        <v>114</v>
      </c>
    </row>
    <row r="341" spans="1:2" customFormat="1" x14ac:dyDescent="0.25">
      <c r="A341" s="7" t="s">
        <v>259</v>
      </c>
      <c r="B341" s="8" t="s">
        <v>115</v>
      </c>
    </row>
    <row r="342" spans="1:2" customFormat="1" x14ac:dyDescent="0.25">
      <c r="A342" s="7" t="s">
        <v>260</v>
      </c>
      <c r="B342" s="8" t="s">
        <v>116</v>
      </c>
    </row>
    <row r="343" spans="1:2" customFormat="1" x14ac:dyDescent="0.25">
      <c r="A343" s="7" t="s">
        <v>261</v>
      </c>
      <c r="B343" s="8" t="s">
        <v>8</v>
      </c>
    </row>
    <row r="344" spans="1:2" customFormat="1" x14ac:dyDescent="0.25">
      <c r="A344" s="7" t="s">
        <v>262</v>
      </c>
      <c r="B344" s="8" t="s">
        <v>127</v>
      </c>
    </row>
    <row r="345" spans="1:2" customFormat="1" x14ac:dyDescent="0.25">
      <c r="A345" s="7" t="s">
        <v>263</v>
      </c>
      <c r="B345" s="8" t="s">
        <v>142</v>
      </c>
    </row>
    <row r="346" spans="1:2" customFormat="1" x14ac:dyDescent="0.25">
      <c r="A346" s="7" t="s">
        <v>264</v>
      </c>
      <c r="B346" s="8" t="s">
        <v>160</v>
      </c>
    </row>
    <row r="347" spans="1:2" customFormat="1" x14ac:dyDescent="0.25">
      <c r="A347" s="7" t="s">
        <v>265</v>
      </c>
      <c r="B347" s="8" t="s">
        <v>180</v>
      </c>
    </row>
    <row r="348" spans="1:2" customFormat="1" x14ac:dyDescent="0.25">
      <c r="A348" s="7" t="s">
        <v>266</v>
      </c>
      <c r="B348" s="8" t="s">
        <v>198</v>
      </c>
    </row>
    <row r="349" spans="1:2" customFormat="1" x14ac:dyDescent="0.25">
      <c r="A349" s="7" t="s">
        <v>267</v>
      </c>
      <c r="B349" s="8" t="s">
        <v>214</v>
      </c>
    </row>
    <row r="350" spans="1:2" customFormat="1" x14ac:dyDescent="0.25">
      <c r="A350" s="7" t="s">
        <v>268</v>
      </c>
      <c r="B350" s="8" t="s">
        <v>231</v>
      </c>
    </row>
    <row r="351" spans="1:2" customFormat="1" x14ac:dyDescent="0.25">
      <c r="A351" s="7" t="s">
        <v>269</v>
      </c>
      <c r="B351" s="8" t="s">
        <v>224</v>
      </c>
    </row>
    <row r="354" spans="1:2" customFormat="1" x14ac:dyDescent="0.25">
      <c r="A354" s="116" t="s">
        <v>270</v>
      </c>
      <c r="B354" s="116"/>
    </row>
    <row r="356" spans="1:2" customFormat="1" x14ac:dyDescent="0.25">
      <c r="A356" s="5" t="s">
        <v>1</v>
      </c>
      <c r="B356" s="6" t="s">
        <v>234</v>
      </c>
    </row>
    <row r="357" spans="1:2" customFormat="1" x14ac:dyDescent="0.25">
      <c r="A357" s="7" t="s">
        <v>235</v>
      </c>
      <c r="B357" s="8" t="s">
        <v>25</v>
      </c>
    </row>
    <row r="358" spans="1:2" customFormat="1" x14ac:dyDescent="0.25">
      <c r="A358" s="7" t="s">
        <v>237</v>
      </c>
      <c r="B358" s="8" t="s">
        <v>30</v>
      </c>
    </row>
    <row r="359" spans="1:2" customFormat="1" x14ac:dyDescent="0.25">
      <c r="A359" s="7" t="s">
        <v>238</v>
      </c>
      <c r="B359" s="8" t="s">
        <v>43</v>
      </c>
    </row>
    <row r="360" spans="1:2" customFormat="1" x14ac:dyDescent="0.25">
      <c r="A360" s="7" t="s">
        <v>239</v>
      </c>
      <c r="B360" s="8" t="s">
        <v>44</v>
      </c>
    </row>
    <row r="361" spans="1:2" customFormat="1" x14ac:dyDescent="0.25">
      <c r="A361" s="7" t="s">
        <v>241</v>
      </c>
      <c r="B361" s="8" t="s">
        <v>86</v>
      </c>
    </row>
    <row r="362" spans="1:2" customFormat="1" x14ac:dyDescent="0.25">
      <c r="A362" s="7" t="s">
        <v>243</v>
      </c>
      <c r="B362" s="8" t="s">
        <v>103</v>
      </c>
    </row>
    <row r="363" spans="1:2" customFormat="1" x14ac:dyDescent="0.25">
      <c r="A363" s="7" t="s">
        <v>244</v>
      </c>
      <c r="B363" s="8" t="s">
        <v>129</v>
      </c>
    </row>
    <row r="364" spans="1:2" customFormat="1" x14ac:dyDescent="0.25">
      <c r="A364" s="7" t="s">
        <v>245</v>
      </c>
      <c r="B364" s="8" t="s">
        <v>271</v>
      </c>
    </row>
    <row r="365" spans="1:2" customFormat="1" x14ac:dyDescent="0.25">
      <c r="A365" s="7" t="s">
        <v>246</v>
      </c>
      <c r="B365" s="8" t="s">
        <v>135</v>
      </c>
    </row>
    <row r="366" spans="1:2" customFormat="1" x14ac:dyDescent="0.25">
      <c r="A366" s="7" t="s">
        <v>247</v>
      </c>
      <c r="B366" s="8" t="s">
        <v>165</v>
      </c>
    </row>
    <row r="367" spans="1:2" customFormat="1" x14ac:dyDescent="0.25">
      <c r="A367" s="7" t="s">
        <v>248</v>
      </c>
      <c r="B367" s="8" t="s">
        <v>171</v>
      </c>
    </row>
    <row r="368" spans="1:2" customFormat="1" x14ac:dyDescent="0.25">
      <c r="A368" s="7" t="s">
        <v>249</v>
      </c>
      <c r="B368" s="8" t="s">
        <v>53</v>
      </c>
    </row>
    <row r="369" spans="1:2" customFormat="1" x14ac:dyDescent="0.25">
      <c r="A369" s="7" t="s">
        <v>250</v>
      </c>
      <c r="B369" s="8" t="s">
        <v>175</v>
      </c>
    </row>
    <row r="370" spans="1:2" customFormat="1" x14ac:dyDescent="0.25">
      <c r="A370" s="7" t="s">
        <v>251</v>
      </c>
      <c r="B370" s="8" t="s">
        <v>57</v>
      </c>
    </row>
    <row r="371" spans="1:2" customFormat="1" x14ac:dyDescent="0.25">
      <c r="A371" s="7" t="s">
        <v>252</v>
      </c>
      <c r="B371" s="8" t="s">
        <v>203</v>
      </c>
    </row>
  </sheetData>
  <mergeCells count="16">
    <mergeCell ref="Q5:Q7"/>
    <mergeCell ref="A258:B258"/>
    <mergeCell ref="A354:B354"/>
    <mergeCell ref="J5:J7"/>
    <mergeCell ref="K5:K7"/>
    <mergeCell ref="L5:L7"/>
    <mergeCell ref="E5:E7"/>
    <mergeCell ref="F5:F7"/>
    <mergeCell ref="G5:G7"/>
    <mergeCell ref="H5:H7"/>
    <mergeCell ref="I5:I7"/>
    <mergeCell ref="A5:A7"/>
    <mergeCell ref="B5:B7"/>
    <mergeCell ref="C5:C7"/>
    <mergeCell ref="D5:D7"/>
    <mergeCell ref="M5:M7"/>
  </mergeCells>
  <conditionalFormatting sqref="C1:C1048576">
    <cfRule type="duplicateValues" dxfId="41" priority="1"/>
  </conditionalFormatting>
  <pageMargins left="0.35433070866141736" right="0.19685039370078741" top="0.74803149606299213" bottom="0.74803149606299213" header="0.31496062992125984" footer="0.31496062992125984"/>
  <pageSetup paperSize="5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workbookViewId="0">
      <selection activeCell="A3" sqref="A3:B3"/>
    </sheetView>
  </sheetViews>
  <sheetFormatPr defaultColWidth="9.140625" defaultRowHeight="15" x14ac:dyDescent="0.25"/>
  <cols>
    <col min="1" max="1" width="6.42578125" style="49" customWidth="1"/>
    <col min="2" max="2" width="37.42578125" style="48" customWidth="1"/>
    <col min="3" max="3" width="29.28515625" style="14" customWidth="1"/>
    <col min="4" max="4" width="18.28515625" style="48" customWidth="1"/>
    <col min="5" max="5" width="18.28515625" style="14" customWidth="1"/>
    <col min="6" max="10" width="18.28515625" style="48" customWidth="1"/>
    <col min="11" max="16384" width="9.140625" style="48"/>
  </cols>
  <sheetData>
    <row r="2" spans="1:5" x14ac:dyDescent="0.25">
      <c r="A2" s="128" t="s">
        <v>442</v>
      </c>
      <c r="B2" s="128"/>
      <c r="C2" s="128"/>
    </row>
    <row r="3" spans="1:5" x14ac:dyDescent="0.25">
      <c r="A3" s="129" t="str">
        <f>"TANGGAL "&amp;perdesa!B4</f>
        <v>TANGGAL 18 SEPTEMBER 2021</v>
      </c>
      <c r="B3" s="129"/>
    </row>
    <row r="4" spans="1:5" s="52" customFormat="1" x14ac:dyDescent="0.25">
      <c r="A4" s="50" t="s">
        <v>1</v>
      </c>
      <c r="B4" s="51" t="s">
        <v>2</v>
      </c>
      <c r="C4" s="71" t="s">
        <v>459</v>
      </c>
      <c r="E4" s="53"/>
    </row>
    <row r="5" spans="1:5" x14ac:dyDescent="0.25">
      <c r="A5" s="55"/>
      <c r="B5" s="56"/>
      <c r="C5" s="87"/>
    </row>
    <row r="6" spans="1:5" s="14" customFormat="1" x14ac:dyDescent="0.25">
      <c r="A6" s="54">
        <v>1</v>
      </c>
      <c r="B6" s="43" t="s">
        <v>284</v>
      </c>
      <c r="C6" s="89">
        <f>perdesa!Q155</f>
        <v>1</v>
      </c>
    </row>
    <row r="7" spans="1:5" s="14" customFormat="1" x14ac:dyDescent="0.25">
      <c r="A7" s="54">
        <v>2</v>
      </c>
      <c r="B7" s="43" t="s">
        <v>282</v>
      </c>
      <c r="C7" s="89">
        <f>perdesa!Q175</f>
        <v>1</v>
      </c>
    </row>
    <row r="8" spans="1:5" s="14" customFormat="1" x14ac:dyDescent="0.25">
      <c r="A8" s="54">
        <v>3</v>
      </c>
      <c r="B8" s="43" t="s">
        <v>293</v>
      </c>
      <c r="C8" s="89">
        <f>perdesa!Q237</f>
        <v>0</v>
      </c>
    </row>
    <row r="9" spans="1:5" s="14" customFormat="1" x14ac:dyDescent="0.25">
      <c r="A9" s="54">
        <v>4</v>
      </c>
      <c r="B9" s="43" t="s">
        <v>291</v>
      </c>
      <c r="C9" s="89">
        <f>perdesa!Q83</f>
        <v>1</v>
      </c>
    </row>
    <row r="10" spans="1:5" s="14" customFormat="1" x14ac:dyDescent="0.25">
      <c r="A10" s="54">
        <v>5</v>
      </c>
      <c r="B10" s="43" t="s">
        <v>0</v>
      </c>
      <c r="C10" s="89">
        <f>perdesa!Q27</f>
        <v>0</v>
      </c>
    </row>
    <row r="11" spans="1:5" s="14" customFormat="1" x14ac:dyDescent="0.25">
      <c r="A11" s="54">
        <v>6</v>
      </c>
      <c r="B11" s="43" t="s">
        <v>283</v>
      </c>
      <c r="C11" s="89">
        <f>perdesa!Q115</f>
        <v>0</v>
      </c>
    </row>
    <row r="12" spans="1:5" s="14" customFormat="1" x14ac:dyDescent="0.25">
      <c r="A12" s="54">
        <v>7</v>
      </c>
      <c r="B12" s="43" t="s">
        <v>285</v>
      </c>
      <c r="C12" s="89">
        <f>perdesa!Q217</f>
        <v>3</v>
      </c>
    </row>
    <row r="13" spans="1:5" s="14" customFormat="1" x14ac:dyDescent="0.25">
      <c r="A13" s="54">
        <v>8</v>
      </c>
      <c r="B13" s="43" t="s">
        <v>286</v>
      </c>
      <c r="C13" s="89">
        <f>perdesa!Q44</f>
        <v>0</v>
      </c>
    </row>
    <row r="14" spans="1:5" s="14" customFormat="1" x14ac:dyDescent="0.25">
      <c r="A14" s="54">
        <v>9</v>
      </c>
      <c r="B14" s="43" t="s">
        <v>292</v>
      </c>
      <c r="C14" s="89">
        <f>perdesa!Q134</f>
        <v>3</v>
      </c>
    </row>
    <row r="15" spans="1:5" s="14" customFormat="1" x14ac:dyDescent="0.25">
      <c r="A15" s="54">
        <v>10</v>
      </c>
      <c r="B15" s="43" t="s">
        <v>400</v>
      </c>
      <c r="C15" s="89">
        <f>perdesa!Q8</f>
        <v>2</v>
      </c>
    </row>
    <row r="16" spans="1:5" s="14" customFormat="1" x14ac:dyDescent="0.25">
      <c r="A16" s="54">
        <v>11</v>
      </c>
      <c r="B16" s="43" t="s">
        <v>287</v>
      </c>
      <c r="C16" s="76">
        <f>perdesa!Q203</f>
        <v>0</v>
      </c>
      <c r="D16" s="26"/>
    </row>
    <row r="17" spans="1:3" s="14" customFormat="1" x14ac:dyDescent="0.25">
      <c r="A17" s="54">
        <v>12</v>
      </c>
      <c r="B17" s="43" t="s">
        <v>288</v>
      </c>
      <c r="C17" s="89">
        <f>perdesa!Q187</f>
        <v>1</v>
      </c>
    </row>
    <row r="18" spans="1:3" s="14" customFormat="1" x14ac:dyDescent="0.25">
      <c r="A18" s="54">
        <v>13</v>
      </c>
      <c r="B18" s="43" t="s">
        <v>289</v>
      </c>
      <c r="C18" s="89">
        <f>perdesa!Q65</f>
        <v>0</v>
      </c>
    </row>
    <row r="19" spans="1:3" s="14" customFormat="1" x14ac:dyDescent="0.25">
      <c r="A19" s="54">
        <v>14</v>
      </c>
      <c r="B19" s="43" t="s">
        <v>290</v>
      </c>
      <c r="C19" s="89">
        <f>perdesa!Q100</f>
        <v>1</v>
      </c>
    </row>
    <row r="20" spans="1:3" s="14" customFormat="1" x14ac:dyDescent="0.25">
      <c r="A20" s="54">
        <v>15</v>
      </c>
      <c r="B20" s="43" t="s">
        <v>294</v>
      </c>
      <c r="C20" s="76">
        <f>perdesa!Q257</f>
        <v>0</v>
      </c>
    </row>
    <row r="21" spans="1:3" x14ac:dyDescent="0.25">
      <c r="A21" s="57"/>
      <c r="B21" s="58" t="s">
        <v>401</v>
      </c>
      <c r="C21" s="88">
        <f t="shared" ref="C21" si="0">SUM(C6:C20)</f>
        <v>13</v>
      </c>
    </row>
    <row r="27" spans="1:3" x14ac:dyDescent="0.25">
      <c r="B27" s="48" t="s">
        <v>461</v>
      </c>
    </row>
  </sheetData>
  <mergeCells count="2">
    <mergeCell ref="A2:C2"/>
    <mergeCell ref="A3:B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G6"/>
  <sheetViews>
    <sheetView topLeftCell="C1" workbookViewId="0">
      <selection activeCell="C6" sqref="C6:AG6"/>
    </sheetView>
  </sheetViews>
  <sheetFormatPr defaultRowHeight="15" x14ac:dyDescent="0.25"/>
  <cols>
    <col min="6" max="6" width="25.5703125" customWidth="1"/>
    <col min="9" max="9" width="16.140625" customWidth="1"/>
  </cols>
  <sheetData>
    <row r="5" spans="1:33" s="32" customFormat="1" ht="18.75" customHeight="1" x14ac:dyDescent="0.25">
      <c r="A5" s="37"/>
      <c r="B5" s="37"/>
      <c r="C5" s="46">
        <v>44014</v>
      </c>
      <c r="D5" s="40" t="s">
        <v>352</v>
      </c>
      <c r="E5" s="40" t="s">
        <v>311</v>
      </c>
      <c r="F5" s="72" t="s">
        <v>402</v>
      </c>
      <c r="G5" s="73">
        <v>44008</v>
      </c>
      <c r="H5" s="71">
        <v>46</v>
      </c>
      <c r="I5" s="72" t="s">
        <v>405</v>
      </c>
      <c r="J5" s="71" t="s">
        <v>403</v>
      </c>
      <c r="K5" s="71">
        <v>1</v>
      </c>
      <c r="L5" s="71" t="s">
        <v>404</v>
      </c>
      <c r="M5" s="71" t="s">
        <v>405</v>
      </c>
      <c r="N5" s="71" t="s">
        <v>404</v>
      </c>
      <c r="O5" s="38" t="s">
        <v>294</v>
      </c>
      <c r="P5" s="38" t="s">
        <v>294</v>
      </c>
      <c r="Q5" s="37"/>
      <c r="R5" s="8" t="s">
        <v>350</v>
      </c>
      <c r="S5" s="37"/>
      <c r="T5" s="37"/>
      <c r="U5" s="37"/>
      <c r="V5" s="37"/>
      <c r="W5" s="37"/>
      <c r="X5" s="37"/>
      <c r="Y5" s="37"/>
      <c r="Z5" s="37" t="s">
        <v>318</v>
      </c>
      <c r="AA5" s="37"/>
      <c r="AB5" s="37"/>
      <c r="AC5" s="37"/>
      <c r="AD5" s="37" t="s">
        <v>310</v>
      </c>
      <c r="AF5" s="33" t="s">
        <v>294</v>
      </c>
      <c r="AG5" s="33" t="s">
        <v>294</v>
      </c>
    </row>
    <row r="6" spans="1:33" ht="90" x14ac:dyDescent="0.25">
      <c r="C6" s="39">
        <v>44017</v>
      </c>
      <c r="D6" s="74" t="s">
        <v>352</v>
      </c>
      <c r="E6" s="74" t="s">
        <v>311</v>
      </c>
      <c r="F6" s="34" t="s">
        <v>429</v>
      </c>
      <c r="G6" s="74" t="s">
        <v>307</v>
      </c>
      <c r="H6" s="74">
        <v>54</v>
      </c>
      <c r="I6" s="74"/>
      <c r="J6" s="74"/>
      <c r="K6" s="74"/>
      <c r="L6" s="74"/>
      <c r="M6" s="74"/>
      <c r="N6" s="34" t="s">
        <v>428</v>
      </c>
      <c r="O6" s="34" t="s">
        <v>395</v>
      </c>
      <c r="P6" s="34" t="s">
        <v>283</v>
      </c>
      <c r="Q6" s="74"/>
      <c r="R6" s="74" t="s">
        <v>430</v>
      </c>
      <c r="S6" s="74"/>
      <c r="T6" s="74" t="s">
        <v>326</v>
      </c>
      <c r="U6" s="74"/>
      <c r="V6" s="74"/>
      <c r="W6" s="74"/>
      <c r="X6" s="74"/>
      <c r="Y6" s="74"/>
      <c r="Z6" s="74"/>
      <c r="AA6" s="74"/>
      <c r="AB6" s="74"/>
      <c r="AC6" s="74"/>
      <c r="AD6" s="74" t="s">
        <v>355</v>
      </c>
      <c r="AE6" s="36"/>
      <c r="AF6" s="35" t="s">
        <v>395</v>
      </c>
      <c r="AG6" s="35" t="s">
        <v>283</v>
      </c>
    </row>
  </sheetData>
  <conditionalFormatting sqref="F5">
    <cfRule type="duplicateValues" dxfId="40" priority="20"/>
  </conditionalFormatting>
  <dataValidations count="2">
    <dataValidation type="list" allowBlank="1" showInputMessage="1" showErrorMessage="1" errorTitle="pilihan" sqref="AD5">
      <formula1>#REF!</formula1>
    </dataValidation>
    <dataValidation type="list" allowBlank="1" showInputMessage="1" showErrorMessage="1" errorTitle="pilihan" sqref="AD6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AG20"/>
  <sheetViews>
    <sheetView workbookViewId="0">
      <selection activeCell="A3" sqref="A3:XFD19"/>
    </sheetView>
  </sheetViews>
  <sheetFormatPr defaultRowHeight="15" x14ac:dyDescent="0.25"/>
  <cols>
    <col min="6" max="6" width="22.7109375" customWidth="1"/>
    <col min="18" max="18" width="17.28515625" customWidth="1"/>
    <col min="26" max="26" width="17.28515625" customWidth="1"/>
  </cols>
  <sheetData>
    <row r="3" spans="4:33" s="32" customFormat="1" ht="27" customHeight="1" x14ac:dyDescent="0.25">
      <c r="D3" s="37" t="s">
        <v>352</v>
      </c>
      <c r="E3" s="37" t="s">
        <v>311</v>
      </c>
      <c r="F3" s="38" t="s">
        <v>316</v>
      </c>
      <c r="G3" s="37" t="s">
        <v>305</v>
      </c>
      <c r="H3" s="37">
        <v>52</v>
      </c>
      <c r="I3" s="37" t="s">
        <v>426</v>
      </c>
      <c r="J3" s="37"/>
      <c r="K3" s="37"/>
      <c r="L3" s="37"/>
      <c r="M3" s="37"/>
      <c r="N3" s="38" t="s">
        <v>317</v>
      </c>
      <c r="O3" s="38" t="s">
        <v>345</v>
      </c>
      <c r="P3" s="38" t="s">
        <v>282</v>
      </c>
      <c r="Q3" s="37"/>
      <c r="R3" s="37" t="s">
        <v>312</v>
      </c>
      <c r="S3" s="37" t="s">
        <v>399</v>
      </c>
      <c r="T3" s="37"/>
      <c r="U3" s="37"/>
      <c r="V3" s="37"/>
      <c r="W3" s="37"/>
      <c r="X3" s="37"/>
      <c r="Y3" s="37"/>
      <c r="Z3" s="37" t="s">
        <v>393</v>
      </c>
      <c r="AA3" s="37" t="s">
        <v>427</v>
      </c>
      <c r="AB3" s="37" t="s">
        <v>308</v>
      </c>
    </row>
    <row r="4" spans="4:33" s="32" customFormat="1" ht="27" customHeight="1" x14ac:dyDescent="0.25">
      <c r="D4" s="37" t="s">
        <v>352</v>
      </c>
      <c r="E4" s="37" t="s">
        <v>311</v>
      </c>
      <c r="F4" s="38" t="s">
        <v>356</v>
      </c>
      <c r="G4" s="37" t="s">
        <v>305</v>
      </c>
      <c r="H4" s="37">
        <v>56</v>
      </c>
      <c r="I4" s="37" t="s">
        <v>357</v>
      </c>
      <c r="J4" s="37"/>
      <c r="K4" s="37"/>
      <c r="L4" s="37"/>
      <c r="M4" s="37"/>
      <c r="N4" s="38" t="s">
        <v>423</v>
      </c>
      <c r="O4" s="38" t="s">
        <v>346</v>
      </c>
      <c r="P4" s="38" t="s">
        <v>309</v>
      </c>
      <c r="Q4" s="37"/>
      <c r="R4" s="37" t="s">
        <v>312</v>
      </c>
      <c r="S4" s="37" t="s">
        <v>424</v>
      </c>
      <c r="T4" s="37"/>
      <c r="U4" s="37"/>
      <c r="V4" s="37"/>
      <c r="W4" s="37"/>
      <c r="X4" s="37"/>
      <c r="Y4" s="37"/>
      <c r="Z4" s="37" t="s">
        <v>393</v>
      </c>
      <c r="AA4" s="37" t="s">
        <v>425</v>
      </c>
      <c r="AB4" s="37" t="s">
        <v>308</v>
      </c>
    </row>
    <row r="5" spans="4:33" s="32" customFormat="1" ht="27" customHeight="1" x14ac:dyDescent="0.25">
      <c r="D5" s="37" t="s">
        <v>352</v>
      </c>
      <c r="E5" s="37" t="s">
        <v>311</v>
      </c>
      <c r="F5" s="38" t="s">
        <v>314</v>
      </c>
      <c r="G5" s="37" t="s">
        <v>305</v>
      </c>
      <c r="H5" s="37">
        <v>52</v>
      </c>
      <c r="I5" s="37" t="s">
        <v>315</v>
      </c>
      <c r="J5" s="37"/>
      <c r="K5" s="37"/>
      <c r="L5" s="37"/>
      <c r="M5" s="37"/>
      <c r="N5" s="38" t="s">
        <v>420</v>
      </c>
      <c r="O5" s="38" t="s">
        <v>344</v>
      </c>
      <c r="P5" s="38" t="s">
        <v>0</v>
      </c>
      <c r="Q5" s="37"/>
      <c r="R5" s="37" t="s">
        <v>312</v>
      </c>
      <c r="S5" s="37" t="s">
        <v>421</v>
      </c>
      <c r="T5" s="37"/>
      <c r="U5" s="37"/>
      <c r="V5" s="37"/>
      <c r="W5" s="37"/>
      <c r="X5" s="37"/>
      <c r="Y5" s="37"/>
      <c r="Z5" s="37" t="s">
        <v>393</v>
      </c>
      <c r="AA5" s="37" t="s">
        <v>422</v>
      </c>
      <c r="AB5" s="37" t="s">
        <v>308</v>
      </c>
    </row>
    <row r="6" spans="4:33" s="32" customFormat="1" ht="27" customHeight="1" x14ac:dyDescent="0.25">
      <c r="D6" s="37" t="s">
        <v>352</v>
      </c>
      <c r="E6" s="37" t="s">
        <v>311</v>
      </c>
      <c r="F6" s="38" t="s">
        <v>331</v>
      </c>
      <c r="G6" s="37" t="s">
        <v>305</v>
      </c>
      <c r="H6" s="37">
        <v>63</v>
      </c>
      <c r="I6" s="37" t="s">
        <v>324</v>
      </c>
      <c r="J6" s="37"/>
      <c r="K6" s="37"/>
      <c r="L6" s="37"/>
      <c r="M6" s="37"/>
      <c r="N6" s="38" t="s">
        <v>323</v>
      </c>
      <c r="O6" s="38" t="s">
        <v>354</v>
      </c>
      <c r="P6" s="38" t="s">
        <v>293</v>
      </c>
      <c r="Q6" s="37"/>
      <c r="R6" s="37" t="s">
        <v>306</v>
      </c>
      <c r="S6" s="37" t="s">
        <v>409</v>
      </c>
      <c r="T6" s="37"/>
      <c r="U6" s="37"/>
      <c r="V6" s="37"/>
      <c r="W6" s="37"/>
      <c r="X6" s="37"/>
      <c r="Y6" s="37"/>
      <c r="Z6" s="37" t="s">
        <v>393</v>
      </c>
      <c r="AA6" s="37" t="s">
        <v>419</v>
      </c>
      <c r="AB6" s="37" t="s">
        <v>308</v>
      </c>
    </row>
    <row r="7" spans="4:33" s="32" customFormat="1" ht="27" customHeight="1" x14ac:dyDescent="0.25">
      <c r="D7" s="37" t="s">
        <v>352</v>
      </c>
      <c r="E7" s="37" t="s">
        <v>311</v>
      </c>
      <c r="F7" s="38" t="s">
        <v>372</v>
      </c>
      <c r="G7" s="37" t="s">
        <v>305</v>
      </c>
      <c r="H7" s="37">
        <v>17</v>
      </c>
      <c r="I7" s="37" t="s">
        <v>374</v>
      </c>
      <c r="J7" s="37"/>
      <c r="K7" s="37"/>
      <c r="L7" s="37"/>
      <c r="M7" s="37"/>
      <c r="N7" s="38" t="s">
        <v>373</v>
      </c>
      <c r="O7" s="38" t="s">
        <v>351</v>
      </c>
      <c r="P7" s="38" t="s">
        <v>309</v>
      </c>
      <c r="Q7" s="37"/>
      <c r="R7" s="37" t="s">
        <v>312</v>
      </c>
      <c r="S7" s="37" t="s">
        <v>377</v>
      </c>
      <c r="T7" s="37"/>
      <c r="U7" s="37"/>
      <c r="V7" s="37"/>
      <c r="W7" s="37"/>
      <c r="X7" s="37"/>
      <c r="Y7" s="37"/>
      <c r="Z7" s="37" t="s">
        <v>393</v>
      </c>
      <c r="AA7" s="37" t="s">
        <v>325</v>
      </c>
      <c r="AB7" s="37" t="s">
        <v>308</v>
      </c>
    </row>
    <row r="8" spans="4:33" s="32" customFormat="1" ht="27" customHeight="1" x14ac:dyDescent="0.25">
      <c r="D8" s="37" t="s">
        <v>352</v>
      </c>
      <c r="E8" s="37" t="s">
        <v>311</v>
      </c>
      <c r="F8" s="38" t="s">
        <v>332</v>
      </c>
      <c r="G8" s="37" t="s">
        <v>305</v>
      </c>
      <c r="H8" s="37">
        <v>75</v>
      </c>
      <c r="I8" s="37" t="s">
        <v>333</v>
      </c>
      <c r="J8" s="37"/>
      <c r="K8" s="37"/>
      <c r="L8" s="37"/>
      <c r="M8" s="37"/>
      <c r="N8" s="38" t="s">
        <v>418</v>
      </c>
      <c r="O8" s="38" t="s">
        <v>347</v>
      </c>
      <c r="P8" s="38" t="s">
        <v>309</v>
      </c>
      <c r="Q8" s="37"/>
      <c r="R8" s="37" t="s">
        <v>312</v>
      </c>
      <c r="S8" s="37" t="s">
        <v>411</v>
      </c>
      <c r="T8" s="37"/>
      <c r="U8" s="37"/>
      <c r="V8" s="37"/>
      <c r="W8" s="37"/>
      <c r="X8" s="37"/>
      <c r="Y8" s="37"/>
      <c r="Z8" s="37" t="s">
        <v>393</v>
      </c>
      <c r="AA8" s="37" t="s">
        <v>334</v>
      </c>
      <c r="AB8" s="37" t="s">
        <v>308</v>
      </c>
    </row>
    <row r="9" spans="4:33" s="32" customFormat="1" ht="27" customHeight="1" x14ac:dyDescent="0.25">
      <c r="D9" s="37" t="s">
        <v>352</v>
      </c>
      <c r="E9" s="37" t="s">
        <v>311</v>
      </c>
      <c r="F9" s="38" t="s">
        <v>362</v>
      </c>
      <c r="G9" s="37" t="s">
        <v>307</v>
      </c>
      <c r="H9" s="37">
        <v>28</v>
      </c>
      <c r="I9" s="37" t="s">
        <v>368</v>
      </c>
      <c r="J9" s="37"/>
      <c r="K9" s="37"/>
      <c r="L9" s="37"/>
      <c r="M9" s="37"/>
      <c r="N9" s="38" t="s">
        <v>367</v>
      </c>
      <c r="O9" s="38" t="s">
        <v>343</v>
      </c>
      <c r="P9" s="38" t="s">
        <v>285</v>
      </c>
      <c r="Q9" s="37"/>
      <c r="R9" s="37" t="s">
        <v>312</v>
      </c>
      <c r="S9" s="37" t="s">
        <v>377</v>
      </c>
      <c r="T9" s="37"/>
      <c r="U9" s="37"/>
      <c r="V9" s="37"/>
      <c r="W9" s="37"/>
      <c r="X9" s="37"/>
      <c r="Y9" s="37"/>
      <c r="Z9" s="37" t="s">
        <v>393</v>
      </c>
      <c r="AA9" s="37" t="s">
        <v>369</v>
      </c>
      <c r="AB9" s="37" t="s">
        <v>308</v>
      </c>
    </row>
    <row r="10" spans="4:33" s="32" customFormat="1" ht="27" customHeight="1" x14ac:dyDescent="0.25">
      <c r="D10" s="37" t="s">
        <v>352</v>
      </c>
      <c r="E10" s="37" t="s">
        <v>311</v>
      </c>
      <c r="F10" s="38" t="s">
        <v>386</v>
      </c>
      <c r="G10" s="37" t="s">
        <v>307</v>
      </c>
      <c r="H10" s="37">
        <v>76</v>
      </c>
      <c r="I10" s="37" t="s">
        <v>388</v>
      </c>
      <c r="J10" s="37"/>
      <c r="K10" s="37"/>
      <c r="L10" s="37"/>
      <c r="M10" s="37"/>
      <c r="N10" s="38" t="s">
        <v>387</v>
      </c>
      <c r="O10" s="38" t="s">
        <v>349</v>
      </c>
      <c r="P10" s="38" t="s">
        <v>282</v>
      </c>
      <c r="Q10" s="37"/>
      <c r="R10" s="37" t="s">
        <v>312</v>
      </c>
      <c r="S10" s="37" t="s">
        <v>376</v>
      </c>
      <c r="T10" s="37"/>
      <c r="U10" s="37"/>
      <c r="V10" s="37"/>
      <c r="W10" s="37"/>
      <c r="X10" s="37"/>
      <c r="Y10" s="37"/>
      <c r="Z10" s="37" t="s">
        <v>393</v>
      </c>
      <c r="AA10" s="37" t="s">
        <v>322</v>
      </c>
      <c r="AB10" s="37" t="s">
        <v>308</v>
      </c>
    </row>
    <row r="11" spans="4:33" s="32" customFormat="1" ht="27" customHeight="1" x14ac:dyDescent="0.25">
      <c r="D11" s="37" t="s">
        <v>352</v>
      </c>
      <c r="E11" s="37" t="s">
        <v>311</v>
      </c>
      <c r="F11" s="38" t="s">
        <v>390</v>
      </c>
      <c r="G11" s="37" t="s">
        <v>305</v>
      </c>
      <c r="H11" s="37">
        <v>20</v>
      </c>
      <c r="I11" s="37" t="s">
        <v>308</v>
      </c>
      <c r="J11" s="37"/>
      <c r="K11" s="37"/>
      <c r="L11" s="37"/>
      <c r="M11" s="37"/>
      <c r="N11" s="38" t="s">
        <v>391</v>
      </c>
      <c r="O11" s="38" t="s">
        <v>309</v>
      </c>
      <c r="P11" s="38" t="s">
        <v>309</v>
      </c>
      <c r="Q11" s="37"/>
      <c r="R11" s="37" t="s">
        <v>312</v>
      </c>
      <c r="S11" s="37" t="s">
        <v>392</v>
      </c>
      <c r="T11" s="37"/>
      <c r="U11" s="37"/>
      <c r="V11" s="37"/>
      <c r="W11" s="37"/>
      <c r="X11" s="37"/>
      <c r="Y11" s="37"/>
      <c r="Z11" s="37" t="s">
        <v>393</v>
      </c>
      <c r="AA11" s="37" t="s">
        <v>417</v>
      </c>
      <c r="AB11" s="37" t="s">
        <v>308</v>
      </c>
      <c r="AG11" s="33"/>
    </row>
    <row r="12" spans="4:33" s="32" customFormat="1" ht="27" customHeight="1" x14ac:dyDescent="0.25">
      <c r="D12" s="37" t="s">
        <v>352</v>
      </c>
      <c r="E12" s="37" t="s">
        <v>311</v>
      </c>
      <c r="F12" s="38" t="s">
        <v>359</v>
      </c>
      <c r="G12" s="37" t="s">
        <v>305</v>
      </c>
      <c r="H12" s="37">
        <v>72</v>
      </c>
      <c r="I12" s="37" t="s">
        <v>308</v>
      </c>
      <c r="J12" s="37"/>
      <c r="K12" s="37"/>
      <c r="L12" s="37"/>
      <c r="M12" s="37"/>
      <c r="N12" s="38" t="s">
        <v>360</v>
      </c>
      <c r="O12" s="38" t="s">
        <v>370</v>
      </c>
      <c r="P12" s="38" t="s">
        <v>282</v>
      </c>
      <c r="Q12" s="37"/>
      <c r="R12" s="37" t="s">
        <v>312</v>
      </c>
      <c r="S12" s="37" t="s">
        <v>389</v>
      </c>
      <c r="T12" s="37"/>
      <c r="U12" s="37"/>
      <c r="V12" s="37"/>
      <c r="W12" s="37"/>
      <c r="X12" s="37"/>
      <c r="Y12" s="37"/>
      <c r="Z12" s="37" t="s">
        <v>393</v>
      </c>
      <c r="AA12" s="37" t="s">
        <v>361</v>
      </c>
      <c r="AB12" s="37" t="s">
        <v>308</v>
      </c>
      <c r="AG12" s="33"/>
    </row>
    <row r="13" spans="4:33" s="32" customFormat="1" ht="27" customHeight="1" x14ac:dyDescent="0.25">
      <c r="D13" s="37" t="s">
        <v>352</v>
      </c>
      <c r="E13" s="37" t="s">
        <v>311</v>
      </c>
      <c r="F13" s="38" t="s">
        <v>337</v>
      </c>
      <c r="G13" s="37" t="s">
        <v>307</v>
      </c>
      <c r="H13" s="37">
        <v>48</v>
      </c>
      <c r="I13" s="37" t="s">
        <v>414</v>
      </c>
      <c r="J13" s="37"/>
      <c r="K13" s="37"/>
      <c r="L13" s="37"/>
      <c r="M13" s="37"/>
      <c r="N13" s="37" t="s">
        <v>415</v>
      </c>
      <c r="O13" s="37" t="s">
        <v>346</v>
      </c>
      <c r="P13" s="37" t="s">
        <v>309</v>
      </c>
      <c r="Q13" s="37"/>
      <c r="R13" s="37" t="s">
        <v>312</v>
      </c>
      <c r="S13" s="37" t="s">
        <v>380</v>
      </c>
      <c r="T13" s="37"/>
      <c r="U13" s="37"/>
      <c r="V13" s="37"/>
      <c r="W13" s="37"/>
      <c r="X13" s="37"/>
      <c r="Y13" s="37"/>
      <c r="Z13" s="37" t="s">
        <v>393</v>
      </c>
      <c r="AA13" s="37" t="s">
        <v>416</v>
      </c>
      <c r="AB13" s="37" t="s">
        <v>308</v>
      </c>
      <c r="AG13" s="33"/>
    </row>
    <row r="14" spans="4:33" s="32" customFormat="1" ht="27" customHeight="1" x14ac:dyDescent="0.25">
      <c r="D14" s="37" t="s">
        <v>352</v>
      </c>
      <c r="E14" s="37" t="s">
        <v>311</v>
      </c>
      <c r="F14" s="38" t="s">
        <v>378</v>
      </c>
      <c r="G14" s="37" t="s">
        <v>307</v>
      </c>
      <c r="H14" s="37">
        <v>36</v>
      </c>
      <c r="I14" s="37" t="s">
        <v>379</v>
      </c>
      <c r="J14" s="37"/>
      <c r="K14" s="37"/>
      <c r="L14" s="37"/>
      <c r="M14" s="37"/>
      <c r="N14" s="37" t="s">
        <v>412</v>
      </c>
      <c r="O14" s="37" t="s">
        <v>358</v>
      </c>
      <c r="P14" s="37" t="s">
        <v>309</v>
      </c>
      <c r="Q14" s="37"/>
      <c r="R14" s="37" t="s">
        <v>312</v>
      </c>
      <c r="S14" s="37" t="s">
        <v>375</v>
      </c>
      <c r="T14" s="37"/>
      <c r="U14" s="37"/>
      <c r="V14" s="37"/>
      <c r="W14" s="37"/>
      <c r="X14" s="37"/>
      <c r="Y14" s="37"/>
      <c r="Z14" s="37" t="s">
        <v>393</v>
      </c>
      <c r="AA14" s="37" t="s">
        <v>413</v>
      </c>
      <c r="AB14" s="37" t="s">
        <v>308</v>
      </c>
      <c r="AG14" s="33"/>
    </row>
    <row r="15" spans="4:33" s="32" customFormat="1" ht="27" customHeight="1" x14ac:dyDescent="0.25">
      <c r="D15" s="37" t="s">
        <v>352</v>
      </c>
      <c r="E15" s="37" t="s">
        <v>311</v>
      </c>
      <c r="F15" s="38" t="s">
        <v>313</v>
      </c>
      <c r="G15" s="37" t="s">
        <v>307</v>
      </c>
      <c r="H15" s="37">
        <v>47</v>
      </c>
      <c r="I15" s="37" t="s">
        <v>383</v>
      </c>
      <c r="J15" s="37"/>
      <c r="K15" s="37"/>
      <c r="L15" s="37"/>
      <c r="M15" s="37"/>
      <c r="N15" s="37" t="s">
        <v>382</v>
      </c>
      <c r="O15" s="37" t="s">
        <v>381</v>
      </c>
      <c r="P15" s="37" t="s">
        <v>282</v>
      </c>
      <c r="Q15" s="37"/>
      <c r="R15" s="37" t="s">
        <v>312</v>
      </c>
      <c r="S15" s="37" t="s">
        <v>385</v>
      </c>
      <c r="T15" s="37"/>
      <c r="U15" s="37"/>
      <c r="V15" s="37"/>
      <c r="W15" s="37"/>
      <c r="X15" s="37"/>
      <c r="Y15" s="37"/>
      <c r="Z15" s="37" t="s">
        <v>393</v>
      </c>
      <c r="AA15" s="37" t="s">
        <v>384</v>
      </c>
      <c r="AB15" s="37" t="s">
        <v>308</v>
      </c>
      <c r="AG15" s="33"/>
    </row>
    <row r="16" spans="4:33" s="32" customFormat="1" ht="27" customHeight="1" x14ac:dyDescent="0.25">
      <c r="D16" s="37" t="s">
        <v>352</v>
      </c>
      <c r="E16" s="37" t="s">
        <v>311</v>
      </c>
      <c r="F16" s="38" t="s">
        <v>335</v>
      </c>
      <c r="G16" s="37" t="s">
        <v>305</v>
      </c>
      <c r="H16" s="37">
        <v>53</v>
      </c>
      <c r="I16" s="37" t="s">
        <v>336</v>
      </c>
      <c r="J16" s="37"/>
      <c r="K16" s="37"/>
      <c r="L16" s="37"/>
      <c r="M16" s="37"/>
      <c r="N16" s="37" t="s">
        <v>410</v>
      </c>
      <c r="O16" s="37" t="s">
        <v>397</v>
      </c>
      <c r="P16" s="37" t="s">
        <v>286</v>
      </c>
      <c r="Q16" s="37"/>
      <c r="R16" s="37" t="s">
        <v>306</v>
      </c>
      <c r="S16" s="37" t="s">
        <v>411</v>
      </c>
      <c r="T16" s="37"/>
      <c r="U16" s="37"/>
      <c r="V16" s="37"/>
      <c r="W16" s="37"/>
      <c r="X16" s="37"/>
      <c r="Y16" s="37"/>
      <c r="Z16" s="37" t="s">
        <v>393</v>
      </c>
      <c r="AA16" s="37" t="s">
        <v>328</v>
      </c>
      <c r="AB16" s="37" t="s">
        <v>308</v>
      </c>
      <c r="AG16" s="33"/>
    </row>
    <row r="17" spans="4:33" s="32" customFormat="1" ht="27" customHeight="1" x14ac:dyDescent="0.25">
      <c r="D17" s="37" t="s">
        <v>352</v>
      </c>
      <c r="E17" s="37" t="s">
        <v>311</v>
      </c>
      <c r="F17" s="38" t="s">
        <v>319</v>
      </c>
      <c r="G17" s="37" t="s">
        <v>307</v>
      </c>
      <c r="H17" s="37">
        <v>48</v>
      </c>
      <c r="I17" s="37" t="s">
        <v>408</v>
      </c>
      <c r="J17" s="37"/>
      <c r="K17" s="37"/>
      <c r="L17" s="37"/>
      <c r="M17" s="37"/>
      <c r="N17" s="37" t="s">
        <v>321</v>
      </c>
      <c r="O17" s="37" t="s">
        <v>348</v>
      </c>
      <c r="P17" s="37" t="s">
        <v>309</v>
      </c>
      <c r="Q17" s="37"/>
      <c r="R17" s="37" t="s">
        <v>320</v>
      </c>
      <c r="S17" s="37" t="s">
        <v>409</v>
      </c>
      <c r="T17" s="37"/>
      <c r="U17" s="37"/>
      <c r="V17" s="37"/>
      <c r="W17" s="37"/>
      <c r="X17" s="37"/>
      <c r="Y17" s="37"/>
      <c r="Z17" s="37" t="s">
        <v>393</v>
      </c>
      <c r="AA17" s="37">
        <v>0</v>
      </c>
      <c r="AB17" s="37" t="s">
        <v>308</v>
      </c>
      <c r="AG17" s="33"/>
    </row>
    <row r="18" spans="4:33" s="32" customFormat="1" ht="27" customHeight="1" x14ac:dyDescent="0.25">
      <c r="D18" s="37" t="s">
        <v>352</v>
      </c>
      <c r="E18" s="37" t="s">
        <v>311</v>
      </c>
      <c r="F18" s="38" t="s">
        <v>363</v>
      </c>
      <c r="G18" s="37" t="s">
        <v>305</v>
      </c>
      <c r="H18" s="37">
        <v>45</v>
      </c>
      <c r="I18" s="37" t="s">
        <v>365</v>
      </c>
      <c r="J18" s="37"/>
      <c r="K18" s="37"/>
      <c r="L18" s="37"/>
      <c r="M18" s="37"/>
      <c r="N18" s="37" t="s">
        <v>364</v>
      </c>
      <c r="O18" s="37" t="s">
        <v>339</v>
      </c>
      <c r="P18" s="37" t="s">
        <v>309</v>
      </c>
      <c r="Q18" s="37"/>
      <c r="R18" s="37" t="s">
        <v>312</v>
      </c>
      <c r="S18" s="37" t="s">
        <v>385</v>
      </c>
      <c r="T18" s="37"/>
      <c r="U18" s="37"/>
      <c r="V18" s="37"/>
      <c r="W18" s="37"/>
      <c r="X18" s="37"/>
      <c r="Y18" s="37"/>
      <c r="Z18" s="37" t="s">
        <v>393</v>
      </c>
      <c r="AA18" s="37" t="s">
        <v>366</v>
      </c>
      <c r="AB18" s="37" t="s">
        <v>308</v>
      </c>
      <c r="AG18" s="33"/>
    </row>
    <row r="19" spans="4:33" s="32" customFormat="1" ht="27" customHeight="1" x14ac:dyDescent="0.25">
      <c r="D19" s="37" t="s">
        <v>352</v>
      </c>
      <c r="E19" s="37" t="s">
        <v>311</v>
      </c>
      <c r="F19" s="38" t="s">
        <v>327</v>
      </c>
      <c r="G19" s="37" t="s">
        <v>307</v>
      </c>
      <c r="H19" s="37">
        <v>24</v>
      </c>
      <c r="I19" s="37" t="s">
        <v>329</v>
      </c>
      <c r="J19" s="37"/>
      <c r="K19" s="37"/>
      <c r="L19" s="37"/>
      <c r="M19" s="37"/>
      <c r="N19" s="37" t="s">
        <v>406</v>
      </c>
      <c r="O19" s="37" t="s">
        <v>284</v>
      </c>
      <c r="P19" s="37" t="s">
        <v>284</v>
      </c>
      <c r="Q19" s="37"/>
      <c r="R19" s="37" t="s">
        <v>312</v>
      </c>
      <c r="S19" s="37" t="s">
        <v>407</v>
      </c>
      <c r="T19" s="37"/>
      <c r="U19" s="37"/>
      <c r="V19" s="37"/>
      <c r="W19" s="37"/>
      <c r="X19" s="37"/>
      <c r="Y19" s="37"/>
      <c r="Z19" s="37" t="s">
        <v>393</v>
      </c>
      <c r="AA19" s="37" t="s">
        <v>330</v>
      </c>
      <c r="AB19" s="37" t="s">
        <v>308</v>
      </c>
      <c r="AG19" s="33"/>
    </row>
    <row r="20" spans="4:33" s="32" customFormat="1" x14ac:dyDescent="0.25">
      <c r="F20" s="33"/>
      <c r="N20" s="33"/>
      <c r="O20" s="33"/>
      <c r="P20" s="33"/>
      <c r="AA20" s="37"/>
      <c r="AG20" s="33"/>
    </row>
  </sheetData>
  <conditionalFormatting sqref="F3:F19">
    <cfRule type="duplicateValues" dxfId="39" priority="1"/>
  </conditionalFormatting>
  <dataValidations count="1">
    <dataValidation type="list" allowBlank="1" showInputMessage="1" showErrorMessage="1" errorTitle="pilihan" sqref="AD3:AD20">
      <formula1>#REF!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zoomScaleNormal="100" workbookViewId="0">
      <selection activeCell="C7" sqref="C7:AE19"/>
    </sheetView>
  </sheetViews>
  <sheetFormatPr defaultColWidth="9.140625" defaultRowHeight="12" x14ac:dyDescent="0.25"/>
  <cols>
    <col min="1" max="1" width="4.85546875" style="77" customWidth="1"/>
    <col min="2" max="2" width="20.140625" style="77" customWidth="1"/>
    <col min="3" max="4" width="29.5703125" style="77" customWidth="1"/>
    <col min="5" max="5" width="16.140625" style="77" customWidth="1"/>
    <col min="6" max="6" width="16.85546875" style="77" customWidth="1"/>
    <col min="7" max="7" width="16.7109375" style="77" customWidth="1"/>
    <col min="8" max="8" width="6.28515625" style="77" customWidth="1"/>
    <col min="9" max="9" width="6.85546875" style="77" customWidth="1"/>
    <col min="10" max="10" width="18.42578125" style="78" customWidth="1"/>
    <col min="11" max="11" width="26.140625" style="77" customWidth="1"/>
    <col min="12" max="12" width="22.28515625" style="77" customWidth="1"/>
    <col min="13" max="13" width="44.5703125" style="77" customWidth="1"/>
    <col min="14" max="14" width="22.42578125" style="77" customWidth="1"/>
    <col min="15" max="15" width="22.7109375" style="77" customWidth="1"/>
    <col min="16" max="16" width="27.5703125" style="77" customWidth="1"/>
    <col min="17" max="17" width="3" style="77" hidden="1" customWidth="1"/>
    <col min="18" max="18" width="13.28515625" style="77" customWidth="1"/>
    <col min="19" max="19" width="9.140625" style="77"/>
    <col min="20" max="20" width="27.42578125" style="77" customWidth="1"/>
    <col min="21" max="21" width="18.140625" style="77" customWidth="1"/>
    <col min="22" max="22" width="33.85546875" style="77" customWidth="1"/>
    <col min="23" max="23" width="18" style="77" customWidth="1"/>
    <col min="24" max="24" width="10.5703125" style="77" customWidth="1"/>
    <col min="25" max="25" width="24.5703125" style="77" customWidth="1"/>
    <col min="26" max="26" width="23.7109375" style="77" customWidth="1"/>
    <col min="27" max="27" width="13.28515625" style="77" customWidth="1"/>
    <col min="28" max="28" width="16.5703125" style="77" customWidth="1"/>
    <col min="29" max="29" width="9.140625" style="77"/>
    <col min="30" max="30" width="13.5703125" style="77" customWidth="1"/>
    <col min="31" max="31" width="15.28515625" style="77" customWidth="1"/>
    <col min="32" max="16384" width="9.140625" style="77"/>
  </cols>
  <sheetData>
    <row r="1" spans="1:32" ht="21" customHeight="1" x14ac:dyDescent="0.25">
      <c r="A1" s="130" t="s">
        <v>443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32" x14ac:dyDescent="0.25">
      <c r="A2" s="130" t="s">
        <v>487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4" spans="1:32" x14ac:dyDescent="0.25">
      <c r="A4" s="130" t="s">
        <v>444</v>
      </c>
      <c r="B4" s="130"/>
      <c r="C4" s="79"/>
      <c r="D4" s="82"/>
      <c r="E4" s="79"/>
    </row>
    <row r="5" spans="1:32" x14ac:dyDescent="0.25">
      <c r="A5" s="131" t="s">
        <v>579</v>
      </c>
      <c r="B5" s="131"/>
      <c r="C5" s="131"/>
      <c r="D5" s="131"/>
      <c r="E5" s="131"/>
    </row>
    <row r="6" spans="1:32" customFormat="1" ht="15" x14ac:dyDescent="0.25">
      <c r="A6" t="s">
        <v>1</v>
      </c>
      <c r="B6" s="81" t="s">
        <v>445</v>
      </c>
      <c r="C6" t="s">
        <v>431</v>
      </c>
      <c r="D6" t="s">
        <v>473</v>
      </c>
      <c r="E6" t="s">
        <v>432</v>
      </c>
      <c r="F6" t="s">
        <v>2</v>
      </c>
      <c r="G6" t="s">
        <v>433</v>
      </c>
      <c r="H6" t="s">
        <v>474</v>
      </c>
      <c r="I6" t="s">
        <v>475</v>
      </c>
      <c r="J6" t="s">
        <v>434</v>
      </c>
      <c r="K6" t="s">
        <v>435</v>
      </c>
      <c r="L6" t="s">
        <v>436</v>
      </c>
      <c r="M6" t="s">
        <v>437</v>
      </c>
      <c r="N6" t="s">
        <v>446</v>
      </c>
      <c r="O6" t="s">
        <v>447</v>
      </c>
      <c r="P6" t="s">
        <v>448</v>
      </c>
      <c r="Q6" t="s">
        <v>449</v>
      </c>
      <c r="R6" t="s">
        <v>450</v>
      </c>
      <c r="S6" t="s">
        <v>451</v>
      </c>
      <c r="T6" t="s">
        <v>452</v>
      </c>
      <c r="U6" s="84" t="s">
        <v>453</v>
      </c>
      <c r="V6" t="s">
        <v>441</v>
      </c>
      <c r="W6" s="84" t="s">
        <v>454</v>
      </c>
      <c r="X6" s="84" t="s">
        <v>455</v>
      </c>
      <c r="Y6" t="s">
        <v>438</v>
      </c>
      <c r="Z6" t="s">
        <v>478</v>
      </c>
      <c r="AA6" t="s">
        <v>479</v>
      </c>
      <c r="AB6" s="84" t="s">
        <v>480</v>
      </c>
      <c r="AC6" t="s">
        <v>456</v>
      </c>
      <c r="AD6" s="83" t="s">
        <v>457</v>
      </c>
      <c r="AE6" s="83" t="s">
        <v>458</v>
      </c>
    </row>
    <row r="7" spans="1:32" ht="15" x14ac:dyDescent="0.25">
      <c r="A7">
        <v>1</v>
      </c>
      <c r="B7" s="81" t="s">
        <v>483</v>
      </c>
      <c r="C7" t="s">
        <v>484</v>
      </c>
      <c r="D7" t="s">
        <v>471</v>
      </c>
      <c r="E7" t="s">
        <v>283</v>
      </c>
      <c r="F7" t="s">
        <v>285</v>
      </c>
      <c r="G7" t="s">
        <v>482</v>
      </c>
      <c r="H7">
        <v>3</v>
      </c>
      <c r="I7">
        <v>2</v>
      </c>
      <c r="J7" t="s">
        <v>485</v>
      </c>
      <c r="K7">
        <v>69</v>
      </c>
      <c r="L7" t="s">
        <v>305</v>
      </c>
      <c r="M7" t="s">
        <v>486</v>
      </c>
      <c r="N7"/>
      <c r="O7"/>
      <c r="P7" t="s">
        <v>476</v>
      </c>
      <c r="Q7"/>
      <c r="R7"/>
      <c r="S7"/>
      <c r="T7"/>
      <c r="U7" s="84"/>
      <c r="V7" t="s">
        <v>472</v>
      </c>
      <c r="W7" s="84">
        <v>44382</v>
      </c>
      <c r="X7" s="84"/>
      <c r="Y7" t="s">
        <v>440</v>
      </c>
      <c r="Z7"/>
      <c r="AA7"/>
      <c r="AB7" s="84"/>
      <c r="AC7">
        <v>0</v>
      </c>
      <c r="AD7" s="83">
        <v>44396.500775462999</v>
      </c>
      <c r="AE7" s="83">
        <v>44395.468495369998</v>
      </c>
      <c r="AF7" s="83"/>
    </row>
    <row r="8" spans="1:32" ht="15" x14ac:dyDescent="0.25">
      <c r="A8">
        <v>2</v>
      </c>
      <c r="B8" s="81" t="s">
        <v>490</v>
      </c>
      <c r="C8" t="s">
        <v>491</v>
      </c>
      <c r="D8" t="s">
        <v>471</v>
      </c>
      <c r="E8" t="s">
        <v>283</v>
      </c>
      <c r="F8" t="s">
        <v>292</v>
      </c>
      <c r="G8" t="s">
        <v>492</v>
      </c>
      <c r="H8">
        <v>6</v>
      </c>
      <c r="I8">
        <v>3</v>
      </c>
      <c r="J8" t="s">
        <v>493</v>
      </c>
      <c r="K8">
        <v>66</v>
      </c>
      <c r="L8" t="s">
        <v>307</v>
      </c>
      <c r="M8" t="s">
        <v>494</v>
      </c>
      <c r="N8" t="s">
        <v>468</v>
      </c>
      <c r="O8" t="s">
        <v>495</v>
      </c>
      <c r="P8" t="s">
        <v>489</v>
      </c>
      <c r="Q8"/>
      <c r="R8"/>
      <c r="S8"/>
      <c r="T8"/>
      <c r="U8" s="84"/>
      <c r="V8" t="s">
        <v>496</v>
      </c>
      <c r="W8" s="84">
        <v>44424</v>
      </c>
      <c r="X8" s="84"/>
      <c r="Y8" t="s">
        <v>440</v>
      </c>
      <c r="Z8"/>
      <c r="AA8"/>
      <c r="AB8" s="84"/>
      <c r="AC8">
        <v>0</v>
      </c>
      <c r="AD8" s="83">
        <v>44426.621064815001</v>
      </c>
      <c r="AE8" s="83">
        <v>44426.621064815001</v>
      </c>
      <c r="AF8" s="83"/>
    </row>
    <row r="9" spans="1:32" ht="15" x14ac:dyDescent="0.25">
      <c r="A9">
        <v>3</v>
      </c>
      <c r="B9" s="81" t="s">
        <v>560</v>
      </c>
      <c r="C9" t="s">
        <v>561</v>
      </c>
      <c r="D9" t="s">
        <v>471</v>
      </c>
      <c r="E9" t="s">
        <v>283</v>
      </c>
      <c r="F9" t="s">
        <v>292</v>
      </c>
      <c r="G9" t="s">
        <v>562</v>
      </c>
      <c r="H9">
        <v>2</v>
      </c>
      <c r="I9">
        <v>2</v>
      </c>
      <c r="J9" t="s">
        <v>562</v>
      </c>
      <c r="K9">
        <v>25</v>
      </c>
      <c r="L9" t="s">
        <v>307</v>
      </c>
      <c r="M9" t="s">
        <v>563</v>
      </c>
      <c r="N9" t="s">
        <v>469</v>
      </c>
      <c r="O9" t="s">
        <v>470</v>
      </c>
      <c r="P9" t="s">
        <v>564</v>
      </c>
      <c r="Q9" t="s">
        <v>283</v>
      </c>
      <c r="R9" t="s">
        <v>565</v>
      </c>
      <c r="S9" t="s">
        <v>565</v>
      </c>
      <c r="T9" t="s">
        <v>566</v>
      </c>
      <c r="U9" s="84">
        <v>44454</v>
      </c>
      <c r="V9" t="s">
        <v>537</v>
      </c>
      <c r="W9" s="84">
        <v>44433</v>
      </c>
      <c r="X9" s="84"/>
      <c r="Y9" t="s">
        <v>440</v>
      </c>
      <c r="Z9"/>
      <c r="AA9"/>
      <c r="AB9" s="84"/>
      <c r="AC9">
        <v>1</v>
      </c>
      <c r="AD9" s="83">
        <v>44456.852777777996</v>
      </c>
      <c r="AE9" s="83">
        <v>44433.733206019002</v>
      </c>
      <c r="AF9" s="83"/>
    </row>
    <row r="10" spans="1:32" ht="15" x14ac:dyDescent="0.25">
      <c r="A10">
        <v>4</v>
      </c>
      <c r="B10" s="81" t="s">
        <v>498</v>
      </c>
      <c r="C10" t="s">
        <v>499</v>
      </c>
      <c r="D10" t="s">
        <v>471</v>
      </c>
      <c r="E10" t="s">
        <v>283</v>
      </c>
      <c r="F10" t="s">
        <v>291</v>
      </c>
      <c r="G10" t="s">
        <v>500</v>
      </c>
      <c r="H10">
        <v>12</v>
      </c>
      <c r="I10">
        <v>3</v>
      </c>
      <c r="J10" t="s">
        <v>500</v>
      </c>
      <c r="K10">
        <v>46</v>
      </c>
      <c r="L10" t="s">
        <v>305</v>
      </c>
      <c r="M10" t="s">
        <v>501</v>
      </c>
      <c r="N10" t="s">
        <v>502</v>
      </c>
      <c r="O10" t="s">
        <v>503</v>
      </c>
      <c r="P10" t="s">
        <v>504</v>
      </c>
      <c r="Q10"/>
      <c r="R10"/>
      <c r="S10"/>
      <c r="T10"/>
      <c r="U10" s="84"/>
      <c r="V10" t="s">
        <v>505</v>
      </c>
      <c r="W10" s="84">
        <v>44439</v>
      </c>
      <c r="X10" s="84"/>
      <c r="Y10" t="s">
        <v>440</v>
      </c>
      <c r="Z10" t="s">
        <v>506</v>
      </c>
      <c r="AA10" t="s">
        <v>488</v>
      </c>
      <c r="AB10" s="84">
        <v>44439</v>
      </c>
      <c r="AC10">
        <v>0</v>
      </c>
      <c r="AD10" s="83">
        <v>44439.290775463</v>
      </c>
      <c r="AE10" s="83">
        <v>44439.290775463</v>
      </c>
      <c r="AF10" s="83"/>
    </row>
    <row r="11" spans="1:32" ht="15" x14ac:dyDescent="0.25">
      <c r="A11">
        <v>5</v>
      </c>
      <c r="B11" s="81" t="s">
        <v>510</v>
      </c>
      <c r="C11" t="s">
        <v>511</v>
      </c>
      <c r="D11" t="s">
        <v>471</v>
      </c>
      <c r="E11" t="s">
        <v>283</v>
      </c>
      <c r="F11" t="s">
        <v>288</v>
      </c>
      <c r="G11" t="s">
        <v>512</v>
      </c>
      <c r="H11">
        <v>5</v>
      </c>
      <c r="I11">
        <v>6</v>
      </c>
      <c r="J11" t="s">
        <v>513</v>
      </c>
      <c r="K11">
        <v>63</v>
      </c>
      <c r="L11" t="s">
        <v>305</v>
      </c>
      <c r="M11" t="s">
        <v>514</v>
      </c>
      <c r="N11" t="s">
        <v>515</v>
      </c>
      <c r="O11" t="s">
        <v>470</v>
      </c>
      <c r="P11" t="s">
        <v>516</v>
      </c>
      <c r="Q11"/>
      <c r="R11"/>
      <c r="S11"/>
      <c r="T11"/>
      <c r="U11" s="84"/>
      <c r="V11" t="s">
        <v>505</v>
      </c>
      <c r="W11" s="84">
        <v>44445</v>
      </c>
      <c r="X11" s="84"/>
      <c r="Y11" t="s">
        <v>440</v>
      </c>
      <c r="Z11" t="s">
        <v>517</v>
      </c>
      <c r="AA11" t="s">
        <v>488</v>
      </c>
      <c r="AB11" s="84">
        <v>44445</v>
      </c>
      <c r="AC11">
        <v>0</v>
      </c>
      <c r="AD11" s="83">
        <v>44445.784085648003</v>
      </c>
      <c r="AE11" s="83">
        <v>44445.784085648003</v>
      </c>
      <c r="AF11" s="83"/>
    </row>
    <row r="12" spans="1:32" ht="15" x14ac:dyDescent="0.25">
      <c r="A12">
        <v>6</v>
      </c>
      <c r="B12" s="81" t="s">
        <v>522</v>
      </c>
      <c r="C12" t="s">
        <v>523</v>
      </c>
      <c r="D12" t="s">
        <v>471</v>
      </c>
      <c r="E12" t="s">
        <v>283</v>
      </c>
      <c r="F12" t="s">
        <v>309</v>
      </c>
      <c r="G12" t="s">
        <v>524</v>
      </c>
      <c r="H12">
        <v>4</v>
      </c>
      <c r="I12">
        <v>1</v>
      </c>
      <c r="J12" t="s">
        <v>524</v>
      </c>
      <c r="K12">
        <v>36</v>
      </c>
      <c r="L12" t="s">
        <v>305</v>
      </c>
      <c r="M12" t="s">
        <v>509</v>
      </c>
      <c r="N12" t="s">
        <v>469</v>
      </c>
      <c r="O12" t="s">
        <v>470</v>
      </c>
      <c r="P12" t="s">
        <v>476</v>
      </c>
      <c r="Q12"/>
      <c r="R12"/>
      <c r="S12"/>
      <c r="T12"/>
      <c r="U12" s="84"/>
      <c r="V12" t="s">
        <v>497</v>
      </c>
      <c r="W12" s="84">
        <v>44452</v>
      </c>
      <c r="X12" s="84"/>
      <c r="Y12" t="s">
        <v>440</v>
      </c>
      <c r="Z12"/>
      <c r="AA12"/>
      <c r="AB12" s="84"/>
      <c r="AC12">
        <v>0</v>
      </c>
      <c r="AD12" s="83">
        <v>44453.345312500001</v>
      </c>
      <c r="AE12" s="83">
        <v>44452.454479166998</v>
      </c>
      <c r="AF12" s="83"/>
    </row>
    <row r="13" spans="1:32" ht="15" x14ac:dyDescent="0.25">
      <c r="A13">
        <v>7</v>
      </c>
      <c r="B13" s="81" t="s">
        <v>532</v>
      </c>
      <c r="C13" t="s">
        <v>533</v>
      </c>
      <c r="D13" t="s">
        <v>471</v>
      </c>
      <c r="E13" t="s">
        <v>283</v>
      </c>
      <c r="F13" t="s">
        <v>290</v>
      </c>
      <c r="G13" t="s">
        <v>534</v>
      </c>
      <c r="H13">
        <v>9</v>
      </c>
      <c r="I13">
        <v>4</v>
      </c>
      <c r="J13" t="s">
        <v>534</v>
      </c>
      <c r="K13">
        <v>81</v>
      </c>
      <c r="L13" t="s">
        <v>305</v>
      </c>
      <c r="M13" t="s">
        <v>535</v>
      </c>
      <c r="N13" t="s">
        <v>469</v>
      </c>
      <c r="O13" t="s">
        <v>470</v>
      </c>
      <c r="P13" t="s">
        <v>536</v>
      </c>
      <c r="Q13"/>
      <c r="R13"/>
      <c r="S13"/>
      <c r="T13"/>
      <c r="U13" s="84"/>
      <c r="V13" t="s">
        <v>521</v>
      </c>
      <c r="W13" s="84">
        <v>44453</v>
      </c>
      <c r="X13" s="84"/>
      <c r="Y13" t="s">
        <v>440</v>
      </c>
      <c r="Z13"/>
      <c r="AA13"/>
      <c r="AB13" s="84"/>
      <c r="AC13">
        <v>0</v>
      </c>
      <c r="AD13" s="83">
        <v>44454.396747685001</v>
      </c>
      <c r="AE13" s="83">
        <v>44454.041585648003</v>
      </c>
      <c r="AF13" s="83"/>
    </row>
    <row r="14" spans="1:32" ht="15" x14ac:dyDescent="0.25">
      <c r="A14">
        <v>8</v>
      </c>
      <c r="B14" s="81" t="s">
        <v>538</v>
      </c>
      <c r="C14" t="s">
        <v>539</v>
      </c>
      <c r="D14" t="s">
        <v>471</v>
      </c>
      <c r="E14" t="s">
        <v>283</v>
      </c>
      <c r="F14" t="s">
        <v>292</v>
      </c>
      <c r="G14" t="s">
        <v>527</v>
      </c>
      <c r="H14">
        <v>5</v>
      </c>
      <c r="I14">
        <v>1</v>
      </c>
      <c r="J14" t="s">
        <v>528</v>
      </c>
      <c r="K14">
        <v>0</v>
      </c>
      <c r="L14" t="s">
        <v>307</v>
      </c>
      <c r="M14" t="s">
        <v>540</v>
      </c>
      <c r="N14" t="s">
        <v>520</v>
      </c>
      <c r="O14" t="s">
        <v>470</v>
      </c>
      <c r="P14" t="s">
        <v>541</v>
      </c>
      <c r="Q14"/>
      <c r="R14"/>
      <c r="S14"/>
      <c r="T14"/>
      <c r="U14" s="84"/>
      <c r="V14" t="s">
        <v>519</v>
      </c>
      <c r="W14" s="84">
        <v>44455</v>
      </c>
      <c r="X14" s="84"/>
      <c r="Y14" t="s">
        <v>440</v>
      </c>
      <c r="Z14"/>
      <c r="AA14"/>
      <c r="AB14" s="84"/>
      <c r="AC14">
        <v>0</v>
      </c>
      <c r="AD14" s="83">
        <v>44455.563969907002</v>
      </c>
      <c r="AE14" s="83">
        <v>44455.563969907002</v>
      </c>
      <c r="AF14" s="83"/>
    </row>
    <row r="15" spans="1:32" ht="15" x14ac:dyDescent="0.25">
      <c r="A15">
        <v>9</v>
      </c>
      <c r="B15" s="81" t="s">
        <v>542</v>
      </c>
      <c r="C15" t="s">
        <v>543</v>
      </c>
      <c r="D15" t="s">
        <v>471</v>
      </c>
      <c r="E15" t="s">
        <v>283</v>
      </c>
      <c r="F15" t="s">
        <v>282</v>
      </c>
      <c r="G15" t="s">
        <v>370</v>
      </c>
      <c r="H15">
        <v>2</v>
      </c>
      <c r="I15">
        <v>16</v>
      </c>
      <c r="J15" t="s">
        <v>544</v>
      </c>
      <c r="K15">
        <v>59</v>
      </c>
      <c r="L15" t="s">
        <v>307</v>
      </c>
      <c r="M15" t="s">
        <v>509</v>
      </c>
      <c r="N15" t="s">
        <v>469</v>
      </c>
      <c r="O15" t="s">
        <v>470</v>
      </c>
      <c r="P15" t="s">
        <v>476</v>
      </c>
      <c r="Q15"/>
      <c r="R15"/>
      <c r="S15"/>
      <c r="T15"/>
      <c r="U15" s="84"/>
      <c r="V15" t="s">
        <v>497</v>
      </c>
      <c r="W15" s="84">
        <v>44455</v>
      </c>
      <c r="X15" s="84"/>
      <c r="Y15" t="s">
        <v>440</v>
      </c>
      <c r="Z15"/>
      <c r="AA15"/>
      <c r="AB15" s="84"/>
      <c r="AC15">
        <v>0</v>
      </c>
      <c r="AD15" s="83">
        <v>44456.290173611</v>
      </c>
      <c r="AE15" s="83">
        <v>44456.290173611</v>
      </c>
      <c r="AF15" s="83"/>
    </row>
    <row r="16" spans="1:32" ht="15" x14ac:dyDescent="0.25">
      <c r="A16">
        <v>10</v>
      </c>
      <c r="B16" s="81" t="s">
        <v>545</v>
      </c>
      <c r="C16" t="s">
        <v>546</v>
      </c>
      <c r="D16" t="s">
        <v>471</v>
      </c>
      <c r="E16" t="s">
        <v>283</v>
      </c>
      <c r="F16" t="s">
        <v>285</v>
      </c>
      <c r="G16" t="s">
        <v>338</v>
      </c>
      <c r="H16">
        <v>2</v>
      </c>
      <c r="I16">
        <v>1</v>
      </c>
      <c r="J16" t="s">
        <v>547</v>
      </c>
      <c r="K16">
        <v>29</v>
      </c>
      <c r="L16" t="s">
        <v>307</v>
      </c>
      <c r="M16" t="s">
        <v>548</v>
      </c>
      <c r="N16" t="s">
        <v>549</v>
      </c>
      <c r="O16" t="s">
        <v>470</v>
      </c>
      <c r="P16" t="s">
        <v>507</v>
      </c>
      <c r="Q16"/>
      <c r="R16"/>
      <c r="S16"/>
      <c r="T16"/>
      <c r="U16" s="84"/>
      <c r="V16" t="s">
        <v>508</v>
      </c>
      <c r="W16" s="84">
        <v>44455</v>
      </c>
      <c r="X16" s="84"/>
      <c r="Y16" t="s">
        <v>440</v>
      </c>
      <c r="Z16" t="s">
        <v>550</v>
      </c>
      <c r="AA16" t="s">
        <v>488</v>
      </c>
      <c r="AB16" s="84">
        <v>44455</v>
      </c>
      <c r="AC16">
        <v>0</v>
      </c>
      <c r="AD16" s="83">
        <v>44456.297303241001</v>
      </c>
      <c r="AE16" s="83">
        <v>44456.297303241001</v>
      </c>
      <c r="AF16" s="83"/>
    </row>
    <row r="17" spans="1:32" ht="15" x14ac:dyDescent="0.25">
      <c r="A17">
        <v>11</v>
      </c>
      <c r="B17" s="81" t="s">
        <v>551</v>
      </c>
      <c r="C17" t="s">
        <v>552</v>
      </c>
      <c r="D17" t="s">
        <v>471</v>
      </c>
      <c r="E17" t="s">
        <v>283</v>
      </c>
      <c r="F17" t="s">
        <v>285</v>
      </c>
      <c r="G17" t="s">
        <v>343</v>
      </c>
      <c r="H17">
        <v>6</v>
      </c>
      <c r="I17">
        <v>2</v>
      </c>
      <c r="J17" t="s">
        <v>343</v>
      </c>
      <c r="K17">
        <v>41</v>
      </c>
      <c r="L17" t="s">
        <v>307</v>
      </c>
      <c r="M17" t="s">
        <v>553</v>
      </c>
      <c r="N17" t="s">
        <v>554</v>
      </c>
      <c r="O17" t="s">
        <v>470</v>
      </c>
      <c r="P17" t="s">
        <v>507</v>
      </c>
      <c r="Q17"/>
      <c r="R17"/>
      <c r="S17"/>
      <c r="T17"/>
      <c r="U17" s="84"/>
      <c r="V17" t="s">
        <v>508</v>
      </c>
      <c r="W17" s="84">
        <v>44455</v>
      </c>
      <c r="X17" s="84"/>
      <c r="Y17" t="s">
        <v>440</v>
      </c>
      <c r="Z17" t="s">
        <v>555</v>
      </c>
      <c r="AA17" t="s">
        <v>488</v>
      </c>
      <c r="AB17" s="84">
        <v>44455</v>
      </c>
      <c r="AC17">
        <v>0</v>
      </c>
      <c r="AD17" s="83">
        <v>44456.299282407002</v>
      </c>
      <c r="AE17" s="83">
        <v>44456.299282407002</v>
      </c>
      <c r="AF17" s="83"/>
    </row>
    <row r="18" spans="1:32" ht="15" x14ac:dyDescent="0.25">
      <c r="A18">
        <v>12</v>
      </c>
      <c r="B18" s="81" t="s">
        <v>567</v>
      </c>
      <c r="C18" t="s">
        <v>568</v>
      </c>
      <c r="D18" t="s">
        <v>471</v>
      </c>
      <c r="E18" t="s">
        <v>283</v>
      </c>
      <c r="F18" t="s">
        <v>309</v>
      </c>
      <c r="G18" t="s">
        <v>569</v>
      </c>
      <c r="H18">
        <v>3</v>
      </c>
      <c r="I18">
        <v>4</v>
      </c>
      <c r="J18" t="s">
        <v>570</v>
      </c>
      <c r="K18">
        <v>55</v>
      </c>
      <c r="L18" t="s">
        <v>307</v>
      </c>
      <c r="M18" t="s">
        <v>571</v>
      </c>
      <c r="N18" t="s">
        <v>469</v>
      </c>
      <c r="O18" t="s">
        <v>470</v>
      </c>
      <c r="P18" t="s">
        <v>572</v>
      </c>
      <c r="Q18"/>
      <c r="R18"/>
      <c r="S18"/>
      <c r="T18"/>
      <c r="U18" s="84"/>
      <c r="V18" t="s">
        <v>472</v>
      </c>
      <c r="W18" s="84">
        <v>44456</v>
      </c>
      <c r="X18" s="84"/>
      <c r="Y18" t="s">
        <v>440</v>
      </c>
      <c r="Z18"/>
      <c r="AA18"/>
      <c r="AB18" s="84"/>
      <c r="AC18">
        <v>0</v>
      </c>
      <c r="AD18" s="83">
        <v>44456.893738425999</v>
      </c>
      <c r="AE18" s="83">
        <v>44456.447673611001</v>
      </c>
      <c r="AF18" s="83"/>
    </row>
    <row r="19" spans="1:32" ht="15" x14ac:dyDescent="0.25">
      <c r="A19">
        <v>13</v>
      </c>
      <c r="B19" s="81" t="s">
        <v>573</v>
      </c>
      <c r="C19" t="s">
        <v>574</v>
      </c>
      <c r="D19" t="s">
        <v>471</v>
      </c>
      <c r="E19" t="s">
        <v>283</v>
      </c>
      <c r="F19" t="s">
        <v>284</v>
      </c>
      <c r="G19" t="s">
        <v>575</v>
      </c>
      <c r="H19">
        <v>11</v>
      </c>
      <c r="I19">
        <v>2</v>
      </c>
      <c r="J19" t="s">
        <v>575</v>
      </c>
      <c r="K19">
        <v>53</v>
      </c>
      <c r="L19" t="s">
        <v>305</v>
      </c>
      <c r="M19" t="s">
        <v>576</v>
      </c>
      <c r="N19" t="s">
        <v>577</v>
      </c>
      <c r="O19" t="s">
        <v>575</v>
      </c>
      <c r="P19" t="s">
        <v>578</v>
      </c>
      <c r="Q19"/>
      <c r="R19"/>
      <c r="S19"/>
      <c r="T19"/>
      <c r="U19" s="84"/>
      <c r="V19" t="s">
        <v>497</v>
      </c>
      <c r="W19" s="84">
        <v>44456</v>
      </c>
      <c r="X19" s="84"/>
      <c r="Y19" t="s">
        <v>440</v>
      </c>
      <c r="Z19"/>
      <c r="AA19"/>
      <c r="AB19" s="84"/>
      <c r="AC19">
        <v>0</v>
      </c>
      <c r="AD19" s="83">
        <v>44457.416585648003</v>
      </c>
      <c r="AE19" s="83">
        <v>44457.416585648003</v>
      </c>
      <c r="AF19" s="83"/>
    </row>
  </sheetData>
  <mergeCells count="4">
    <mergeCell ref="A1:O1"/>
    <mergeCell ref="A2:O2"/>
    <mergeCell ref="A4:B4"/>
    <mergeCell ref="A5:E5"/>
  </mergeCells>
  <phoneticPr fontId="17" type="noConversion"/>
  <conditionalFormatting sqref="B1:B1048576">
    <cfRule type="duplicateValues" dxfId="38" priority="188"/>
    <cfRule type="duplicateValues" dxfId="37" priority="189"/>
  </conditionalFormatting>
  <pageMargins left="0.7" right="0.7" top="0.75" bottom="0.75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3"/>
  <sheetViews>
    <sheetView workbookViewId="0">
      <selection activeCell="C10" sqref="C10"/>
    </sheetView>
  </sheetViews>
  <sheetFormatPr defaultColWidth="9.140625" defaultRowHeight="15" x14ac:dyDescent="0.25"/>
  <cols>
    <col min="1" max="1" width="4.28515625" style="14" customWidth="1"/>
    <col min="2" max="2" width="20.7109375" style="14" customWidth="1"/>
    <col min="3" max="4" width="25.7109375" style="14" customWidth="1"/>
    <col min="5" max="5" width="12.85546875" style="14" customWidth="1"/>
    <col min="6" max="6" width="14.140625" style="14" customWidth="1"/>
    <col min="7" max="7" width="17.42578125" style="14" customWidth="1"/>
    <col min="8" max="8" width="39.42578125" style="14" customWidth="1"/>
    <col min="9" max="9" width="7.5703125" style="14" customWidth="1"/>
    <col min="10" max="10" width="12" style="14" customWidth="1"/>
    <col min="11" max="11" width="18.140625" style="14" customWidth="1"/>
    <col min="12" max="12" width="18.28515625" style="14" customWidth="1"/>
    <col min="13" max="13" width="19.42578125" style="14" customWidth="1"/>
    <col min="14" max="14" width="19.140625" style="14" customWidth="1"/>
    <col min="15" max="15" width="18.42578125" style="14" customWidth="1"/>
    <col min="16" max="19" width="9.140625" style="14"/>
    <col min="20" max="20" width="27.28515625" style="14" customWidth="1"/>
    <col min="21" max="21" width="19.5703125" style="14" customWidth="1"/>
    <col min="22" max="22" width="14.140625" style="14" customWidth="1"/>
    <col min="23" max="23" width="17.140625" style="14" customWidth="1"/>
    <col min="24" max="24" width="9.140625" style="14"/>
    <col min="25" max="25" width="22.5703125" style="14" customWidth="1"/>
    <col min="26" max="26" width="23.140625" style="14" customWidth="1"/>
    <col min="27" max="29" width="9.140625" style="14"/>
    <col min="30" max="30" width="13.28515625" style="14" customWidth="1"/>
    <col min="31" max="31" width="13" style="14" customWidth="1"/>
    <col min="32" max="16384" width="9.140625" style="14"/>
  </cols>
  <sheetData>
    <row r="1" spans="1:32" customFormat="1" x14ac:dyDescent="0.25">
      <c r="A1" s="8" t="s">
        <v>477</v>
      </c>
      <c r="B1" s="100" t="s">
        <v>445</v>
      </c>
      <c r="C1" s="8" t="s">
        <v>431</v>
      </c>
      <c r="D1" s="8" t="s">
        <v>473</v>
      </c>
      <c r="E1" s="8" t="s">
        <v>432</v>
      </c>
      <c r="F1" s="8" t="s">
        <v>2</v>
      </c>
      <c r="G1" s="8" t="s">
        <v>433</v>
      </c>
      <c r="H1" s="8" t="s">
        <v>474</v>
      </c>
      <c r="I1" s="8" t="s">
        <v>475</v>
      </c>
      <c r="J1" s="8" t="s">
        <v>434</v>
      </c>
      <c r="K1" s="8" t="s">
        <v>435</v>
      </c>
      <c r="L1" s="8" t="s">
        <v>436</v>
      </c>
      <c r="M1" s="8" t="s">
        <v>437</v>
      </c>
      <c r="N1" s="8" t="s">
        <v>446</v>
      </c>
      <c r="O1" s="8" t="s">
        <v>447</v>
      </c>
      <c r="P1" s="8" t="s">
        <v>448</v>
      </c>
      <c r="Q1" s="8" t="s">
        <v>449</v>
      </c>
      <c r="R1" s="8" t="s">
        <v>450</v>
      </c>
      <c r="S1" s="8" t="s">
        <v>451</v>
      </c>
      <c r="T1" s="8" t="s">
        <v>452</v>
      </c>
      <c r="U1" s="101" t="s">
        <v>453</v>
      </c>
      <c r="V1" s="8" t="s">
        <v>441</v>
      </c>
      <c r="W1" s="101" t="s">
        <v>454</v>
      </c>
      <c r="X1" s="101" t="s">
        <v>455</v>
      </c>
      <c r="Y1" s="8" t="s">
        <v>438</v>
      </c>
      <c r="Z1" s="8" t="s">
        <v>478</v>
      </c>
      <c r="AA1" s="8" t="s">
        <v>479</v>
      </c>
      <c r="AB1" s="101" t="s">
        <v>480</v>
      </c>
      <c r="AC1" s="8" t="s">
        <v>456</v>
      </c>
      <c r="AD1" s="102" t="s">
        <v>457</v>
      </c>
      <c r="AE1" s="102" t="s">
        <v>458</v>
      </c>
    </row>
    <row r="2" spans="1:32" s="77" customFormat="1" x14ac:dyDescent="0.25">
      <c r="A2">
        <v>1</v>
      </c>
      <c r="B2" s="81" t="s">
        <v>560</v>
      </c>
      <c r="C2" t="s">
        <v>561</v>
      </c>
      <c r="D2" t="s">
        <v>471</v>
      </c>
      <c r="E2" t="s">
        <v>283</v>
      </c>
      <c r="F2" t="s">
        <v>292</v>
      </c>
      <c r="G2" t="s">
        <v>562</v>
      </c>
      <c r="H2">
        <v>2</v>
      </c>
      <c r="I2">
        <v>2</v>
      </c>
      <c r="J2" t="s">
        <v>562</v>
      </c>
      <c r="K2">
        <v>25</v>
      </c>
      <c r="L2" t="s">
        <v>307</v>
      </c>
      <c r="M2" t="s">
        <v>563</v>
      </c>
      <c r="N2" t="s">
        <v>469</v>
      </c>
      <c r="O2" t="s">
        <v>470</v>
      </c>
      <c r="P2" t="s">
        <v>564</v>
      </c>
      <c r="Q2" t="s">
        <v>283</v>
      </c>
      <c r="R2" t="s">
        <v>565</v>
      </c>
      <c r="S2" t="s">
        <v>565</v>
      </c>
      <c r="T2" t="s">
        <v>566</v>
      </c>
      <c r="U2" s="84">
        <v>44454</v>
      </c>
      <c r="V2" t="s">
        <v>537</v>
      </c>
      <c r="W2" s="84">
        <v>44433</v>
      </c>
      <c r="X2" s="84"/>
      <c r="Y2" t="s">
        <v>440</v>
      </c>
      <c r="Z2"/>
      <c r="AA2"/>
      <c r="AB2" s="84"/>
      <c r="AC2">
        <v>1</v>
      </c>
      <c r="AD2" s="83">
        <v>44456.852777777996</v>
      </c>
      <c r="AE2" s="83">
        <v>44433.733206019002</v>
      </c>
      <c r="AF2" s="83"/>
    </row>
    <row r="3" spans="1:32" s="77" customFormat="1" x14ac:dyDescent="0.25">
      <c r="A3">
        <v>2</v>
      </c>
      <c r="B3" s="81" t="s">
        <v>567</v>
      </c>
      <c r="C3" t="s">
        <v>568</v>
      </c>
      <c r="D3" t="s">
        <v>471</v>
      </c>
      <c r="E3" t="s">
        <v>283</v>
      </c>
      <c r="F3" t="s">
        <v>309</v>
      </c>
      <c r="G3" t="s">
        <v>569</v>
      </c>
      <c r="H3">
        <v>3</v>
      </c>
      <c r="I3">
        <v>4</v>
      </c>
      <c r="J3" t="s">
        <v>570</v>
      </c>
      <c r="K3">
        <v>55</v>
      </c>
      <c r="L3" t="s">
        <v>307</v>
      </c>
      <c r="M3" t="s">
        <v>571</v>
      </c>
      <c r="N3" t="s">
        <v>469</v>
      </c>
      <c r="O3" t="s">
        <v>470</v>
      </c>
      <c r="P3" t="s">
        <v>572</v>
      </c>
      <c r="Q3"/>
      <c r="R3"/>
      <c r="S3"/>
      <c r="T3"/>
      <c r="U3" s="84"/>
      <c r="V3" t="s">
        <v>472</v>
      </c>
      <c r="W3" s="84">
        <v>44456</v>
      </c>
      <c r="X3" s="84"/>
      <c r="Y3" t="s">
        <v>440</v>
      </c>
      <c r="Z3"/>
      <c r="AA3"/>
      <c r="AB3" s="84"/>
      <c r="AC3">
        <v>0</v>
      </c>
      <c r="AD3" s="83">
        <v>44456.893738425999</v>
      </c>
      <c r="AE3" s="83">
        <v>44456.447673611001</v>
      </c>
      <c r="AF3" s="83"/>
    </row>
    <row r="4" spans="1:32" s="77" customFormat="1" x14ac:dyDescent="0.25">
      <c r="A4">
        <v>3</v>
      </c>
      <c r="B4" s="81" t="s">
        <v>573</v>
      </c>
      <c r="C4" t="s">
        <v>574</v>
      </c>
      <c r="D4" t="s">
        <v>471</v>
      </c>
      <c r="E4" t="s">
        <v>283</v>
      </c>
      <c r="F4" t="s">
        <v>284</v>
      </c>
      <c r="G4" t="s">
        <v>575</v>
      </c>
      <c r="H4">
        <v>11</v>
      </c>
      <c r="I4">
        <v>2</v>
      </c>
      <c r="J4" t="s">
        <v>575</v>
      </c>
      <c r="K4">
        <v>53</v>
      </c>
      <c r="L4" t="s">
        <v>305</v>
      </c>
      <c r="M4" t="s">
        <v>576</v>
      </c>
      <c r="N4" t="s">
        <v>577</v>
      </c>
      <c r="O4" t="s">
        <v>575</v>
      </c>
      <c r="P4" t="s">
        <v>578</v>
      </c>
      <c r="Q4"/>
      <c r="R4"/>
      <c r="S4"/>
      <c r="T4"/>
      <c r="U4" s="84"/>
      <c r="V4" t="s">
        <v>497</v>
      </c>
      <c r="W4" s="84">
        <v>44456</v>
      </c>
      <c r="X4" s="84"/>
      <c r="Y4" t="s">
        <v>440</v>
      </c>
      <c r="Z4"/>
      <c r="AA4"/>
      <c r="AB4" s="84"/>
      <c r="AC4">
        <v>0</v>
      </c>
      <c r="AD4" s="83">
        <v>44457.416585648003</v>
      </c>
      <c r="AE4" s="83">
        <v>44457.416585648003</v>
      </c>
      <c r="AF4" s="83"/>
    </row>
    <row r="5" spans="1:32" s="77" customFormat="1" x14ac:dyDescent="0.25">
      <c r="A5"/>
      <c r="B5" s="81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84"/>
      <c r="V5"/>
      <c r="W5" s="84"/>
      <c r="X5" s="84"/>
      <c r="Y5"/>
      <c r="Z5"/>
      <c r="AA5"/>
      <c r="AB5" s="84"/>
      <c r="AC5"/>
      <c r="AD5" s="83"/>
      <c r="AE5" s="83"/>
      <c r="AF5" s="83"/>
    </row>
    <row r="6" spans="1:32" s="77" customFormat="1" x14ac:dyDescent="0.25">
      <c r="A6"/>
      <c r="B6" s="81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 s="84"/>
      <c r="V6"/>
      <c r="W6" s="84"/>
      <c r="X6" s="84"/>
      <c r="Y6"/>
      <c r="Z6"/>
      <c r="AA6"/>
      <c r="AB6" s="84"/>
      <c r="AC6"/>
      <c r="AD6" s="83"/>
      <c r="AE6" s="83"/>
      <c r="AF6" s="83"/>
    </row>
    <row r="7" spans="1:32" s="77" customFormat="1" x14ac:dyDescent="0.25">
      <c r="A7"/>
      <c r="B7" s="81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 s="84"/>
      <c r="V7"/>
      <c r="W7" s="84"/>
      <c r="X7" s="84"/>
      <c r="Y7"/>
      <c r="Z7"/>
      <c r="AA7"/>
      <c r="AB7" s="84"/>
      <c r="AC7"/>
      <c r="AD7" s="83"/>
      <c r="AE7" s="83"/>
    </row>
    <row r="8" spans="1:32" s="77" customFormat="1" x14ac:dyDescent="0.25">
      <c r="A8"/>
      <c r="B8" s="81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 s="84"/>
      <c r="V8"/>
      <c r="W8" s="84"/>
      <c r="X8" s="84"/>
      <c r="Y8"/>
      <c r="Z8"/>
      <c r="AA8"/>
      <c r="AB8" s="84"/>
      <c r="AC8"/>
      <c r="AD8" s="83"/>
      <c r="AE8" s="83"/>
    </row>
    <row r="9" spans="1:32" s="77" customFormat="1" x14ac:dyDescent="0.25">
      <c r="A9"/>
      <c r="B9" s="81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 s="84"/>
      <c r="V9"/>
      <c r="W9" s="84"/>
      <c r="X9" s="84"/>
      <c r="Y9"/>
      <c r="Z9"/>
      <c r="AA9"/>
      <c r="AB9" s="84"/>
      <c r="AC9"/>
      <c r="AD9" s="83"/>
      <c r="AE9" s="83"/>
    </row>
    <row r="10" spans="1:32" s="77" customFormat="1" x14ac:dyDescent="0.25">
      <c r="A10"/>
      <c r="B10" s="81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 s="84"/>
      <c r="V10"/>
      <c r="W10" s="84"/>
      <c r="X10" s="84"/>
      <c r="Y10"/>
      <c r="Z10"/>
      <c r="AA10"/>
      <c r="AB10" s="84"/>
      <c r="AC10"/>
      <c r="AD10" s="83"/>
      <c r="AE10" s="83"/>
    </row>
    <row r="11" spans="1:32" s="77" customFormat="1" x14ac:dyDescent="0.25">
      <c r="A11"/>
      <c r="B11" s="8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 s="84"/>
      <c r="V11"/>
      <c r="W11" s="84"/>
      <c r="X11" s="84"/>
      <c r="Y11"/>
      <c r="Z11"/>
      <c r="AA11"/>
      <c r="AB11" s="84"/>
      <c r="AC11"/>
      <c r="AD11" s="83"/>
      <c r="AE11" s="83"/>
    </row>
    <row r="12" spans="1:32" customFormat="1" x14ac:dyDescent="0.25">
      <c r="B12" s="81"/>
      <c r="U12" s="84"/>
      <c r="W12" s="84"/>
      <c r="X12" s="84"/>
      <c r="AB12" s="84"/>
      <c r="AD12" s="83"/>
      <c r="AE12" s="83"/>
    </row>
    <row r="13" spans="1:32" customFormat="1" x14ac:dyDescent="0.25">
      <c r="B13" s="81"/>
      <c r="U13" s="84"/>
      <c r="W13" s="84"/>
      <c r="X13" s="84"/>
      <c r="AB13" s="84"/>
      <c r="AD13" s="83"/>
      <c r="AE13" s="83"/>
    </row>
    <row r="14" spans="1:32" customFormat="1" x14ac:dyDescent="0.25">
      <c r="B14" s="81"/>
      <c r="U14" s="84"/>
      <c r="W14" s="84"/>
      <c r="X14" s="84"/>
      <c r="AB14" s="84"/>
      <c r="AD14" s="83"/>
      <c r="AE14" s="83"/>
    </row>
    <row r="15" spans="1:32" customFormat="1" x14ac:dyDescent="0.25">
      <c r="B15" s="81"/>
      <c r="U15" s="84"/>
      <c r="W15" s="84"/>
      <c r="X15" s="84"/>
      <c r="AB15" s="84"/>
      <c r="AD15" s="83"/>
      <c r="AE15" s="83"/>
    </row>
    <row r="16" spans="1:32" customFormat="1" x14ac:dyDescent="0.25">
      <c r="B16" s="81"/>
      <c r="U16" s="84"/>
      <c r="W16" s="84"/>
      <c r="X16" s="84"/>
      <c r="AB16" s="84"/>
      <c r="AD16" s="83"/>
      <c r="AE16" s="83"/>
    </row>
    <row r="17" spans="2:31" customFormat="1" x14ac:dyDescent="0.25">
      <c r="B17" s="81"/>
      <c r="U17" s="84"/>
      <c r="W17" s="84"/>
      <c r="X17" s="84"/>
      <c r="AB17" s="84"/>
      <c r="AD17" s="83"/>
      <c r="AE17" s="83"/>
    </row>
    <row r="18" spans="2:31" customFormat="1" x14ac:dyDescent="0.25">
      <c r="B18" s="81"/>
      <c r="U18" s="84"/>
      <c r="W18" s="84"/>
      <c r="X18" s="84"/>
      <c r="AB18" s="84"/>
      <c r="AD18" s="83"/>
      <c r="AE18" s="83"/>
    </row>
    <row r="19" spans="2:31" customFormat="1" x14ac:dyDescent="0.25">
      <c r="B19" s="81"/>
      <c r="U19" s="84"/>
      <c r="W19" s="84"/>
      <c r="X19" s="84"/>
      <c r="AB19" s="84"/>
      <c r="AD19" s="83"/>
      <c r="AE19" s="83"/>
    </row>
    <row r="20" spans="2:31" customFormat="1" x14ac:dyDescent="0.25">
      <c r="B20" s="81"/>
      <c r="U20" s="84"/>
      <c r="W20" s="84"/>
      <c r="X20" s="84"/>
      <c r="AB20" s="84"/>
      <c r="AD20" s="83"/>
      <c r="AE20" s="83"/>
    </row>
    <row r="21" spans="2:31" customFormat="1" x14ac:dyDescent="0.25">
      <c r="B21" s="81"/>
      <c r="U21" s="84"/>
      <c r="W21" s="84"/>
      <c r="X21" s="84"/>
      <c r="AB21" s="84"/>
      <c r="AD21" s="83"/>
      <c r="AE21" s="83"/>
    </row>
    <row r="22" spans="2:31" customFormat="1" x14ac:dyDescent="0.25">
      <c r="B22" s="81"/>
      <c r="U22" s="84"/>
      <c r="W22" s="84"/>
      <c r="X22" s="84"/>
      <c r="AB22" s="84"/>
      <c r="AD22" s="83"/>
      <c r="AE22" s="83"/>
    </row>
    <row r="23" spans="2:31" customFormat="1" x14ac:dyDescent="0.25">
      <c r="B23" s="81"/>
      <c r="U23" s="84"/>
      <c r="W23" s="84"/>
      <c r="X23" s="84"/>
      <c r="AB23" s="84"/>
      <c r="AD23" s="83"/>
      <c r="AE23" s="83"/>
    </row>
    <row r="24" spans="2:31" customFormat="1" x14ac:dyDescent="0.25">
      <c r="B24" s="81"/>
      <c r="U24" s="84"/>
      <c r="W24" s="84"/>
      <c r="X24" s="84"/>
      <c r="AB24" s="84"/>
      <c r="AD24" s="83"/>
      <c r="AE24" s="83"/>
    </row>
    <row r="25" spans="2:31" customFormat="1" x14ac:dyDescent="0.25">
      <c r="B25" s="81"/>
      <c r="U25" s="84"/>
      <c r="W25" s="84"/>
      <c r="X25" s="84"/>
      <c r="AB25" s="84"/>
      <c r="AD25" s="83"/>
      <c r="AE25" s="83"/>
    </row>
    <row r="26" spans="2:31" customFormat="1" x14ac:dyDescent="0.25">
      <c r="B26" s="81"/>
      <c r="U26" s="84"/>
      <c r="W26" s="84"/>
      <c r="X26" s="84"/>
      <c r="AB26" s="84"/>
      <c r="AD26" s="83"/>
      <c r="AE26" s="83"/>
    </row>
    <row r="27" spans="2:31" customFormat="1" x14ac:dyDescent="0.25">
      <c r="B27" s="81"/>
      <c r="U27" s="84"/>
      <c r="W27" s="84"/>
      <c r="X27" s="84"/>
      <c r="AB27" s="84"/>
      <c r="AD27" s="83"/>
      <c r="AE27" s="83"/>
    </row>
    <row r="28" spans="2:31" customFormat="1" x14ac:dyDescent="0.25">
      <c r="B28" s="81"/>
      <c r="U28" s="84"/>
      <c r="W28" s="84"/>
      <c r="X28" s="84"/>
      <c r="AB28" s="84"/>
      <c r="AD28" s="83"/>
      <c r="AE28" s="83"/>
    </row>
    <row r="29" spans="2:31" customFormat="1" x14ac:dyDescent="0.25">
      <c r="B29" s="81"/>
      <c r="U29" s="84"/>
      <c r="W29" s="84"/>
      <c r="X29" s="84"/>
      <c r="AB29" s="84"/>
      <c r="AD29" s="83"/>
      <c r="AE29" s="83"/>
    </row>
    <row r="30" spans="2:31" customFormat="1" x14ac:dyDescent="0.25">
      <c r="B30" s="81"/>
      <c r="U30" s="84"/>
      <c r="W30" s="84"/>
      <c r="X30" s="84"/>
      <c r="AB30" s="84"/>
      <c r="AD30" s="83"/>
      <c r="AE30" s="83"/>
    </row>
    <row r="31" spans="2:31" customFormat="1" x14ac:dyDescent="0.25">
      <c r="B31" s="81"/>
      <c r="U31" s="84"/>
      <c r="W31" s="84"/>
      <c r="X31" s="84"/>
      <c r="AB31" s="84"/>
      <c r="AD31" s="83"/>
      <c r="AE31" s="83"/>
    </row>
    <row r="32" spans="2:31" customFormat="1" x14ac:dyDescent="0.25">
      <c r="B32" s="81"/>
      <c r="U32" s="84"/>
      <c r="W32" s="84"/>
      <c r="X32" s="84"/>
      <c r="AB32" s="84"/>
      <c r="AD32" s="83"/>
      <c r="AE32" s="83"/>
    </row>
    <row r="33" spans="1:31" customFormat="1" x14ac:dyDescent="0.25">
      <c r="B33" s="81"/>
      <c r="U33" s="84"/>
      <c r="W33" s="84"/>
      <c r="X33" s="84"/>
      <c r="AB33" s="84"/>
      <c r="AD33" s="83"/>
      <c r="AE33" s="83"/>
    </row>
    <row r="34" spans="1:31" customFormat="1" x14ac:dyDescent="0.25">
      <c r="B34" s="81"/>
      <c r="U34" s="84"/>
      <c r="W34" s="84"/>
      <c r="X34" s="84"/>
      <c r="AB34" s="84"/>
      <c r="AD34" s="83"/>
      <c r="AE34" s="83"/>
    </row>
    <row r="35" spans="1:31" customFormat="1" x14ac:dyDescent="0.25">
      <c r="B35" s="81"/>
      <c r="U35" s="84"/>
      <c r="W35" s="84"/>
      <c r="X35" s="84"/>
      <c r="AB35" s="84"/>
      <c r="AD35" s="83"/>
      <c r="AE35" s="83"/>
    </row>
    <row r="36" spans="1:31" customFormat="1" x14ac:dyDescent="0.25">
      <c r="B36" s="81"/>
      <c r="U36" s="84"/>
      <c r="W36" s="84"/>
      <c r="X36" s="84"/>
      <c r="AB36" s="84"/>
      <c r="AD36" s="83"/>
      <c r="AE36" s="83"/>
    </row>
    <row r="37" spans="1:31" customFormat="1" x14ac:dyDescent="0.25">
      <c r="B37" s="81"/>
      <c r="U37" s="84"/>
      <c r="W37" s="84"/>
      <c r="X37" s="84"/>
      <c r="AB37" s="84"/>
      <c r="AD37" s="83"/>
      <c r="AE37" s="83"/>
    </row>
    <row r="38" spans="1:31" customFormat="1" x14ac:dyDescent="0.25">
      <c r="B38" s="81"/>
      <c r="U38" s="84"/>
      <c r="W38" s="84"/>
      <c r="X38" s="84"/>
      <c r="AB38" s="84"/>
      <c r="AD38" s="83"/>
      <c r="AE38" s="83"/>
    </row>
    <row r="39" spans="1:31" customFormat="1" x14ac:dyDescent="0.25">
      <c r="B39" s="81"/>
      <c r="U39" s="84"/>
      <c r="W39" s="84"/>
      <c r="X39" s="84"/>
      <c r="AB39" s="84"/>
      <c r="AD39" s="83"/>
      <c r="AE39" s="83"/>
    </row>
    <row r="40" spans="1:31" customFormat="1" x14ac:dyDescent="0.25">
      <c r="B40" s="81"/>
      <c r="U40" s="84"/>
      <c r="W40" s="84"/>
      <c r="X40" s="84"/>
      <c r="AB40" s="84"/>
      <c r="AD40" s="83"/>
      <c r="AE40" s="83"/>
    </row>
    <row r="41" spans="1:31" customFormat="1" x14ac:dyDescent="0.25">
      <c r="B41" s="81"/>
      <c r="U41" s="84"/>
      <c r="W41" s="84"/>
      <c r="X41" s="84"/>
      <c r="AB41" s="84"/>
      <c r="AD41" s="83"/>
      <c r="AE41" s="83"/>
    </row>
    <row r="42" spans="1:31" customFormat="1" x14ac:dyDescent="0.25">
      <c r="B42" s="81"/>
      <c r="U42" s="84"/>
      <c r="W42" s="84"/>
      <c r="X42" s="84"/>
      <c r="AB42" s="84"/>
      <c r="AD42" s="83"/>
      <c r="AE42" s="83"/>
    </row>
    <row r="43" spans="1:31" customFormat="1" x14ac:dyDescent="0.25">
      <c r="B43" s="81"/>
      <c r="U43" s="84"/>
      <c r="W43" s="84"/>
      <c r="X43" s="84"/>
      <c r="AB43" s="84"/>
      <c r="AD43" s="83"/>
      <c r="AE43" s="83"/>
    </row>
    <row r="44" spans="1:31" customFormat="1" x14ac:dyDescent="0.25">
      <c r="B44" s="81"/>
      <c r="U44" s="84"/>
      <c r="W44" s="84"/>
      <c r="X44" s="84"/>
      <c r="AB44" s="84"/>
      <c r="AD44" s="83"/>
      <c r="AE44" s="83"/>
    </row>
    <row r="45" spans="1:31" customFormat="1" x14ac:dyDescent="0.25">
      <c r="B45" s="81"/>
      <c r="U45" s="84"/>
      <c r="W45" s="84"/>
      <c r="X45" s="84"/>
      <c r="AB45" s="84"/>
      <c r="AD45" s="83"/>
      <c r="AE45" s="83"/>
    </row>
    <row r="46" spans="1:31" customFormat="1" x14ac:dyDescent="0.25">
      <c r="B46" s="81"/>
      <c r="U46" s="84"/>
      <c r="W46" s="84"/>
      <c r="X46" s="84"/>
      <c r="AB46" s="84"/>
      <c r="AD46" s="83"/>
      <c r="AE46" s="83"/>
    </row>
    <row r="47" spans="1:31" x14ac:dyDescent="0.25">
      <c r="A47"/>
      <c r="B47" s="81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 s="84"/>
      <c r="V47"/>
      <c r="W47" s="84"/>
      <c r="X47" s="84"/>
      <c r="Y47"/>
      <c r="Z47"/>
      <c r="AA47"/>
      <c r="AB47" s="84"/>
      <c r="AC47"/>
      <c r="AD47" s="83"/>
      <c r="AE47" s="83"/>
    </row>
    <row r="48" spans="1:31" x14ac:dyDescent="0.25">
      <c r="A48"/>
      <c r="B48" s="81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 s="84"/>
      <c r="V48"/>
      <c r="W48" s="84"/>
      <c r="X48" s="84"/>
      <c r="Y48"/>
      <c r="Z48"/>
      <c r="AA48"/>
      <c r="AB48" s="84"/>
      <c r="AC48"/>
      <c r="AD48" s="83"/>
      <c r="AE48" s="83"/>
    </row>
    <row r="49" spans="1:31" x14ac:dyDescent="0.25">
      <c r="A49"/>
      <c r="B49" s="81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 s="84"/>
      <c r="V49"/>
      <c r="W49" s="84"/>
      <c r="X49" s="84"/>
      <c r="Y49"/>
      <c r="Z49"/>
      <c r="AA49"/>
      <c r="AB49" s="84"/>
      <c r="AC49"/>
      <c r="AD49" s="83"/>
      <c r="AE49" s="83"/>
    </row>
    <row r="50" spans="1:31" x14ac:dyDescent="0.25">
      <c r="A50"/>
      <c r="B50" s="81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 s="84"/>
      <c r="V50"/>
      <c r="W50" s="84"/>
      <c r="X50" s="84"/>
      <c r="Y50"/>
      <c r="Z50"/>
      <c r="AA50"/>
      <c r="AB50" s="84"/>
      <c r="AC50"/>
      <c r="AD50" s="83"/>
      <c r="AE50" s="83"/>
    </row>
    <row r="51" spans="1:31" x14ac:dyDescent="0.25">
      <c r="A51"/>
      <c r="B51" s="8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 s="84"/>
      <c r="V51"/>
      <c r="W51" s="84"/>
      <c r="X51" s="84"/>
      <c r="Y51"/>
      <c r="Z51"/>
      <c r="AA51"/>
      <c r="AB51" s="84"/>
      <c r="AC51"/>
      <c r="AD51" s="83"/>
      <c r="AE51" s="83"/>
    </row>
    <row r="52" spans="1:31" x14ac:dyDescent="0.25">
      <c r="A52"/>
      <c r="B52" s="81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 s="84"/>
      <c r="V52"/>
      <c r="W52" s="84"/>
      <c r="X52" s="84"/>
      <c r="Y52"/>
      <c r="Z52"/>
      <c r="AA52"/>
      <c r="AB52" s="84"/>
      <c r="AC52"/>
      <c r="AD52" s="83"/>
      <c r="AE52" s="83"/>
    </row>
    <row r="53" spans="1:31" x14ac:dyDescent="0.25">
      <c r="A53"/>
      <c r="B53" s="81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 s="84"/>
      <c r="V53"/>
      <c r="W53" s="84"/>
      <c r="X53" s="84"/>
      <c r="Y53"/>
      <c r="Z53"/>
      <c r="AA53"/>
      <c r="AB53" s="84"/>
      <c r="AC53"/>
      <c r="AD53" s="83"/>
      <c r="AE53" s="83"/>
    </row>
    <row r="54" spans="1:31" x14ac:dyDescent="0.25">
      <c r="A54"/>
      <c r="B54" s="81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 s="84"/>
      <c r="V54"/>
      <c r="W54" s="84"/>
      <c r="X54" s="84"/>
      <c r="Y54"/>
      <c r="Z54"/>
      <c r="AA54"/>
      <c r="AB54" s="84"/>
      <c r="AC54"/>
      <c r="AD54" s="83"/>
      <c r="AE54" s="83"/>
    </row>
    <row r="55" spans="1:31" x14ac:dyDescent="0.25">
      <c r="A55"/>
      <c r="B55" s="81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 s="84"/>
      <c r="V55"/>
      <c r="W55" s="84"/>
      <c r="X55" s="84"/>
      <c r="Y55"/>
      <c r="Z55"/>
      <c r="AA55"/>
      <c r="AB55" s="84"/>
      <c r="AC55"/>
      <c r="AD55" s="83"/>
      <c r="AE55" s="83"/>
    </row>
    <row r="56" spans="1:31" x14ac:dyDescent="0.25">
      <c r="A56"/>
      <c r="B56" s="81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 s="84"/>
      <c r="V56"/>
      <c r="W56" s="84"/>
      <c r="X56" s="84"/>
      <c r="Y56"/>
      <c r="Z56"/>
      <c r="AA56"/>
      <c r="AB56" s="84"/>
      <c r="AC56"/>
      <c r="AD56" s="83"/>
      <c r="AE56" s="83"/>
    </row>
    <row r="57" spans="1:31" x14ac:dyDescent="0.25">
      <c r="A57"/>
      <c r="B57" s="81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 s="84"/>
      <c r="V57"/>
      <c r="W57" s="84"/>
      <c r="X57" s="84"/>
      <c r="Y57"/>
      <c r="Z57"/>
      <c r="AA57"/>
      <c r="AB57" s="84"/>
      <c r="AC57"/>
      <c r="AD57" s="83"/>
      <c r="AE57" s="83"/>
    </row>
    <row r="58" spans="1:31" x14ac:dyDescent="0.25">
      <c r="A58"/>
      <c r="B58" s="81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 s="84"/>
      <c r="V58"/>
      <c r="W58" s="84"/>
      <c r="X58" s="84"/>
      <c r="Y58"/>
      <c r="Z58"/>
      <c r="AA58"/>
      <c r="AB58" s="84"/>
      <c r="AC58"/>
      <c r="AD58" s="83"/>
      <c r="AE58" s="83"/>
    </row>
    <row r="59" spans="1:31" x14ac:dyDescent="0.25">
      <c r="A59"/>
      <c r="B59" s="81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 s="84"/>
      <c r="V59"/>
      <c r="W59" s="84"/>
      <c r="X59" s="84"/>
      <c r="Y59"/>
      <c r="Z59"/>
      <c r="AA59"/>
      <c r="AB59" s="84"/>
      <c r="AC59"/>
      <c r="AD59" s="83"/>
      <c r="AE59" s="83"/>
    </row>
    <row r="60" spans="1:31" x14ac:dyDescent="0.25">
      <c r="A60"/>
      <c r="B60" s="81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 s="84"/>
      <c r="V60"/>
      <c r="W60" s="84"/>
      <c r="X60" s="84"/>
      <c r="Y60"/>
      <c r="Z60"/>
      <c r="AA60"/>
      <c r="AB60" s="84"/>
      <c r="AC60"/>
      <c r="AD60" s="83"/>
      <c r="AE60" s="83"/>
    </row>
    <row r="61" spans="1:31" x14ac:dyDescent="0.25">
      <c r="A61"/>
      <c r="B61" s="8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 s="84"/>
      <c r="V61"/>
      <c r="W61" s="84"/>
      <c r="X61" s="84"/>
      <c r="Y61"/>
      <c r="Z61"/>
      <c r="AA61"/>
      <c r="AB61" s="84"/>
      <c r="AC61"/>
      <c r="AD61" s="83"/>
      <c r="AE61" s="83"/>
    </row>
    <row r="62" spans="1:31" x14ac:dyDescent="0.25">
      <c r="A62"/>
      <c r="B62" s="81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 s="84"/>
      <c r="V62"/>
      <c r="W62" s="84"/>
      <c r="X62" s="84"/>
      <c r="Y62"/>
      <c r="Z62"/>
      <c r="AA62"/>
      <c r="AB62" s="84"/>
      <c r="AC62"/>
      <c r="AD62" s="83"/>
      <c r="AE62" s="83"/>
    </row>
    <row r="63" spans="1:31" x14ac:dyDescent="0.25">
      <c r="A63"/>
      <c r="B63" s="81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 s="84"/>
      <c r="V63"/>
      <c r="W63" s="84"/>
      <c r="X63" s="84"/>
      <c r="Y63"/>
      <c r="Z63"/>
      <c r="AA63"/>
      <c r="AB63" s="84"/>
      <c r="AC63"/>
      <c r="AD63" s="83"/>
      <c r="AE63" s="83"/>
    </row>
    <row r="64" spans="1:31" x14ac:dyDescent="0.25">
      <c r="A64"/>
      <c r="B64" s="81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 s="84"/>
      <c r="V64"/>
      <c r="W64" s="84"/>
      <c r="X64" s="84"/>
      <c r="Y64"/>
      <c r="Z64"/>
      <c r="AA64"/>
      <c r="AB64" s="84"/>
      <c r="AC64"/>
      <c r="AD64" s="83"/>
      <c r="AE64" s="83"/>
    </row>
    <row r="65" spans="1:31" x14ac:dyDescent="0.25">
      <c r="A65"/>
      <c r="B65" s="81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 s="84"/>
      <c r="V65"/>
      <c r="W65" s="84"/>
      <c r="X65" s="84"/>
      <c r="Y65"/>
      <c r="Z65"/>
      <c r="AA65"/>
      <c r="AB65" s="84"/>
      <c r="AC65"/>
      <c r="AD65" s="83"/>
      <c r="AE65" s="83"/>
    </row>
    <row r="66" spans="1:31" x14ac:dyDescent="0.25">
      <c r="A66"/>
      <c r="B66" s="81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 s="84"/>
      <c r="V66"/>
      <c r="W66" s="84"/>
      <c r="X66" s="84"/>
      <c r="Y66"/>
      <c r="Z66"/>
      <c r="AA66"/>
      <c r="AB66" s="84"/>
      <c r="AC66"/>
      <c r="AD66" s="83"/>
      <c r="AE66" s="83"/>
    </row>
    <row r="67" spans="1:31" x14ac:dyDescent="0.25">
      <c r="A67"/>
      <c r="B67" s="81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 s="84"/>
      <c r="V67"/>
      <c r="W67" s="84"/>
      <c r="X67" s="84"/>
      <c r="Y67"/>
      <c r="Z67"/>
      <c r="AA67"/>
      <c r="AB67" s="84"/>
      <c r="AC67"/>
      <c r="AD67" s="83"/>
      <c r="AE67" s="83"/>
    </row>
    <row r="68" spans="1:31" x14ac:dyDescent="0.25">
      <c r="A68"/>
      <c r="B68" s="81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 s="84"/>
      <c r="V68"/>
      <c r="W68" s="84"/>
      <c r="X68" s="84"/>
      <c r="Y68"/>
      <c r="Z68"/>
      <c r="AA68"/>
      <c r="AB68" s="84"/>
      <c r="AC68"/>
      <c r="AD68" s="83"/>
      <c r="AE68" s="83"/>
    </row>
    <row r="69" spans="1:31" x14ac:dyDescent="0.25">
      <c r="A69"/>
      <c r="B69" s="81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 s="84"/>
      <c r="V69"/>
      <c r="W69" s="84"/>
      <c r="X69" s="84"/>
      <c r="Y69"/>
      <c r="Z69"/>
      <c r="AA69"/>
      <c r="AB69" s="84"/>
      <c r="AC69"/>
      <c r="AD69" s="83"/>
      <c r="AE69" s="83"/>
    </row>
    <row r="70" spans="1:31" x14ac:dyDescent="0.25">
      <c r="A70"/>
      <c r="B70" s="81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 s="84"/>
      <c r="V70"/>
      <c r="W70" s="84"/>
      <c r="X70" s="84"/>
      <c r="Y70"/>
      <c r="Z70"/>
      <c r="AA70"/>
      <c r="AB70" s="84"/>
      <c r="AC70"/>
      <c r="AD70" s="83"/>
      <c r="AE70" s="83"/>
    </row>
    <row r="71" spans="1:31" x14ac:dyDescent="0.25">
      <c r="A71"/>
      <c r="B71" s="8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 s="84"/>
      <c r="V71"/>
      <c r="W71" s="84"/>
      <c r="X71" s="84"/>
      <c r="Y71"/>
      <c r="Z71"/>
      <c r="AA71"/>
      <c r="AB71" s="84"/>
      <c r="AC71"/>
      <c r="AD71" s="83"/>
      <c r="AE71" s="83"/>
    </row>
    <row r="72" spans="1:31" x14ac:dyDescent="0.25">
      <c r="A72"/>
      <c r="B72" s="81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 s="84"/>
      <c r="V72"/>
      <c r="W72" s="84"/>
      <c r="X72" s="84"/>
      <c r="Y72"/>
      <c r="Z72"/>
      <c r="AA72"/>
      <c r="AB72" s="84"/>
      <c r="AC72"/>
      <c r="AD72" s="83"/>
      <c r="AE72" s="83"/>
    </row>
    <row r="73" spans="1:31" x14ac:dyDescent="0.25">
      <c r="A73"/>
      <c r="B73" s="81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 s="84"/>
      <c r="V73"/>
      <c r="W73" s="84"/>
      <c r="X73" s="84"/>
      <c r="Y73"/>
      <c r="Z73"/>
      <c r="AA73"/>
      <c r="AB73" s="84"/>
      <c r="AC73"/>
      <c r="AD73" s="83"/>
      <c r="AE73" s="83"/>
    </row>
  </sheetData>
  <conditionalFormatting sqref="B68:B73">
    <cfRule type="duplicateValues" dxfId="36" priority="150"/>
  </conditionalFormatting>
  <conditionalFormatting sqref="B50:B67">
    <cfRule type="duplicateValues" dxfId="35" priority="143"/>
  </conditionalFormatting>
  <conditionalFormatting sqref="B31:B49">
    <cfRule type="duplicateValues" dxfId="34" priority="138"/>
  </conditionalFormatting>
  <conditionalFormatting sqref="B29:B30">
    <cfRule type="duplicateValues" dxfId="33" priority="135"/>
  </conditionalFormatting>
  <conditionalFormatting sqref="B14:B28">
    <cfRule type="duplicateValues" dxfId="32" priority="131"/>
  </conditionalFormatting>
  <conditionalFormatting sqref="B10:B13">
    <cfRule type="duplicateValues" dxfId="31" priority="125"/>
  </conditionalFormatting>
  <conditionalFormatting sqref="B7:B9">
    <cfRule type="duplicateValues" dxfId="30" priority="121"/>
  </conditionalFormatting>
  <conditionalFormatting sqref="B5">
    <cfRule type="duplicateValues" dxfId="29" priority="7"/>
    <cfRule type="duplicateValues" dxfId="28" priority="8"/>
  </conditionalFormatting>
  <conditionalFormatting sqref="B6">
    <cfRule type="duplicateValues" dxfId="27" priority="5"/>
    <cfRule type="duplicateValues" dxfId="26" priority="6"/>
  </conditionalFormatting>
  <conditionalFormatting sqref="B2">
    <cfRule type="duplicateValues" dxfId="25" priority="3"/>
    <cfRule type="duplicateValues" dxfId="24" priority="4"/>
  </conditionalFormatting>
  <conditionalFormatting sqref="B3:B4">
    <cfRule type="duplicateValues" dxfId="23" priority="1"/>
    <cfRule type="duplicateValues" dxfId="22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"/>
  <sheetViews>
    <sheetView zoomScale="90" zoomScaleNormal="90" workbookViewId="0">
      <selection activeCell="C11" sqref="C11"/>
    </sheetView>
  </sheetViews>
  <sheetFormatPr defaultColWidth="9.140625" defaultRowHeight="15" x14ac:dyDescent="0.25"/>
  <cols>
    <col min="1" max="1" width="5.7109375" style="14" customWidth="1"/>
    <col min="2" max="2" width="20.7109375" style="14" customWidth="1"/>
    <col min="3" max="4" width="29.85546875" style="14" customWidth="1"/>
    <col min="5" max="5" width="12.85546875" style="14" customWidth="1"/>
    <col min="6" max="6" width="14.28515625" style="14" customWidth="1"/>
    <col min="7" max="7" width="13.42578125" style="14" customWidth="1"/>
    <col min="8" max="8" width="24.5703125" style="14" customWidth="1"/>
    <col min="9" max="9" width="8" style="14" customWidth="1"/>
    <col min="10" max="10" width="12.7109375" style="14" customWidth="1"/>
    <col min="11" max="11" width="19.28515625" style="14" customWidth="1"/>
    <col min="12" max="12" width="20.140625" style="14" customWidth="1"/>
    <col min="13" max="13" width="12.5703125" style="14" customWidth="1"/>
    <col min="14" max="14" width="13.140625" style="14" customWidth="1"/>
    <col min="15" max="17" width="9.140625" style="14"/>
    <col min="18" max="18" width="15.5703125" style="14" customWidth="1"/>
    <col min="19" max="19" width="17.28515625" style="14" customWidth="1"/>
    <col min="20" max="20" width="28.140625" style="14" customWidth="1"/>
    <col min="21" max="21" width="14.42578125" style="14" customWidth="1"/>
    <col min="22" max="22" width="9.140625" style="14"/>
    <col min="23" max="23" width="17.5703125" style="14" customWidth="1"/>
    <col min="24" max="24" width="9.140625" style="14"/>
    <col min="25" max="25" width="20.42578125" style="14" customWidth="1"/>
    <col min="26" max="26" width="22.7109375" style="14" customWidth="1"/>
    <col min="27" max="16384" width="9.140625" style="14"/>
  </cols>
  <sheetData>
    <row r="1" spans="1:32" customFormat="1" x14ac:dyDescent="0.25">
      <c r="A1" t="s">
        <v>477</v>
      </c>
      <c r="B1" s="81" t="s">
        <v>445</v>
      </c>
      <c r="C1" t="s">
        <v>431</v>
      </c>
      <c r="D1" t="s">
        <v>473</v>
      </c>
      <c r="E1" t="s">
        <v>432</v>
      </c>
      <c r="F1" t="s">
        <v>2</v>
      </c>
      <c r="G1" t="s">
        <v>433</v>
      </c>
      <c r="H1" t="s">
        <v>474</v>
      </c>
      <c r="I1" t="s">
        <v>475</v>
      </c>
      <c r="J1" t="s">
        <v>434</v>
      </c>
      <c r="K1" t="s">
        <v>435</v>
      </c>
      <c r="L1" t="s">
        <v>436</v>
      </c>
      <c r="M1" t="s">
        <v>437</v>
      </c>
      <c r="N1" t="s">
        <v>446</v>
      </c>
      <c r="O1" t="s">
        <v>447</v>
      </c>
      <c r="P1" t="s">
        <v>448</v>
      </c>
      <c r="Q1" t="s">
        <v>449</v>
      </c>
      <c r="R1" t="s">
        <v>450</v>
      </c>
      <c r="S1" t="s">
        <v>451</v>
      </c>
      <c r="T1" t="s">
        <v>452</v>
      </c>
      <c r="U1" s="84" t="s">
        <v>453</v>
      </c>
      <c r="V1" t="s">
        <v>441</v>
      </c>
      <c r="W1" s="84" t="s">
        <v>454</v>
      </c>
      <c r="X1" s="84" t="s">
        <v>455</v>
      </c>
      <c r="Y1" t="s">
        <v>438</v>
      </c>
      <c r="Z1" t="s">
        <v>478</v>
      </c>
      <c r="AA1" t="s">
        <v>479</v>
      </c>
      <c r="AB1" s="84" t="s">
        <v>480</v>
      </c>
      <c r="AC1" t="s">
        <v>456</v>
      </c>
      <c r="AD1" s="83" t="s">
        <v>457</v>
      </c>
      <c r="AE1" s="83" t="s">
        <v>458</v>
      </c>
    </row>
    <row r="2" spans="1:32" s="77" customFormat="1" x14ac:dyDescent="0.25">
      <c r="A2">
        <v>1</v>
      </c>
      <c r="B2" s="81" t="s">
        <v>525</v>
      </c>
      <c r="C2" t="s">
        <v>526</v>
      </c>
      <c r="D2" t="s">
        <v>471</v>
      </c>
      <c r="E2" t="s">
        <v>283</v>
      </c>
      <c r="F2" t="s">
        <v>292</v>
      </c>
      <c r="G2" t="s">
        <v>527</v>
      </c>
      <c r="H2">
        <v>5</v>
      </c>
      <c r="I2">
        <v>1</v>
      </c>
      <c r="J2" t="s">
        <v>528</v>
      </c>
      <c r="K2">
        <v>0</v>
      </c>
      <c r="L2" t="s">
        <v>305</v>
      </c>
      <c r="M2" t="s">
        <v>529</v>
      </c>
      <c r="N2" t="s">
        <v>520</v>
      </c>
      <c r="O2" t="s">
        <v>470</v>
      </c>
      <c r="P2" t="s">
        <v>530</v>
      </c>
      <c r="Q2"/>
      <c r="R2"/>
      <c r="S2"/>
      <c r="T2"/>
      <c r="U2" s="84"/>
      <c r="V2" t="s">
        <v>519</v>
      </c>
      <c r="W2" s="84">
        <v>44452</v>
      </c>
      <c r="X2" s="84"/>
      <c r="Y2" t="s">
        <v>440</v>
      </c>
      <c r="Z2">
        <v>4642465595</v>
      </c>
      <c r="AA2" t="s">
        <v>531</v>
      </c>
      <c r="AB2" s="84">
        <v>44452</v>
      </c>
      <c r="AC2">
        <v>0</v>
      </c>
      <c r="AD2" s="83">
        <v>44453.342175926002</v>
      </c>
      <c r="AE2" s="83">
        <v>44453.342175926002</v>
      </c>
      <c r="AF2" s="83"/>
    </row>
    <row r="3" spans="1:32" s="77" customFormat="1" x14ac:dyDescent="0.25">
      <c r="A3"/>
      <c r="B3" s="10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 s="84"/>
      <c r="V3"/>
      <c r="W3" s="84"/>
      <c r="X3" s="84"/>
      <c r="Y3"/>
      <c r="Z3"/>
      <c r="AA3"/>
      <c r="AB3" s="84"/>
      <c r="AC3"/>
      <c r="AD3" s="83"/>
      <c r="AE3" s="83"/>
    </row>
    <row r="4" spans="1:32" s="77" customFormat="1" x14ac:dyDescent="0.25">
      <c r="A4"/>
      <c r="B4" s="8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 s="84"/>
      <c r="V4"/>
      <c r="W4" s="84"/>
      <c r="X4" s="84"/>
      <c r="Y4"/>
      <c r="Z4"/>
      <c r="AA4"/>
      <c r="AB4" s="84"/>
      <c r="AC4"/>
      <c r="AD4" s="83"/>
      <c r="AE4" s="83"/>
    </row>
    <row r="5" spans="1:32" s="77" customFormat="1" x14ac:dyDescent="0.25">
      <c r="A5"/>
      <c r="B5" s="81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84"/>
      <c r="V5"/>
      <c r="W5" s="84"/>
      <c r="X5" s="84"/>
      <c r="Y5"/>
      <c r="Z5"/>
      <c r="AA5"/>
      <c r="AB5" s="84"/>
      <c r="AC5"/>
      <c r="AD5" s="83"/>
      <c r="AE5" s="83"/>
      <c r="AF5" s="83"/>
    </row>
    <row r="6" spans="1:32" s="77" customFormat="1" x14ac:dyDescent="0.25">
      <c r="A6"/>
      <c r="B6" s="81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 s="84"/>
      <c r="V6"/>
      <c r="W6" s="84"/>
      <c r="X6" s="84"/>
      <c r="Y6"/>
      <c r="Z6"/>
      <c r="AA6"/>
      <c r="AB6" s="84"/>
      <c r="AC6"/>
      <c r="AD6" s="83"/>
      <c r="AE6" s="83"/>
      <c r="AF6" s="83"/>
    </row>
    <row r="7" spans="1:32" s="77" customFormat="1" x14ac:dyDescent="0.25">
      <c r="A7"/>
      <c r="B7" s="81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 s="84"/>
      <c r="V7"/>
      <c r="W7" s="84"/>
      <c r="X7" s="84"/>
      <c r="Y7"/>
      <c r="Z7"/>
      <c r="AA7"/>
      <c r="AB7" s="84"/>
      <c r="AC7"/>
      <c r="AD7" s="83"/>
      <c r="AE7" s="83"/>
      <c r="AF7" s="83"/>
    </row>
    <row r="8" spans="1:32" s="77" customFormat="1" x14ac:dyDescent="0.25">
      <c r="A8"/>
      <c r="B8" s="9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94"/>
      <c r="V8" s="14"/>
      <c r="W8" s="94"/>
      <c r="X8" s="94"/>
      <c r="Y8" s="14"/>
      <c r="Z8" s="14"/>
      <c r="AA8" s="14"/>
      <c r="AB8" s="94"/>
      <c r="AC8" s="14"/>
      <c r="AD8" s="95"/>
      <c r="AE8" s="95"/>
      <c r="AF8" s="83"/>
    </row>
    <row r="9" spans="1:32" s="77" customFormat="1" x14ac:dyDescent="0.25">
      <c r="A9"/>
      <c r="B9" s="9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94"/>
      <c r="V9" s="14"/>
      <c r="W9" s="94"/>
      <c r="X9" s="94"/>
      <c r="Y9" s="14"/>
      <c r="Z9" s="14"/>
      <c r="AA9" s="14"/>
      <c r="AB9" s="94"/>
      <c r="AC9" s="14"/>
      <c r="AD9" s="95"/>
      <c r="AE9" s="95"/>
      <c r="AF9" s="83"/>
    </row>
    <row r="10" spans="1:32" s="77" customFormat="1" x14ac:dyDescent="0.25">
      <c r="A10"/>
      <c r="B10" s="9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94"/>
      <c r="V10" s="14"/>
      <c r="W10" s="94"/>
      <c r="X10" s="94"/>
      <c r="Y10" s="14"/>
      <c r="Z10" s="14"/>
      <c r="AA10" s="14"/>
      <c r="AB10" s="94"/>
      <c r="AC10" s="14"/>
      <c r="AD10" s="95"/>
      <c r="AE10" s="95"/>
      <c r="AF10" s="83"/>
    </row>
    <row r="11" spans="1:32" s="77" customFormat="1" x14ac:dyDescent="0.25">
      <c r="A11"/>
      <c r="B11" s="9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94"/>
      <c r="V11" s="14"/>
      <c r="W11" s="94"/>
      <c r="X11" s="94"/>
      <c r="Y11" s="14"/>
      <c r="Z11" s="14"/>
      <c r="AA11" s="14"/>
      <c r="AB11" s="94"/>
      <c r="AC11" s="14"/>
      <c r="AD11" s="95"/>
      <c r="AE11" s="95"/>
      <c r="AF11" s="83"/>
    </row>
    <row r="12" spans="1:32" s="77" customFormat="1" x14ac:dyDescent="0.25">
      <c r="A12"/>
      <c r="B12" s="81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 s="84"/>
      <c r="V12"/>
      <c r="W12" s="84"/>
      <c r="X12" s="84"/>
      <c r="Y12"/>
      <c r="Z12"/>
      <c r="AA12"/>
      <c r="AB12" s="84"/>
      <c r="AC12"/>
      <c r="AD12" s="83"/>
      <c r="AE12" s="83"/>
      <c r="AF12" s="83"/>
    </row>
    <row r="13" spans="1:32" s="77" customFormat="1" x14ac:dyDescent="0.25">
      <c r="A13"/>
      <c r="B13" s="81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 s="84"/>
      <c r="V13"/>
      <c r="W13" s="84"/>
      <c r="X13" s="84"/>
      <c r="Y13"/>
      <c r="Z13"/>
      <c r="AA13"/>
      <c r="AB13" s="84"/>
      <c r="AC13"/>
      <c r="AD13" s="83"/>
      <c r="AE13" s="83"/>
      <c r="AF13" s="83"/>
    </row>
    <row r="14" spans="1:32" s="77" customFormat="1" x14ac:dyDescent="0.25">
      <c r="A14"/>
      <c r="B14" s="81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 s="84"/>
      <c r="V14"/>
      <c r="W14" s="84"/>
      <c r="X14" s="84"/>
      <c r="Y14"/>
      <c r="Z14"/>
      <c r="AA14"/>
      <c r="AB14" s="84"/>
      <c r="AC14"/>
      <c r="AD14" s="83"/>
      <c r="AE14" s="83"/>
      <c r="AF14" s="83"/>
    </row>
    <row r="15" spans="1:32" s="77" customFormat="1" x14ac:dyDescent="0.25">
      <c r="A15"/>
      <c r="B15" s="81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 s="84"/>
      <c r="V15"/>
      <c r="W15" s="84"/>
      <c r="X15" s="84"/>
      <c r="Y15"/>
      <c r="Z15"/>
      <c r="AA15"/>
      <c r="AB15" s="84"/>
      <c r="AC15"/>
      <c r="AD15" s="83"/>
      <c r="AE15" s="83"/>
      <c r="AF15" s="83"/>
    </row>
    <row r="16" spans="1:32" s="77" customFormat="1" x14ac:dyDescent="0.25">
      <c r="A16"/>
      <c r="B16" s="81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 s="84"/>
      <c r="V16"/>
      <c r="W16" s="84"/>
      <c r="X16" s="84"/>
      <c r="Y16"/>
      <c r="Z16"/>
      <c r="AA16"/>
      <c r="AB16" s="84"/>
      <c r="AC16"/>
      <c r="AD16" s="83"/>
      <c r="AE16" s="83"/>
      <c r="AF16" s="83"/>
    </row>
    <row r="17" spans="1:32" s="77" customFormat="1" x14ac:dyDescent="0.25">
      <c r="A17"/>
      <c r="B17" s="81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 s="84"/>
      <c r="V17"/>
      <c r="W17" s="84"/>
      <c r="X17" s="84"/>
      <c r="Y17"/>
      <c r="Z17"/>
      <c r="AA17"/>
      <c r="AB17" s="84"/>
      <c r="AC17"/>
      <c r="AD17" s="83"/>
      <c r="AE17" s="83"/>
      <c r="AF17" s="83"/>
    </row>
    <row r="18" spans="1:32" s="77" customFormat="1" x14ac:dyDescent="0.25">
      <c r="A18"/>
      <c r="B18" s="81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 s="84"/>
      <c r="V18"/>
      <c r="W18" s="84"/>
      <c r="X18" s="84"/>
      <c r="Y18"/>
      <c r="Z18"/>
      <c r="AA18"/>
      <c r="AB18" s="84"/>
      <c r="AC18"/>
      <c r="AD18" s="83"/>
      <c r="AE18" s="83"/>
      <c r="AF18" s="83"/>
    </row>
    <row r="19" spans="1:32" s="77" customFormat="1" x14ac:dyDescent="0.25">
      <c r="A19"/>
      <c r="B19" s="81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 s="84"/>
      <c r="V19"/>
      <c r="W19" s="84"/>
      <c r="X19" s="84"/>
      <c r="Y19"/>
      <c r="Z19"/>
      <c r="AA19"/>
      <c r="AB19" s="84"/>
      <c r="AC19"/>
      <c r="AD19" s="83"/>
      <c r="AE19" s="83"/>
      <c r="AF19" s="83"/>
    </row>
    <row r="20" spans="1:32" s="77" customFormat="1" x14ac:dyDescent="0.25">
      <c r="A20"/>
      <c r="B20" s="81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 s="84"/>
      <c r="V20"/>
      <c r="W20" s="84"/>
      <c r="X20" s="84"/>
      <c r="Y20"/>
      <c r="Z20"/>
      <c r="AA20"/>
      <c r="AB20" s="84"/>
      <c r="AC20"/>
      <c r="AD20" s="83"/>
      <c r="AE20" s="83"/>
      <c r="AF20" s="83"/>
    </row>
    <row r="21" spans="1:32" s="77" customFormat="1" x14ac:dyDescent="0.25">
      <c r="A21"/>
      <c r="B21" s="8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 s="84"/>
      <c r="V21"/>
      <c r="W21" s="84"/>
      <c r="X21" s="84"/>
      <c r="Y21"/>
      <c r="Z21"/>
      <c r="AA21"/>
      <c r="AB21" s="84"/>
      <c r="AC21"/>
      <c r="AD21" s="83"/>
      <c r="AE21" s="83"/>
      <c r="AF21" s="83"/>
    </row>
    <row r="22" spans="1:32" s="77" customFormat="1" x14ac:dyDescent="0.25">
      <c r="A22"/>
      <c r="B22" s="81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 s="84"/>
      <c r="V22"/>
      <c r="W22" s="84"/>
      <c r="X22" s="84"/>
      <c r="Y22"/>
      <c r="Z22"/>
      <c r="AA22"/>
      <c r="AB22" s="84"/>
      <c r="AC22"/>
      <c r="AD22" s="83"/>
      <c r="AE22" s="83"/>
      <c r="AF22" s="83"/>
    </row>
    <row r="23" spans="1:32" s="77" customFormat="1" x14ac:dyDescent="0.25">
      <c r="A23"/>
      <c r="B23" s="8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 s="84"/>
      <c r="V23"/>
      <c r="W23" s="84"/>
      <c r="X23" s="84"/>
      <c r="Y23"/>
      <c r="Z23"/>
      <c r="AA23"/>
      <c r="AB23" s="84"/>
      <c r="AC23"/>
      <c r="AD23" s="83"/>
      <c r="AE23" s="83"/>
    </row>
    <row r="24" spans="1:32" s="77" customFormat="1" x14ac:dyDescent="0.25">
      <c r="A24"/>
      <c r="B24" s="8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 s="84"/>
      <c r="V24"/>
      <c r="W24" s="84"/>
      <c r="X24" s="84"/>
      <c r="Y24"/>
      <c r="Z24"/>
      <c r="AA24"/>
      <c r="AB24" s="84"/>
      <c r="AC24"/>
      <c r="AD24" s="83"/>
      <c r="AE24" s="83"/>
    </row>
    <row r="25" spans="1:32" s="77" customFormat="1" x14ac:dyDescent="0.25">
      <c r="A25"/>
      <c r="B25" s="81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 s="84"/>
      <c r="V25"/>
      <c r="W25" s="84"/>
      <c r="X25" s="84"/>
      <c r="Y25"/>
      <c r="Z25"/>
      <c r="AA25"/>
      <c r="AB25" s="84"/>
      <c r="AC25"/>
      <c r="AD25" s="83"/>
      <c r="AE25" s="83"/>
    </row>
    <row r="26" spans="1:32" x14ac:dyDescent="0.25">
      <c r="A26"/>
      <c r="B26" s="81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 s="84"/>
      <c r="V26"/>
      <c r="W26" s="84"/>
      <c r="X26" s="84"/>
      <c r="Y26"/>
      <c r="Z26"/>
      <c r="AA26"/>
      <c r="AB26" s="84"/>
      <c r="AC26"/>
      <c r="AD26" s="83"/>
      <c r="AE26" s="83"/>
    </row>
    <row r="27" spans="1:32" x14ac:dyDescent="0.25">
      <c r="A27"/>
      <c r="B27" s="8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 s="84"/>
      <c r="V27"/>
      <c r="W27" s="84"/>
      <c r="X27" s="84"/>
      <c r="Y27"/>
      <c r="Z27"/>
      <c r="AA27"/>
      <c r="AB27" s="84"/>
      <c r="AC27"/>
      <c r="AD27" s="83"/>
      <c r="AE27" s="83"/>
    </row>
    <row r="28" spans="1:32" x14ac:dyDescent="0.25">
      <c r="A28"/>
      <c r="B28" s="81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 s="84"/>
      <c r="V28"/>
      <c r="W28" s="84"/>
      <c r="X28" s="84"/>
      <c r="Y28"/>
      <c r="Z28"/>
      <c r="AA28"/>
      <c r="AB28" s="84"/>
      <c r="AC28"/>
      <c r="AD28" s="83"/>
      <c r="AE28" s="83"/>
    </row>
    <row r="29" spans="1:32" x14ac:dyDescent="0.25">
      <c r="A29"/>
      <c r="B29" s="81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 s="84"/>
      <c r="V29"/>
      <c r="W29" s="84"/>
      <c r="X29" s="84"/>
      <c r="Y29"/>
      <c r="Z29"/>
      <c r="AA29"/>
      <c r="AB29" s="84"/>
      <c r="AC29"/>
      <c r="AD29" s="83"/>
      <c r="AE29" s="83"/>
    </row>
    <row r="30" spans="1:32" x14ac:dyDescent="0.25">
      <c r="A30"/>
      <c r="B30" s="81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 s="84"/>
      <c r="V30"/>
      <c r="W30" s="84"/>
      <c r="X30" s="84"/>
      <c r="Y30"/>
      <c r="Z30"/>
      <c r="AA30"/>
      <c r="AB30" s="84"/>
      <c r="AC30"/>
      <c r="AD30" s="83"/>
      <c r="AE30" s="83"/>
    </row>
    <row r="31" spans="1:32" x14ac:dyDescent="0.25">
      <c r="A31"/>
      <c r="B31" s="8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 s="84"/>
      <c r="V31"/>
      <c r="W31" s="84"/>
      <c r="X31" s="84"/>
      <c r="Y31"/>
      <c r="Z31"/>
      <c r="AA31"/>
      <c r="AB31" s="84"/>
      <c r="AC31"/>
      <c r="AD31" s="83"/>
      <c r="AE31" s="83"/>
    </row>
    <row r="32" spans="1:32" x14ac:dyDescent="0.25">
      <c r="A32"/>
      <c r="B32" s="81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 s="84"/>
      <c r="V32"/>
      <c r="W32" s="84"/>
      <c r="X32" s="84"/>
      <c r="Y32"/>
      <c r="Z32"/>
      <c r="AA32"/>
      <c r="AB32" s="84"/>
      <c r="AC32"/>
      <c r="AD32" s="83"/>
      <c r="AE32" s="83"/>
    </row>
    <row r="33" spans="1:31" x14ac:dyDescent="0.25">
      <c r="A33"/>
      <c r="B33" s="81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 s="84"/>
      <c r="V33"/>
      <c r="W33" s="84"/>
      <c r="X33" s="84"/>
      <c r="Y33"/>
      <c r="Z33"/>
      <c r="AA33"/>
      <c r="AB33" s="84"/>
      <c r="AC33"/>
      <c r="AD33" s="83"/>
      <c r="AE33" s="83"/>
    </row>
    <row r="34" spans="1:31" x14ac:dyDescent="0.25">
      <c r="A34"/>
      <c r="B34" s="81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 s="84"/>
      <c r="V34"/>
      <c r="W34" s="84"/>
      <c r="X34" s="84"/>
      <c r="Y34"/>
      <c r="Z34"/>
      <c r="AA34"/>
      <c r="AB34" s="84"/>
      <c r="AC34"/>
      <c r="AD34" s="83"/>
      <c r="AE34" s="83"/>
    </row>
    <row r="35" spans="1:31" x14ac:dyDescent="0.25">
      <c r="A35"/>
      <c r="B35" s="81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 s="84"/>
      <c r="V35"/>
      <c r="W35" s="84"/>
      <c r="X35" s="84"/>
      <c r="Y35"/>
      <c r="Z35"/>
      <c r="AA35"/>
      <c r="AB35" s="84"/>
      <c r="AC35"/>
      <c r="AD35" s="83"/>
      <c r="AE35" s="83"/>
    </row>
    <row r="36" spans="1:31" x14ac:dyDescent="0.25">
      <c r="A36"/>
      <c r="B36" s="81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 s="84"/>
      <c r="V36"/>
      <c r="W36" s="84"/>
      <c r="X36" s="84"/>
      <c r="Y36"/>
      <c r="Z36"/>
      <c r="AA36"/>
      <c r="AB36" s="84"/>
      <c r="AC36"/>
      <c r="AD36" s="83"/>
      <c r="AE36" s="83"/>
    </row>
    <row r="37" spans="1:31" x14ac:dyDescent="0.25">
      <c r="A37"/>
      <c r="B37" s="81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 s="84"/>
      <c r="V37"/>
      <c r="W37" s="84"/>
      <c r="X37" s="84"/>
      <c r="Y37"/>
      <c r="Z37"/>
      <c r="AA37"/>
      <c r="AB37" s="84"/>
      <c r="AC37"/>
      <c r="AD37" s="83"/>
      <c r="AE37" s="83"/>
    </row>
    <row r="38" spans="1:31" x14ac:dyDescent="0.25">
      <c r="A38"/>
      <c r="B38" s="81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 s="84"/>
      <c r="V38"/>
      <c r="W38" s="84"/>
      <c r="X38" s="84"/>
      <c r="Y38"/>
      <c r="Z38"/>
      <c r="AA38"/>
      <c r="AB38" s="84"/>
      <c r="AC38"/>
      <c r="AD38" s="83"/>
      <c r="AE38" s="83"/>
    </row>
    <row r="39" spans="1:31" x14ac:dyDescent="0.25">
      <c r="A39"/>
      <c r="B39" s="81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 s="84"/>
      <c r="V39"/>
      <c r="W39" s="84"/>
      <c r="X39" s="84"/>
      <c r="Y39"/>
      <c r="Z39"/>
      <c r="AA39"/>
      <c r="AB39" s="84"/>
      <c r="AC39"/>
      <c r="AD39" s="83"/>
      <c r="AE39" s="83"/>
    </row>
    <row r="40" spans="1:31" x14ac:dyDescent="0.25">
      <c r="A40"/>
      <c r="B40" s="81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 s="84"/>
      <c r="V40"/>
      <c r="W40" s="84"/>
      <c r="X40" s="84"/>
      <c r="Y40"/>
      <c r="Z40"/>
      <c r="AA40"/>
      <c r="AB40" s="84"/>
      <c r="AC40"/>
      <c r="AD40" s="83"/>
      <c r="AE40" s="83"/>
    </row>
    <row r="41" spans="1:31" x14ac:dyDescent="0.25">
      <c r="A41"/>
      <c r="B41" s="8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 s="84"/>
      <c r="V41"/>
      <c r="W41" s="84"/>
      <c r="X41" s="84"/>
      <c r="Y41"/>
      <c r="Z41"/>
      <c r="AA41"/>
      <c r="AB41" s="84"/>
      <c r="AC41"/>
      <c r="AD41" s="83"/>
      <c r="AE41" s="83"/>
    </row>
    <row r="42" spans="1:31" x14ac:dyDescent="0.25">
      <c r="A42"/>
      <c r="B42" s="81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 s="84"/>
      <c r="V42"/>
      <c r="W42" s="84"/>
      <c r="X42" s="84"/>
      <c r="Y42"/>
      <c r="Z42"/>
      <c r="AA42"/>
      <c r="AB42" s="84"/>
      <c r="AC42"/>
      <c r="AD42" s="83"/>
      <c r="AE42" s="83"/>
    </row>
    <row r="43" spans="1:31" x14ac:dyDescent="0.25">
      <c r="A43"/>
      <c r="B43" s="81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 s="84"/>
      <c r="V43"/>
      <c r="W43" s="84"/>
      <c r="X43" s="84"/>
      <c r="Y43"/>
      <c r="Z43"/>
      <c r="AA43"/>
      <c r="AB43" s="84"/>
      <c r="AC43"/>
      <c r="AD43" s="83"/>
      <c r="AE43" s="83"/>
    </row>
    <row r="44" spans="1:31" x14ac:dyDescent="0.25">
      <c r="A44"/>
      <c r="B44" s="81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 s="84"/>
      <c r="V44"/>
      <c r="W44" s="84"/>
      <c r="X44" s="84"/>
      <c r="Y44"/>
      <c r="Z44"/>
      <c r="AA44"/>
      <c r="AB44" s="84"/>
      <c r="AC44"/>
      <c r="AD44" s="83"/>
      <c r="AE44" s="83"/>
    </row>
    <row r="45" spans="1:31" x14ac:dyDescent="0.25">
      <c r="A45"/>
      <c r="B45" s="81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 s="84"/>
      <c r="V45"/>
      <c r="W45" s="84"/>
      <c r="X45" s="84"/>
      <c r="Y45"/>
      <c r="Z45"/>
      <c r="AA45"/>
      <c r="AB45" s="84"/>
      <c r="AC45"/>
      <c r="AD45" s="83"/>
      <c r="AE45" s="83"/>
    </row>
    <row r="46" spans="1:31" x14ac:dyDescent="0.25">
      <c r="A46"/>
      <c r="B46" s="81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 s="84"/>
      <c r="V46"/>
      <c r="W46" s="84"/>
      <c r="X46" s="84"/>
      <c r="Y46"/>
      <c r="Z46"/>
      <c r="AA46"/>
      <c r="AB46" s="84"/>
      <c r="AC46"/>
      <c r="AD46" s="83"/>
      <c r="AE46" s="83"/>
    </row>
    <row r="47" spans="1:31" x14ac:dyDescent="0.25">
      <c r="A47"/>
      <c r="B47" s="81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 s="84"/>
      <c r="V47"/>
      <c r="W47" s="84"/>
      <c r="X47" s="84"/>
      <c r="Y47"/>
      <c r="Z47"/>
      <c r="AA47"/>
      <c r="AB47" s="84"/>
      <c r="AC47"/>
      <c r="AD47" s="83"/>
      <c r="AE47" s="83"/>
    </row>
    <row r="48" spans="1:31" x14ac:dyDescent="0.25">
      <c r="A48"/>
      <c r="B48" s="81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 s="84"/>
      <c r="V48"/>
      <c r="W48" s="84"/>
      <c r="X48" s="84"/>
      <c r="Y48"/>
      <c r="Z48"/>
      <c r="AA48"/>
      <c r="AB48" s="84"/>
      <c r="AC48"/>
      <c r="AD48" s="83"/>
      <c r="AE48" s="83"/>
    </row>
    <row r="49" spans="1:31" x14ac:dyDescent="0.25">
      <c r="A49"/>
      <c r="B49" s="81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 s="84"/>
      <c r="V49"/>
      <c r="W49" s="84"/>
      <c r="X49" s="84"/>
      <c r="Y49"/>
      <c r="Z49"/>
      <c r="AA49"/>
      <c r="AB49" s="84"/>
      <c r="AC49"/>
      <c r="AD49" s="83"/>
      <c r="AE49" s="83"/>
    </row>
    <row r="50" spans="1:31" x14ac:dyDescent="0.25">
      <c r="A50"/>
      <c r="B50" s="81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 s="84"/>
      <c r="V50"/>
      <c r="W50" s="84"/>
      <c r="X50" s="84"/>
      <c r="Y50"/>
      <c r="Z50"/>
      <c r="AA50"/>
      <c r="AB50" s="84"/>
      <c r="AC50"/>
      <c r="AD50" s="83"/>
      <c r="AE50" s="83"/>
    </row>
    <row r="51" spans="1:31" x14ac:dyDescent="0.25">
      <c r="A51"/>
      <c r="B51" s="8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 s="84"/>
      <c r="V51"/>
      <c r="W51" s="84"/>
      <c r="X51" s="84"/>
      <c r="Y51"/>
      <c r="Z51"/>
      <c r="AA51"/>
      <c r="AB51" s="84"/>
      <c r="AC51"/>
      <c r="AD51" s="83"/>
      <c r="AE51" s="83"/>
    </row>
    <row r="52" spans="1:31" x14ac:dyDescent="0.25">
      <c r="A52"/>
      <c r="B52" s="81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 s="84"/>
      <c r="V52"/>
      <c r="W52" s="84"/>
      <c r="X52" s="84"/>
      <c r="Y52"/>
      <c r="Z52"/>
      <c r="AA52"/>
      <c r="AB52" s="84"/>
      <c r="AC52"/>
      <c r="AD52" s="83"/>
      <c r="AE52" s="83"/>
    </row>
    <row r="53" spans="1:31" x14ac:dyDescent="0.25">
      <c r="A53"/>
      <c r="B53" s="81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 s="84"/>
      <c r="V53"/>
      <c r="W53" s="84"/>
      <c r="X53" s="84"/>
      <c r="Y53"/>
      <c r="Z53"/>
      <c r="AA53"/>
      <c r="AB53" s="84"/>
      <c r="AC53"/>
      <c r="AD53" s="83"/>
      <c r="AE53" s="83"/>
    </row>
    <row r="54" spans="1:31" x14ac:dyDescent="0.25">
      <c r="A54"/>
      <c r="B54" s="81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 s="84"/>
      <c r="V54"/>
      <c r="W54" s="84"/>
      <c r="X54" s="84"/>
      <c r="Y54"/>
      <c r="Z54"/>
      <c r="AA54"/>
      <c r="AB54" s="84"/>
      <c r="AC54"/>
      <c r="AD54" s="83"/>
      <c r="AE54" s="83"/>
    </row>
    <row r="55" spans="1:31" x14ac:dyDescent="0.25">
      <c r="A55"/>
      <c r="B55" s="81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 s="84"/>
      <c r="V55"/>
      <c r="W55" s="84"/>
      <c r="X55" s="84"/>
      <c r="Y55"/>
      <c r="Z55"/>
      <c r="AA55"/>
      <c r="AB55" s="84"/>
      <c r="AC55"/>
      <c r="AD55" s="83"/>
      <c r="AE55" s="83"/>
    </row>
    <row r="56" spans="1:31" x14ac:dyDescent="0.25">
      <c r="A56"/>
      <c r="B56" s="81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 s="84"/>
      <c r="V56"/>
      <c r="W56" s="84"/>
      <c r="X56" s="84"/>
      <c r="Y56"/>
      <c r="Z56"/>
      <c r="AA56"/>
      <c r="AB56" s="84"/>
      <c r="AC56"/>
      <c r="AD56" s="83"/>
      <c r="AE56" s="83"/>
    </row>
    <row r="57" spans="1:31" x14ac:dyDescent="0.25">
      <c r="A57"/>
      <c r="B57" s="81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 s="84"/>
      <c r="V57"/>
      <c r="W57" s="84"/>
      <c r="X57" s="84"/>
      <c r="Y57"/>
      <c r="Z57"/>
      <c r="AA57"/>
      <c r="AB57" s="84"/>
      <c r="AC57"/>
      <c r="AD57" s="83"/>
      <c r="AE57" s="83"/>
    </row>
    <row r="58" spans="1:31" x14ac:dyDescent="0.25">
      <c r="A58"/>
      <c r="B58" s="81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 s="84"/>
      <c r="V58"/>
      <c r="W58" s="84"/>
      <c r="X58" s="84"/>
      <c r="Y58"/>
      <c r="Z58"/>
      <c r="AA58"/>
      <c r="AB58" s="84"/>
      <c r="AC58"/>
      <c r="AD58" s="83"/>
      <c r="AE58" s="83"/>
    </row>
    <row r="59" spans="1:31" x14ac:dyDescent="0.25">
      <c r="A59"/>
      <c r="B59" s="81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 s="84"/>
      <c r="V59"/>
      <c r="W59" s="84"/>
      <c r="X59" s="84"/>
      <c r="Y59"/>
      <c r="Z59"/>
      <c r="AA59"/>
      <c r="AB59" s="84"/>
      <c r="AC59"/>
      <c r="AD59" s="83"/>
      <c r="AE59" s="83"/>
    </row>
    <row r="60" spans="1:31" x14ac:dyDescent="0.25">
      <c r="A60"/>
      <c r="B60" s="81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 s="84"/>
      <c r="V60"/>
      <c r="W60" s="84"/>
      <c r="X60" s="84"/>
      <c r="Y60"/>
      <c r="Z60"/>
      <c r="AA60"/>
      <c r="AB60" s="84"/>
      <c r="AC60"/>
      <c r="AD60" s="83"/>
      <c r="AE60" s="83"/>
    </row>
    <row r="61" spans="1:31" x14ac:dyDescent="0.25">
      <c r="A61"/>
      <c r="B61" s="8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 s="84"/>
      <c r="V61"/>
      <c r="W61" s="84"/>
      <c r="X61" s="84"/>
      <c r="Y61"/>
      <c r="Z61"/>
      <c r="AA61"/>
      <c r="AB61" s="84"/>
      <c r="AC61"/>
      <c r="AD61" s="83"/>
      <c r="AE61" s="83"/>
    </row>
    <row r="62" spans="1:31" x14ac:dyDescent="0.25">
      <c r="A62"/>
      <c r="B62" s="81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 s="84"/>
      <c r="V62"/>
      <c r="W62" s="84"/>
      <c r="X62" s="84"/>
      <c r="Y62"/>
      <c r="Z62"/>
      <c r="AA62"/>
      <c r="AB62" s="84"/>
      <c r="AC62"/>
      <c r="AD62" s="83"/>
      <c r="AE62" s="83"/>
    </row>
    <row r="63" spans="1:31" x14ac:dyDescent="0.25">
      <c r="A63"/>
      <c r="B63" s="81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 s="84"/>
      <c r="V63"/>
      <c r="W63" s="84"/>
      <c r="X63" s="84"/>
      <c r="Y63"/>
      <c r="Z63"/>
      <c r="AA63"/>
      <c r="AB63" s="84"/>
      <c r="AC63"/>
      <c r="AD63" s="83"/>
      <c r="AE63" s="83"/>
    </row>
    <row r="64" spans="1:31" x14ac:dyDescent="0.25">
      <c r="A64"/>
      <c r="B64" s="81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 s="84"/>
      <c r="V64"/>
      <c r="W64" s="84"/>
      <c r="X64" s="84"/>
      <c r="Y64"/>
      <c r="Z64"/>
      <c r="AA64"/>
      <c r="AB64" s="84"/>
      <c r="AC64"/>
      <c r="AD64" s="83"/>
      <c r="AE64" s="83"/>
    </row>
    <row r="65" spans="1:31" x14ac:dyDescent="0.25">
      <c r="A65"/>
      <c r="B65" s="81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 s="84"/>
      <c r="V65"/>
      <c r="W65" s="84"/>
      <c r="X65" s="84"/>
      <c r="Y65"/>
      <c r="Z65"/>
      <c r="AA65"/>
      <c r="AB65" s="84"/>
      <c r="AC65"/>
      <c r="AD65" s="83"/>
      <c r="AE65" s="83"/>
    </row>
    <row r="66" spans="1:31" x14ac:dyDescent="0.25">
      <c r="A66"/>
      <c r="B66" s="81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 s="84"/>
      <c r="V66"/>
      <c r="W66" s="84"/>
      <c r="X66" s="84"/>
      <c r="Y66"/>
      <c r="Z66"/>
      <c r="AA66"/>
      <c r="AB66" s="84"/>
      <c r="AC66"/>
      <c r="AD66" s="83"/>
      <c r="AE66" s="83"/>
    </row>
    <row r="67" spans="1:31" x14ac:dyDescent="0.25">
      <c r="A67"/>
      <c r="B67" s="81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 s="84"/>
      <c r="V67"/>
      <c r="W67" s="84"/>
      <c r="X67" s="84"/>
      <c r="Y67"/>
      <c r="Z67"/>
      <c r="AA67"/>
      <c r="AB67" s="84"/>
      <c r="AC67"/>
      <c r="AD67" s="83"/>
      <c r="AE67" s="83"/>
    </row>
    <row r="68" spans="1:31" x14ac:dyDescent="0.25">
      <c r="A68"/>
      <c r="B68" s="81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 s="84"/>
      <c r="V68"/>
      <c r="W68" s="84"/>
      <c r="X68" s="84"/>
      <c r="Y68"/>
      <c r="Z68"/>
      <c r="AA68"/>
      <c r="AB68" s="84"/>
      <c r="AC68"/>
      <c r="AD68" s="83"/>
      <c r="AE68" s="83"/>
    </row>
    <row r="69" spans="1:31" x14ac:dyDescent="0.25">
      <c r="A69"/>
      <c r="B69" s="81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 s="84"/>
      <c r="V69"/>
      <c r="W69" s="84"/>
      <c r="X69" s="84"/>
      <c r="Y69"/>
      <c r="Z69"/>
      <c r="AA69"/>
      <c r="AB69" s="84"/>
      <c r="AC69"/>
      <c r="AD69" s="83"/>
      <c r="AE69" s="83"/>
    </row>
    <row r="70" spans="1:31" x14ac:dyDescent="0.25">
      <c r="A70"/>
      <c r="B70" s="81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 s="84"/>
      <c r="V70"/>
      <c r="W70" s="84"/>
      <c r="X70" s="84"/>
      <c r="Y70"/>
      <c r="Z70"/>
      <c r="AA70"/>
      <c r="AB70" s="84"/>
      <c r="AC70"/>
      <c r="AD70" s="83"/>
      <c r="AE70" s="83"/>
    </row>
    <row r="71" spans="1:31" x14ac:dyDescent="0.25">
      <c r="A71"/>
      <c r="B71" s="8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 s="84"/>
      <c r="V71"/>
      <c r="W71" s="84"/>
      <c r="X71" s="84"/>
      <c r="Y71"/>
      <c r="Z71"/>
      <c r="AA71"/>
      <c r="AB71" s="84"/>
      <c r="AC71"/>
      <c r="AD71" s="83"/>
      <c r="AE71" s="83"/>
    </row>
    <row r="72" spans="1:31" x14ac:dyDescent="0.25">
      <c r="A72"/>
      <c r="B72" s="81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 s="84"/>
      <c r="V72"/>
      <c r="W72" s="84"/>
      <c r="X72" s="84"/>
      <c r="Y72"/>
      <c r="Z72"/>
      <c r="AA72"/>
      <c r="AB72" s="84"/>
      <c r="AC72"/>
      <c r="AD72" s="83"/>
      <c r="AE72" s="83"/>
    </row>
    <row r="73" spans="1:31" x14ac:dyDescent="0.25">
      <c r="A73"/>
      <c r="B73" s="81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 s="84"/>
      <c r="V73"/>
      <c r="W73" s="84"/>
      <c r="X73" s="84"/>
      <c r="Y73"/>
      <c r="Z73"/>
      <c r="AA73"/>
      <c r="AB73" s="84"/>
      <c r="AC73"/>
      <c r="AD73" s="83"/>
      <c r="AE73" s="83"/>
    </row>
    <row r="74" spans="1:31" x14ac:dyDescent="0.25">
      <c r="A74"/>
      <c r="B74" s="81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 s="84"/>
      <c r="V74"/>
      <c r="W74" s="84"/>
      <c r="X74" s="84"/>
      <c r="Y74"/>
      <c r="Z74"/>
      <c r="AA74"/>
      <c r="AB74" s="84"/>
      <c r="AC74"/>
      <c r="AD74" s="83"/>
      <c r="AE74" s="83"/>
    </row>
    <row r="75" spans="1:31" x14ac:dyDescent="0.25">
      <c r="A75"/>
      <c r="B75" s="81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 s="84"/>
      <c r="V75"/>
      <c r="W75" s="84"/>
      <c r="X75" s="84"/>
      <c r="Y75"/>
      <c r="Z75"/>
      <c r="AA75"/>
      <c r="AB75" s="84"/>
      <c r="AC75"/>
      <c r="AD75" s="83"/>
      <c r="AE75" s="83"/>
    </row>
    <row r="76" spans="1:31" x14ac:dyDescent="0.25">
      <c r="A76"/>
      <c r="B76" s="81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 s="84"/>
      <c r="V76"/>
      <c r="W76" s="84"/>
      <c r="X76" s="84"/>
      <c r="Y76"/>
      <c r="Z76"/>
      <c r="AA76"/>
      <c r="AB76" s="84"/>
      <c r="AC76"/>
      <c r="AD76" s="83"/>
      <c r="AE76" s="83"/>
    </row>
    <row r="77" spans="1:31" x14ac:dyDescent="0.25">
      <c r="A77"/>
      <c r="B77" s="81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 s="84"/>
      <c r="V77"/>
      <c r="W77" s="84"/>
      <c r="X77" s="84"/>
      <c r="Y77"/>
      <c r="Z77"/>
      <c r="AA77"/>
      <c r="AB77" s="84"/>
      <c r="AC77"/>
      <c r="AD77" s="83"/>
      <c r="AE77" s="83"/>
    </row>
    <row r="78" spans="1:31" x14ac:dyDescent="0.25">
      <c r="A78"/>
      <c r="B78" s="81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 s="84"/>
      <c r="V78"/>
      <c r="W78" s="84"/>
      <c r="X78" s="84"/>
      <c r="Y78"/>
      <c r="Z78"/>
      <c r="AA78"/>
      <c r="AB78" s="84"/>
      <c r="AC78"/>
      <c r="AD78" s="83"/>
      <c r="AE78" s="83"/>
    </row>
    <row r="79" spans="1:31" x14ac:dyDescent="0.25">
      <c r="A79"/>
      <c r="B79" s="81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 s="84"/>
      <c r="V79"/>
      <c r="W79" s="84"/>
      <c r="X79" s="84"/>
      <c r="Y79"/>
      <c r="Z79"/>
      <c r="AA79" s="83"/>
      <c r="AB79" s="83"/>
    </row>
    <row r="80" spans="1:31" x14ac:dyDescent="0.25">
      <c r="A80"/>
      <c r="B80" s="81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 s="84"/>
      <c r="V80"/>
      <c r="W80" s="84"/>
      <c r="X80" s="84"/>
      <c r="Y80"/>
      <c r="Z80"/>
      <c r="AA80" s="83"/>
      <c r="AB80" s="83"/>
    </row>
    <row r="81" spans="1:28" x14ac:dyDescent="0.25">
      <c r="A81"/>
      <c r="B81" s="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 s="84"/>
      <c r="V81"/>
      <c r="W81" s="84"/>
      <c r="X81" s="84"/>
      <c r="Y81"/>
      <c r="Z81"/>
      <c r="AA81" s="83"/>
      <c r="AB81" s="83"/>
    </row>
    <row r="82" spans="1:28" x14ac:dyDescent="0.25">
      <c r="A82"/>
      <c r="B82" s="81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 s="84"/>
      <c r="V82"/>
      <c r="W82" s="84"/>
      <c r="X82" s="84"/>
      <c r="Y82"/>
      <c r="Z82"/>
      <c r="AA82" s="83"/>
      <c r="AB82" s="83"/>
    </row>
    <row r="83" spans="1:28" x14ac:dyDescent="0.25">
      <c r="A83"/>
      <c r="B83" s="81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 s="84"/>
      <c r="V83"/>
      <c r="W83" s="84"/>
      <c r="X83" s="84"/>
      <c r="Y83"/>
      <c r="Z83"/>
      <c r="AA83" s="83"/>
      <c r="AB83" s="83"/>
    </row>
    <row r="84" spans="1:28" x14ac:dyDescent="0.25">
      <c r="A84"/>
      <c r="B84" s="81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 s="84"/>
      <c r="V84"/>
      <c r="W84" s="84"/>
      <c r="X84" s="84"/>
      <c r="Y84"/>
      <c r="Z84"/>
      <c r="AA84" s="83"/>
      <c r="AB84" s="83"/>
    </row>
    <row r="85" spans="1:28" x14ac:dyDescent="0.25">
      <c r="A85"/>
      <c r="B85" s="81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 s="84"/>
      <c r="V85"/>
      <c r="W85" s="84"/>
      <c r="X85" s="84"/>
      <c r="Y85"/>
      <c r="Z85"/>
      <c r="AA85" s="83"/>
      <c r="AB85" s="83"/>
    </row>
    <row r="86" spans="1:28" x14ac:dyDescent="0.25">
      <c r="A86"/>
      <c r="B86" s="81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 s="84"/>
      <c r="V86"/>
      <c r="W86" s="84"/>
      <c r="X86" s="84"/>
      <c r="Y86"/>
      <c r="Z86"/>
      <c r="AA86" s="83"/>
      <c r="AB86" s="83"/>
    </row>
    <row r="87" spans="1:28" x14ac:dyDescent="0.25">
      <c r="A87"/>
      <c r="B87" s="81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 s="84"/>
      <c r="V87"/>
      <c r="W87" s="84"/>
      <c r="X87" s="84"/>
      <c r="Y87"/>
      <c r="Z87"/>
      <c r="AA87" s="83"/>
      <c r="AB87" s="83"/>
    </row>
    <row r="88" spans="1:28" x14ac:dyDescent="0.25">
      <c r="A88"/>
      <c r="B88" s="81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 s="84"/>
      <c r="V88"/>
      <c r="W88" s="84"/>
      <c r="X88" s="84"/>
      <c r="Y88"/>
      <c r="Z88"/>
      <c r="AA88" s="83"/>
      <c r="AB88" s="83"/>
    </row>
    <row r="89" spans="1:28" x14ac:dyDescent="0.25">
      <c r="A89"/>
      <c r="B89" s="81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 s="84"/>
      <c r="V89"/>
      <c r="W89" s="84"/>
      <c r="X89" s="84"/>
      <c r="Y89"/>
      <c r="Z89"/>
      <c r="AA89" s="83"/>
      <c r="AB89" s="83"/>
    </row>
    <row r="90" spans="1:28" x14ac:dyDescent="0.25">
      <c r="A90"/>
      <c r="B90" s="81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 s="84"/>
      <c r="V90"/>
      <c r="W90" s="84"/>
      <c r="X90" s="84"/>
      <c r="Y90"/>
      <c r="Z90"/>
      <c r="AA90" s="83"/>
      <c r="AB90" s="83"/>
    </row>
    <row r="91" spans="1:28" x14ac:dyDescent="0.25">
      <c r="A91"/>
      <c r="B91" s="8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 s="84"/>
      <c r="V91"/>
      <c r="W91" s="84"/>
      <c r="X91" s="84"/>
      <c r="Y91"/>
      <c r="Z91"/>
      <c r="AA91" s="83"/>
      <c r="AB91" s="83"/>
    </row>
    <row r="92" spans="1:28" x14ac:dyDescent="0.25">
      <c r="A92"/>
      <c r="B92" s="81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 s="84"/>
      <c r="V92"/>
      <c r="W92" s="84"/>
      <c r="X92" s="84"/>
      <c r="Y92"/>
      <c r="Z92"/>
      <c r="AA92" s="83"/>
      <c r="AB92" s="83"/>
    </row>
    <row r="93" spans="1:28" x14ac:dyDescent="0.25">
      <c r="A93"/>
      <c r="B93" s="81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 s="84"/>
      <c r="V93"/>
      <c r="W93" s="84"/>
      <c r="X93" s="84"/>
      <c r="Y93"/>
      <c r="Z93"/>
      <c r="AA93" s="83"/>
      <c r="AB93" s="83"/>
    </row>
  </sheetData>
  <conditionalFormatting sqref="B79:B93">
    <cfRule type="duplicateValues" dxfId="21" priority="187"/>
  </conditionalFormatting>
  <conditionalFormatting sqref="B79:B93">
    <cfRule type="duplicateValues" dxfId="20" priority="186"/>
  </conditionalFormatting>
  <conditionalFormatting sqref="B66:B78">
    <cfRule type="duplicateValues" dxfId="19" priority="183"/>
  </conditionalFormatting>
  <conditionalFormatting sqref="B66:B78">
    <cfRule type="duplicateValues" dxfId="18" priority="182"/>
  </conditionalFormatting>
  <conditionalFormatting sqref="B61:B65">
    <cfRule type="duplicateValues" dxfId="17" priority="168"/>
  </conditionalFormatting>
  <conditionalFormatting sqref="B55:B60">
    <cfRule type="duplicateValues" dxfId="16" priority="167"/>
  </conditionalFormatting>
  <conditionalFormatting sqref="B38:B54">
    <cfRule type="duplicateValues" dxfId="15" priority="160"/>
  </conditionalFormatting>
  <conditionalFormatting sqref="B23:B37">
    <cfRule type="duplicateValues" dxfId="14" priority="159"/>
  </conditionalFormatting>
  <conditionalFormatting sqref="B15:B22">
    <cfRule type="duplicateValues" dxfId="13" priority="138"/>
  </conditionalFormatting>
  <conditionalFormatting sqref="B14">
    <cfRule type="duplicateValues" dxfId="12" priority="131"/>
  </conditionalFormatting>
  <conditionalFormatting sqref="B12:B13">
    <cfRule type="duplicateValues" dxfId="11" priority="67"/>
    <cfRule type="duplicateValues" dxfId="10" priority="68"/>
  </conditionalFormatting>
  <conditionalFormatting sqref="B8:B11">
    <cfRule type="duplicateValues" dxfId="9" priority="29"/>
    <cfRule type="duplicateValues" dxfId="8" priority="30"/>
  </conditionalFormatting>
  <conditionalFormatting sqref="B5:B7">
    <cfRule type="duplicateValues" dxfId="7" priority="27"/>
    <cfRule type="duplicateValues" dxfId="6" priority="28"/>
  </conditionalFormatting>
  <conditionalFormatting sqref="B3">
    <cfRule type="duplicateValues" dxfId="5" priority="5"/>
    <cfRule type="duplicateValues" dxfId="4" priority="6"/>
  </conditionalFormatting>
  <conditionalFormatting sqref="B4">
    <cfRule type="duplicateValues" dxfId="3" priority="3"/>
    <cfRule type="duplicateValues" dxfId="2" priority="4"/>
  </conditionalFormatting>
  <conditionalFormatting sqref="B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3"/>
  <sheetViews>
    <sheetView topLeftCell="A222" workbookViewId="0">
      <selection activeCell="D237" sqref="D237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  <col min="7" max="7" width="14.85546875" style="92" customWidth="1"/>
    <col min="10" max="10" width="16.28515625" customWidth="1"/>
  </cols>
  <sheetData>
    <row r="3" spans="1:7" x14ac:dyDescent="0.25">
      <c r="A3" s="6" t="s">
        <v>465</v>
      </c>
      <c r="B3" s="6" t="s">
        <v>466</v>
      </c>
      <c r="C3" s="6" t="s">
        <v>464</v>
      </c>
      <c r="D3" s="6" t="s">
        <v>467</v>
      </c>
      <c r="E3" s="6" t="s">
        <v>463</v>
      </c>
      <c r="F3" s="6" t="s">
        <v>462</v>
      </c>
      <c r="G3" s="71" t="s">
        <v>518</v>
      </c>
    </row>
    <row r="4" spans="1:7" hidden="1" x14ac:dyDescent="0.25">
      <c r="A4" s="80">
        <v>44228</v>
      </c>
      <c r="B4" s="6"/>
      <c r="C4" s="6"/>
      <c r="D4" s="6"/>
      <c r="E4" s="6"/>
      <c r="F4" s="6"/>
      <c r="G4" s="91"/>
    </row>
    <row r="5" spans="1:7" hidden="1" x14ac:dyDescent="0.25">
      <c r="A5" s="80">
        <v>44229</v>
      </c>
      <c r="B5" s="6"/>
      <c r="C5" s="6"/>
      <c r="D5" s="6"/>
      <c r="E5" s="6"/>
      <c r="F5" s="6"/>
      <c r="G5" s="91"/>
    </row>
    <row r="6" spans="1:7" hidden="1" x14ac:dyDescent="0.25">
      <c r="A6" s="80">
        <v>44230</v>
      </c>
      <c r="B6" s="6"/>
      <c r="C6" s="6"/>
      <c r="D6" s="6"/>
      <c r="E6" s="6"/>
      <c r="F6" s="6"/>
      <c r="G6" s="91"/>
    </row>
    <row r="7" spans="1:7" hidden="1" x14ac:dyDescent="0.25">
      <c r="A7" s="80">
        <v>44231</v>
      </c>
      <c r="B7" s="6"/>
      <c r="C7" s="6"/>
      <c r="D7" s="6"/>
      <c r="E7" s="6"/>
      <c r="F7" s="6"/>
      <c r="G7" s="91"/>
    </row>
    <row r="8" spans="1:7" hidden="1" x14ac:dyDescent="0.25">
      <c r="A8" s="80">
        <v>44232</v>
      </c>
      <c r="B8" s="6"/>
      <c r="C8" s="6"/>
      <c r="D8" s="6"/>
      <c r="E8" s="6"/>
      <c r="F8" s="6"/>
      <c r="G8" s="91"/>
    </row>
    <row r="9" spans="1:7" hidden="1" x14ac:dyDescent="0.25">
      <c r="A9" s="80">
        <v>44233</v>
      </c>
      <c r="B9" s="6">
        <v>8</v>
      </c>
      <c r="C9" s="6">
        <v>69</v>
      </c>
      <c r="D9" s="6">
        <v>6</v>
      </c>
      <c r="E9" s="6">
        <v>1991</v>
      </c>
      <c r="F9" s="6">
        <f>E9+C9</f>
        <v>2060</v>
      </c>
      <c r="G9" s="91">
        <f>F9-E9-C9</f>
        <v>0</v>
      </c>
    </row>
    <row r="10" spans="1:7" hidden="1" x14ac:dyDescent="0.25">
      <c r="A10" s="80">
        <v>44234</v>
      </c>
      <c r="B10" s="6">
        <v>7</v>
      </c>
      <c r="C10" s="6">
        <v>70</v>
      </c>
      <c r="D10" s="6">
        <v>5</v>
      </c>
      <c r="E10" s="6">
        <f>E9+D10</f>
        <v>1996</v>
      </c>
      <c r="F10" s="6">
        <f t="shared" ref="F10:F73" si="0">E10+C10</f>
        <v>2066</v>
      </c>
      <c r="G10" s="91">
        <f t="shared" ref="G10:G41" si="1">F10-E10-C10</f>
        <v>0</v>
      </c>
    </row>
    <row r="11" spans="1:7" hidden="1" x14ac:dyDescent="0.25">
      <c r="A11" s="80">
        <v>44235</v>
      </c>
      <c r="B11" s="6">
        <v>22</v>
      </c>
      <c r="C11" s="6">
        <v>74</v>
      </c>
      <c r="D11" s="6">
        <v>18</v>
      </c>
      <c r="E11" s="6">
        <f t="shared" ref="E11:E74" si="2">E10+D11</f>
        <v>2014</v>
      </c>
      <c r="F11" s="6">
        <f t="shared" si="0"/>
        <v>2088</v>
      </c>
      <c r="G11" s="91">
        <f t="shared" si="1"/>
        <v>0</v>
      </c>
    </row>
    <row r="12" spans="1:7" hidden="1" x14ac:dyDescent="0.25">
      <c r="A12" s="80">
        <v>44236</v>
      </c>
      <c r="B12" s="6">
        <v>16</v>
      </c>
      <c r="C12" s="6">
        <v>53</v>
      </c>
      <c r="D12" s="6">
        <v>37</v>
      </c>
      <c r="E12" s="6">
        <f t="shared" si="2"/>
        <v>2051</v>
      </c>
      <c r="F12" s="6">
        <f t="shared" si="0"/>
        <v>2104</v>
      </c>
      <c r="G12" s="91">
        <f t="shared" si="1"/>
        <v>0</v>
      </c>
    </row>
    <row r="13" spans="1:7" hidden="1" x14ac:dyDescent="0.25">
      <c r="A13" s="80">
        <v>44237</v>
      </c>
      <c r="B13" s="6">
        <v>14</v>
      </c>
      <c r="C13" s="6">
        <v>47</v>
      </c>
      <c r="D13" s="6">
        <v>20</v>
      </c>
      <c r="E13" s="6">
        <f t="shared" si="2"/>
        <v>2071</v>
      </c>
      <c r="F13" s="6">
        <f t="shared" si="0"/>
        <v>2118</v>
      </c>
      <c r="G13" s="91">
        <f t="shared" si="1"/>
        <v>0</v>
      </c>
    </row>
    <row r="14" spans="1:7" hidden="1" x14ac:dyDescent="0.25">
      <c r="A14" s="80">
        <v>44238</v>
      </c>
      <c r="B14" s="6">
        <v>9</v>
      </c>
      <c r="C14" s="6">
        <v>34</v>
      </c>
      <c r="D14" s="6">
        <v>22</v>
      </c>
      <c r="E14" s="6">
        <f t="shared" si="2"/>
        <v>2093</v>
      </c>
      <c r="F14" s="6">
        <f t="shared" si="0"/>
        <v>2127</v>
      </c>
      <c r="G14" s="91">
        <f t="shared" si="1"/>
        <v>0</v>
      </c>
    </row>
    <row r="15" spans="1:7" hidden="1" x14ac:dyDescent="0.25">
      <c r="A15" s="80">
        <v>44239</v>
      </c>
      <c r="B15" s="6">
        <v>8</v>
      </c>
      <c r="C15" s="6">
        <v>35</v>
      </c>
      <c r="D15" s="6">
        <v>7</v>
      </c>
      <c r="E15" s="6">
        <f t="shared" si="2"/>
        <v>2100</v>
      </c>
      <c r="F15" s="6">
        <f t="shared" si="0"/>
        <v>2135</v>
      </c>
      <c r="G15" s="91">
        <f t="shared" si="1"/>
        <v>0</v>
      </c>
    </row>
    <row r="16" spans="1:7" hidden="1" x14ac:dyDescent="0.25">
      <c r="A16" s="80">
        <v>44240</v>
      </c>
      <c r="B16" s="6">
        <v>11</v>
      </c>
      <c r="C16" s="6">
        <v>38</v>
      </c>
      <c r="D16" s="6">
        <v>8</v>
      </c>
      <c r="E16" s="6">
        <f t="shared" si="2"/>
        <v>2108</v>
      </c>
      <c r="F16" s="6">
        <f t="shared" si="0"/>
        <v>2146</v>
      </c>
      <c r="G16" s="91">
        <f t="shared" si="1"/>
        <v>0</v>
      </c>
    </row>
    <row r="17" spans="1:8" hidden="1" x14ac:dyDescent="0.25">
      <c r="A17" s="80">
        <v>44241</v>
      </c>
      <c r="B17" s="6">
        <v>4</v>
      </c>
      <c r="C17" s="6">
        <v>35</v>
      </c>
      <c r="D17" s="6">
        <v>7</v>
      </c>
      <c r="E17" s="6">
        <f t="shared" si="2"/>
        <v>2115</v>
      </c>
      <c r="F17" s="6">
        <f t="shared" si="0"/>
        <v>2150</v>
      </c>
      <c r="G17" s="91">
        <f t="shared" si="1"/>
        <v>0</v>
      </c>
      <c r="H17" s="90"/>
    </row>
    <row r="18" spans="1:8" hidden="1" x14ac:dyDescent="0.25">
      <c r="A18" s="80">
        <v>44242</v>
      </c>
      <c r="B18" s="6">
        <v>32</v>
      </c>
      <c r="C18" s="6">
        <v>46</v>
      </c>
      <c r="D18" s="6">
        <v>21</v>
      </c>
      <c r="E18" s="6">
        <f t="shared" si="2"/>
        <v>2136</v>
      </c>
      <c r="F18" s="6">
        <f t="shared" si="0"/>
        <v>2182</v>
      </c>
      <c r="G18" s="91">
        <f t="shared" si="1"/>
        <v>0</v>
      </c>
    </row>
    <row r="19" spans="1:8" hidden="1" x14ac:dyDescent="0.25">
      <c r="A19" s="80">
        <v>44243</v>
      </c>
      <c r="B19" s="6">
        <v>11</v>
      </c>
      <c r="C19" s="6">
        <f>C18-D19+B19</f>
        <v>42</v>
      </c>
      <c r="D19" s="6">
        <v>15</v>
      </c>
      <c r="E19" s="6">
        <f t="shared" si="2"/>
        <v>2151</v>
      </c>
      <c r="F19" s="6">
        <f t="shared" si="0"/>
        <v>2193</v>
      </c>
      <c r="G19" s="91">
        <f t="shared" si="1"/>
        <v>0</v>
      </c>
    </row>
    <row r="20" spans="1:8" hidden="1" x14ac:dyDescent="0.25">
      <c r="A20" s="80">
        <v>44244</v>
      </c>
      <c r="B20" s="6">
        <v>11</v>
      </c>
      <c r="C20" s="6">
        <f t="shared" ref="C20:C83" si="3">C19-D20+B20</f>
        <v>40</v>
      </c>
      <c r="D20" s="6">
        <v>13</v>
      </c>
      <c r="E20" s="6">
        <f t="shared" si="2"/>
        <v>2164</v>
      </c>
      <c r="F20" s="6">
        <f t="shared" si="0"/>
        <v>2204</v>
      </c>
      <c r="G20" s="91">
        <f t="shared" si="1"/>
        <v>0</v>
      </c>
    </row>
    <row r="21" spans="1:8" hidden="1" x14ac:dyDescent="0.25">
      <c r="A21" s="80">
        <v>44245</v>
      </c>
      <c r="B21" s="6">
        <v>17</v>
      </c>
      <c r="C21" s="6">
        <f t="shared" si="3"/>
        <v>41</v>
      </c>
      <c r="D21" s="6">
        <v>16</v>
      </c>
      <c r="E21" s="6">
        <f t="shared" si="2"/>
        <v>2180</v>
      </c>
      <c r="F21" s="6">
        <f t="shared" si="0"/>
        <v>2221</v>
      </c>
      <c r="G21" s="91">
        <f t="shared" si="1"/>
        <v>0</v>
      </c>
    </row>
    <row r="22" spans="1:8" hidden="1" x14ac:dyDescent="0.25">
      <c r="A22" s="80">
        <v>44246</v>
      </c>
      <c r="B22" s="6">
        <v>11</v>
      </c>
      <c r="C22" s="6">
        <f t="shared" si="3"/>
        <v>39</v>
      </c>
      <c r="D22" s="6">
        <v>13</v>
      </c>
      <c r="E22" s="6">
        <f t="shared" si="2"/>
        <v>2193</v>
      </c>
      <c r="F22" s="6">
        <f t="shared" si="0"/>
        <v>2232</v>
      </c>
      <c r="G22" s="91">
        <f t="shared" si="1"/>
        <v>0</v>
      </c>
    </row>
    <row r="23" spans="1:8" hidden="1" x14ac:dyDescent="0.25">
      <c r="A23" s="80">
        <v>44247</v>
      </c>
      <c r="B23" s="6">
        <v>5</v>
      </c>
      <c r="C23" s="6">
        <f t="shared" si="3"/>
        <v>38</v>
      </c>
      <c r="D23" s="6">
        <v>6</v>
      </c>
      <c r="E23" s="6">
        <f t="shared" si="2"/>
        <v>2199</v>
      </c>
      <c r="F23" s="6">
        <f t="shared" si="0"/>
        <v>2237</v>
      </c>
      <c r="G23" s="91">
        <f t="shared" si="1"/>
        <v>0</v>
      </c>
    </row>
    <row r="24" spans="1:8" hidden="1" x14ac:dyDescent="0.25">
      <c r="A24" s="80">
        <v>44248</v>
      </c>
      <c r="B24" s="6">
        <v>6</v>
      </c>
      <c r="C24" s="6">
        <f t="shared" si="3"/>
        <v>36</v>
      </c>
      <c r="D24" s="6">
        <v>8</v>
      </c>
      <c r="E24" s="6">
        <f t="shared" si="2"/>
        <v>2207</v>
      </c>
      <c r="F24" s="6">
        <f t="shared" si="0"/>
        <v>2243</v>
      </c>
      <c r="G24" s="91">
        <f t="shared" si="1"/>
        <v>0</v>
      </c>
    </row>
    <row r="25" spans="1:8" hidden="1" x14ac:dyDescent="0.25">
      <c r="A25" s="80">
        <v>44249</v>
      </c>
      <c r="B25" s="6">
        <v>15</v>
      </c>
      <c r="C25" s="6">
        <f t="shared" si="3"/>
        <v>28</v>
      </c>
      <c r="D25" s="6">
        <v>23</v>
      </c>
      <c r="E25" s="6">
        <f t="shared" si="2"/>
        <v>2230</v>
      </c>
      <c r="F25" s="6">
        <f t="shared" si="0"/>
        <v>2258</v>
      </c>
      <c r="G25" s="91">
        <f t="shared" si="1"/>
        <v>0</v>
      </c>
    </row>
    <row r="26" spans="1:8" hidden="1" x14ac:dyDescent="0.25">
      <c r="A26" s="80">
        <v>44250</v>
      </c>
      <c r="B26" s="6">
        <v>13</v>
      </c>
      <c r="C26" s="6">
        <f t="shared" si="3"/>
        <v>31</v>
      </c>
      <c r="D26" s="6">
        <v>10</v>
      </c>
      <c r="E26" s="6">
        <f t="shared" si="2"/>
        <v>2240</v>
      </c>
      <c r="F26" s="6">
        <f t="shared" si="0"/>
        <v>2271</v>
      </c>
      <c r="G26" s="91">
        <f t="shared" si="1"/>
        <v>0</v>
      </c>
    </row>
    <row r="27" spans="1:8" hidden="1" x14ac:dyDescent="0.25">
      <c r="A27" s="80">
        <v>44251</v>
      </c>
      <c r="B27" s="6">
        <v>9</v>
      </c>
      <c r="C27" s="6">
        <f t="shared" si="3"/>
        <v>30</v>
      </c>
      <c r="D27" s="6">
        <v>10</v>
      </c>
      <c r="E27" s="6">
        <f t="shared" si="2"/>
        <v>2250</v>
      </c>
      <c r="F27" s="6">
        <f t="shared" si="0"/>
        <v>2280</v>
      </c>
      <c r="G27" s="91">
        <f t="shared" si="1"/>
        <v>0</v>
      </c>
    </row>
    <row r="28" spans="1:8" hidden="1" x14ac:dyDescent="0.25">
      <c r="A28" s="80">
        <v>44252</v>
      </c>
      <c r="B28" s="6">
        <v>7</v>
      </c>
      <c r="C28" s="6">
        <f t="shared" si="3"/>
        <v>30</v>
      </c>
      <c r="D28" s="6">
        <v>7</v>
      </c>
      <c r="E28" s="6">
        <f t="shared" si="2"/>
        <v>2257</v>
      </c>
      <c r="F28" s="6">
        <f t="shared" si="0"/>
        <v>2287</v>
      </c>
      <c r="G28" s="91">
        <f t="shared" si="1"/>
        <v>0</v>
      </c>
    </row>
    <row r="29" spans="1:8" hidden="1" x14ac:dyDescent="0.25">
      <c r="A29" s="80">
        <v>44253</v>
      </c>
      <c r="B29" s="6">
        <v>10</v>
      </c>
      <c r="C29" s="6">
        <f t="shared" si="3"/>
        <v>29</v>
      </c>
      <c r="D29" s="6">
        <v>11</v>
      </c>
      <c r="E29" s="6">
        <f t="shared" si="2"/>
        <v>2268</v>
      </c>
      <c r="F29" s="6">
        <f t="shared" si="0"/>
        <v>2297</v>
      </c>
      <c r="G29" s="91">
        <f t="shared" si="1"/>
        <v>0</v>
      </c>
    </row>
    <row r="30" spans="1:8" hidden="1" x14ac:dyDescent="0.25">
      <c r="A30" s="80">
        <v>44254</v>
      </c>
      <c r="B30" s="6">
        <v>7</v>
      </c>
      <c r="C30" s="6">
        <f t="shared" si="3"/>
        <v>30</v>
      </c>
      <c r="D30" s="6">
        <v>6</v>
      </c>
      <c r="E30" s="6">
        <f t="shared" si="2"/>
        <v>2274</v>
      </c>
      <c r="F30" s="6">
        <f t="shared" si="0"/>
        <v>2304</v>
      </c>
      <c r="G30" s="91">
        <f t="shared" si="1"/>
        <v>0</v>
      </c>
    </row>
    <row r="31" spans="1:8" hidden="1" x14ac:dyDescent="0.25">
      <c r="A31" s="80">
        <v>44255</v>
      </c>
      <c r="B31" s="6">
        <v>1</v>
      </c>
      <c r="C31" s="6">
        <f t="shared" si="3"/>
        <v>30</v>
      </c>
      <c r="D31" s="6">
        <v>1</v>
      </c>
      <c r="E31" s="6">
        <f t="shared" si="2"/>
        <v>2275</v>
      </c>
      <c r="F31" s="6">
        <f t="shared" si="0"/>
        <v>2305</v>
      </c>
      <c r="G31" s="91">
        <f t="shared" si="1"/>
        <v>0</v>
      </c>
    </row>
    <row r="32" spans="1:8" hidden="1" x14ac:dyDescent="0.25">
      <c r="A32" s="80">
        <v>44256</v>
      </c>
      <c r="B32" s="6">
        <v>14</v>
      </c>
      <c r="C32" s="6">
        <f t="shared" si="3"/>
        <v>34</v>
      </c>
      <c r="D32" s="6">
        <v>10</v>
      </c>
      <c r="E32" s="6">
        <f t="shared" si="2"/>
        <v>2285</v>
      </c>
      <c r="F32" s="6">
        <f t="shared" si="0"/>
        <v>2319</v>
      </c>
      <c r="G32" s="91">
        <f t="shared" si="1"/>
        <v>0</v>
      </c>
    </row>
    <row r="33" spans="1:7" hidden="1" x14ac:dyDescent="0.25">
      <c r="A33" s="80">
        <v>44257</v>
      </c>
      <c r="B33" s="6">
        <v>13</v>
      </c>
      <c r="C33" s="6">
        <f t="shared" si="3"/>
        <v>36</v>
      </c>
      <c r="D33" s="6">
        <v>11</v>
      </c>
      <c r="E33" s="6">
        <f t="shared" si="2"/>
        <v>2296</v>
      </c>
      <c r="F33" s="6">
        <f t="shared" si="0"/>
        <v>2332</v>
      </c>
      <c r="G33" s="91">
        <f t="shared" si="1"/>
        <v>0</v>
      </c>
    </row>
    <row r="34" spans="1:7" hidden="1" x14ac:dyDescent="0.25">
      <c r="A34" s="80">
        <v>44258</v>
      </c>
      <c r="B34" s="6">
        <v>5</v>
      </c>
      <c r="C34" s="6">
        <f t="shared" si="3"/>
        <v>32</v>
      </c>
      <c r="D34" s="6">
        <v>9</v>
      </c>
      <c r="E34" s="6">
        <f t="shared" si="2"/>
        <v>2305</v>
      </c>
      <c r="F34" s="6">
        <f t="shared" si="0"/>
        <v>2337</v>
      </c>
      <c r="G34" s="91">
        <f t="shared" si="1"/>
        <v>0</v>
      </c>
    </row>
    <row r="35" spans="1:7" hidden="1" x14ac:dyDescent="0.25">
      <c r="A35" s="80">
        <v>44259</v>
      </c>
      <c r="B35" s="6">
        <v>18</v>
      </c>
      <c r="C35" s="6">
        <f t="shared" si="3"/>
        <v>34</v>
      </c>
      <c r="D35" s="6">
        <v>16</v>
      </c>
      <c r="E35" s="6">
        <f t="shared" si="2"/>
        <v>2321</v>
      </c>
      <c r="F35" s="6">
        <f t="shared" si="0"/>
        <v>2355</v>
      </c>
      <c r="G35" s="91">
        <f t="shared" si="1"/>
        <v>0</v>
      </c>
    </row>
    <row r="36" spans="1:7" hidden="1" x14ac:dyDescent="0.25">
      <c r="A36" s="80">
        <v>44260</v>
      </c>
      <c r="B36" s="6">
        <v>8</v>
      </c>
      <c r="C36" s="6">
        <f t="shared" si="3"/>
        <v>35</v>
      </c>
      <c r="D36" s="6">
        <v>7</v>
      </c>
      <c r="E36" s="6">
        <f t="shared" si="2"/>
        <v>2328</v>
      </c>
      <c r="F36" s="6">
        <f t="shared" si="0"/>
        <v>2363</v>
      </c>
      <c r="G36" s="91">
        <f t="shared" si="1"/>
        <v>0</v>
      </c>
    </row>
    <row r="37" spans="1:7" hidden="1" x14ac:dyDescent="0.25">
      <c r="A37" s="80">
        <v>44261</v>
      </c>
      <c r="B37" s="6">
        <v>9</v>
      </c>
      <c r="C37" s="6">
        <f t="shared" si="3"/>
        <v>33</v>
      </c>
      <c r="D37" s="6">
        <v>11</v>
      </c>
      <c r="E37" s="6">
        <f t="shared" si="2"/>
        <v>2339</v>
      </c>
      <c r="F37" s="6">
        <f t="shared" si="0"/>
        <v>2372</v>
      </c>
      <c r="G37" s="91">
        <f t="shared" si="1"/>
        <v>0</v>
      </c>
    </row>
    <row r="38" spans="1:7" hidden="1" x14ac:dyDescent="0.25">
      <c r="A38" s="80">
        <v>44262</v>
      </c>
      <c r="B38" s="6">
        <v>2</v>
      </c>
      <c r="C38" s="6">
        <f t="shared" si="3"/>
        <v>34</v>
      </c>
      <c r="D38" s="6">
        <v>1</v>
      </c>
      <c r="E38" s="6">
        <f t="shared" si="2"/>
        <v>2340</v>
      </c>
      <c r="F38" s="6">
        <f t="shared" si="0"/>
        <v>2374</v>
      </c>
      <c r="G38" s="91">
        <f t="shared" si="1"/>
        <v>0</v>
      </c>
    </row>
    <row r="39" spans="1:7" hidden="1" x14ac:dyDescent="0.25">
      <c r="A39" s="80">
        <v>44263</v>
      </c>
      <c r="B39" s="6">
        <v>8</v>
      </c>
      <c r="C39" s="6">
        <f t="shared" si="3"/>
        <v>28</v>
      </c>
      <c r="D39" s="6">
        <v>14</v>
      </c>
      <c r="E39" s="6">
        <f t="shared" si="2"/>
        <v>2354</v>
      </c>
      <c r="F39" s="6">
        <f t="shared" si="0"/>
        <v>2382</v>
      </c>
      <c r="G39" s="91">
        <f t="shared" si="1"/>
        <v>0</v>
      </c>
    </row>
    <row r="40" spans="1:7" hidden="1" x14ac:dyDescent="0.25">
      <c r="A40" s="80">
        <v>44264</v>
      </c>
      <c r="B40" s="6">
        <v>9</v>
      </c>
      <c r="C40" s="6">
        <f t="shared" si="3"/>
        <v>22</v>
      </c>
      <c r="D40" s="6">
        <v>15</v>
      </c>
      <c r="E40" s="6">
        <f t="shared" si="2"/>
        <v>2369</v>
      </c>
      <c r="F40" s="6">
        <f t="shared" si="0"/>
        <v>2391</v>
      </c>
      <c r="G40" s="91">
        <f t="shared" si="1"/>
        <v>0</v>
      </c>
    </row>
    <row r="41" spans="1:7" hidden="1" x14ac:dyDescent="0.25">
      <c r="A41" s="80">
        <v>44265</v>
      </c>
      <c r="B41" s="6">
        <v>15</v>
      </c>
      <c r="C41" s="6">
        <f t="shared" si="3"/>
        <v>25</v>
      </c>
      <c r="D41" s="6">
        <v>12</v>
      </c>
      <c r="E41" s="6">
        <f t="shared" si="2"/>
        <v>2381</v>
      </c>
      <c r="F41" s="6">
        <f t="shared" si="0"/>
        <v>2406</v>
      </c>
      <c r="G41" s="91">
        <f t="shared" si="1"/>
        <v>0</v>
      </c>
    </row>
    <row r="42" spans="1:7" hidden="1" x14ac:dyDescent="0.25">
      <c r="A42" s="80">
        <v>44266</v>
      </c>
      <c r="B42" s="6">
        <v>2</v>
      </c>
      <c r="C42" s="6">
        <f t="shared" si="3"/>
        <v>25</v>
      </c>
      <c r="D42" s="6">
        <v>2</v>
      </c>
      <c r="E42" s="6">
        <f t="shared" si="2"/>
        <v>2383</v>
      </c>
      <c r="F42" s="6">
        <f t="shared" si="0"/>
        <v>2408</v>
      </c>
      <c r="G42" s="91"/>
    </row>
    <row r="43" spans="1:7" hidden="1" x14ac:dyDescent="0.25">
      <c r="A43" s="80">
        <v>44267</v>
      </c>
      <c r="B43" s="6">
        <v>9</v>
      </c>
      <c r="C43" s="6">
        <f t="shared" si="3"/>
        <v>20</v>
      </c>
      <c r="D43" s="6">
        <v>14</v>
      </c>
      <c r="E43" s="6">
        <f t="shared" si="2"/>
        <v>2397</v>
      </c>
      <c r="F43" s="6">
        <f t="shared" si="0"/>
        <v>2417</v>
      </c>
      <c r="G43" s="91"/>
    </row>
    <row r="44" spans="1:7" hidden="1" x14ac:dyDescent="0.25">
      <c r="A44" s="80">
        <v>44268</v>
      </c>
      <c r="B44" s="6">
        <v>8</v>
      </c>
      <c r="C44" s="6">
        <f t="shared" si="3"/>
        <v>23</v>
      </c>
      <c r="D44" s="6">
        <v>5</v>
      </c>
      <c r="E44" s="6">
        <f t="shared" si="2"/>
        <v>2402</v>
      </c>
      <c r="F44" s="6">
        <f t="shared" si="0"/>
        <v>2425</v>
      </c>
      <c r="G44" s="91"/>
    </row>
    <row r="45" spans="1:7" hidden="1" x14ac:dyDescent="0.25">
      <c r="A45" s="80">
        <v>44269</v>
      </c>
      <c r="B45" s="6">
        <v>3</v>
      </c>
      <c r="C45" s="6">
        <f t="shared" si="3"/>
        <v>24</v>
      </c>
      <c r="D45" s="6">
        <v>2</v>
      </c>
      <c r="E45" s="6">
        <f t="shared" si="2"/>
        <v>2404</v>
      </c>
      <c r="F45" s="6">
        <f t="shared" si="0"/>
        <v>2428</v>
      </c>
      <c r="G45" s="91"/>
    </row>
    <row r="46" spans="1:7" hidden="1" x14ac:dyDescent="0.25">
      <c r="A46" s="80">
        <v>44270</v>
      </c>
      <c r="B46" s="6">
        <v>8</v>
      </c>
      <c r="C46" s="6">
        <f t="shared" si="3"/>
        <v>15</v>
      </c>
      <c r="D46" s="6">
        <v>17</v>
      </c>
      <c r="E46" s="6">
        <f t="shared" si="2"/>
        <v>2421</v>
      </c>
      <c r="F46" s="6">
        <f t="shared" si="0"/>
        <v>2436</v>
      </c>
      <c r="G46" s="91"/>
    </row>
    <row r="47" spans="1:7" hidden="1" x14ac:dyDescent="0.25">
      <c r="A47" s="80">
        <v>44271</v>
      </c>
      <c r="B47" s="6">
        <v>15</v>
      </c>
      <c r="C47" s="6">
        <f t="shared" si="3"/>
        <v>21</v>
      </c>
      <c r="D47" s="6">
        <v>9</v>
      </c>
      <c r="E47" s="6">
        <f t="shared" si="2"/>
        <v>2430</v>
      </c>
      <c r="F47" s="6">
        <f t="shared" si="0"/>
        <v>2451</v>
      </c>
      <c r="G47" s="91"/>
    </row>
    <row r="48" spans="1:7" hidden="1" x14ac:dyDescent="0.25">
      <c r="A48" s="80">
        <v>44272</v>
      </c>
      <c r="B48" s="6">
        <v>7</v>
      </c>
      <c r="C48" s="6">
        <f t="shared" si="3"/>
        <v>19</v>
      </c>
      <c r="D48" s="6">
        <v>9</v>
      </c>
      <c r="E48" s="6">
        <f t="shared" si="2"/>
        <v>2439</v>
      </c>
      <c r="F48" s="6">
        <f t="shared" si="0"/>
        <v>2458</v>
      </c>
      <c r="G48" s="91"/>
    </row>
    <row r="49" spans="1:7" hidden="1" x14ac:dyDescent="0.25">
      <c r="A49" s="80">
        <v>44273</v>
      </c>
      <c r="B49" s="6">
        <v>6</v>
      </c>
      <c r="C49" s="6">
        <f t="shared" si="3"/>
        <v>13</v>
      </c>
      <c r="D49" s="6">
        <v>12</v>
      </c>
      <c r="E49" s="6">
        <f t="shared" si="2"/>
        <v>2451</v>
      </c>
      <c r="F49" s="6">
        <f t="shared" si="0"/>
        <v>2464</v>
      </c>
      <c r="G49" s="91"/>
    </row>
    <row r="50" spans="1:7" hidden="1" x14ac:dyDescent="0.25">
      <c r="A50" s="80">
        <v>44274</v>
      </c>
      <c r="B50" s="6">
        <v>8</v>
      </c>
      <c r="C50" s="6">
        <f t="shared" si="3"/>
        <v>17</v>
      </c>
      <c r="D50" s="6">
        <v>4</v>
      </c>
      <c r="E50" s="6">
        <f t="shared" si="2"/>
        <v>2455</v>
      </c>
      <c r="F50" s="6">
        <f t="shared" si="0"/>
        <v>2472</v>
      </c>
      <c r="G50" s="91"/>
    </row>
    <row r="51" spans="1:7" hidden="1" x14ac:dyDescent="0.25">
      <c r="A51" s="80">
        <v>44275</v>
      </c>
      <c r="B51" s="6">
        <v>5</v>
      </c>
      <c r="C51" s="6">
        <f t="shared" si="3"/>
        <v>18</v>
      </c>
      <c r="D51" s="6">
        <v>4</v>
      </c>
      <c r="E51" s="6">
        <f t="shared" si="2"/>
        <v>2459</v>
      </c>
      <c r="F51" s="6">
        <f t="shared" si="0"/>
        <v>2477</v>
      </c>
      <c r="G51" s="91"/>
    </row>
    <row r="52" spans="1:7" hidden="1" x14ac:dyDescent="0.25">
      <c r="A52" s="80">
        <v>44276</v>
      </c>
      <c r="B52" s="6">
        <v>7</v>
      </c>
      <c r="C52" s="6">
        <f t="shared" si="3"/>
        <v>22</v>
      </c>
      <c r="D52" s="6">
        <v>3</v>
      </c>
      <c r="E52" s="6">
        <f t="shared" si="2"/>
        <v>2462</v>
      </c>
      <c r="F52" s="6">
        <f t="shared" si="0"/>
        <v>2484</v>
      </c>
      <c r="G52" s="91"/>
    </row>
    <row r="53" spans="1:7" hidden="1" x14ac:dyDescent="0.25">
      <c r="A53" s="80">
        <v>44277</v>
      </c>
      <c r="B53" s="6">
        <v>10</v>
      </c>
      <c r="C53" s="6">
        <f t="shared" si="3"/>
        <v>20</v>
      </c>
      <c r="D53" s="6">
        <v>12</v>
      </c>
      <c r="E53" s="6">
        <f t="shared" si="2"/>
        <v>2474</v>
      </c>
      <c r="F53" s="6">
        <f t="shared" si="0"/>
        <v>2494</v>
      </c>
      <c r="G53" s="91"/>
    </row>
    <row r="54" spans="1:7" hidden="1" x14ac:dyDescent="0.25">
      <c r="A54" s="80">
        <v>44278</v>
      </c>
      <c r="B54" s="6">
        <v>11</v>
      </c>
      <c r="C54" s="6">
        <f t="shared" si="3"/>
        <v>18</v>
      </c>
      <c r="D54" s="6">
        <v>13</v>
      </c>
      <c r="E54" s="6">
        <f t="shared" si="2"/>
        <v>2487</v>
      </c>
      <c r="F54" s="6">
        <f t="shared" si="0"/>
        <v>2505</v>
      </c>
      <c r="G54" s="91"/>
    </row>
    <row r="55" spans="1:7" hidden="1" x14ac:dyDescent="0.25">
      <c r="A55" s="80">
        <v>44279</v>
      </c>
      <c r="B55" s="6">
        <v>6</v>
      </c>
      <c r="C55" s="6">
        <f t="shared" si="3"/>
        <v>19</v>
      </c>
      <c r="D55" s="6">
        <v>5</v>
      </c>
      <c r="E55" s="6">
        <f t="shared" si="2"/>
        <v>2492</v>
      </c>
      <c r="F55" s="6">
        <f t="shared" si="0"/>
        <v>2511</v>
      </c>
      <c r="G55" s="91"/>
    </row>
    <row r="56" spans="1:7" hidden="1" x14ac:dyDescent="0.25">
      <c r="A56" s="80">
        <v>44280</v>
      </c>
      <c r="B56" s="6">
        <v>13</v>
      </c>
      <c r="C56" s="6">
        <f t="shared" si="3"/>
        <v>26</v>
      </c>
      <c r="D56" s="6">
        <v>6</v>
      </c>
      <c r="E56" s="6">
        <f t="shared" si="2"/>
        <v>2498</v>
      </c>
      <c r="F56" s="6">
        <f t="shared" si="0"/>
        <v>2524</v>
      </c>
      <c r="G56" s="91"/>
    </row>
    <row r="57" spans="1:7" hidden="1" x14ac:dyDescent="0.25">
      <c r="A57" s="80">
        <v>44281</v>
      </c>
      <c r="B57" s="6">
        <v>5</v>
      </c>
      <c r="C57" s="6">
        <f t="shared" si="3"/>
        <v>28</v>
      </c>
      <c r="D57" s="6">
        <v>3</v>
      </c>
      <c r="E57" s="6">
        <f t="shared" si="2"/>
        <v>2501</v>
      </c>
      <c r="F57" s="6">
        <f t="shared" si="0"/>
        <v>2529</v>
      </c>
      <c r="G57" s="91"/>
    </row>
    <row r="58" spans="1:7" hidden="1" x14ac:dyDescent="0.25">
      <c r="A58" s="80">
        <v>44282</v>
      </c>
      <c r="B58" s="6">
        <v>5</v>
      </c>
      <c r="C58" s="6">
        <f t="shared" si="3"/>
        <v>20</v>
      </c>
      <c r="D58" s="6">
        <v>13</v>
      </c>
      <c r="E58" s="6">
        <f t="shared" si="2"/>
        <v>2514</v>
      </c>
      <c r="F58" s="6">
        <f t="shared" si="0"/>
        <v>2534</v>
      </c>
      <c r="G58" s="91"/>
    </row>
    <row r="59" spans="1:7" hidden="1" x14ac:dyDescent="0.25">
      <c r="A59" s="80">
        <v>44283</v>
      </c>
      <c r="B59" s="6">
        <v>3</v>
      </c>
      <c r="C59" s="6">
        <f t="shared" si="3"/>
        <v>22</v>
      </c>
      <c r="D59" s="6">
        <v>1</v>
      </c>
      <c r="E59" s="6">
        <f t="shared" si="2"/>
        <v>2515</v>
      </c>
      <c r="F59" s="6">
        <f t="shared" si="0"/>
        <v>2537</v>
      </c>
      <c r="G59" s="91"/>
    </row>
    <row r="60" spans="1:7" hidden="1" x14ac:dyDescent="0.25">
      <c r="A60" s="80">
        <v>44284</v>
      </c>
      <c r="B60" s="6">
        <v>12</v>
      </c>
      <c r="C60" s="6">
        <f t="shared" si="3"/>
        <v>18</v>
      </c>
      <c r="D60" s="6">
        <v>16</v>
      </c>
      <c r="E60" s="6">
        <f t="shared" si="2"/>
        <v>2531</v>
      </c>
      <c r="F60" s="6">
        <f t="shared" si="0"/>
        <v>2549</v>
      </c>
      <c r="G60" s="91"/>
    </row>
    <row r="61" spans="1:7" hidden="1" x14ac:dyDescent="0.25">
      <c r="A61" s="80">
        <v>44285</v>
      </c>
      <c r="B61" s="6">
        <v>5</v>
      </c>
      <c r="C61" s="6">
        <f t="shared" si="3"/>
        <v>19</v>
      </c>
      <c r="D61" s="6">
        <v>4</v>
      </c>
      <c r="E61" s="6">
        <f t="shared" si="2"/>
        <v>2535</v>
      </c>
      <c r="F61" s="6">
        <f t="shared" si="0"/>
        <v>2554</v>
      </c>
      <c r="G61" s="91"/>
    </row>
    <row r="62" spans="1:7" hidden="1" x14ac:dyDescent="0.25">
      <c r="A62" s="80">
        <v>44286</v>
      </c>
      <c r="B62" s="6">
        <v>10</v>
      </c>
      <c r="C62" s="6">
        <f t="shared" si="3"/>
        <v>21</v>
      </c>
      <c r="D62" s="6">
        <v>8</v>
      </c>
      <c r="E62" s="6">
        <f t="shared" si="2"/>
        <v>2543</v>
      </c>
      <c r="F62" s="6">
        <f t="shared" si="0"/>
        <v>2564</v>
      </c>
      <c r="G62" s="91"/>
    </row>
    <row r="63" spans="1:7" hidden="1" x14ac:dyDescent="0.25">
      <c r="A63" s="80">
        <v>44287</v>
      </c>
      <c r="B63" s="6">
        <v>10</v>
      </c>
      <c r="C63" s="6">
        <f t="shared" si="3"/>
        <v>25</v>
      </c>
      <c r="D63" s="6">
        <v>6</v>
      </c>
      <c r="E63" s="6">
        <f t="shared" si="2"/>
        <v>2549</v>
      </c>
      <c r="F63" s="6">
        <f t="shared" si="0"/>
        <v>2574</v>
      </c>
      <c r="G63" s="91"/>
    </row>
    <row r="64" spans="1:7" hidden="1" x14ac:dyDescent="0.25">
      <c r="A64" s="80">
        <v>44288</v>
      </c>
      <c r="B64" s="6">
        <v>3</v>
      </c>
      <c r="C64" s="6">
        <f t="shared" si="3"/>
        <v>24</v>
      </c>
      <c r="D64" s="6">
        <v>4</v>
      </c>
      <c r="E64" s="6">
        <f t="shared" si="2"/>
        <v>2553</v>
      </c>
      <c r="F64" s="6">
        <f t="shared" si="0"/>
        <v>2577</v>
      </c>
      <c r="G64" s="91"/>
    </row>
    <row r="65" spans="1:7" hidden="1" x14ac:dyDescent="0.25">
      <c r="A65" s="80">
        <v>44289</v>
      </c>
      <c r="B65" s="6">
        <v>7</v>
      </c>
      <c r="C65" s="6">
        <f t="shared" si="3"/>
        <v>25</v>
      </c>
      <c r="D65" s="6">
        <v>6</v>
      </c>
      <c r="E65" s="6">
        <f t="shared" si="2"/>
        <v>2559</v>
      </c>
      <c r="F65" s="6">
        <f t="shared" si="0"/>
        <v>2584</v>
      </c>
      <c r="G65" s="91"/>
    </row>
    <row r="66" spans="1:7" hidden="1" x14ac:dyDescent="0.25">
      <c r="A66" s="80">
        <v>44290</v>
      </c>
      <c r="B66" s="6">
        <v>5</v>
      </c>
      <c r="C66" s="6">
        <f t="shared" si="3"/>
        <v>28</v>
      </c>
      <c r="D66" s="6">
        <v>2</v>
      </c>
      <c r="E66" s="6">
        <f t="shared" si="2"/>
        <v>2561</v>
      </c>
      <c r="F66" s="6">
        <f t="shared" si="0"/>
        <v>2589</v>
      </c>
      <c r="G66" s="91"/>
    </row>
    <row r="67" spans="1:7" hidden="1" x14ac:dyDescent="0.25">
      <c r="A67" s="80">
        <v>44291</v>
      </c>
      <c r="B67" s="6">
        <v>11</v>
      </c>
      <c r="C67" s="6">
        <f t="shared" si="3"/>
        <v>29</v>
      </c>
      <c r="D67" s="6">
        <v>10</v>
      </c>
      <c r="E67" s="6">
        <f t="shared" si="2"/>
        <v>2571</v>
      </c>
      <c r="F67" s="6">
        <f t="shared" si="0"/>
        <v>2600</v>
      </c>
      <c r="G67" s="91"/>
    </row>
    <row r="68" spans="1:7" hidden="1" x14ac:dyDescent="0.25">
      <c r="A68" s="80">
        <v>44292</v>
      </c>
      <c r="B68" s="6">
        <v>8</v>
      </c>
      <c r="C68" s="6">
        <f t="shared" si="3"/>
        <v>26</v>
      </c>
      <c r="D68" s="6">
        <v>11</v>
      </c>
      <c r="E68" s="6">
        <f t="shared" si="2"/>
        <v>2582</v>
      </c>
      <c r="F68" s="6">
        <f t="shared" si="0"/>
        <v>2608</v>
      </c>
      <c r="G68" s="91"/>
    </row>
    <row r="69" spans="1:7" hidden="1" x14ac:dyDescent="0.25">
      <c r="A69" s="80">
        <v>44293</v>
      </c>
      <c r="B69" s="6">
        <v>8</v>
      </c>
      <c r="C69" s="6">
        <f t="shared" si="3"/>
        <v>24</v>
      </c>
      <c r="D69" s="6">
        <v>10</v>
      </c>
      <c r="E69" s="6">
        <f t="shared" si="2"/>
        <v>2592</v>
      </c>
      <c r="F69" s="6">
        <f t="shared" si="0"/>
        <v>2616</v>
      </c>
      <c r="G69" s="91"/>
    </row>
    <row r="70" spans="1:7" hidden="1" x14ac:dyDescent="0.25">
      <c r="A70" s="80">
        <v>44294</v>
      </c>
      <c r="B70" s="6">
        <v>6</v>
      </c>
      <c r="C70" s="6">
        <f t="shared" si="3"/>
        <v>21</v>
      </c>
      <c r="D70" s="6">
        <v>9</v>
      </c>
      <c r="E70" s="6">
        <f t="shared" si="2"/>
        <v>2601</v>
      </c>
      <c r="F70" s="6">
        <f t="shared" si="0"/>
        <v>2622</v>
      </c>
      <c r="G70" s="91"/>
    </row>
    <row r="71" spans="1:7" hidden="1" x14ac:dyDescent="0.25">
      <c r="A71" s="80">
        <v>44295</v>
      </c>
      <c r="B71" s="6">
        <v>3</v>
      </c>
      <c r="C71" s="6">
        <f t="shared" si="3"/>
        <v>17</v>
      </c>
      <c r="D71" s="6">
        <v>7</v>
      </c>
      <c r="E71" s="6">
        <f t="shared" si="2"/>
        <v>2608</v>
      </c>
      <c r="F71" s="6">
        <f t="shared" si="0"/>
        <v>2625</v>
      </c>
      <c r="G71" s="91"/>
    </row>
    <row r="72" spans="1:7" hidden="1" x14ac:dyDescent="0.25">
      <c r="A72" s="80">
        <v>44296</v>
      </c>
      <c r="B72" s="6">
        <v>6</v>
      </c>
      <c r="C72" s="6">
        <f t="shared" si="3"/>
        <v>13</v>
      </c>
      <c r="D72" s="6">
        <v>10</v>
      </c>
      <c r="E72" s="6">
        <f t="shared" si="2"/>
        <v>2618</v>
      </c>
      <c r="F72" s="6">
        <f t="shared" si="0"/>
        <v>2631</v>
      </c>
      <c r="G72" s="91"/>
    </row>
    <row r="73" spans="1:7" hidden="1" x14ac:dyDescent="0.25">
      <c r="A73" s="80">
        <v>44297</v>
      </c>
      <c r="B73" s="6">
        <v>1</v>
      </c>
      <c r="C73" s="6">
        <f t="shared" si="3"/>
        <v>13</v>
      </c>
      <c r="D73" s="6">
        <v>1</v>
      </c>
      <c r="E73" s="6">
        <f t="shared" si="2"/>
        <v>2619</v>
      </c>
      <c r="F73" s="6">
        <f t="shared" si="0"/>
        <v>2632</v>
      </c>
      <c r="G73" s="91"/>
    </row>
    <row r="74" spans="1:7" hidden="1" x14ac:dyDescent="0.25">
      <c r="A74" s="80">
        <v>44298</v>
      </c>
      <c r="B74" s="6">
        <v>7</v>
      </c>
      <c r="C74" s="6">
        <f t="shared" si="3"/>
        <v>15</v>
      </c>
      <c r="D74" s="6">
        <v>5</v>
      </c>
      <c r="E74" s="6">
        <f t="shared" si="2"/>
        <v>2624</v>
      </c>
      <c r="F74" s="6">
        <f t="shared" ref="F74:F137" si="4">E74+C74</f>
        <v>2639</v>
      </c>
      <c r="G74" s="91"/>
    </row>
    <row r="75" spans="1:7" hidden="1" x14ac:dyDescent="0.25">
      <c r="A75" s="80">
        <v>44299</v>
      </c>
      <c r="B75" s="6">
        <v>6</v>
      </c>
      <c r="C75" s="6">
        <f t="shared" si="3"/>
        <v>14</v>
      </c>
      <c r="D75" s="6">
        <v>7</v>
      </c>
      <c r="E75" s="6">
        <f t="shared" ref="E75:E138" si="5">E74+D75</f>
        <v>2631</v>
      </c>
      <c r="F75" s="6">
        <f t="shared" si="4"/>
        <v>2645</v>
      </c>
      <c r="G75" s="91"/>
    </row>
    <row r="76" spans="1:7" hidden="1" x14ac:dyDescent="0.25">
      <c r="A76" s="80">
        <v>44300</v>
      </c>
      <c r="B76" s="6">
        <v>6</v>
      </c>
      <c r="C76" s="6">
        <f t="shared" si="3"/>
        <v>14</v>
      </c>
      <c r="D76" s="6">
        <v>6</v>
      </c>
      <c r="E76" s="6">
        <f t="shared" si="5"/>
        <v>2637</v>
      </c>
      <c r="F76" s="6">
        <f t="shared" si="4"/>
        <v>2651</v>
      </c>
      <c r="G76" s="91"/>
    </row>
    <row r="77" spans="1:7" hidden="1" x14ac:dyDescent="0.25">
      <c r="A77" s="80">
        <v>44301</v>
      </c>
      <c r="B77" s="6">
        <v>8</v>
      </c>
      <c r="C77" s="6">
        <f t="shared" si="3"/>
        <v>15</v>
      </c>
      <c r="D77" s="6">
        <v>7</v>
      </c>
      <c r="E77" s="6">
        <f t="shared" si="5"/>
        <v>2644</v>
      </c>
      <c r="F77" s="6">
        <f t="shared" si="4"/>
        <v>2659</v>
      </c>
      <c r="G77" s="91"/>
    </row>
    <row r="78" spans="1:7" hidden="1" x14ac:dyDescent="0.25">
      <c r="A78" s="80">
        <v>44302</v>
      </c>
      <c r="B78" s="6">
        <v>4</v>
      </c>
      <c r="C78" s="6">
        <f t="shared" si="3"/>
        <v>10</v>
      </c>
      <c r="D78" s="6">
        <v>9</v>
      </c>
      <c r="E78" s="6">
        <f t="shared" si="5"/>
        <v>2653</v>
      </c>
      <c r="F78" s="6">
        <f t="shared" si="4"/>
        <v>2663</v>
      </c>
      <c r="G78" s="91"/>
    </row>
    <row r="79" spans="1:7" hidden="1" x14ac:dyDescent="0.25">
      <c r="A79" s="80">
        <v>44303</v>
      </c>
      <c r="B79" s="6">
        <v>4</v>
      </c>
      <c r="C79" s="6">
        <f t="shared" si="3"/>
        <v>7</v>
      </c>
      <c r="D79" s="6">
        <v>7</v>
      </c>
      <c r="E79" s="6">
        <f t="shared" si="5"/>
        <v>2660</v>
      </c>
      <c r="F79" s="6">
        <f t="shared" si="4"/>
        <v>2667</v>
      </c>
      <c r="G79" s="91"/>
    </row>
    <row r="80" spans="1:7" hidden="1" x14ac:dyDescent="0.25">
      <c r="A80" s="80">
        <v>44304</v>
      </c>
      <c r="B80" s="6">
        <v>2</v>
      </c>
      <c r="C80" s="6">
        <f t="shared" si="3"/>
        <v>7</v>
      </c>
      <c r="D80" s="6">
        <v>2</v>
      </c>
      <c r="E80" s="6">
        <f t="shared" si="5"/>
        <v>2662</v>
      </c>
      <c r="F80" s="6">
        <f t="shared" si="4"/>
        <v>2669</v>
      </c>
      <c r="G80" s="91"/>
    </row>
    <row r="81" spans="1:7" hidden="1" x14ac:dyDescent="0.25">
      <c r="A81" s="80">
        <v>44305</v>
      </c>
      <c r="B81" s="6">
        <v>10</v>
      </c>
      <c r="C81" s="6">
        <f t="shared" si="3"/>
        <v>16</v>
      </c>
      <c r="D81" s="6">
        <v>1</v>
      </c>
      <c r="E81" s="6">
        <f t="shared" si="5"/>
        <v>2663</v>
      </c>
      <c r="F81" s="6">
        <f t="shared" si="4"/>
        <v>2679</v>
      </c>
      <c r="G81" s="91"/>
    </row>
    <row r="82" spans="1:7" hidden="1" x14ac:dyDescent="0.25">
      <c r="A82" s="80">
        <v>44306</v>
      </c>
      <c r="B82" s="6">
        <v>8</v>
      </c>
      <c r="C82" s="6">
        <f t="shared" si="3"/>
        <v>15</v>
      </c>
      <c r="D82" s="6">
        <v>9</v>
      </c>
      <c r="E82" s="6">
        <f t="shared" si="5"/>
        <v>2672</v>
      </c>
      <c r="F82" s="6">
        <f t="shared" si="4"/>
        <v>2687</v>
      </c>
      <c r="G82" s="91"/>
    </row>
    <row r="83" spans="1:7" hidden="1" x14ac:dyDescent="0.25">
      <c r="A83" s="80">
        <v>44307</v>
      </c>
      <c r="B83" s="6">
        <v>7</v>
      </c>
      <c r="C83" s="6">
        <f t="shared" si="3"/>
        <v>18</v>
      </c>
      <c r="D83" s="6">
        <v>4</v>
      </c>
      <c r="E83" s="6">
        <f t="shared" si="5"/>
        <v>2676</v>
      </c>
      <c r="F83" s="6">
        <f t="shared" si="4"/>
        <v>2694</v>
      </c>
      <c r="G83" s="91"/>
    </row>
    <row r="84" spans="1:7" hidden="1" x14ac:dyDescent="0.25">
      <c r="A84" s="80">
        <v>44308</v>
      </c>
      <c r="B84" s="6">
        <v>5</v>
      </c>
      <c r="C84" s="6">
        <f t="shared" ref="C84:C147" si="6">C83-D84+B84</f>
        <v>17</v>
      </c>
      <c r="D84" s="6">
        <v>6</v>
      </c>
      <c r="E84" s="6">
        <f t="shared" si="5"/>
        <v>2682</v>
      </c>
      <c r="F84" s="6">
        <f t="shared" si="4"/>
        <v>2699</v>
      </c>
      <c r="G84" s="91"/>
    </row>
    <row r="85" spans="1:7" hidden="1" x14ac:dyDescent="0.25">
      <c r="A85" s="80">
        <v>44309</v>
      </c>
      <c r="B85" s="6">
        <v>8</v>
      </c>
      <c r="C85" s="6">
        <f t="shared" si="6"/>
        <v>17</v>
      </c>
      <c r="D85" s="6">
        <v>8</v>
      </c>
      <c r="E85" s="6">
        <f t="shared" si="5"/>
        <v>2690</v>
      </c>
      <c r="F85" s="6">
        <f t="shared" si="4"/>
        <v>2707</v>
      </c>
      <c r="G85" s="91"/>
    </row>
    <row r="86" spans="1:7" hidden="1" x14ac:dyDescent="0.25">
      <c r="A86" s="80">
        <v>44310</v>
      </c>
      <c r="B86" s="6">
        <v>5</v>
      </c>
      <c r="C86" s="6">
        <f t="shared" si="6"/>
        <v>15</v>
      </c>
      <c r="D86" s="6">
        <v>7</v>
      </c>
      <c r="E86" s="6">
        <f t="shared" si="5"/>
        <v>2697</v>
      </c>
      <c r="F86" s="6">
        <f t="shared" si="4"/>
        <v>2712</v>
      </c>
      <c r="G86" s="91"/>
    </row>
    <row r="87" spans="1:7" hidden="1" x14ac:dyDescent="0.25">
      <c r="A87" s="80">
        <v>44311</v>
      </c>
      <c r="B87" s="6">
        <v>0</v>
      </c>
      <c r="C87" s="6">
        <f t="shared" si="6"/>
        <v>12</v>
      </c>
      <c r="D87" s="6">
        <v>3</v>
      </c>
      <c r="E87" s="6">
        <f t="shared" si="5"/>
        <v>2700</v>
      </c>
      <c r="F87" s="6">
        <f t="shared" si="4"/>
        <v>2712</v>
      </c>
      <c r="G87" s="91"/>
    </row>
    <row r="88" spans="1:7" hidden="1" x14ac:dyDescent="0.25">
      <c r="A88" s="80">
        <v>44312</v>
      </c>
      <c r="B88" s="6">
        <v>6</v>
      </c>
      <c r="C88" s="6">
        <f t="shared" si="6"/>
        <v>12</v>
      </c>
      <c r="D88" s="6">
        <v>6</v>
      </c>
      <c r="E88" s="6">
        <f t="shared" si="5"/>
        <v>2706</v>
      </c>
      <c r="F88" s="6">
        <f t="shared" si="4"/>
        <v>2718</v>
      </c>
      <c r="G88" s="91"/>
    </row>
    <row r="89" spans="1:7" hidden="1" x14ac:dyDescent="0.25">
      <c r="A89" s="80">
        <v>44313</v>
      </c>
      <c r="B89" s="6">
        <v>5</v>
      </c>
      <c r="C89" s="6">
        <f t="shared" si="6"/>
        <v>15</v>
      </c>
      <c r="D89" s="6">
        <v>2</v>
      </c>
      <c r="E89" s="6">
        <f t="shared" si="5"/>
        <v>2708</v>
      </c>
      <c r="F89" s="6">
        <f t="shared" si="4"/>
        <v>2723</v>
      </c>
      <c r="G89" s="91"/>
    </row>
    <row r="90" spans="1:7" hidden="1" x14ac:dyDescent="0.25">
      <c r="A90" s="80">
        <v>44314</v>
      </c>
      <c r="B90" s="6">
        <v>0</v>
      </c>
      <c r="C90" s="6">
        <f t="shared" si="6"/>
        <v>15</v>
      </c>
      <c r="D90" s="6">
        <v>0</v>
      </c>
      <c r="E90" s="6">
        <f t="shared" si="5"/>
        <v>2708</v>
      </c>
      <c r="F90" s="6">
        <f t="shared" si="4"/>
        <v>2723</v>
      </c>
      <c r="G90" s="91"/>
    </row>
    <row r="91" spans="1:7" hidden="1" x14ac:dyDescent="0.25">
      <c r="A91" s="80">
        <v>44315</v>
      </c>
      <c r="B91" s="6">
        <v>8</v>
      </c>
      <c r="C91" s="6">
        <f t="shared" si="6"/>
        <v>13</v>
      </c>
      <c r="D91" s="6">
        <v>10</v>
      </c>
      <c r="E91" s="6">
        <f t="shared" si="5"/>
        <v>2718</v>
      </c>
      <c r="F91" s="6">
        <f t="shared" si="4"/>
        <v>2731</v>
      </c>
      <c r="G91" s="91"/>
    </row>
    <row r="92" spans="1:7" hidden="1" x14ac:dyDescent="0.25">
      <c r="A92" s="80">
        <v>44316</v>
      </c>
      <c r="B92" s="6">
        <v>9</v>
      </c>
      <c r="C92" s="6">
        <f t="shared" si="6"/>
        <v>20</v>
      </c>
      <c r="D92" s="6">
        <v>2</v>
      </c>
      <c r="E92" s="6">
        <f t="shared" si="5"/>
        <v>2720</v>
      </c>
      <c r="F92" s="6">
        <f t="shared" si="4"/>
        <v>2740</v>
      </c>
      <c r="G92" s="91"/>
    </row>
    <row r="93" spans="1:7" hidden="1" x14ac:dyDescent="0.25">
      <c r="A93" s="80">
        <v>44317</v>
      </c>
      <c r="B93" s="6">
        <v>1</v>
      </c>
      <c r="C93" s="6">
        <f t="shared" si="6"/>
        <v>16</v>
      </c>
      <c r="D93" s="6">
        <v>5</v>
      </c>
      <c r="E93" s="6">
        <f t="shared" si="5"/>
        <v>2725</v>
      </c>
      <c r="F93" s="6">
        <f t="shared" si="4"/>
        <v>2741</v>
      </c>
      <c r="G93" s="91"/>
    </row>
    <row r="94" spans="1:7" hidden="1" x14ac:dyDescent="0.25">
      <c r="A94" s="80">
        <v>44318</v>
      </c>
      <c r="B94" s="6">
        <v>3</v>
      </c>
      <c r="C94" s="6">
        <f t="shared" si="6"/>
        <v>18</v>
      </c>
      <c r="D94" s="6">
        <v>1</v>
      </c>
      <c r="E94" s="6">
        <f t="shared" si="5"/>
        <v>2726</v>
      </c>
      <c r="F94" s="6">
        <f t="shared" si="4"/>
        <v>2744</v>
      </c>
      <c r="G94" s="91"/>
    </row>
    <row r="95" spans="1:7" hidden="1" x14ac:dyDescent="0.25">
      <c r="A95" s="80">
        <v>44319</v>
      </c>
      <c r="B95" s="6">
        <v>17</v>
      </c>
      <c r="C95" s="6">
        <f t="shared" si="6"/>
        <v>30</v>
      </c>
      <c r="D95" s="6">
        <v>5</v>
      </c>
      <c r="E95" s="6">
        <f t="shared" si="5"/>
        <v>2731</v>
      </c>
      <c r="F95" s="6">
        <f t="shared" si="4"/>
        <v>2761</v>
      </c>
      <c r="G95" s="91"/>
    </row>
    <row r="96" spans="1:7" hidden="1" x14ac:dyDescent="0.25">
      <c r="A96" s="80">
        <v>44320</v>
      </c>
      <c r="B96" s="6">
        <v>9</v>
      </c>
      <c r="C96" s="6">
        <f t="shared" si="6"/>
        <v>32</v>
      </c>
      <c r="D96" s="6">
        <v>7</v>
      </c>
      <c r="E96" s="6">
        <f t="shared" si="5"/>
        <v>2738</v>
      </c>
      <c r="F96" s="6">
        <f t="shared" si="4"/>
        <v>2770</v>
      </c>
      <c r="G96" s="91"/>
    </row>
    <row r="97" spans="1:7" hidden="1" x14ac:dyDescent="0.25">
      <c r="A97" s="80">
        <v>44321</v>
      </c>
      <c r="B97" s="6">
        <v>3</v>
      </c>
      <c r="C97" s="6">
        <f t="shared" si="6"/>
        <v>29</v>
      </c>
      <c r="D97" s="6">
        <v>6</v>
      </c>
      <c r="E97" s="6">
        <f t="shared" si="5"/>
        <v>2744</v>
      </c>
      <c r="F97" s="6">
        <f t="shared" si="4"/>
        <v>2773</v>
      </c>
      <c r="G97" s="91"/>
    </row>
    <row r="98" spans="1:7" hidden="1" x14ac:dyDescent="0.25">
      <c r="A98" s="80">
        <v>44322</v>
      </c>
      <c r="B98" s="6">
        <v>6</v>
      </c>
      <c r="C98" s="6">
        <f t="shared" si="6"/>
        <v>27</v>
      </c>
      <c r="D98" s="6">
        <v>8</v>
      </c>
      <c r="E98" s="6">
        <f t="shared" si="5"/>
        <v>2752</v>
      </c>
      <c r="F98" s="6">
        <f t="shared" si="4"/>
        <v>2779</v>
      </c>
      <c r="G98" s="91"/>
    </row>
    <row r="99" spans="1:7" hidden="1" x14ac:dyDescent="0.25">
      <c r="A99" s="80">
        <v>44323</v>
      </c>
      <c r="B99" s="6">
        <v>6</v>
      </c>
      <c r="C99" s="6">
        <f t="shared" si="6"/>
        <v>30</v>
      </c>
      <c r="D99" s="6">
        <v>3</v>
      </c>
      <c r="E99" s="6">
        <f t="shared" si="5"/>
        <v>2755</v>
      </c>
      <c r="F99" s="6">
        <f t="shared" si="4"/>
        <v>2785</v>
      </c>
      <c r="G99" s="91"/>
    </row>
    <row r="100" spans="1:7" hidden="1" x14ac:dyDescent="0.25">
      <c r="A100" s="80">
        <v>44324</v>
      </c>
      <c r="B100" s="6">
        <v>14</v>
      </c>
      <c r="C100" s="6">
        <f t="shared" si="6"/>
        <v>40</v>
      </c>
      <c r="D100" s="6">
        <v>4</v>
      </c>
      <c r="E100" s="6">
        <f t="shared" si="5"/>
        <v>2759</v>
      </c>
      <c r="F100" s="6">
        <f t="shared" si="4"/>
        <v>2799</v>
      </c>
      <c r="G100" s="91"/>
    </row>
    <row r="101" spans="1:7" hidden="1" x14ac:dyDescent="0.25">
      <c r="A101" s="80">
        <v>44325</v>
      </c>
      <c r="B101" s="6">
        <v>3</v>
      </c>
      <c r="C101" s="6">
        <f t="shared" si="6"/>
        <v>38</v>
      </c>
      <c r="D101" s="6">
        <v>5</v>
      </c>
      <c r="E101" s="6">
        <f t="shared" si="5"/>
        <v>2764</v>
      </c>
      <c r="F101" s="6">
        <f t="shared" si="4"/>
        <v>2802</v>
      </c>
      <c r="G101" s="91"/>
    </row>
    <row r="102" spans="1:7" hidden="1" x14ac:dyDescent="0.25">
      <c r="A102" s="80">
        <v>44326</v>
      </c>
      <c r="B102" s="6">
        <v>10</v>
      </c>
      <c r="C102" s="6">
        <f t="shared" si="6"/>
        <v>35</v>
      </c>
      <c r="D102" s="6">
        <v>13</v>
      </c>
      <c r="E102" s="6">
        <f t="shared" si="5"/>
        <v>2777</v>
      </c>
      <c r="F102" s="6">
        <f t="shared" si="4"/>
        <v>2812</v>
      </c>
      <c r="G102" s="91"/>
    </row>
    <row r="103" spans="1:7" hidden="1" x14ac:dyDescent="0.25">
      <c r="A103" s="80">
        <v>44327</v>
      </c>
      <c r="B103" s="6">
        <v>10</v>
      </c>
      <c r="C103" s="6">
        <f t="shared" si="6"/>
        <v>38</v>
      </c>
      <c r="D103" s="6">
        <v>7</v>
      </c>
      <c r="E103" s="6">
        <f t="shared" si="5"/>
        <v>2784</v>
      </c>
      <c r="F103" s="6">
        <f t="shared" si="4"/>
        <v>2822</v>
      </c>
      <c r="G103" s="91"/>
    </row>
    <row r="104" spans="1:7" hidden="1" x14ac:dyDescent="0.25">
      <c r="A104" s="80">
        <v>44328</v>
      </c>
      <c r="B104" s="6">
        <v>6</v>
      </c>
      <c r="C104" s="6">
        <f t="shared" si="6"/>
        <v>38</v>
      </c>
      <c r="D104" s="6">
        <v>6</v>
      </c>
      <c r="E104" s="6">
        <f t="shared" si="5"/>
        <v>2790</v>
      </c>
      <c r="F104" s="6">
        <f t="shared" si="4"/>
        <v>2828</v>
      </c>
      <c r="G104" s="91"/>
    </row>
    <row r="105" spans="1:7" ht="13.5" hidden="1" customHeight="1" x14ac:dyDescent="0.25">
      <c r="A105" s="80">
        <v>44329</v>
      </c>
      <c r="B105" s="6">
        <v>0</v>
      </c>
      <c r="C105" s="6">
        <f t="shared" si="6"/>
        <v>38</v>
      </c>
      <c r="D105" s="6">
        <v>0</v>
      </c>
      <c r="E105" s="6">
        <f t="shared" si="5"/>
        <v>2790</v>
      </c>
      <c r="F105" s="6">
        <f t="shared" si="4"/>
        <v>2828</v>
      </c>
      <c r="G105" s="91"/>
    </row>
    <row r="106" spans="1:7" hidden="1" x14ac:dyDescent="0.25">
      <c r="A106" s="80">
        <v>44330</v>
      </c>
      <c r="B106" s="6">
        <v>4</v>
      </c>
      <c r="C106" s="6">
        <f t="shared" si="6"/>
        <v>40</v>
      </c>
      <c r="D106" s="6">
        <v>2</v>
      </c>
      <c r="E106" s="6">
        <f t="shared" si="5"/>
        <v>2792</v>
      </c>
      <c r="F106" s="6">
        <f t="shared" si="4"/>
        <v>2832</v>
      </c>
      <c r="G106" s="91"/>
    </row>
    <row r="107" spans="1:7" hidden="1" x14ac:dyDescent="0.25">
      <c r="A107" s="80">
        <v>44331</v>
      </c>
      <c r="B107" s="6">
        <v>9</v>
      </c>
      <c r="C107" s="6">
        <f t="shared" si="6"/>
        <v>43</v>
      </c>
      <c r="D107" s="6">
        <v>6</v>
      </c>
      <c r="E107" s="6">
        <f t="shared" si="5"/>
        <v>2798</v>
      </c>
      <c r="F107" s="6">
        <f t="shared" si="4"/>
        <v>2841</v>
      </c>
      <c r="G107" s="91"/>
    </row>
    <row r="108" spans="1:7" hidden="1" x14ac:dyDescent="0.25">
      <c r="A108" s="80">
        <v>44332</v>
      </c>
      <c r="B108" s="6">
        <v>4</v>
      </c>
      <c r="C108" s="6">
        <f t="shared" si="6"/>
        <v>43</v>
      </c>
      <c r="D108" s="6">
        <v>4</v>
      </c>
      <c r="E108" s="6">
        <f t="shared" si="5"/>
        <v>2802</v>
      </c>
      <c r="F108" s="6">
        <f t="shared" si="4"/>
        <v>2845</v>
      </c>
      <c r="G108" s="91"/>
    </row>
    <row r="109" spans="1:7" hidden="1" x14ac:dyDescent="0.25">
      <c r="A109" s="80">
        <v>44333</v>
      </c>
      <c r="B109" s="6">
        <v>11</v>
      </c>
      <c r="C109" s="6">
        <f t="shared" si="6"/>
        <v>43</v>
      </c>
      <c r="D109" s="6">
        <v>11</v>
      </c>
      <c r="E109" s="6">
        <f t="shared" si="5"/>
        <v>2813</v>
      </c>
      <c r="F109" s="6">
        <f t="shared" si="4"/>
        <v>2856</v>
      </c>
      <c r="G109" s="91"/>
    </row>
    <row r="110" spans="1:7" hidden="1" x14ac:dyDescent="0.25">
      <c r="A110" s="80">
        <v>44334</v>
      </c>
      <c r="B110" s="6">
        <v>9</v>
      </c>
      <c r="C110" s="6">
        <f t="shared" si="6"/>
        <v>42</v>
      </c>
      <c r="D110" s="6">
        <v>10</v>
      </c>
      <c r="E110" s="6">
        <f t="shared" si="5"/>
        <v>2823</v>
      </c>
      <c r="F110" s="6">
        <f t="shared" si="4"/>
        <v>2865</v>
      </c>
      <c r="G110" s="91"/>
    </row>
    <row r="111" spans="1:7" hidden="1" x14ac:dyDescent="0.25">
      <c r="A111" s="80">
        <v>44335</v>
      </c>
      <c r="B111" s="6">
        <v>4</v>
      </c>
      <c r="C111" s="6">
        <f t="shared" si="6"/>
        <v>32</v>
      </c>
      <c r="D111" s="6">
        <v>14</v>
      </c>
      <c r="E111" s="6">
        <f t="shared" si="5"/>
        <v>2837</v>
      </c>
      <c r="F111" s="6">
        <f t="shared" si="4"/>
        <v>2869</v>
      </c>
      <c r="G111" s="91"/>
    </row>
    <row r="112" spans="1:7" hidden="1" x14ac:dyDescent="0.25">
      <c r="A112" s="80">
        <v>44336</v>
      </c>
      <c r="B112" s="6">
        <v>15</v>
      </c>
      <c r="C112" s="6">
        <f t="shared" si="6"/>
        <v>36</v>
      </c>
      <c r="D112" s="6">
        <v>11</v>
      </c>
      <c r="E112" s="6">
        <f t="shared" si="5"/>
        <v>2848</v>
      </c>
      <c r="F112" s="6">
        <f t="shared" si="4"/>
        <v>2884</v>
      </c>
      <c r="G112" s="91"/>
    </row>
    <row r="113" spans="1:7" hidden="1" x14ac:dyDescent="0.25">
      <c r="A113" s="80">
        <v>44337</v>
      </c>
      <c r="B113" s="6">
        <v>4</v>
      </c>
      <c r="C113" s="6">
        <f t="shared" si="6"/>
        <v>38</v>
      </c>
      <c r="D113" s="6">
        <v>2</v>
      </c>
      <c r="E113" s="6">
        <f t="shared" si="5"/>
        <v>2850</v>
      </c>
      <c r="F113" s="6">
        <f t="shared" si="4"/>
        <v>2888</v>
      </c>
      <c r="G113" s="91"/>
    </row>
    <row r="114" spans="1:7" hidden="1" x14ac:dyDescent="0.25">
      <c r="A114" s="80">
        <v>44338</v>
      </c>
      <c r="B114" s="6">
        <v>11</v>
      </c>
      <c r="C114" s="6">
        <f t="shared" si="6"/>
        <v>45</v>
      </c>
      <c r="D114" s="6">
        <v>4</v>
      </c>
      <c r="E114" s="6">
        <f t="shared" si="5"/>
        <v>2854</v>
      </c>
      <c r="F114" s="6">
        <f t="shared" si="4"/>
        <v>2899</v>
      </c>
      <c r="G114" s="91"/>
    </row>
    <row r="115" spans="1:7" hidden="1" x14ac:dyDescent="0.25">
      <c r="A115" s="80">
        <v>44339</v>
      </c>
      <c r="B115" s="6">
        <v>4</v>
      </c>
      <c r="C115" s="6">
        <f t="shared" si="6"/>
        <v>45</v>
      </c>
      <c r="D115" s="6">
        <v>4</v>
      </c>
      <c r="E115" s="6">
        <f t="shared" si="5"/>
        <v>2858</v>
      </c>
      <c r="F115" s="6">
        <f t="shared" si="4"/>
        <v>2903</v>
      </c>
      <c r="G115" s="91"/>
    </row>
    <row r="116" spans="1:7" hidden="1" x14ac:dyDescent="0.25">
      <c r="A116" s="80">
        <v>44340</v>
      </c>
      <c r="B116" s="6">
        <v>23</v>
      </c>
      <c r="C116" s="6">
        <f t="shared" si="6"/>
        <v>56</v>
      </c>
      <c r="D116" s="6">
        <v>12</v>
      </c>
      <c r="E116" s="6">
        <f t="shared" si="5"/>
        <v>2870</v>
      </c>
      <c r="F116" s="6">
        <f t="shared" si="4"/>
        <v>2926</v>
      </c>
      <c r="G116" s="91"/>
    </row>
    <row r="117" spans="1:7" hidden="1" x14ac:dyDescent="0.25">
      <c r="A117" s="80">
        <v>44341</v>
      </c>
      <c r="B117" s="6">
        <v>19</v>
      </c>
      <c r="C117" s="6">
        <f t="shared" si="6"/>
        <v>69</v>
      </c>
      <c r="D117" s="6">
        <v>6</v>
      </c>
      <c r="E117" s="6">
        <f t="shared" si="5"/>
        <v>2876</v>
      </c>
      <c r="F117" s="6">
        <f t="shared" si="4"/>
        <v>2945</v>
      </c>
      <c r="G117" s="91"/>
    </row>
    <row r="118" spans="1:7" hidden="1" x14ac:dyDescent="0.25">
      <c r="A118" s="80">
        <v>44342</v>
      </c>
      <c r="B118" s="6">
        <v>3</v>
      </c>
      <c r="C118" s="6">
        <f t="shared" si="6"/>
        <v>70</v>
      </c>
      <c r="D118" s="6">
        <v>2</v>
      </c>
      <c r="E118" s="6">
        <f t="shared" si="5"/>
        <v>2878</v>
      </c>
      <c r="F118" s="6">
        <f t="shared" si="4"/>
        <v>2948</v>
      </c>
      <c r="G118" s="91"/>
    </row>
    <row r="119" spans="1:7" hidden="1" x14ac:dyDescent="0.25">
      <c r="A119" s="80">
        <v>44343</v>
      </c>
      <c r="B119" s="6">
        <v>25</v>
      </c>
      <c r="C119" s="6">
        <f t="shared" si="6"/>
        <v>79</v>
      </c>
      <c r="D119" s="6">
        <v>16</v>
      </c>
      <c r="E119" s="6">
        <f t="shared" si="5"/>
        <v>2894</v>
      </c>
      <c r="F119" s="6">
        <f t="shared" si="4"/>
        <v>2973</v>
      </c>
      <c r="G119" s="91"/>
    </row>
    <row r="120" spans="1:7" hidden="1" x14ac:dyDescent="0.25">
      <c r="A120" s="80">
        <v>44344</v>
      </c>
      <c r="B120" s="6">
        <v>29</v>
      </c>
      <c r="C120" s="6">
        <f t="shared" si="6"/>
        <v>80</v>
      </c>
      <c r="D120" s="6">
        <v>28</v>
      </c>
      <c r="E120" s="6">
        <f t="shared" si="5"/>
        <v>2922</v>
      </c>
      <c r="F120" s="6">
        <f t="shared" si="4"/>
        <v>3002</v>
      </c>
      <c r="G120" s="91"/>
    </row>
    <row r="121" spans="1:7" hidden="1" x14ac:dyDescent="0.25">
      <c r="A121" s="80">
        <v>44345</v>
      </c>
      <c r="B121" s="6">
        <v>20</v>
      </c>
      <c r="C121" s="6">
        <f t="shared" si="6"/>
        <v>83</v>
      </c>
      <c r="D121" s="6">
        <v>17</v>
      </c>
      <c r="E121" s="6">
        <f t="shared" si="5"/>
        <v>2939</v>
      </c>
      <c r="F121" s="6">
        <f t="shared" si="4"/>
        <v>3022</v>
      </c>
      <c r="G121" s="91"/>
    </row>
    <row r="122" spans="1:7" hidden="1" x14ac:dyDescent="0.25">
      <c r="A122" s="80">
        <v>44346</v>
      </c>
      <c r="B122" s="6">
        <v>8</v>
      </c>
      <c r="C122" s="6">
        <f t="shared" si="6"/>
        <v>84</v>
      </c>
      <c r="D122" s="6">
        <v>7</v>
      </c>
      <c r="E122" s="6">
        <f t="shared" si="5"/>
        <v>2946</v>
      </c>
      <c r="F122" s="6">
        <f t="shared" si="4"/>
        <v>3030</v>
      </c>
      <c r="G122" s="91"/>
    </row>
    <row r="123" spans="1:7" hidden="1" x14ac:dyDescent="0.25">
      <c r="A123" s="80">
        <v>44347</v>
      </c>
      <c r="B123" s="6">
        <v>38</v>
      </c>
      <c r="C123" s="6">
        <f t="shared" si="6"/>
        <v>99</v>
      </c>
      <c r="D123" s="6">
        <v>23</v>
      </c>
      <c r="E123" s="6">
        <f t="shared" si="5"/>
        <v>2969</v>
      </c>
      <c r="F123" s="6">
        <f t="shared" si="4"/>
        <v>3068</v>
      </c>
      <c r="G123" s="91"/>
    </row>
    <row r="124" spans="1:7" hidden="1" x14ac:dyDescent="0.25">
      <c r="A124" s="80">
        <v>44348</v>
      </c>
      <c r="B124" s="6">
        <v>16</v>
      </c>
      <c r="C124" s="6">
        <f t="shared" si="6"/>
        <v>107</v>
      </c>
      <c r="D124" s="6">
        <v>8</v>
      </c>
      <c r="E124" s="6">
        <f t="shared" si="5"/>
        <v>2977</v>
      </c>
      <c r="F124" s="6">
        <f t="shared" si="4"/>
        <v>3084</v>
      </c>
      <c r="G124" s="91"/>
    </row>
    <row r="125" spans="1:7" hidden="1" x14ac:dyDescent="0.25">
      <c r="A125" s="80">
        <v>44349</v>
      </c>
      <c r="B125" s="6">
        <v>38</v>
      </c>
      <c r="C125" s="6">
        <f t="shared" si="6"/>
        <v>108</v>
      </c>
      <c r="D125" s="6">
        <v>37</v>
      </c>
      <c r="E125" s="6">
        <f t="shared" si="5"/>
        <v>3014</v>
      </c>
      <c r="F125" s="6">
        <f t="shared" si="4"/>
        <v>3122</v>
      </c>
      <c r="G125" s="91"/>
    </row>
    <row r="126" spans="1:7" hidden="1" x14ac:dyDescent="0.25">
      <c r="A126" s="80">
        <v>44350</v>
      </c>
      <c r="B126" s="6">
        <v>29</v>
      </c>
      <c r="C126" s="6">
        <f t="shared" si="6"/>
        <v>110</v>
      </c>
      <c r="D126" s="6">
        <v>27</v>
      </c>
      <c r="E126" s="6">
        <f t="shared" si="5"/>
        <v>3041</v>
      </c>
      <c r="F126" s="6">
        <f t="shared" si="4"/>
        <v>3151</v>
      </c>
      <c r="G126" s="91"/>
    </row>
    <row r="127" spans="1:7" hidden="1" x14ac:dyDescent="0.25">
      <c r="A127" s="80">
        <v>44351</v>
      </c>
      <c r="B127" s="6">
        <v>26</v>
      </c>
      <c r="C127" s="6">
        <f t="shared" si="6"/>
        <v>107</v>
      </c>
      <c r="D127" s="6">
        <v>29</v>
      </c>
      <c r="E127" s="6">
        <f t="shared" si="5"/>
        <v>3070</v>
      </c>
      <c r="F127" s="6">
        <f t="shared" si="4"/>
        <v>3177</v>
      </c>
      <c r="G127" s="91"/>
    </row>
    <row r="128" spans="1:7" hidden="1" x14ac:dyDescent="0.25">
      <c r="A128" s="80">
        <v>44352</v>
      </c>
      <c r="B128" s="6">
        <v>39</v>
      </c>
      <c r="C128" s="6">
        <f t="shared" si="6"/>
        <v>127</v>
      </c>
      <c r="D128" s="6">
        <v>19</v>
      </c>
      <c r="E128" s="6">
        <f t="shared" si="5"/>
        <v>3089</v>
      </c>
      <c r="F128" s="6">
        <f t="shared" si="4"/>
        <v>3216</v>
      </c>
      <c r="G128" s="91"/>
    </row>
    <row r="129" spans="1:7" hidden="1" x14ac:dyDescent="0.25">
      <c r="A129" s="80">
        <v>44353</v>
      </c>
      <c r="B129" s="6">
        <v>11</v>
      </c>
      <c r="C129" s="6">
        <f t="shared" si="6"/>
        <v>116</v>
      </c>
      <c r="D129" s="6">
        <v>22</v>
      </c>
      <c r="E129" s="6">
        <f t="shared" si="5"/>
        <v>3111</v>
      </c>
      <c r="F129" s="6">
        <f t="shared" si="4"/>
        <v>3227</v>
      </c>
      <c r="G129" s="91"/>
    </row>
    <row r="130" spans="1:7" hidden="1" x14ac:dyDescent="0.25">
      <c r="A130" s="80">
        <v>44354</v>
      </c>
      <c r="B130" s="6">
        <v>49</v>
      </c>
      <c r="C130" s="6">
        <f t="shared" si="6"/>
        <v>102</v>
      </c>
      <c r="D130" s="6">
        <v>63</v>
      </c>
      <c r="E130" s="6">
        <f t="shared" si="5"/>
        <v>3174</v>
      </c>
      <c r="F130" s="6">
        <f t="shared" si="4"/>
        <v>3276</v>
      </c>
      <c r="G130" s="91"/>
    </row>
    <row r="131" spans="1:7" hidden="1" x14ac:dyDescent="0.25">
      <c r="A131" s="80">
        <v>44355</v>
      </c>
      <c r="B131" s="6">
        <v>45</v>
      </c>
      <c r="C131" s="6">
        <f t="shared" si="6"/>
        <v>135</v>
      </c>
      <c r="D131" s="6">
        <v>12</v>
      </c>
      <c r="E131" s="6">
        <f t="shared" si="5"/>
        <v>3186</v>
      </c>
      <c r="F131" s="6">
        <f t="shared" si="4"/>
        <v>3321</v>
      </c>
      <c r="G131" s="91"/>
    </row>
    <row r="132" spans="1:7" hidden="1" x14ac:dyDescent="0.25">
      <c r="A132" s="80">
        <v>44356</v>
      </c>
      <c r="B132" s="6">
        <v>52</v>
      </c>
      <c r="C132" s="6">
        <f t="shared" si="6"/>
        <v>144</v>
      </c>
      <c r="D132" s="6">
        <v>43</v>
      </c>
      <c r="E132" s="6">
        <f t="shared" si="5"/>
        <v>3229</v>
      </c>
      <c r="F132" s="6">
        <f t="shared" si="4"/>
        <v>3373</v>
      </c>
      <c r="G132" s="91"/>
    </row>
    <row r="133" spans="1:7" hidden="1" x14ac:dyDescent="0.25">
      <c r="A133" s="80">
        <v>44357</v>
      </c>
      <c r="B133" s="6">
        <v>56</v>
      </c>
      <c r="C133" s="6">
        <f t="shared" si="6"/>
        <v>159</v>
      </c>
      <c r="D133" s="6">
        <v>41</v>
      </c>
      <c r="E133" s="6">
        <f t="shared" si="5"/>
        <v>3270</v>
      </c>
      <c r="F133" s="6">
        <f t="shared" si="4"/>
        <v>3429</v>
      </c>
      <c r="G133" s="91"/>
    </row>
    <row r="134" spans="1:7" hidden="1" x14ac:dyDescent="0.25">
      <c r="A134" s="80">
        <v>44358</v>
      </c>
      <c r="B134" s="6">
        <v>47</v>
      </c>
      <c r="C134" s="6">
        <f t="shared" si="6"/>
        <v>148</v>
      </c>
      <c r="D134" s="6">
        <v>58</v>
      </c>
      <c r="E134" s="6">
        <f t="shared" si="5"/>
        <v>3328</v>
      </c>
      <c r="F134" s="6">
        <f t="shared" si="4"/>
        <v>3476</v>
      </c>
      <c r="G134" s="91"/>
    </row>
    <row r="135" spans="1:7" hidden="1" x14ac:dyDescent="0.25">
      <c r="A135" s="80">
        <v>44359</v>
      </c>
      <c r="B135" s="6">
        <v>39</v>
      </c>
      <c r="C135" s="6">
        <f t="shared" si="6"/>
        <v>167</v>
      </c>
      <c r="D135" s="6">
        <v>20</v>
      </c>
      <c r="E135" s="6">
        <f t="shared" si="5"/>
        <v>3348</v>
      </c>
      <c r="F135" s="6">
        <f t="shared" si="4"/>
        <v>3515</v>
      </c>
      <c r="G135" s="91"/>
    </row>
    <row r="136" spans="1:7" hidden="1" x14ac:dyDescent="0.25">
      <c r="A136" s="80">
        <v>44360</v>
      </c>
      <c r="B136" s="6">
        <v>23</v>
      </c>
      <c r="C136" s="6">
        <f t="shared" si="6"/>
        <v>187</v>
      </c>
      <c r="D136" s="6">
        <v>3</v>
      </c>
      <c r="E136" s="6">
        <f t="shared" si="5"/>
        <v>3351</v>
      </c>
      <c r="F136" s="6">
        <f t="shared" si="4"/>
        <v>3538</v>
      </c>
      <c r="G136" s="91"/>
    </row>
    <row r="137" spans="1:7" hidden="1" x14ac:dyDescent="0.25">
      <c r="A137" s="80">
        <v>44361</v>
      </c>
      <c r="B137" s="6">
        <v>47</v>
      </c>
      <c r="C137" s="6">
        <f t="shared" si="6"/>
        <v>198</v>
      </c>
      <c r="D137" s="6">
        <v>36</v>
      </c>
      <c r="E137" s="6">
        <f t="shared" si="5"/>
        <v>3387</v>
      </c>
      <c r="F137" s="6">
        <f t="shared" si="4"/>
        <v>3585</v>
      </c>
      <c r="G137" s="91"/>
    </row>
    <row r="138" spans="1:7" hidden="1" x14ac:dyDescent="0.25">
      <c r="A138" s="80">
        <v>44362</v>
      </c>
      <c r="B138" s="6">
        <v>58</v>
      </c>
      <c r="C138" s="6">
        <f t="shared" si="6"/>
        <v>206</v>
      </c>
      <c r="D138" s="6">
        <v>50</v>
      </c>
      <c r="E138" s="6">
        <f t="shared" si="5"/>
        <v>3437</v>
      </c>
      <c r="F138" s="6">
        <f t="shared" ref="F138:F201" si="7">E138+C138</f>
        <v>3643</v>
      </c>
      <c r="G138" s="91"/>
    </row>
    <row r="139" spans="1:7" hidden="1" x14ac:dyDescent="0.25">
      <c r="A139" s="80">
        <v>44363</v>
      </c>
      <c r="B139" s="6">
        <v>59</v>
      </c>
      <c r="C139" s="6">
        <f t="shared" si="6"/>
        <v>212</v>
      </c>
      <c r="D139" s="6">
        <v>53</v>
      </c>
      <c r="E139" s="6">
        <f t="shared" ref="E139:E202" si="8">E138+D139</f>
        <v>3490</v>
      </c>
      <c r="F139" s="6">
        <f t="shared" si="7"/>
        <v>3702</v>
      </c>
      <c r="G139" s="91"/>
    </row>
    <row r="140" spans="1:7" hidden="1" x14ac:dyDescent="0.25">
      <c r="A140" s="80">
        <v>44364</v>
      </c>
      <c r="B140" s="6">
        <v>65</v>
      </c>
      <c r="C140" s="6">
        <f t="shared" si="6"/>
        <v>227</v>
      </c>
      <c r="D140" s="6">
        <v>50</v>
      </c>
      <c r="E140" s="6">
        <f t="shared" si="8"/>
        <v>3540</v>
      </c>
      <c r="F140" s="6">
        <f t="shared" si="7"/>
        <v>3767</v>
      </c>
      <c r="G140" s="91"/>
    </row>
    <row r="141" spans="1:7" hidden="1" x14ac:dyDescent="0.25">
      <c r="A141" s="80">
        <v>44365</v>
      </c>
      <c r="B141" s="6">
        <v>55</v>
      </c>
      <c r="C141" s="6">
        <f t="shared" si="6"/>
        <v>235</v>
      </c>
      <c r="D141" s="6">
        <v>47</v>
      </c>
      <c r="E141" s="6">
        <f t="shared" si="8"/>
        <v>3587</v>
      </c>
      <c r="F141" s="6">
        <f t="shared" si="7"/>
        <v>3822</v>
      </c>
      <c r="G141" s="91"/>
    </row>
    <row r="142" spans="1:7" hidden="1" x14ac:dyDescent="0.25">
      <c r="A142" s="80">
        <v>44366</v>
      </c>
      <c r="B142" s="6">
        <v>50</v>
      </c>
      <c r="C142" s="6">
        <f t="shared" si="6"/>
        <v>215</v>
      </c>
      <c r="D142" s="6">
        <v>70</v>
      </c>
      <c r="E142" s="6">
        <f t="shared" si="8"/>
        <v>3657</v>
      </c>
      <c r="F142" s="6">
        <f t="shared" si="7"/>
        <v>3872</v>
      </c>
      <c r="G142" s="91"/>
    </row>
    <row r="143" spans="1:7" hidden="1" x14ac:dyDescent="0.25">
      <c r="A143" s="80">
        <v>44367</v>
      </c>
      <c r="B143" s="6">
        <v>34</v>
      </c>
      <c r="C143" s="6">
        <f t="shared" si="6"/>
        <v>230</v>
      </c>
      <c r="D143" s="6">
        <v>19</v>
      </c>
      <c r="E143" s="6">
        <f t="shared" si="8"/>
        <v>3676</v>
      </c>
      <c r="F143" s="6">
        <f t="shared" si="7"/>
        <v>3906</v>
      </c>
      <c r="G143" s="91"/>
    </row>
    <row r="144" spans="1:7" hidden="1" x14ac:dyDescent="0.25">
      <c r="A144" s="80">
        <v>44368</v>
      </c>
      <c r="B144" s="6">
        <v>79</v>
      </c>
      <c r="C144" s="6">
        <f t="shared" si="6"/>
        <v>216</v>
      </c>
      <c r="D144" s="6">
        <v>93</v>
      </c>
      <c r="E144" s="6">
        <f t="shared" si="8"/>
        <v>3769</v>
      </c>
      <c r="F144" s="6">
        <f t="shared" si="7"/>
        <v>3985</v>
      </c>
      <c r="G144" s="91"/>
    </row>
    <row r="145" spans="1:7" hidden="1" x14ac:dyDescent="0.25">
      <c r="A145" s="80">
        <v>44369</v>
      </c>
      <c r="B145" s="6">
        <v>38</v>
      </c>
      <c r="C145" s="6">
        <f t="shared" si="6"/>
        <v>232</v>
      </c>
      <c r="D145" s="6">
        <v>22</v>
      </c>
      <c r="E145" s="6">
        <f t="shared" si="8"/>
        <v>3791</v>
      </c>
      <c r="F145" s="6">
        <f t="shared" si="7"/>
        <v>4023</v>
      </c>
      <c r="G145" s="91"/>
    </row>
    <row r="146" spans="1:7" hidden="1" x14ac:dyDescent="0.25">
      <c r="A146" s="80">
        <v>44370</v>
      </c>
      <c r="B146" s="6">
        <v>52</v>
      </c>
      <c r="C146" s="6">
        <f t="shared" si="6"/>
        <v>206</v>
      </c>
      <c r="D146" s="6">
        <v>78</v>
      </c>
      <c r="E146" s="6">
        <f t="shared" si="8"/>
        <v>3869</v>
      </c>
      <c r="F146" s="6">
        <f t="shared" si="7"/>
        <v>4075</v>
      </c>
      <c r="G146" s="91"/>
    </row>
    <row r="147" spans="1:7" hidden="1" x14ac:dyDescent="0.25">
      <c r="A147" s="80">
        <v>44371</v>
      </c>
      <c r="B147" s="6">
        <v>35</v>
      </c>
      <c r="C147" s="6">
        <f t="shared" si="6"/>
        <v>197</v>
      </c>
      <c r="D147" s="6">
        <v>44</v>
      </c>
      <c r="E147" s="6">
        <f t="shared" si="8"/>
        <v>3913</v>
      </c>
      <c r="F147" s="6">
        <f t="shared" si="7"/>
        <v>4110</v>
      </c>
      <c r="G147" s="91"/>
    </row>
    <row r="148" spans="1:7" hidden="1" x14ac:dyDescent="0.25">
      <c r="A148" s="80">
        <v>44372</v>
      </c>
      <c r="B148" s="6">
        <v>43</v>
      </c>
      <c r="C148" s="6">
        <f t="shared" ref="C148:C211" si="9">C147-D148+B148</f>
        <v>222</v>
      </c>
      <c r="D148" s="6">
        <v>18</v>
      </c>
      <c r="E148" s="6">
        <f t="shared" si="8"/>
        <v>3931</v>
      </c>
      <c r="F148" s="6">
        <f t="shared" si="7"/>
        <v>4153</v>
      </c>
      <c r="G148" s="91"/>
    </row>
    <row r="149" spans="1:7" hidden="1" x14ac:dyDescent="0.25">
      <c r="A149" s="80">
        <v>44373</v>
      </c>
      <c r="B149" s="6">
        <v>48</v>
      </c>
      <c r="C149" s="6">
        <f t="shared" si="9"/>
        <v>239</v>
      </c>
      <c r="D149" s="6">
        <v>31</v>
      </c>
      <c r="E149" s="6">
        <f t="shared" si="8"/>
        <v>3962</v>
      </c>
      <c r="F149" s="6">
        <f t="shared" si="7"/>
        <v>4201</v>
      </c>
      <c r="G149" s="91"/>
    </row>
    <row r="150" spans="1:7" hidden="1" x14ac:dyDescent="0.25">
      <c r="A150" s="80">
        <v>44374</v>
      </c>
      <c r="B150" s="6">
        <v>28</v>
      </c>
      <c r="C150" s="6">
        <f t="shared" si="9"/>
        <v>239</v>
      </c>
      <c r="D150" s="6">
        <v>28</v>
      </c>
      <c r="E150" s="6">
        <f t="shared" si="8"/>
        <v>3990</v>
      </c>
      <c r="F150" s="6">
        <f t="shared" si="7"/>
        <v>4229</v>
      </c>
      <c r="G150" s="91"/>
    </row>
    <row r="151" spans="1:7" hidden="1" x14ac:dyDescent="0.25">
      <c r="A151" s="80">
        <v>44375</v>
      </c>
      <c r="B151" s="6">
        <v>73</v>
      </c>
      <c r="C151" s="6">
        <f t="shared" si="9"/>
        <v>287</v>
      </c>
      <c r="D151" s="6">
        <v>25</v>
      </c>
      <c r="E151" s="6">
        <f t="shared" si="8"/>
        <v>4015</v>
      </c>
      <c r="F151" s="6">
        <f t="shared" si="7"/>
        <v>4302</v>
      </c>
      <c r="G151" s="91"/>
    </row>
    <row r="152" spans="1:7" hidden="1" x14ac:dyDescent="0.25">
      <c r="A152" s="80">
        <v>44376</v>
      </c>
      <c r="B152" s="6">
        <v>50</v>
      </c>
      <c r="C152" s="6">
        <f t="shared" si="9"/>
        <v>286</v>
      </c>
      <c r="D152" s="6">
        <v>51</v>
      </c>
      <c r="E152" s="6">
        <f t="shared" si="8"/>
        <v>4066</v>
      </c>
      <c r="F152" s="6">
        <f t="shared" si="7"/>
        <v>4352</v>
      </c>
      <c r="G152" s="91"/>
    </row>
    <row r="153" spans="1:7" hidden="1" x14ac:dyDescent="0.25">
      <c r="A153" s="80">
        <v>44377</v>
      </c>
      <c r="B153" s="6">
        <v>25</v>
      </c>
      <c r="C153" s="6">
        <f t="shared" si="9"/>
        <v>261</v>
      </c>
      <c r="D153" s="6">
        <v>50</v>
      </c>
      <c r="E153" s="6">
        <f t="shared" si="8"/>
        <v>4116</v>
      </c>
      <c r="F153" s="6">
        <f t="shared" si="7"/>
        <v>4377</v>
      </c>
      <c r="G153" s="91"/>
    </row>
    <row r="154" spans="1:7" hidden="1" x14ac:dyDescent="0.25">
      <c r="A154" s="80">
        <v>44378</v>
      </c>
      <c r="B154" s="6">
        <v>43</v>
      </c>
      <c r="C154" s="6">
        <f t="shared" si="9"/>
        <v>239</v>
      </c>
      <c r="D154" s="6">
        <v>65</v>
      </c>
      <c r="E154" s="6">
        <f t="shared" si="8"/>
        <v>4181</v>
      </c>
      <c r="F154" s="6">
        <f t="shared" si="7"/>
        <v>4420</v>
      </c>
      <c r="G154" s="91"/>
    </row>
    <row r="155" spans="1:7" hidden="1" x14ac:dyDescent="0.25">
      <c r="A155" s="80">
        <v>44379</v>
      </c>
      <c r="B155" s="6">
        <v>13</v>
      </c>
      <c r="C155" s="6">
        <f t="shared" si="9"/>
        <v>192</v>
      </c>
      <c r="D155" s="6">
        <v>60</v>
      </c>
      <c r="E155" s="6">
        <f t="shared" si="8"/>
        <v>4241</v>
      </c>
      <c r="F155" s="6">
        <f t="shared" si="7"/>
        <v>4433</v>
      </c>
      <c r="G155" s="91"/>
    </row>
    <row r="156" spans="1:7" hidden="1" x14ac:dyDescent="0.25">
      <c r="A156" s="80">
        <v>44380</v>
      </c>
      <c r="B156" s="6">
        <v>55</v>
      </c>
      <c r="C156" s="6">
        <f t="shared" si="9"/>
        <v>198</v>
      </c>
      <c r="D156" s="6">
        <v>49</v>
      </c>
      <c r="E156" s="6">
        <f t="shared" si="8"/>
        <v>4290</v>
      </c>
      <c r="F156" s="6">
        <f t="shared" si="7"/>
        <v>4488</v>
      </c>
      <c r="G156" s="91"/>
    </row>
    <row r="157" spans="1:7" hidden="1" x14ac:dyDescent="0.25">
      <c r="A157" s="80">
        <v>44381</v>
      </c>
      <c r="B157" s="6">
        <v>22</v>
      </c>
      <c r="C157" s="6">
        <f t="shared" si="9"/>
        <v>205</v>
      </c>
      <c r="D157" s="6">
        <v>15</v>
      </c>
      <c r="E157" s="6">
        <f t="shared" si="8"/>
        <v>4305</v>
      </c>
      <c r="F157" s="6">
        <f t="shared" si="7"/>
        <v>4510</v>
      </c>
      <c r="G157" s="91"/>
    </row>
    <row r="158" spans="1:7" hidden="1" x14ac:dyDescent="0.25">
      <c r="A158" s="80">
        <v>44382</v>
      </c>
      <c r="B158" s="6">
        <v>24</v>
      </c>
      <c r="C158" s="6">
        <f t="shared" si="9"/>
        <v>183</v>
      </c>
      <c r="D158" s="6">
        <v>46</v>
      </c>
      <c r="E158" s="6">
        <f t="shared" si="8"/>
        <v>4351</v>
      </c>
      <c r="F158" s="6">
        <f t="shared" si="7"/>
        <v>4534</v>
      </c>
      <c r="G158" s="91"/>
    </row>
    <row r="159" spans="1:7" hidden="1" x14ac:dyDescent="0.25">
      <c r="A159" s="80">
        <v>44383</v>
      </c>
      <c r="B159" s="6">
        <v>36</v>
      </c>
      <c r="C159" s="6">
        <f t="shared" si="9"/>
        <v>176</v>
      </c>
      <c r="D159" s="6">
        <v>43</v>
      </c>
      <c r="E159" s="6">
        <f t="shared" si="8"/>
        <v>4394</v>
      </c>
      <c r="F159" s="6">
        <f t="shared" si="7"/>
        <v>4570</v>
      </c>
      <c r="G159" s="91"/>
    </row>
    <row r="160" spans="1:7" hidden="1" x14ac:dyDescent="0.25">
      <c r="A160" s="80">
        <v>44384</v>
      </c>
      <c r="B160" s="6">
        <v>21</v>
      </c>
      <c r="C160" s="6">
        <f t="shared" si="9"/>
        <v>189</v>
      </c>
      <c r="D160" s="6">
        <v>8</v>
      </c>
      <c r="E160" s="6">
        <f t="shared" si="8"/>
        <v>4402</v>
      </c>
      <c r="F160" s="6">
        <f t="shared" si="7"/>
        <v>4591</v>
      </c>
      <c r="G160" s="91"/>
    </row>
    <row r="161" spans="1:7" hidden="1" x14ac:dyDescent="0.25">
      <c r="A161" s="80">
        <v>44385</v>
      </c>
      <c r="B161" s="6">
        <v>28</v>
      </c>
      <c r="C161" s="6">
        <f t="shared" si="9"/>
        <v>181</v>
      </c>
      <c r="D161" s="6">
        <v>36</v>
      </c>
      <c r="E161" s="6">
        <f t="shared" si="8"/>
        <v>4438</v>
      </c>
      <c r="F161" s="6">
        <f t="shared" si="7"/>
        <v>4619</v>
      </c>
      <c r="G161" s="91"/>
    </row>
    <row r="162" spans="1:7" hidden="1" x14ac:dyDescent="0.25">
      <c r="A162" s="80">
        <v>44386</v>
      </c>
      <c r="B162" s="6">
        <v>34</v>
      </c>
      <c r="C162" s="6">
        <f t="shared" si="9"/>
        <v>161</v>
      </c>
      <c r="D162" s="6">
        <v>54</v>
      </c>
      <c r="E162" s="6">
        <f t="shared" si="8"/>
        <v>4492</v>
      </c>
      <c r="F162" s="6">
        <f t="shared" si="7"/>
        <v>4653</v>
      </c>
      <c r="G162" s="91"/>
    </row>
    <row r="163" spans="1:7" hidden="1" x14ac:dyDescent="0.25">
      <c r="A163" s="80">
        <v>44387</v>
      </c>
      <c r="B163" s="6">
        <v>13</v>
      </c>
      <c r="C163" s="6">
        <f t="shared" si="9"/>
        <v>137</v>
      </c>
      <c r="D163" s="6">
        <v>37</v>
      </c>
      <c r="E163" s="6">
        <f t="shared" si="8"/>
        <v>4529</v>
      </c>
      <c r="F163" s="6">
        <f t="shared" si="7"/>
        <v>4666</v>
      </c>
      <c r="G163" s="91"/>
    </row>
    <row r="164" spans="1:7" hidden="1" x14ac:dyDescent="0.25">
      <c r="A164" s="80">
        <v>44388</v>
      </c>
      <c r="B164" s="6">
        <v>3</v>
      </c>
      <c r="C164" s="6">
        <f t="shared" si="9"/>
        <v>125</v>
      </c>
      <c r="D164" s="6">
        <v>15</v>
      </c>
      <c r="E164" s="6">
        <f t="shared" si="8"/>
        <v>4544</v>
      </c>
      <c r="F164" s="6">
        <f t="shared" si="7"/>
        <v>4669</v>
      </c>
      <c r="G164" s="91"/>
    </row>
    <row r="165" spans="1:7" hidden="1" x14ac:dyDescent="0.25">
      <c r="A165" s="80">
        <v>44389</v>
      </c>
      <c r="B165" s="6">
        <v>19</v>
      </c>
      <c r="C165" s="6">
        <f t="shared" si="9"/>
        <v>125</v>
      </c>
      <c r="D165" s="6">
        <v>19</v>
      </c>
      <c r="E165" s="6">
        <f t="shared" si="8"/>
        <v>4563</v>
      </c>
      <c r="F165" s="6">
        <f t="shared" si="7"/>
        <v>4688</v>
      </c>
      <c r="G165" s="91"/>
    </row>
    <row r="166" spans="1:7" hidden="1" x14ac:dyDescent="0.25">
      <c r="A166" s="80">
        <v>44390</v>
      </c>
      <c r="B166" s="6">
        <v>14</v>
      </c>
      <c r="C166" s="6">
        <f t="shared" si="9"/>
        <v>121</v>
      </c>
      <c r="D166" s="6">
        <v>18</v>
      </c>
      <c r="E166" s="6">
        <f t="shared" si="8"/>
        <v>4581</v>
      </c>
      <c r="F166" s="6">
        <f t="shared" si="7"/>
        <v>4702</v>
      </c>
      <c r="G166" s="91"/>
    </row>
    <row r="167" spans="1:7" hidden="1" x14ac:dyDescent="0.25">
      <c r="A167" s="80">
        <v>44391</v>
      </c>
      <c r="B167" s="6">
        <v>15</v>
      </c>
      <c r="C167" s="6">
        <f t="shared" si="9"/>
        <v>115</v>
      </c>
      <c r="D167" s="6">
        <v>21</v>
      </c>
      <c r="E167" s="6">
        <f t="shared" si="8"/>
        <v>4602</v>
      </c>
      <c r="F167" s="6">
        <f t="shared" si="7"/>
        <v>4717</v>
      </c>
      <c r="G167" s="91"/>
    </row>
    <row r="168" spans="1:7" hidden="1" x14ac:dyDescent="0.25">
      <c r="A168" s="80">
        <v>44392</v>
      </c>
      <c r="B168" s="6">
        <v>19</v>
      </c>
      <c r="C168" s="6">
        <f t="shared" si="9"/>
        <v>118</v>
      </c>
      <c r="D168" s="6">
        <v>16</v>
      </c>
      <c r="E168" s="6">
        <f t="shared" si="8"/>
        <v>4618</v>
      </c>
      <c r="F168" s="6">
        <f t="shared" si="7"/>
        <v>4736</v>
      </c>
      <c r="G168" s="91"/>
    </row>
    <row r="169" spans="1:7" hidden="1" x14ac:dyDescent="0.25">
      <c r="A169" s="80">
        <v>44393</v>
      </c>
      <c r="B169" s="6">
        <v>10</v>
      </c>
      <c r="C169" s="6">
        <f t="shared" si="9"/>
        <v>117</v>
      </c>
      <c r="D169" s="6">
        <v>11</v>
      </c>
      <c r="E169" s="6">
        <f t="shared" si="8"/>
        <v>4629</v>
      </c>
      <c r="F169" s="6">
        <f t="shared" si="7"/>
        <v>4746</v>
      </c>
      <c r="G169" s="91"/>
    </row>
    <row r="170" spans="1:7" hidden="1" x14ac:dyDescent="0.25">
      <c r="A170" s="80">
        <v>44394</v>
      </c>
      <c r="B170" s="6">
        <v>8</v>
      </c>
      <c r="C170" s="6">
        <f t="shared" si="9"/>
        <v>115</v>
      </c>
      <c r="D170" s="6">
        <v>10</v>
      </c>
      <c r="E170" s="6">
        <f t="shared" si="8"/>
        <v>4639</v>
      </c>
      <c r="F170" s="6">
        <f t="shared" si="7"/>
        <v>4754</v>
      </c>
      <c r="G170" s="91"/>
    </row>
    <row r="171" spans="1:7" hidden="1" x14ac:dyDescent="0.25">
      <c r="A171" s="80">
        <v>44395</v>
      </c>
      <c r="B171" s="6">
        <v>4</v>
      </c>
      <c r="C171" s="6">
        <f t="shared" si="9"/>
        <v>107</v>
      </c>
      <c r="D171" s="6">
        <v>12</v>
      </c>
      <c r="E171" s="6">
        <f t="shared" si="8"/>
        <v>4651</v>
      </c>
      <c r="F171" s="6">
        <f t="shared" si="7"/>
        <v>4758</v>
      </c>
      <c r="G171" s="91"/>
    </row>
    <row r="172" spans="1:7" hidden="1" x14ac:dyDescent="0.25">
      <c r="A172" s="80">
        <v>44396</v>
      </c>
      <c r="B172" s="6">
        <v>15</v>
      </c>
      <c r="C172" s="6">
        <f t="shared" si="9"/>
        <v>109</v>
      </c>
      <c r="D172" s="6">
        <v>13</v>
      </c>
      <c r="E172" s="6">
        <f t="shared" si="8"/>
        <v>4664</v>
      </c>
      <c r="F172" s="6">
        <f t="shared" si="7"/>
        <v>4773</v>
      </c>
      <c r="G172" s="91"/>
    </row>
    <row r="173" spans="1:7" hidden="1" x14ac:dyDescent="0.25">
      <c r="A173" s="80">
        <v>44397</v>
      </c>
      <c r="B173" s="6">
        <v>4</v>
      </c>
      <c r="C173" s="6">
        <f t="shared" si="9"/>
        <v>109</v>
      </c>
      <c r="D173" s="6">
        <v>4</v>
      </c>
      <c r="E173" s="6">
        <f t="shared" si="8"/>
        <v>4668</v>
      </c>
      <c r="F173" s="6">
        <f t="shared" si="7"/>
        <v>4777</v>
      </c>
      <c r="G173" s="91"/>
    </row>
    <row r="174" spans="1:7" hidden="1" x14ac:dyDescent="0.25">
      <c r="A174" s="80">
        <v>44398</v>
      </c>
      <c r="B174" s="6">
        <v>12</v>
      </c>
      <c r="C174" s="6">
        <f t="shared" si="9"/>
        <v>107</v>
      </c>
      <c r="D174" s="6">
        <v>14</v>
      </c>
      <c r="E174" s="6">
        <f t="shared" si="8"/>
        <v>4682</v>
      </c>
      <c r="F174" s="6">
        <f t="shared" si="7"/>
        <v>4789</v>
      </c>
      <c r="G174" s="91"/>
    </row>
    <row r="175" spans="1:7" hidden="1" x14ac:dyDescent="0.25">
      <c r="A175" s="80">
        <v>44399</v>
      </c>
      <c r="B175" s="6">
        <v>10</v>
      </c>
      <c r="C175" s="6">
        <f t="shared" si="9"/>
        <v>97</v>
      </c>
      <c r="D175" s="6">
        <v>20</v>
      </c>
      <c r="E175" s="6">
        <f t="shared" si="8"/>
        <v>4702</v>
      </c>
      <c r="F175" s="6">
        <f t="shared" si="7"/>
        <v>4799</v>
      </c>
      <c r="G175" s="91"/>
    </row>
    <row r="176" spans="1:7" hidden="1" x14ac:dyDescent="0.25">
      <c r="A176" s="80">
        <v>44400</v>
      </c>
      <c r="B176" s="6">
        <v>5</v>
      </c>
      <c r="C176" s="6">
        <f t="shared" si="9"/>
        <v>91</v>
      </c>
      <c r="D176" s="6">
        <v>11</v>
      </c>
      <c r="E176" s="6">
        <f t="shared" si="8"/>
        <v>4713</v>
      </c>
      <c r="F176" s="6">
        <f t="shared" si="7"/>
        <v>4804</v>
      </c>
      <c r="G176" s="91"/>
    </row>
    <row r="177" spans="1:7" hidden="1" x14ac:dyDescent="0.25">
      <c r="A177" s="80">
        <v>44401</v>
      </c>
      <c r="B177" s="6">
        <v>5</v>
      </c>
      <c r="C177" s="6">
        <f t="shared" si="9"/>
        <v>87</v>
      </c>
      <c r="D177" s="6">
        <v>9</v>
      </c>
      <c r="E177" s="6">
        <f t="shared" si="8"/>
        <v>4722</v>
      </c>
      <c r="F177" s="6">
        <f t="shared" si="7"/>
        <v>4809</v>
      </c>
      <c r="G177" s="91"/>
    </row>
    <row r="178" spans="1:7" hidden="1" x14ac:dyDescent="0.25">
      <c r="A178" s="80">
        <v>44402</v>
      </c>
      <c r="B178" s="6">
        <v>4</v>
      </c>
      <c r="C178" s="6">
        <f t="shared" si="9"/>
        <v>89</v>
      </c>
      <c r="D178" s="6">
        <v>2</v>
      </c>
      <c r="E178" s="6">
        <f t="shared" si="8"/>
        <v>4724</v>
      </c>
      <c r="F178" s="6">
        <f t="shared" si="7"/>
        <v>4813</v>
      </c>
      <c r="G178" s="91"/>
    </row>
    <row r="179" spans="1:7" hidden="1" x14ac:dyDescent="0.25">
      <c r="A179" s="80">
        <v>44403</v>
      </c>
      <c r="B179" s="6">
        <v>10</v>
      </c>
      <c r="C179" s="6">
        <f t="shared" si="9"/>
        <v>84</v>
      </c>
      <c r="D179" s="6">
        <v>15</v>
      </c>
      <c r="E179" s="6">
        <f t="shared" si="8"/>
        <v>4739</v>
      </c>
      <c r="F179" s="6">
        <f t="shared" si="7"/>
        <v>4823</v>
      </c>
      <c r="G179" s="91"/>
    </row>
    <row r="180" spans="1:7" hidden="1" x14ac:dyDescent="0.25">
      <c r="A180" s="80">
        <v>44404</v>
      </c>
      <c r="B180" s="6">
        <v>8</v>
      </c>
      <c r="C180" s="6">
        <f t="shared" si="9"/>
        <v>72</v>
      </c>
      <c r="D180" s="6">
        <v>20</v>
      </c>
      <c r="E180" s="6">
        <f t="shared" si="8"/>
        <v>4759</v>
      </c>
      <c r="F180" s="6">
        <f t="shared" si="7"/>
        <v>4831</v>
      </c>
      <c r="G180" s="91"/>
    </row>
    <row r="181" spans="1:7" hidden="1" x14ac:dyDescent="0.25">
      <c r="A181" s="80">
        <v>44405</v>
      </c>
      <c r="B181" s="6">
        <v>6</v>
      </c>
      <c r="C181" s="6">
        <f t="shared" si="9"/>
        <v>68</v>
      </c>
      <c r="D181" s="6">
        <v>10</v>
      </c>
      <c r="E181" s="6">
        <f t="shared" si="8"/>
        <v>4769</v>
      </c>
      <c r="F181" s="6">
        <f t="shared" si="7"/>
        <v>4837</v>
      </c>
      <c r="G181" s="91"/>
    </row>
    <row r="182" spans="1:7" hidden="1" x14ac:dyDescent="0.25">
      <c r="A182" s="80">
        <v>44406</v>
      </c>
      <c r="B182" s="6">
        <v>10</v>
      </c>
      <c r="C182" s="6">
        <f t="shared" si="9"/>
        <v>67</v>
      </c>
      <c r="D182" s="6">
        <v>11</v>
      </c>
      <c r="E182" s="6">
        <f t="shared" si="8"/>
        <v>4780</v>
      </c>
      <c r="F182" s="6">
        <f t="shared" si="7"/>
        <v>4847</v>
      </c>
      <c r="G182" s="91"/>
    </row>
    <row r="183" spans="1:7" hidden="1" x14ac:dyDescent="0.25">
      <c r="A183" s="80">
        <v>44407</v>
      </c>
      <c r="B183" s="6">
        <v>5</v>
      </c>
      <c r="C183" s="6">
        <f t="shared" si="9"/>
        <v>63</v>
      </c>
      <c r="D183" s="6">
        <v>9</v>
      </c>
      <c r="E183" s="6">
        <f t="shared" si="8"/>
        <v>4789</v>
      </c>
      <c r="F183" s="6">
        <f t="shared" si="7"/>
        <v>4852</v>
      </c>
      <c r="G183" s="91"/>
    </row>
    <row r="184" spans="1:7" hidden="1" x14ac:dyDescent="0.25">
      <c r="A184" s="80">
        <v>44408</v>
      </c>
      <c r="B184" s="6">
        <v>8</v>
      </c>
      <c r="C184" s="6">
        <f t="shared" si="9"/>
        <v>49</v>
      </c>
      <c r="D184" s="6">
        <v>22</v>
      </c>
      <c r="E184" s="6">
        <f t="shared" si="8"/>
        <v>4811</v>
      </c>
      <c r="F184" s="6">
        <f t="shared" si="7"/>
        <v>4860</v>
      </c>
      <c r="G184" s="91"/>
    </row>
    <row r="185" spans="1:7" hidden="1" x14ac:dyDescent="0.25">
      <c r="A185" s="80">
        <v>44409</v>
      </c>
      <c r="B185" s="6">
        <v>0</v>
      </c>
      <c r="C185" s="6">
        <f t="shared" si="9"/>
        <v>45</v>
      </c>
      <c r="D185" s="6">
        <v>4</v>
      </c>
      <c r="E185" s="6">
        <f t="shared" si="8"/>
        <v>4815</v>
      </c>
      <c r="F185" s="6">
        <f t="shared" si="7"/>
        <v>4860</v>
      </c>
      <c r="G185" s="91"/>
    </row>
    <row r="186" spans="1:7" hidden="1" x14ac:dyDescent="0.25">
      <c r="A186" s="80">
        <v>44410</v>
      </c>
      <c r="B186" s="6">
        <v>8</v>
      </c>
      <c r="C186" s="6">
        <f t="shared" si="9"/>
        <v>41</v>
      </c>
      <c r="D186" s="6">
        <v>12</v>
      </c>
      <c r="E186" s="6">
        <f t="shared" si="8"/>
        <v>4827</v>
      </c>
      <c r="F186" s="6">
        <f t="shared" si="7"/>
        <v>4868</v>
      </c>
      <c r="G186" s="91"/>
    </row>
    <row r="187" spans="1:7" hidden="1" x14ac:dyDescent="0.25">
      <c r="A187" s="80">
        <v>44411</v>
      </c>
      <c r="B187" s="6">
        <v>7</v>
      </c>
      <c r="C187" s="6">
        <f t="shared" si="9"/>
        <v>40</v>
      </c>
      <c r="D187" s="6">
        <v>8</v>
      </c>
      <c r="E187" s="6">
        <f t="shared" si="8"/>
        <v>4835</v>
      </c>
      <c r="F187" s="6">
        <f t="shared" si="7"/>
        <v>4875</v>
      </c>
      <c r="G187" s="91"/>
    </row>
    <row r="188" spans="1:7" hidden="1" x14ac:dyDescent="0.25">
      <c r="A188" s="80">
        <v>44412</v>
      </c>
      <c r="B188" s="6">
        <v>11</v>
      </c>
      <c r="C188" s="6">
        <f t="shared" si="9"/>
        <v>38</v>
      </c>
      <c r="D188" s="6">
        <v>13</v>
      </c>
      <c r="E188" s="6">
        <f t="shared" si="8"/>
        <v>4848</v>
      </c>
      <c r="F188" s="6">
        <f t="shared" si="7"/>
        <v>4886</v>
      </c>
      <c r="G188" s="91"/>
    </row>
    <row r="189" spans="1:7" hidden="1" x14ac:dyDescent="0.25">
      <c r="A189" s="80">
        <v>44413</v>
      </c>
      <c r="B189" s="6">
        <v>6</v>
      </c>
      <c r="C189" s="6">
        <f t="shared" si="9"/>
        <v>39</v>
      </c>
      <c r="D189" s="6">
        <v>5</v>
      </c>
      <c r="E189" s="6">
        <f t="shared" si="8"/>
        <v>4853</v>
      </c>
      <c r="F189" s="6">
        <f t="shared" si="7"/>
        <v>4892</v>
      </c>
      <c r="G189" s="91"/>
    </row>
    <row r="190" spans="1:7" hidden="1" x14ac:dyDescent="0.25">
      <c r="A190" s="80">
        <v>44414</v>
      </c>
      <c r="B190" s="6">
        <v>5</v>
      </c>
      <c r="C190" s="6">
        <f t="shared" si="9"/>
        <v>40</v>
      </c>
      <c r="D190" s="6">
        <v>4</v>
      </c>
      <c r="E190" s="6">
        <f t="shared" si="8"/>
        <v>4857</v>
      </c>
      <c r="F190" s="6">
        <f t="shared" si="7"/>
        <v>4897</v>
      </c>
      <c r="G190" s="91"/>
    </row>
    <row r="191" spans="1:7" hidden="1" x14ac:dyDescent="0.25">
      <c r="A191" s="80">
        <v>44415</v>
      </c>
      <c r="B191" s="6">
        <v>4</v>
      </c>
      <c r="C191" s="6">
        <f t="shared" si="9"/>
        <v>40</v>
      </c>
      <c r="D191" s="6">
        <v>4</v>
      </c>
      <c r="E191" s="6">
        <f t="shared" si="8"/>
        <v>4861</v>
      </c>
      <c r="F191" s="6">
        <f t="shared" si="7"/>
        <v>4901</v>
      </c>
      <c r="G191" s="91"/>
    </row>
    <row r="192" spans="1:7" hidden="1" x14ac:dyDescent="0.25">
      <c r="A192" s="80">
        <v>44416</v>
      </c>
      <c r="B192" s="6">
        <v>4</v>
      </c>
      <c r="C192" s="6">
        <f t="shared" si="9"/>
        <v>42</v>
      </c>
      <c r="D192" s="6">
        <v>2</v>
      </c>
      <c r="E192" s="6">
        <f t="shared" si="8"/>
        <v>4863</v>
      </c>
      <c r="F192" s="6">
        <f t="shared" si="7"/>
        <v>4905</v>
      </c>
      <c r="G192" s="91"/>
    </row>
    <row r="193" spans="1:7" hidden="1" x14ac:dyDescent="0.25">
      <c r="A193" s="80">
        <v>44417</v>
      </c>
      <c r="B193" s="6">
        <v>5</v>
      </c>
      <c r="C193" s="6">
        <f t="shared" si="9"/>
        <v>38</v>
      </c>
      <c r="D193" s="6">
        <v>9</v>
      </c>
      <c r="E193" s="6">
        <f t="shared" si="8"/>
        <v>4872</v>
      </c>
      <c r="F193" s="6">
        <f t="shared" si="7"/>
        <v>4910</v>
      </c>
      <c r="G193" s="91"/>
    </row>
    <row r="194" spans="1:7" hidden="1" x14ac:dyDescent="0.25">
      <c r="A194" s="80">
        <v>44418</v>
      </c>
      <c r="B194" s="6">
        <v>2</v>
      </c>
      <c r="C194" s="6">
        <f t="shared" si="9"/>
        <v>34</v>
      </c>
      <c r="D194" s="6">
        <v>6</v>
      </c>
      <c r="E194" s="6">
        <f t="shared" si="8"/>
        <v>4878</v>
      </c>
      <c r="F194" s="6">
        <f t="shared" si="7"/>
        <v>4912</v>
      </c>
      <c r="G194" s="91"/>
    </row>
    <row r="195" spans="1:7" hidden="1" x14ac:dyDescent="0.25">
      <c r="A195" s="80">
        <v>44419</v>
      </c>
      <c r="B195" s="6">
        <v>1</v>
      </c>
      <c r="C195" s="6">
        <f t="shared" si="9"/>
        <v>29</v>
      </c>
      <c r="D195" s="6">
        <v>6</v>
      </c>
      <c r="E195" s="6">
        <f t="shared" si="8"/>
        <v>4884</v>
      </c>
      <c r="F195" s="6">
        <f t="shared" si="7"/>
        <v>4913</v>
      </c>
      <c r="G195" s="91"/>
    </row>
    <row r="196" spans="1:7" hidden="1" x14ac:dyDescent="0.25">
      <c r="A196" s="80">
        <v>44420</v>
      </c>
      <c r="B196" s="6">
        <v>6</v>
      </c>
      <c r="C196" s="6">
        <f t="shared" si="9"/>
        <v>29</v>
      </c>
      <c r="D196" s="6">
        <v>6</v>
      </c>
      <c r="E196" s="6">
        <f t="shared" si="8"/>
        <v>4890</v>
      </c>
      <c r="F196" s="6">
        <f t="shared" si="7"/>
        <v>4919</v>
      </c>
      <c r="G196" s="91"/>
    </row>
    <row r="197" spans="1:7" hidden="1" x14ac:dyDescent="0.25">
      <c r="A197" s="80">
        <v>44421</v>
      </c>
      <c r="B197" s="6">
        <v>1</v>
      </c>
      <c r="C197" s="6">
        <f t="shared" si="9"/>
        <v>27</v>
      </c>
      <c r="D197" s="6">
        <v>3</v>
      </c>
      <c r="E197" s="6">
        <f t="shared" si="8"/>
        <v>4893</v>
      </c>
      <c r="F197" s="6">
        <f t="shared" si="7"/>
        <v>4920</v>
      </c>
      <c r="G197" s="91"/>
    </row>
    <row r="198" spans="1:7" hidden="1" x14ac:dyDescent="0.25">
      <c r="A198" s="80">
        <v>44422</v>
      </c>
      <c r="B198" s="6">
        <v>1</v>
      </c>
      <c r="C198" s="6">
        <f t="shared" si="9"/>
        <v>25</v>
      </c>
      <c r="D198" s="6">
        <v>3</v>
      </c>
      <c r="E198" s="6">
        <f t="shared" si="8"/>
        <v>4896</v>
      </c>
      <c r="F198" s="6">
        <f t="shared" si="7"/>
        <v>4921</v>
      </c>
      <c r="G198" s="91"/>
    </row>
    <row r="199" spans="1:7" hidden="1" x14ac:dyDescent="0.25">
      <c r="A199" s="80">
        <v>44423</v>
      </c>
      <c r="B199" s="6">
        <v>3</v>
      </c>
      <c r="C199" s="6">
        <f t="shared" si="9"/>
        <v>27</v>
      </c>
      <c r="D199" s="6">
        <v>1</v>
      </c>
      <c r="E199" s="6">
        <f t="shared" si="8"/>
        <v>4897</v>
      </c>
      <c r="F199" s="6">
        <f t="shared" si="7"/>
        <v>4924</v>
      </c>
      <c r="G199" s="91"/>
    </row>
    <row r="200" spans="1:7" hidden="1" x14ac:dyDescent="0.25">
      <c r="A200" s="80">
        <v>44424</v>
      </c>
      <c r="B200" s="6">
        <v>6</v>
      </c>
      <c r="C200" s="6">
        <f t="shared" si="9"/>
        <v>30</v>
      </c>
      <c r="D200" s="6">
        <v>3</v>
      </c>
      <c r="E200" s="6">
        <f t="shared" si="8"/>
        <v>4900</v>
      </c>
      <c r="F200" s="6">
        <f t="shared" si="7"/>
        <v>4930</v>
      </c>
      <c r="G200" s="91"/>
    </row>
    <row r="201" spans="1:7" hidden="1" x14ac:dyDescent="0.25">
      <c r="A201" s="80">
        <v>44425</v>
      </c>
      <c r="B201" s="6">
        <v>3</v>
      </c>
      <c r="C201" s="6">
        <f t="shared" si="9"/>
        <v>31</v>
      </c>
      <c r="D201" s="6">
        <v>2</v>
      </c>
      <c r="E201" s="6">
        <f t="shared" si="8"/>
        <v>4902</v>
      </c>
      <c r="F201" s="6">
        <f t="shared" si="7"/>
        <v>4933</v>
      </c>
      <c r="G201" s="91"/>
    </row>
    <row r="202" spans="1:7" hidden="1" x14ac:dyDescent="0.25">
      <c r="A202" s="80">
        <v>44426</v>
      </c>
      <c r="B202" s="6">
        <v>9</v>
      </c>
      <c r="C202" s="6">
        <f t="shared" si="9"/>
        <v>37</v>
      </c>
      <c r="D202" s="6">
        <v>3</v>
      </c>
      <c r="E202" s="6">
        <f t="shared" si="8"/>
        <v>4905</v>
      </c>
      <c r="F202" s="6">
        <f t="shared" ref="F202:F213" si="10">E202+C202</f>
        <v>4942</v>
      </c>
      <c r="G202" s="91"/>
    </row>
    <row r="203" spans="1:7" hidden="1" x14ac:dyDescent="0.25">
      <c r="A203" s="80">
        <v>44427</v>
      </c>
      <c r="B203" s="6">
        <v>3</v>
      </c>
      <c r="C203" s="6">
        <f t="shared" si="9"/>
        <v>34</v>
      </c>
      <c r="D203" s="6">
        <v>6</v>
      </c>
      <c r="E203" s="6">
        <f t="shared" ref="E203:E213" si="11">E202+D203</f>
        <v>4911</v>
      </c>
      <c r="F203" s="6">
        <f t="shared" si="10"/>
        <v>4945</v>
      </c>
      <c r="G203" s="91"/>
    </row>
    <row r="204" spans="1:7" hidden="1" x14ac:dyDescent="0.25">
      <c r="A204" s="80">
        <v>44428</v>
      </c>
      <c r="B204" s="6">
        <v>5</v>
      </c>
      <c r="C204" s="6">
        <f t="shared" si="9"/>
        <v>37</v>
      </c>
      <c r="D204" s="6">
        <v>2</v>
      </c>
      <c r="E204" s="6">
        <f t="shared" si="11"/>
        <v>4913</v>
      </c>
      <c r="F204" s="6">
        <f t="shared" si="10"/>
        <v>4950</v>
      </c>
      <c r="G204" s="91"/>
    </row>
    <row r="205" spans="1:7" hidden="1" x14ac:dyDescent="0.25">
      <c r="A205" s="80">
        <v>44429</v>
      </c>
      <c r="B205" s="6">
        <v>3</v>
      </c>
      <c r="C205" s="6">
        <f t="shared" si="9"/>
        <v>36</v>
      </c>
      <c r="D205" s="6">
        <v>4</v>
      </c>
      <c r="E205" s="6">
        <f t="shared" si="11"/>
        <v>4917</v>
      </c>
      <c r="F205" s="6">
        <f t="shared" si="10"/>
        <v>4953</v>
      </c>
      <c r="G205" s="91"/>
    </row>
    <row r="206" spans="1:7" hidden="1" x14ac:dyDescent="0.25">
      <c r="A206" s="80">
        <v>44430</v>
      </c>
      <c r="B206" s="6">
        <v>11</v>
      </c>
      <c r="C206" s="6">
        <f t="shared" si="9"/>
        <v>42</v>
      </c>
      <c r="D206" s="6">
        <v>5</v>
      </c>
      <c r="E206" s="6">
        <f t="shared" si="11"/>
        <v>4922</v>
      </c>
      <c r="F206" s="6">
        <f t="shared" si="10"/>
        <v>4964</v>
      </c>
      <c r="G206" s="91"/>
    </row>
    <row r="207" spans="1:7" hidden="1" x14ac:dyDescent="0.25">
      <c r="A207" s="80">
        <v>44431</v>
      </c>
      <c r="B207" s="6">
        <v>6</v>
      </c>
      <c r="C207" s="6">
        <f t="shared" si="9"/>
        <v>43</v>
      </c>
      <c r="D207" s="6">
        <v>5</v>
      </c>
      <c r="E207" s="6">
        <f t="shared" si="11"/>
        <v>4927</v>
      </c>
      <c r="F207" s="6">
        <f t="shared" si="10"/>
        <v>4970</v>
      </c>
      <c r="G207" s="91"/>
    </row>
    <row r="208" spans="1:7" hidden="1" x14ac:dyDescent="0.25">
      <c r="A208" s="80">
        <v>44432</v>
      </c>
      <c r="B208" s="6">
        <v>4</v>
      </c>
      <c r="C208" s="6">
        <f t="shared" si="9"/>
        <v>41</v>
      </c>
      <c r="D208" s="6">
        <v>6</v>
      </c>
      <c r="E208" s="6">
        <f t="shared" si="11"/>
        <v>4933</v>
      </c>
      <c r="F208" s="6">
        <f t="shared" si="10"/>
        <v>4974</v>
      </c>
      <c r="G208" s="91"/>
    </row>
    <row r="209" spans="1:13" hidden="1" x14ac:dyDescent="0.25">
      <c r="A209" s="80">
        <v>44433</v>
      </c>
      <c r="B209" s="6">
        <v>1</v>
      </c>
      <c r="C209" s="6">
        <f t="shared" si="9"/>
        <v>34</v>
      </c>
      <c r="D209" s="6">
        <v>8</v>
      </c>
      <c r="E209" s="6">
        <f t="shared" si="11"/>
        <v>4941</v>
      </c>
      <c r="F209" s="6">
        <f t="shared" si="10"/>
        <v>4975</v>
      </c>
      <c r="G209" s="91"/>
    </row>
    <row r="210" spans="1:13" hidden="1" x14ac:dyDescent="0.25">
      <c r="A210" s="80">
        <v>44434</v>
      </c>
      <c r="B210" s="6">
        <v>4</v>
      </c>
      <c r="C210" s="6">
        <f t="shared" si="9"/>
        <v>26</v>
      </c>
      <c r="D210" s="6">
        <v>12</v>
      </c>
      <c r="E210" s="6">
        <f t="shared" si="11"/>
        <v>4953</v>
      </c>
      <c r="F210" s="6">
        <f t="shared" si="10"/>
        <v>4979</v>
      </c>
      <c r="G210" s="91"/>
    </row>
    <row r="211" spans="1:13" hidden="1" x14ac:dyDescent="0.25">
      <c r="A211" s="80">
        <v>44435</v>
      </c>
      <c r="B211" s="6">
        <v>0</v>
      </c>
      <c r="C211" s="6">
        <f t="shared" si="9"/>
        <v>23</v>
      </c>
      <c r="D211" s="6">
        <v>3</v>
      </c>
      <c r="E211" s="6">
        <f t="shared" si="11"/>
        <v>4956</v>
      </c>
      <c r="F211" s="6">
        <f t="shared" si="10"/>
        <v>4979</v>
      </c>
      <c r="G211" s="91"/>
    </row>
    <row r="212" spans="1:13" hidden="1" x14ac:dyDescent="0.25">
      <c r="A212" s="80">
        <v>44436</v>
      </c>
      <c r="B212" s="6">
        <v>2</v>
      </c>
      <c r="C212" s="6">
        <f t="shared" ref="C212:C221" si="12">C211-D212+B212</f>
        <v>21</v>
      </c>
      <c r="D212" s="6">
        <v>4</v>
      </c>
      <c r="E212" s="6">
        <f t="shared" si="11"/>
        <v>4960</v>
      </c>
      <c r="F212" s="6">
        <f t="shared" si="10"/>
        <v>4981</v>
      </c>
      <c r="G212" s="91"/>
      <c r="I212" s="98"/>
      <c r="J212" s="98"/>
      <c r="K212" s="98"/>
      <c r="L212" s="98"/>
      <c r="M212" s="98"/>
    </row>
    <row r="213" spans="1:13" hidden="1" x14ac:dyDescent="0.25">
      <c r="A213" s="80">
        <v>44437</v>
      </c>
      <c r="B213" s="6">
        <v>3</v>
      </c>
      <c r="C213" s="6">
        <f t="shared" si="12"/>
        <v>18</v>
      </c>
      <c r="D213" s="6">
        <v>6</v>
      </c>
      <c r="E213" s="6">
        <f t="shared" si="11"/>
        <v>4966</v>
      </c>
      <c r="F213" s="6">
        <f t="shared" si="10"/>
        <v>4984</v>
      </c>
      <c r="G213" s="91"/>
      <c r="I213" s="98"/>
      <c r="J213" s="98"/>
      <c r="K213" s="98"/>
      <c r="L213" s="98"/>
      <c r="M213" s="98"/>
    </row>
    <row r="214" spans="1:13" hidden="1" x14ac:dyDescent="0.25">
      <c r="A214" s="80">
        <v>44438</v>
      </c>
      <c r="B214" s="6">
        <v>5</v>
      </c>
      <c r="C214" s="6">
        <f t="shared" si="12"/>
        <v>17</v>
      </c>
      <c r="D214" s="6">
        <v>6</v>
      </c>
      <c r="E214" s="6">
        <v>4094</v>
      </c>
      <c r="F214" s="6">
        <f>E214+C214+G214</f>
        <v>4907</v>
      </c>
      <c r="G214" s="91">
        <v>796</v>
      </c>
      <c r="I214" s="98"/>
      <c r="J214" s="98"/>
      <c r="K214" s="98"/>
      <c r="L214" s="98"/>
      <c r="M214" s="98"/>
    </row>
    <row r="215" spans="1:13" hidden="1" x14ac:dyDescent="0.25">
      <c r="A215" s="80">
        <v>44439</v>
      </c>
      <c r="B215" s="6">
        <v>5</v>
      </c>
      <c r="C215" s="6">
        <f t="shared" si="12"/>
        <v>18</v>
      </c>
      <c r="D215" s="6">
        <v>4</v>
      </c>
      <c r="E215" s="6">
        <v>4094</v>
      </c>
      <c r="F215" s="54">
        <f>C215+E215+G215</f>
        <v>4978</v>
      </c>
      <c r="G215" s="91">
        <v>866</v>
      </c>
      <c r="I215" s="98"/>
      <c r="J215" s="99"/>
      <c r="K215" s="98"/>
      <c r="L215" s="98"/>
      <c r="M215" s="98"/>
    </row>
    <row r="216" spans="1:13" s="14" customFormat="1" x14ac:dyDescent="0.25">
      <c r="A216" s="96">
        <v>44440</v>
      </c>
      <c r="B216" s="54">
        <v>5</v>
      </c>
      <c r="C216" s="54">
        <f t="shared" si="12"/>
        <v>17</v>
      </c>
      <c r="D216" s="54">
        <v>6</v>
      </c>
      <c r="E216" s="54">
        <v>4146</v>
      </c>
      <c r="F216" s="54">
        <f>C216+E216+G216</f>
        <v>4978</v>
      </c>
      <c r="G216" s="71">
        <v>815</v>
      </c>
      <c r="I216" s="97"/>
      <c r="J216" s="99"/>
      <c r="K216" s="98"/>
      <c r="L216" s="97"/>
      <c r="M216" s="97"/>
    </row>
    <row r="217" spans="1:13" s="14" customFormat="1" x14ac:dyDescent="0.25">
      <c r="A217" s="96">
        <v>44441</v>
      </c>
      <c r="B217" s="54">
        <v>1</v>
      </c>
      <c r="C217" s="54">
        <f t="shared" si="12"/>
        <v>13</v>
      </c>
      <c r="D217" s="54">
        <v>5</v>
      </c>
      <c r="E217" s="54">
        <v>4331</v>
      </c>
      <c r="F217" s="54">
        <f t="shared" ref="F217:F223" si="13">C217+E217+G217</f>
        <v>4983</v>
      </c>
      <c r="G217" s="71">
        <v>639</v>
      </c>
      <c r="I217" s="97"/>
      <c r="J217" s="99"/>
      <c r="K217" s="98"/>
      <c r="L217" s="97"/>
      <c r="M217" s="97"/>
    </row>
    <row r="218" spans="1:13" x14ac:dyDescent="0.25">
      <c r="A218" s="80">
        <v>44442</v>
      </c>
      <c r="B218" s="6">
        <v>2</v>
      </c>
      <c r="C218" s="6">
        <f t="shared" si="12"/>
        <v>14</v>
      </c>
      <c r="D218" s="6">
        <v>1</v>
      </c>
      <c r="E218" s="6">
        <v>4375</v>
      </c>
      <c r="F218" s="6">
        <f t="shared" si="13"/>
        <v>4988</v>
      </c>
      <c r="G218" s="91">
        <v>599</v>
      </c>
      <c r="I218" s="98"/>
      <c r="J218" s="99"/>
      <c r="K218" s="98"/>
      <c r="L218" s="98"/>
      <c r="M218" s="98"/>
    </row>
    <row r="219" spans="1:13" x14ac:dyDescent="0.25">
      <c r="A219" s="80">
        <v>44443</v>
      </c>
      <c r="B219" s="6">
        <v>3</v>
      </c>
      <c r="C219" s="6">
        <f t="shared" si="12"/>
        <v>15</v>
      </c>
      <c r="D219" s="6">
        <v>2</v>
      </c>
      <c r="E219" s="6">
        <v>4440</v>
      </c>
      <c r="F219" s="6">
        <f t="shared" si="13"/>
        <v>4996</v>
      </c>
      <c r="G219" s="91">
        <v>541</v>
      </c>
      <c r="I219" s="98"/>
      <c r="J219" s="99"/>
      <c r="K219" s="98"/>
      <c r="L219" s="98"/>
      <c r="M219" s="98"/>
    </row>
    <row r="220" spans="1:13" x14ac:dyDescent="0.25">
      <c r="A220" s="80">
        <v>44444</v>
      </c>
      <c r="B220" s="6">
        <v>0</v>
      </c>
      <c r="C220" s="6">
        <f t="shared" si="12"/>
        <v>12</v>
      </c>
      <c r="D220" s="6">
        <v>3</v>
      </c>
      <c r="E220" s="6">
        <v>4442</v>
      </c>
      <c r="F220" s="6">
        <f t="shared" si="13"/>
        <v>4994</v>
      </c>
      <c r="G220" s="91">
        <v>540</v>
      </c>
      <c r="I220" s="98"/>
      <c r="J220" s="99"/>
      <c r="K220" s="98"/>
      <c r="L220" s="98"/>
      <c r="M220" s="98"/>
    </row>
    <row r="221" spans="1:13" x14ac:dyDescent="0.25">
      <c r="A221" s="80">
        <v>44445</v>
      </c>
      <c r="B221" s="6">
        <v>3</v>
      </c>
      <c r="C221" s="6">
        <f t="shared" si="12"/>
        <v>12</v>
      </c>
      <c r="D221" s="6">
        <v>3</v>
      </c>
      <c r="E221" s="6">
        <v>4571</v>
      </c>
      <c r="F221" s="6">
        <f t="shared" si="13"/>
        <v>5008</v>
      </c>
      <c r="G221" s="91">
        <v>425</v>
      </c>
      <c r="I221" s="98"/>
      <c r="J221" s="99"/>
      <c r="K221" s="98"/>
      <c r="L221" s="98"/>
      <c r="M221" s="98"/>
    </row>
    <row r="222" spans="1:13" x14ac:dyDescent="0.25">
      <c r="A222" s="80">
        <v>44446</v>
      </c>
      <c r="B222" s="6">
        <v>6</v>
      </c>
      <c r="C222" s="6">
        <v>20</v>
      </c>
      <c r="D222" s="6">
        <v>3</v>
      </c>
      <c r="E222" s="6">
        <v>4726</v>
      </c>
      <c r="F222" s="6">
        <f t="shared" si="13"/>
        <v>5014</v>
      </c>
      <c r="G222" s="91">
        <v>268</v>
      </c>
      <c r="I222" s="98"/>
      <c r="J222" s="98"/>
      <c r="K222" s="98"/>
      <c r="L222" s="98"/>
      <c r="M222" s="98"/>
    </row>
    <row r="223" spans="1:13" x14ac:dyDescent="0.25">
      <c r="A223" s="80">
        <v>44447</v>
      </c>
      <c r="B223" s="6">
        <v>2</v>
      </c>
      <c r="C223" s="6">
        <v>12</v>
      </c>
      <c r="D223" s="6">
        <v>10</v>
      </c>
      <c r="E223" s="6">
        <v>4832</v>
      </c>
      <c r="F223" s="6">
        <f t="shared" si="13"/>
        <v>5041</v>
      </c>
      <c r="G223" s="91">
        <v>197</v>
      </c>
      <c r="I223" s="98"/>
      <c r="J223" s="98"/>
      <c r="K223" s="98"/>
      <c r="L223" s="98"/>
      <c r="M223" s="98"/>
    </row>
    <row r="224" spans="1:13" x14ac:dyDescent="0.25">
      <c r="A224" s="80">
        <v>44448</v>
      </c>
      <c r="B224" s="6">
        <v>2</v>
      </c>
      <c r="C224" s="6">
        <v>8</v>
      </c>
      <c r="D224" s="6">
        <v>6</v>
      </c>
      <c r="E224" s="6">
        <v>4854</v>
      </c>
      <c r="F224" s="6">
        <f t="shared" ref="F224:F225" si="14">C224+E224+G224</f>
        <v>5053</v>
      </c>
      <c r="G224" s="91">
        <v>191</v>
      </c>
      <c r="I224" s="98"/>
      <c r="J224" s="98"/>
      <c r="K224" s="98"/>
      <c r="L224" s="98"/>
      <c r="M224" s="98"/>
    </row>
    <row r="225" spans="1:13" x14ac:dyDescent="0.25">
      <c r="A225" s="80">
        <v>44449</v>
      </c>
      <c r="B225" s="6">
        <v>5</v>
      </c>
      <c r="C225" s="54">
        <v>11</v>
      </c>
      <c r="D225" s="6">
        <v>2</v>
      </c>
      <c r="E225" s="54">
        <v>4864</v>
      </c>
      <c r="F225" s="54">
        <f t="shared" si="14"/>
        <v>5084</v>
      </c>
      <c r="G225" s="6">
        <v>209</v>
      </c>
      <c r="I225" s="98"/>
      <c r="J225" s="98"/>
      <c r="K225" s="98"/>
      <c r="L225" s="98"/>
      <c r="M225" s="98"/>
    </row>
    <row r="226" spans="1:13" x14ac:dyDescent="0.25">
      <c r="A226" s="80">
        <v>44450</v>
      </c>
      <c r="B226" s="6">
        <v>1</v>
      </c>
      <c r="C226" s="54">
        <v>11</v>
      </c>
      <c r="D226" s="6">
        <v>1</v>
      </c>
      <c r="E226" s="54">
        <v>4872</v>
      </c>
      <c r="F226" s="54">
        <f t="shared" ref="F226" si="15">C226+E226+G226</f>
        <v>5117</v>
      </c>
      <c r="G226" s="6">
        <v>234</v>
      </c>
      <c r="I226" s="98"/>
      <c r="L226" s="98"/>
      <c r="M226" s="98"/>
    </row>
    <row r="227" spans="1:13" x14ac:dyDescent="0.25">
      <c r="A227" s="80">
        <v>44451</v>
      </c>
      <c r="B227" s="6">
        <v>1</v>
      </c>
      <c r="C227" s="54">
        <v>10</v>
      </c>
      <c r="D227" s="6">
        <v>2</v>
      </c>
      <c r="E227" s="54">
        <v>4873</v>
      </c>
      <c r="F227" s="54">
        <f t="shared" ref="F227" si="16">C227+E227+G227</f>
        <v>5117</v>
      </c>
      <c r="G227" s="6">
        <v>234</v>
      </c>
      <c r="I227" s="98"/>
      <c r="L227" s="98"/>
      <c r="M227" s="104"/>
    </row>
    <row r="228" spans="1:13" x14ac:dyDescent="0.25">
      <c r="A228" s="80">
        <v>44452</v>
      </c>
      <c r="B228" s="6">
        <v>4</v>
      </c>
      <c r="C228" s="54">
        <v>11</v>
      </c>
      <c r="D228" s="6">
        <v>3</v>
      </c>
      <c r="E228" s="54">
        <v>4967</v>
      </c>
      <c r="F228" s="54">
        <f t="shared" ref="F228" si="17">C228+E228+G228</f>
        <v>5140</v>
      </c>
      <c r="G228" s="6">
        <v>162</v>
      </c>
      <c r="I228" s="98"/>
      <c r="J228" s="105" t="s">
        <v>440</v>
      </c>
      <c r="K228" s="106">
        <v>13</v>
      </c>
      <c r="L228" s="98"/>
    </row>
    <row r="229" spans="1:13" x14ac:dyDescent="0.25">
      <c r="A229" s="80">
        <v>44453</v>
      </c>
      <c r="B229" s="6">
        <v>3</v>
      </c>
      <c r="C229" s="54">
        <v>11</v>
      </c>
      <c r="D229" s="6">
        <v>3</v>
      </c>
      <c r="E229" s="54">
        <v>4982</v>
      </c>
      <c r="F229" s="54">
        <f t="shared" ref="F229" si="18">C229+E229+G229</f>
        <v>5157</v>
      </c>
      <c r="G229" s="6">
        <v>164</v>
      </c>
      <c r="I229" s="98"/>
      <c r="J229" s="107" t="s">
        <v>556</v>
      </c>
      <c r="K229" s="108">
        <v>5008</v>
      </c>
      <c r="L229" s="98"/>
    </row>
    <row r="230" spans="1:13" x14ac:dyDescent="0.25">
      <c r="A230" s="80">
        <v>44454</v>
      </c>
      <c r="B230" s="6">
        <v>1</v>
      </c>
      <c r="C230" s="54">
        <v>9</v>
      </c>
      <c r="D230" s="6">
        <v>3</v>
      </c>
      <c r="E230" s="54">
        <v>4989</v>
      </c>
      <c r="F230" s="54">
        <f t="shared" ref="F230" si="19">C230+E230+G230</f>
        <v>5162</v>
      </c>
      <c r="G230" s="6">
        <v>164</v>
      </c>
      <c r="I230" s="98"/>
      <c r="J230" s="107" t="s">
        <v>557</v>
      </c>
      <c r="K230" s="108">
        <v>180</v>
      </c>
      <c r="L230" s="98"/>
    </row>
    <row r="231" spans="1:13" x14ac:dyDescent="0.25">
      <c r="A231" s="80">
        <v>44455</v>
      </c>
      <c r="B231" s="6">
        <v>2</v>
      </c>
      <c r="C231" s="54">
        <v>9</v>
      </c>
      <c r="D231" s="6">
        <v>3</v>
      </c>
      <c r="E231" s="54">
        <v>4996</v>
      </c>
      <c r="F231" s="54">
        <f t="shared" ref="F231" si="20">C231+E231+G231</f>
        <v>5168</v>
      </c>
      <c r="G231" s="6">
        <v>163</v>
      </c>
      <c r="I231" s="98"/>
      <c r="J231" s="107" t="s">
        <v>558</v>
      </c>
      <c r="K231" s="108"/>
      <c r="L231" s="98"/>
    </row>
    <row r="232" spans="1:13" x14ac:dyDescent="0.25">
      <c r="A232" s="80">
        <v>44456</v>
      </c>
      <c r="B232" s="6">
        <v>5</v>
      </c>
      <c r="C232" s="54">
        <v>11</v>
      </c>
      <c r="D232" s="6">
        <v>3</v>
      </c>
      <c r="E232" s="54">
        <v>5007</v>
      </c>
      <c r="F232" s="54">
        <f t="shared" ref="F232" si="21">C232+E232+G232</f>
        <v>5181</v>
      </c>
      <c r="G232" s="6">
        <v>163</v>
      </c>
      <c r="I232" s="98"/>
      <c r="J232" s="109" t="s">
        <v>559</v>
      </c>
      <c r="K232" s="110">
        <v>5201</v>
      </c>
    </row>
    <row r="233" spans="1:13" x14ac:dyDescent="0.25">
      <c r="A233" s="80">
        <v>44457</v>
      </c>
      <c r="B233" s="6">
        <v>3</v>
      </c>
      <c r="C233" s="54">
        <v>13</v>
      </c>
      <c r="D233" s="6">
        <v>1</v>
      </c>
      <c r="E233" s="54">
        <v>5008</v>
      </c>
      <c r="F233" s="54">
        <f t="shared" ref="F233" si="22">C233+E233+G233</f>
        <v>5201</v>
      </c>
      <c r="G233" s="6">
        <v>180</v>
      </c>
      <c r="I233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TOTAL SUSPEK</vt:lpstr>
      <vt:lpstr>perdesa</vt:lpstr>
      <vt:lpstr>per kecamatan</vt:lpstr>
      <vt:lpstr>Sheet4</vt:lpstr>
      <vt:lpstr>Sheet2</vt:lpstr>
      <vt:lpstr>TOTAL DIRAWAT</vt:lpstr>
      <vt:lpstr>SUSPEK MASUK</vt:lpstr>
      <vt:lpstr>SUSPEK KELUAR</vt:lpstr>
      <vt:lpstr>TOTAL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2021-08-12T07:46:12Z</cp:lastPrinted>
  <dcterms:created xsi:type="dcterms:W3CDTF">2020-03-25T02:32:05Z</dcterms:created>
  <dcterms:modified xsi:type="dcterms:W3CDTF">2021-09-20T00:37:25Z</dcterms:modified>
</cp:coreProperties>
</file>