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60" activeTab="8"/>
  </bookViews>
  <sheets>
    <sheet name="TOTAL SUSPEK" sheetId="29" r:id="rId1"/>
    <sheet name="perdesa" sheetId="19" r:id="rId2"/>
    <sheet name="per kecamatan" sheetId="20" r:id="rId3"/>
    <sheet name="Sheet4" sheetId="24" state="hidden" r:id="rId4"/>
    <sheet name="Sheet2" sheetId="26" state="hidden" r:id="rId5"/>
    <sheet name="TOTAL DIRAWAT" sheetId="30" r:id="rId6"/>
    <sheet name="SUSPEK MASUK" sheetId="31" r:id="rId7"/>
    <sheet name="SUSPEK KELUAR" sheetId="32" r:id="rId8"/>
    <sheet name="TOTAL" sheetId="36" r:id="rId9"/>
  </sheets>
  <definedNames>
    <definedName name="_xlnm._FilterDatabase" localSheetId="1" hidden="1">perdesa!$A$4:$H$260</definedName>
    <definedName name="_xlnm._FilterDatabase" localSheetId="5" hidden="1">'TOTAL DIRAWAT'!$A$6:$Z$6</definedName>
    <definedName name="_xlnm._FilterDatabase" localSheetId="0" hidden="1">'TOTAL SUSPEK'!$A$1:$AB$34</definedName>
    <definedName name="CZ">#REF!</definedName>
    <definedName name="_xlnm.Print_Area" localSheetId="1">perdesa!$A$1:$Q$258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9" l="1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57" i="19"/>
  <c r="D58" i="19"/>
  <c r="D59" i="19"/>
  <c r="D60" i="19"/>
  <c r="D61" i="19"/>
  <c r="D62" i="19"/>
  <c r="D63" i="19"/>
  <c r="D64" i="19"/>
  <c r="D65" i="19"/>
  <c r="D66" i="19"/>
  <c r="D67" i="19"/>
  <c r="D68" i="19"/>
  <c r="D69" i="19"/>
  <c r="D70" i="19"/>
  <c r="D71" i="19"/>
  <c r="D72" i="19"/>
  <c r="D73" i="19"/>
  <c r="D74" i="19"/>
  <c r="D75" i="19"/>
  <c r="D76" i="19"/>
  <c r="D77" i="19"/>
  <c r="D78" i="19"/>
  <c r="D79" i="19"/>
  <c r="D80" i="19"/>
  <c r="D81" i="19"/>
  <c r="D82" i="19"/>
  <c r="D83" i="19"/>
  <c r="D84" i="19"/>
  <c r="D85" i="19"/>
  <c r="D86" i="19"/>
  <c r="D87" i="19"/>
  <c r="D88" i="19"/>
  <c r="D89" i="19"/>
  <c r="D90" i="19"/>
  <c r="D91" i="19"/>
  <c r="D92" i="19"/>
  <c r="D93" i="19"/>
  <c r="D94" i="19"/>
  <c r="D95" i="19"/>
  <c r="D96" i="19"/>
  <c r="D97" i="19"/>
  <c r="D98" i="19"/>
  <c r="D99" i="19"/>
  <c r="D100" i="19"/>
  <c r="D101" i="19"/>
  <c r="D102" i="19"/>
  <c r="D103" i="19"/>
  <c r="D104" i="19"/>
  <c r="D105" i="19"/>
  <c r="D106" i="19"/>
  <c r="D107" i="19"/>
  <c r="D108" i="19"/>
  <c r="D109" i="19"/>
  <c r="D110" i="19"/>
  <c r="D111" i="19"/>
  <c r="D112" i="19"/>
  <c r="D113" i="19"/>
  <c r="D114" i="19"/>
  <c r="D115" i="19"/>
  <c r="D116" i="19"/>
  <c r="D117" i="19"/>
  <c r="D118" i="19"/>
  <c r="D119" i="19"/>
  <c r="D120" i="19"/>
  <c r="D121" i="19"/>
  <c r="D122" i="19"/>
  <c r="D123" i="19"/>
  <c r="D124" i="19"/>
  <c r="D125" i="19"/>
  <c r="D126" i="19"/>
  <c r="D127" i="19"/>
  <c r="D128" i="19"/>
  <c r="D129" i="19"/>
  <c r="D130" i="19"/>
  <c r="D131" i="19"/>
  <c r="D132" i="19"/>
  <c r="D133" i="19"/>
  <c r="D134" i="19"/>
  <c r="D135" i="19"/>
  <c r="D136" i="19"/>
  <c r="D137" i="19"/>
  <c r="D138" i="19"/>
  <c r="D139" i="19"/>
  <c r="D140" i="19"/>
  <c r="D141" i="19"/>
  <c r="D142" i="19"/>
  <c r="D143" i="19"/>
  <c r="D144" i="19"/>
  <c r="D145" i="19"/>
  <c r="D146" i="19"/>
  <c r="D147" i="19"/>
  <c r="D148" i="19"/>
  <c r="D149" i="19"/>
  <c r="D150" i="19"/>
  <c r="D151" i="19"/>
  <c r="D152" i="19"/>
  <c r="D153" i="19"/>
  <c r="D154" i="19"/>
  <c r="D155" i="19"/>
  <c r="D156" i="19"/>
  <c r="D157" i="19"/>
  <c r="D158" i="19"/>
  <c r="D159" i="19"/>
  <c r="D160" i="19"/>
  <c r="D161" i="19"/>
  <c r="D162" i="19"/>
  <c r="D163" i="19"/>
  <c r="D164" i="19"/>
  <c r="D165" i="19"/>
  <c r="D166" i="19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79" i="19"/>
  <c r="D180" i="19"/>
  <c r="D181" i="19"/>
  <c r="D182" i="19"/>
  <c r="D183" i="19"/>
  <c r="D184" i="19"/>
  <c r="D185" i="19"/>
  <c r="D186" i="19"/>
  <c r="D187" i="19"/>
  <c r="D188" i="19"/>
  <c r="D189" i="19"/>
  <c r="D190" i="19"/>
  <c r="D191" i="19"/>
  <c r="D192" i="19"/>
  <c r="D193" i="19"/>
  <c r="D194" i="19"/>
  <c r="D195" i="19"/>
  <c r="D196" i="19"/>
  <c r="D197" i="19"/>
  <c r="D198" i="19"/>
  <c r="D199" i="19"/>
  <c r="D200" i="19"/>
  <c r="D201" i="19"/>
  <c r="D202" i="19"/>
  <c r="D203" i="19"/>
  <c r="D204" i="19"/>
  <c r="D205" i="19"/>
  <c r="D206" i="19"/>
  <c r="D207" i="19"/>
  <c r="D208" i="19"/>
  <c r="D209" i="19"/>
  <c r="D210" i="19"/>
  <c r="D211" i="19"/>
  <c r="D212" i="19"/>
  <c r="D213" i="19"/>
  <c r="D214" i="19"/>
  <c r="D215" i="19"/>
  <c r="D216" i="19"/>
  <c r="D217" i="19"/>
  <c r="D218" i="19"/>
  <c r="D219" i="19"/>
  <c r="D220" i="19"/>
  <c r="D221" i="19"/>
  <c r="D222" i="19"/>
  <c r="D223" i="19"/>
  <c r="D224" i="19"/>
  <c r="D225" i="19"/>
  <c r="D226" i="19"/>
  <c r="D227" i="19"/>
  <c r="D228" i="19"/>
  <c r="D229" i="19"/>
  <c r="D230" i="19"/>
  <c r="D231" i="19"/>
  <c r="D232" i="19"/>
  <c r="D233" i="19"/>
  <c r="D234" i="19"/>
  <c r="D235" i="19"/>
  <c r="D236" i="19"/>
  <c r="D237" i="19"/>
  <c r="D238" i="19"/>
  <c r="D239" i="19"/>
  <c r="D240" i="19"/>
  <c r="D241" i="19"/>
  <c r="D242" i="19"/>
  <c r="D243" i="19"/>
  <c r="D244" i="19"/>
  <c r="D245" i="19"/>
  <c r="D246" i="19"/>
  <c r="D247" i="19"/>
  <c r="D248" i="19"/>
  <c r="D249" i="19"/>
  <c r="D250" i="19"/>
  <c r="D251" i="19"/>
  <c r="D252" i="19"/>
  <c r="D253" i="19"/>
  <c r="D254" i="19"/>
  <c r="D255" i="19"/>
  <c r="D256" i="19"/>
  <c r="D258" i="19" l="1"/>
  <c r="P149" i="19"/>
  <c r="P50" i="19"/>
  <c r="C19" i="36"/>
  <c r="C20" i="36" s="1"/>
  <c r="C21" i="36" s="1"/>
  <c r="C22" i="36" s="1"/>
  <c r="C23" i="36" s="1"/>
  <c r="C24" i="36" s="1"/>
  <c r="C25" i="36" s="1"/>
  <c r="C26" i="36" s="1"/>
  <c r="C27" i="36" s="1"/>
  <c r="C28" i="36" s="1"/>
  <c r="C29" i="36" s="1"/>
  <c r="C30" i="36" s="1"/>
  <c r="C31" i="36" s="1"/>
  <c r="C32" i="36" s="1"/>
  <c r="C33" i="36" s="1"/>
  <c r="C34" i="36" s="1"/>
  <c r="C35" i="36" s="1"/>
  <c r="C36" i="36" s="1"/>
  <c r="C37" i="36" s="1"/>
  <c r="C38" i="36" s="1"/>
  <c r="C39" i="36" s="1"/>
  <c r="C40" i="36" s="1"/>
  <c r="C41" i="36" s="1"/>
  <c r="C42" i="36" s="1"/>
  <c r="C43" i="36" s="1"/>
  <c r="C44" i="36" s="1"/>
  <c r="C45" i="36" s="1"/>
  <c r="C46" i="36" s="1"/>
  <c r="C47" i="36" s="1"/>
  <c r="C48" i="36" s="1"/>
  <c r="C49" i="36" s="1"/>
  <c r="C50" i="36" s="1"/>
  <c r="C51" i="36" s="1"/>
  <c r="C52" i="36" s="1"/>
  <c r="C53" i="36" s="1"/>
  <c r="C54" i="36" s="1"/>
  <c r="C55" i="36" s="1"/>
  <c r="C56" i="36" s="1"/>
  <c r="C57" i="36" s="1"/>
  <c r="C58" i="36" s="1"/>
  <c r="C59" i="36" s="1"/>
  <c r="C60" i="36" s="1"/>
  <c r="C61" i="36" s="1"/>
  <c r="C62" i="36" s="1"/>
  <c r="C63" i="36" s="1"/>
  <c r="C64" i="36" s="1"/>
  <c r="C65" i="36" s="1"/>
  <c r="C66" i="36" s="1"/>
  <c r="C67" i="36" s="1"/>
  <c r="C68" i="36" s="1"/>
  <c r="C69" i="36" s="1"/>
  <c r="C70" i="36" s="1"/>
  <c r="C71" i="36" s="1"/>
  <c r="C72" i="36" s="1"/>
  <c r="C73" i="36" s="1"/>
  <c r="C74" i="36" s="1"/>
  <c r="C75" i="36" s="1"/>
  <c r="C76" i="36" s="1"/>
  <c r="C77" i="36" s="1"/>
  <c r="C78" i="36" s="1"/>
  <c r="C79" i="36" s="1"/>
  <c r="C80" i="36" s="1"/>
  <c r="C81" i="36" s="1"/>
  <c r="C82" i="36" s="1"/>
  <c r="C83" i="36" s="1"/>
  <c r="C84" i="36" s="1"/>
  <c r="C85" i="36" s="1"/>
  <c r="C86" i="36" s="1"/>
  <c r="C87" i="36" s="1"/>
  <c r="C88" i="36" s="1"/>
  <c r="C89" i="36" s="1"/>
  <c r="C90" i="36" s="1"/>
  <c r="C91" i="36" s="1"/>
  <c r="C92" i="36" s="1"/>
  <c r="C93" i="36" s="1"/>
  <c r="C94" i="36" s="1"/>
  <c r="C95" i="36" s="1"/>
  <c r="C96" i="36" s="1"/>
  <c r="C97" i="36" s="1"/>
  <c r="C98" i="36" s="1"/>
  <c r="C99" i="36" s="1"/>
  <c r="C100" i="36" s="1"/>
  <c r="C101" i="36" s="1"/>
  <c r="C102" i="36" s="1"/>
  <c r="C103" i="36" s="1"/>
  <c r="C104" i="36" s="1"/>
  <c r="C105" i="36" s="1"/>
  <c r="C106" i="36" s="1"/>
  <c r="C107" i="36" s="1"/>
  <c r="C108" i="36" s="1"/>
  <c r="C109" i="36" s="1"/>
  <c r="C110" i="36" s="1"/>
  <c r="C111" i="36" s="1"/>
  <c r="C112" i="36" s="1"/>
  <c r="C113" i="36" s="1"/>
  <c r="C114" i="36" s="1"/>
  <c r="C115" i="36" s="1"/>
  <c r="C116" i="36" s="1"/>
  <c r="C117" i="36" s="1"/>
  <c r="C118" i="36" s="1"/>
  <c r="C119" i="36" s="1"/>
  <c r="C120" i="36" s="1"/>
  <c r="C121" i="36" s="1"/>
  <c r="C122" i="36" s="1"/>
  <c r="C123" i="36" s="1"/>
  <c r="C124" i="36" s="1"/>
  <c r="C125" i="36" s="1"/>
  <c r="C126" i="36" s="1"/>
  <c r="C127" i="36" s="1"/>
  <c r="C128" i="36" s="1"/>
  <c r="C129" i="36" s="1"/>
  <c r="C130" i="36" s="1"/>
  <c r="C131" i="36" s="1"/>
  <c r="C132" i="36" s="1"/>
  <c r="C133" i="36" s="1"/>
  <c r="C134" i="36" s="1"/>
  <c r="C135" i="36" s="1"/>
  <c r="C136" i="36" s="1"/>
  <c r="C137" i="36" s="1"/>
  <c r="C138" i="36" s="1"/>
  <c r="C139" i="36" s="1"/>
  <c r="C140" i="36" s="1"/>
  <c r="C141" i="36" s="1"/>
  <c r="C142" i="36" s="1"/>
  <c r="C143" i="36" s="1"/>
  <c r="C144" i="36" s="1"/>
  <c r="C145" i="36" s="1"/>
  <c r="C146" i="36" s="1"/>
  <c r="C147" i="36" s="1"/>
  <c r="C148" i="36" s="1"/>
  <c r="C149" i="36" s="1"/>
  <c r="C150" i="36" s="1"/>
  <c r="C151" i="36" s="1"/>
  <c r="C152" i="36" s="1"/>
  <c r="C153" i="36" s="1"/>
  <c r="C154" i="36" s="1"/>
  <c r="C155" i="36" s="1"/>
  <c r="C156" i="36" s="1"/>
  <c r="C157" i="36" s="1"/>
  <c r="C158" i="36" s="1"/>
  <c r="C159" i="36" s="1"/>
  <c r="C160" i="36" s="1"/>
  <c r="C161" i="36" s="1"/>
  <c r="C162" i="36" s="1"/>
  <c r="C163" i="36" s="1"/>
  <c r="C164" i="36" s="1"/>
  <c r="C165" i="36" s="1"/>
  <c r="C166" i="36" s="1"/>
  <c r="C167" i="36" s="1"/>
  <c r="C168" i="36" s="1"/>
  <c r="C169" i="36" s="1"/>
  <c r="C170" i="36" s="1"/>
  <c r="C171" i="36" s="1"/>
  <c r="C172" i="36" s="1"/>
  <c r="C173" i="36" s="1"/>
  <c r="C174" i="36" s="1"/>
  <c r="C175" i="36" s="1"/>
  <c r="C176" i="36" s="1"/>
  <c r="C177" i="36" s="1"/>
  <c r="C178" i="36" s="1"/>
  <c r="C179" i="36" s="1"/>
  <c r="C180" i="36" s="1"/>
  <c r="C181" i="36" s="1"/>
  <c r="C182" i="36" s="1"/>
  <c r="C183" i="36" s="1"/>
  <c r="C184" i="36" s="1"/>
  <c r="C185" i="36" s="1"/>
  <c r="C186" i="36" s="1"/>
  <c r="C187" i="36" s="1"/>
  <c r="C188" i="36" s="1"/>
  <c r="C189" i="36" s="1"/>
  <c r="C190" i="36" s="1"/>
  <c r="C191" i="36" s="1"/>
  <c r="C192" i="36" s="1"/>
  <c r="C193" i="36" s="1"/>
  <c r="C194" i="36" s="1"/>
  <c r="C195" i="36" s="1"/>
  <c r="C196" i="36" s="1"/>
  <c r="C197" i="36" s="1"/>
  <c r="C198" i="36" s="1"/>
  <c r="C199" i="36" s="1"/>
  <c r="C200" i="36" s="1"/>
  <c r="C201" i="36" s="1"/>
  <c r="C202" i="36" s="1"/>
  <c r="C203" i="36" s="1"/>
  <c r="C204" i="36" s="1"/>
  <c r="C205" i="36" s="1"/>
  <c r="C206" i="36" s="1"/>
  <c r="F11" i="36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F22" i="36" s="1"/>
  <c r="F23" i="36" s="1"/>
  <c r="F24" i="36" s="1"/>
  <c r="F25" i="36" s="1"/>
  <c r="F26" i="36" s="1"/>
  <c r="F27" i="36" s="1"/>
  <c r="F28" i="36" s="1"/>
  <c r="F29" i="36" s="1"/>
  <c r="F30" i="36" s="1"/>
  <c r="F31" i="36" s="1"/>
  <c r="F32" i="36" s="1"/>
  <c r="F33" i="36" s="1"/>
  <c r="F34" i="36" s="1"/>
  <c r="F35" i="36" s="1"/>
  <c r="F36" i="36" s="1"/>
  <c r="F37" i="36" s="1"/>
  <c r="F38" i="36" s="1"/>
  <c r="F39" i="36" s="1"/>
  <c r="F40" i="36" s="1"/>
  <c r="F41" i="36" s="1"/>
  <c r="F42" i="36" s="1"/>
  <c r="F43" i="36" s="1"/>
  <c r="F44" i="36" s="1"/>
  <c r="F45" i="36" s="1"/>
  <c r="F46" i="36" s="1"/>
  <c r="F47" i="36" s="1"/>
  <c r="F48" i="36" s="1"/>
  <c r="F49" i="36" s="1"/>
  <c r="F50" i="36" s="1"/>
  <c r="F51" i="36" s="1"/>
  <c r="F52" i="36" s="1"/>
  <c r="F53" i="36" s="1"/>
  <c r="F54" i="36" s="1"/>
  <c r="F55" i="36" s="1"/>
  <c r="F56" i="36" s="1"/>
  <c r="F57" i="36" s="1"/>
  <c r="F58" i="36" s="1"/>
  <c r="F59" i="36" s="1"/>
  <c r="F60" i="36" s="1"/>
  <c r="F61" i="36" s="1"/>
  <c r="F62" i="36" s="1"/>
  <c r="F63" i="36" s="1"/>
  <c r="F64" i="36" s="1"/>
  <c r="F65" i="36" s="1"/>
  <c r="F66" i="36" s="1"/>
  <c r="F67" i="36" s="1"/>
  <c r="F68" i="36" s="1"/>
  <c r="F69" i="36" s="1"/>
  <c r="F70" i="36" s="1"/>
  <c r="F71" i="36" s="1"/>
  <c r="F72" i="36" s="1"/>
  <c r="F73" i="36" s="1"/>
  <c r="F74" i="36" s="1"/>
  <c r="F75" i="36" s="1"/>
  <c r="F76" i="36" s="1"/>
  <c r="F77" i="36" s="1"/>
  <c r="F78" i="36" s="1"/>
  <c r="F79" i="36" s="1"/>
  <c r="F80" i="36" s="1"/>
  <c r="F81" i="36" s="1"/>
  <c r="F82" i="36" s="1"/>
  <c r="F83" i="36" s="1"/>
  <c r="F84" i="36" s="1"/>
  <c r="F85" i="36" s="1"/>
  <c r="F86" i="36" s="1"/>
  <c r="F87" i="36" s="1"/>
  <c r="F88" i="36" s="1"/>
  <c r="F89" i="36" s="1"/>
  <c r="F90" i="36" s="1"/>
  <c r="F91" i="36" s="1"/>
  <c r="F92" i="36" s="1"/>
  <c r="F93" i="36" s="1"/>
  <c r="F94" i="36" s="1"/>
  <c r="F95" i="36" s="1"/>
  <c r="F96" i="36" s="1"/>
  <c r="F97" i="36" s="1"/>
  <c r="F98" i="36" s="1"/>
  <c r="F99" i="36" s="1"/>
  <c r="F100" i="36" s="1"/>
  <c r="F101" i="36" s="1"/>
  <c r="F102" i="36" s="1"/>
  <c r="F103" i="36" s="1"/>
  <c r="F104" i="36" s="1"/>
  <c r="F105" i="36" s="1"/>
  <c r="F106" i="36" s="1"/>
  <c r="F107" i="36" s="1"/>
  <c r="F108" i="36" s="1"/>
  <c r="F109" i="36" s="1"/>
  <c r="F110" i="36" s="1"/>
  <c r="F111" i="36" s="1"/>
  <c r="F112" i="36" s="1"/>
  <c r="F113" i="36" s="1"/>
  <c r="F114" i="36" s="1"/>
  <c r="F115" i="36" s="1"/>
  <c r="F116" i="36" s="1"/>
  <c r="F117" i="36" s="1"/>
  <c r="F118" i="36" s="1"/>
  <c r="F119" i="36" s="1"/>
  <c r="F120" i="36" s="1"/>
  <c r="F121" i="36" s="1"/>
  <c r="F122" i="36" s="1"/>
  <c r="F123" i="36" s="1"/>
  <c r="F124" i="36" s="1"/>
  <c r="F125" i="36" s="1"/>
  <c r="F126" i="36" s="1"/>
  <c r="F127" i="36" s="1"/>
  <c r="F128" i="36" s="1"/>
  <c r="F129" i="36" s="1"/>
  <c r="F130" i="36" s="1"/>
  <c r="F131" i="36" s="1"/>
  <c r="F132" i="36" s="1"/>
  <c r="F133" i="36" s="1"/>
  <c r="F134" i="36" s="1"/>
  <c r="F135" i="36" s="1"/>
  <c r="F136" i="36" s="1"/>
  <c r="F137" i="36" s="1"/>
  <c r="F138" i="36" s="1"/>
  <c r="F139" i="36" s="1"/>
  <c r="F140" i="36" s="1"/>
  <c r="F141" i="36" s="1"/>
  <c r="F142" i="36" s="1"/>
  <c r="F143" i="36" s="1"/>
  <c r="F144" i="36" s="1"/>
  <c r="F145" i="36" s="1"/>
  <c r="F146" i="36" s="1"/>
  <c r="F147" i="36" s="1"/>
  <c r="F148" i="36" s="1"/>
  <c r="F149" i="36" s="1"/>
  <c r="F150" i="36" s="1"/>
  <c r="F151" i="36" s="1"/>
  <c r="F152" i="36" s="1"/>
  <c r="F153" i="36" s="1"/>
  <c r="F154" i="36" s="1"/>
  <c r="F155" i="36" s="1"/>
  <c r="F156" i="36" s="1"/>
  <c r="F157" i="36" s="1"/>
  <c r="F158" i="36" s="1"/>
  <c r="F159" i="36" s="1"/>
  <c r="F160" i="36" s="1"/>
  <c r="F161" i="36" s="1"/>
  <c r="F162" i="36" s="1"/>
  <c r="F163" i="36" s="1"/>
  <c r="F164" i="36" s="1"/>
  <c r="F165" i="36" s="1"/>
  <c r="F166" i="36" s="1"/>
  <c r="F167" i="36" s="1"/>
  <c r="F168" i="36" s="1"/>
  <c r="F169" i="36" s="1"/>
  <c r="F170" i="36" s="1"/>
  <c r="F171" i="36" s="1"/>
  <c r="F172" i="36" s="1"/>
  <c r="F173" i="36" s="1"/>
  <c r="F174" i="36" s="1"/>
  <c r="F175" i="36" s="1"/>
  <c r="F176" i="36" s="1"/>
  <c r="F177" i="36" s="1"/>
  <c r="F178" i="36" s="1"/>
  <c r="F179" i="36" s="1"/>
  <c r="F180" i="36" s="1"/>
  <c r="F181" i="36" s="1"/>
  <c r="F182" i="36" s="1"/>
  <c r="F183" i="36" s="1"/>
  <c r="F184" i="36" s="1"/>
  <c r="F185" i="36" s="1"/>
  <c r="F186" i="36" s="1"/>
  <c r="F187" i="36" s="1"/>
  <c r="F188" i="36" s="1"/>
  <c r="F189" i="36" s="1"/>
  <c r="F190" i="36" s="1"/>
  <c r="F191" i="36" s="1"/>
  <c r="F192" i="36" s="1"/>
  <c r="F193" i="36" s="1"/>
  <c r="F194" i="36" s="1"/>
  <c r="F195" i="36" s="1"/>
  <c r="F196" i="36" s="1"/>
  <c r="F197" i="36" s="1"/>
  <c r="F198" i="36" s="1"/>
  <c r="F199" i="36" s="1"/>
  <c r="F200" i="36" s="1"/>
  <c r="F201" i="36" s="1"/>
  <c r="F202" i="36" s="1"/>
  <c r="F203" i="36" s="1"/>
  <c r="F204" i="36" s="1"/>
  <c r="F205" i="36" s="1"/>
  <c r="F206" i="36" s="1"/>
  <c r="E11" i="36"/>
  <c r="E12" i="36" s="1"/>
  <c r="E13" i="36" s="1"/>
  <c r="E14" i="36" s="1"/>
  <c r="E15" i="36" s="1"/>
  <c r="E16" i="36" s="1"/>
  <c r="E17" i="36" s="1"/>
  <c r="E18" i="36" s="1"/>
  <c r="E19" i="36" s="1"/>
  <c r="E20" i="36" s="1"/>
  <c r="E21" i="36" s="1"/>
  <c r="E22" i="36" s="1"/>
  <c r="E23" i="36" s="1"/>
  <c r="E24" i="36" s="1"/>
  <c r="E25" i="36" s="1"/>
  <c r="E26" i="36" s="1"/>
  <c r="E27" i="36" s="1"/>
  <c r="E28" i="36" s="1"/>
  <c r="E29" i="36" s="1"/>
  <c r="E30" i="36" s="1"/>
  <c r="E31" i="36" s="1"/>
  <c r="E32" i="36" s="1"/>
  <c r="E33" i="36" s="1"/>
  <c r="E34" i="36" s="1"/>
  <c r="E35" i="36" s="1"/>
  <c r="E36" i="36" s="1"/>
  <c r="E37" i="36" s="1"/>
  <c r="E38" i="36" s="1"/>
  <c r="E39" i="36" s="1"/>
  <c r="E40" i="36" s="1"/>
  <c r="E41" i="36" s="1"/>
  <c r="E42" i="36" s="1"/>
  <c r="E43" i="36" s="1"/>
  <c r="E44" i="36" s="1"/>
  <c r="E45" i="36" s="1"/>
  <c r="E46" i="36" s="1"/>
  <c r="E47" i="36" s="1"/>
  <c r="E48" i="36" s="1"/>
  <c r="E49" i="36" s="1"/>
  <c r="E50" i="36" s="1"/>
  <c r="E51" i="36" s="1"/>
  <c r="E52" i="36" s="1"/>
  <c r="E53" i="36" s="1"/>
  <c r="E54" i="36" s="1"/>
  <c r="E55" i="36" s="1"/>
  <c r="E56" i="36" s="1"/>
  <c r="E57" i="36" s="1"/>
  <c r="E58" i="36" s="1"/>
  <c r="E59" i="36" s="1"/>
  <c r="E60" i="36" s="1"/>
  <c r="E61" i="36" s="1"/>
  <c r="E62" i="36" s="1"/>
  <c r="E63" i="36" s="1"/>
  <c r="E64" i="36" s="1"/>
  <c r="E65" i="36" s="1"/>
  <c r="E66" i="36" s="1"/>
  <c r="E67" i="36" s="1"/>
  <c r="E68" i="36" s="1"/>
  <c r="E69" i="36" s="1"/>
  <c r="E70" i="36" s="1"/>
  <c r="E71" i="36" s="1"/>
  <c r="E72" i="36" s="1"/>
  <c r="E73" i="36" s="1"/>
  <c r="E74" i="36" s="1"/>
  <c r="E75" i="36" s="1"/>
  <c r="E76" i="36" s="1"/>
  <c r="E77" i="36" s="1"/>
  <c r="E78" i="36" s="1"/>
  <c r="E79" i="36" s="1"/>
  <c r="E80" i="36" s="1"/>
  <c r="E81" i="36" s="1"/>
  <c r="E82" i="36" s="1"/>
  <c r="E83" i="36" s="1"/>
  <c r="E84" i="36" s="1"/>
  <c r="E85" i="36" s="1"/>
  <c r="E86" i="36" s="1"/>
  <c r="E87" i="36" s="1"/>
  <c r="E88" i="36" s="1"/>
  <c r="E89" i="36" s="1"/>
  <c r="E90" i="36" s="1"/>
  <c r="E91" i="36" s="1"/>
  <c r="E92" i="36" s="1"/>
  <c r="E93" i="36" s="1"/>
  <c r="E94" i="36" s="1"/>
  <c r="E95" i="36" s="1"/>
  <c r="E96" i="36" s="1"/>
  <c r="E97" i="36" s="1"/>
  <c r="E98" i="36" s="1"/>
  <c r="E99" i="36" s="1"/>
  <c r="E100" i="36" s="1"/>
  <c r="E101" i="36" s="1"/>
  <c r="E102" i="36" s="1"/>
  <c r="E103" i="36" s="1"/>
  <c r="E104" i="36" s="1"/>
  <c r="E105" i="36" s="1"/>
  <c r="E106" i="36" s="1"/>
  <c r="E107" i="36" s="1"/>
  <c r="E108" i="36" s="1"/>
  <c r="E109" i="36" s="1"/>
  <c r="E110" i="36" s="1"/>
  <c r="E111" i="36" s="1"/>
  <c r="E112" i="36" s="1"/>
  <c r="E113" i="36" s="1"/>
  <c r="E114" i="36" s="1"/>
  <c r="E115" i="36" s="1"/>
  <c r="E116" i="36" s="1"/>
  <c r="E117" i="36" s="1"/>
  <c r="E118" i="36" s="1"/>
  <c r="E119" i="36" s="1"/>
  <c r="E120" i="36" s="1"/>
  <c r="E121" i="36" s="1"/>
  <c r="E122" i="36" s="1"/>
  <c r="E123" i="36" s="1"/>
  <c r="E124" i="36" s="1"/>
  <c r="E125" i="36" s="1"/>
  <c r="E126" i="36" s="1"/>
  <c r="E127" i="36" s="1"/>
  <c r="E128" i="36" s="1"/>
  <c r="E129" i="36" s="1"/>
  <c r="E130" i="36" s="1"/>
  <c r="E131" i="36" s="1"/>
  <c r="E132" i="36" s="1"/>
  <c r="E133" i="36" s="1"/>
  <c r="E134" i="36" s="1"/>
  <c r="E135" i="36" s="1"/>
  <c r="E136" i="36" s="1"/>
  <c r="E137" i="36" s="1"/>
  <c r="E138" i="36" s="1"/>
  <c r="E139" i="36" s="1"/>
  <c r="E140" i="36" s="1"/>
  <c r="E141" i="36" s="1"/>
  <c r="E142" i="36" s="1"/>
  <c r="E143" i="36" s="1"/>
  <c r="E144" i="36" s="1"/>
  <c r="E145" i="36" s="1"/>
  <c r="E146" i="36" s="1"/>
  <c r="E147" i="36" s="1"/>
  <c r="E148" i="36" s="1"/>
  <c r="E149" i="36" s="1"/>
  <c r="E150" i="36" s="1"/>
  <c r="E151" i="36" s="1"/>
  <c r="E152" i="36" s="1"/>
  <c r="E153" i="36" s="1"/>
  <c r="E154" i="36" s="1"/>
  <c r="E155" i="36" s="1"/>
  <c r="E156" i="36" s="1"/>
  <c r="E157" i="36" s="1"/>
  <c r="E158" i="36" s="1"/>
  <c r="E159" i="36" s="1"/>
  <c r="E160" i="36" s="1"/>
  <c r="E161" i="36" s="1"/>
  <c r="E162" i="36" s="1"/>
  <c r="E163" i="36" s="1"/>
  <c r="E164" i="36" s="1"/>
  <c r="E165" i="36" s="1"/>
  <c r="E166" i="36" s="1"/>
  <c r="E167" i="36" s="1"/>
  <c r="E168" i="36" s="1"/>
  <c r="E169" i="36" s="1"/>
  <c r="E170" i="36" s="1"/>
  <c r="E171" i="36" s="1"/>
  <c r="E172" i="36" s="1"/>
  <c r="E173" i="36" s="1"/>
  <c r="E174" i="36" s="1"/>
  <c r="E175" i="36" s="1"/>
  <c r="E176" i="36" s="1"/>
  <c r="E177" i="36" s="1"/>
  <c r="E178" i="36" s="1"/>
  <c r="E179" i="36" s="1"/>
  <c r="E180" i="36" s="1"/>
  <c r="E181" i="36" s="1"/>
  <c r="E182" i="36" s="1"/>
  <c r="E183" i="36" s="1"/>
  <c r="E184" i="36" s="1"/>
  <c r="E185" i="36" s="1"/>
  <c r="E186" i="36" s="1"/>
  <c r="E187" i="36" s="1"/>
  <c r="E188" i="36" s="1"/>
  <c r="E189" i="36" s="1"/>
  <c r="E190" i="36" s="1"/>
  <c r="E191" i="36" s="1"/>
  <c r="E192" i="36" s="1"/>
  <c r="E193" i="36" s="1"/>
  <c r="E194" i="36" s="1"/>
  <c r="E195" i="36" s="1"/>
  <c r="E196" i="36" s="1"/>
  <c r="E197" i="36" s="1"/>
  <c r="E198" i="36" s="1"/>
  <c r="E199" i="36" s="1"/>
  <c r="E200" i="36" s="1"/>
  <c r="E201" i="36" s="1"/>
  <c r="E202" i="36" s="1"/>
  <c r="E203" i="36" s="1"/>
  <c r="E204" i="36" s="1"/>
  <c r="E205" i="36" s="1"/>
  <c r="E206" i="36" s="1"/>
  <c r="A3" i="20"/>
  <c r="P257" i="19"/>
  <c r="O258" i="19"/>
  <c r="Q257" i="19"/>
  <c r="C20" i="20" s="1"/>
  <c r="P225" i="19"/>
  <c r="P223" i="19"/>
  <c r="P222" i="19"/>
  <c r="P209" i="19"/>
  <c r="P196" i="19"/>
  <c r="P190" i="19"/>
  <c r="P183" i="19"/>
  <c r="P182" i="19"/>
  <c r="P180" i="19"/>
  <c r="P174" i="19"/>
  <c r="P160" i="19"/>
  <c r="P140" i="19"/>
  <c r="P136" i="19"/>
  <c r="P122" i="19"/>
  <c r="P111" i="19"/>
  <c r="P100" i="19"/>
  <c r="P99" i="19"/>
  <c r="P89" i="19"/>
  <c r="P73" i="19"/>
  <c r="P66" i="19"/>
  <c r="P65" i="19"/>
  <c r="P62" i="19"/>
  <c r="P59" i="19"/>
  <c r="P51" i="19"/>
  <c r="P31" i="19"/>
  <c r="P14" i="19"/>
  <c r="P13" i="19"/>
  <c r="P256" i="19"/>
  <c r="P255" i="19"/>
  <c r="P254" i="19"/>
  <c r="P253" i="19"/>
  <c r="P252" i="19"/>
  <c r="P251" i="19"/>
  <c r="P250" i="19"/>
  <c r="P249" i="19"/>
  <c r="P248" i="19"/>
  <c r="P247" i="19"/>
  <c r="P246" i="19"/>
  <c r="P245" i="19"/>
  <c r="P244" i="19"/>
  <c r="P243" i="19"/>
  <c r="P242" i="19"/>
  <c r="P241" i="19"/>
  <c r="P240" i="19"/>
  <c r="P239" i="19"/>
  <c r="P238" i="19"/>
  <c r="P237" i="19"/>
  <c r="P236" i="19"/>
  <c r="P235" i="19"/>
  <c r="P234" i="19"/>
  <c r="P233" i="19"/>
  <c r="P232" i="19"/>
  <c r="P231" i="19"/>
  <c r="P230" i="19"/>
  <c r="P229" i="19"/>
  <c r="P228" i="19"/>
  <c r="P227" i="19"/>
  <c r="P226" i="19"/>
  <c r="P224" i="19"/>
  <c r="P221" i="19"/>
  <c r="P220" i="19"/>
  <c r="P219" i="19"/>
  <c r="P218" i="19"/>
  <c r="P217" i="19"/>
  <c r="P216" i="19"/>
  <c r="P215" i="19"/>
  <c r="P214" i="19"/>
  <c r="P213" i="19"/>
  <c r="P212" i="19"/>
  <c r="P211" i="19"/>
  <c r="P210" i="19"/>
  <c r="P208" i="19"/>
  <c r="P207" i="19"/>
  <c r="P206" i="19"/>
  <c r="P205" i="19"/>
  <c r="P204" i="19"/>
  <c r="P203" i="19"/>
  <c r="P202" i="19"/>
  <c r="P201" i="19"/>
  <c r="P200" i="19"/>
  <c r="P199" i="19"/>
  <c r="P198" i="19"/>
  <c r="P197" i="19"/>
  <c r="P195" i="19"/>
  <c r="P194" i="19"/>
  <c r="P193" i="19"/>
  <c r="P192" i="19"/>
  <c r="P191" i="19"/>
  <c r="P189" i="19"/>
  <c r="P188" i="19"/>
  <c r="P187" i="19"/>
  <c r="P186" i="19"/>
  <c r="P185" i="19"/>
  <c r="P184" i="19"/>
  <c r="P181" i="19"/>
  <c r="P179" i="19"/>
  <c r="P178" i="19"/>
  <c r="P177" i="19"/>
  <c r="P176" i="19"/>
  <c r="P175" i="19"/>
  <c r="P173" i="19"/>
  <c r="P172" i="19"/>
  <c r="P171" i="19"/>
  <c r="P170" i="19"/>
  <c r="P169" i="19"/>
  <c r="P168" i="19"/>
  <c r="P167" i="19"/>
  <c r="P166" i="19"/>
  <c r="P165" i="19"/>
  <c r="P164" i="19"/>
  <c r="P163" i="19"/>
  <c r="P162" i="19"/>
  <c r="P161" i="19"/>
  <c r="P159" i="19"/>
  <c r="P158" i="19"/>
  <c r="P157" i="19"/>
  <c r="P156" i="19"/>
  <c r="P155" i="19"/>
  <c r="P154" i="19"/>
  <c r="P153" i="19"/>
  <c r="P152" i="19"/>
  <c r="P151" i="19"/>
  <c r="P150" i="19"/>
  <c r="P148" i="19"/>
  <c r="P147" i="19"/>
  <c r="P146" i="19"/>
  <c r="P145" i="19"/>
  <c r="P144" i="19"/>
  <c r="P143" i="19"/>
  <c r="P142" i="19"/>
  <c r="P141" i="19"/>
  <c r="P139" i="19"/>
  <c r="P138" i="19"/>
  <c r="P137" i="19"/>
  <c r="P135" i="19"/>
  <c r="P134" i="19"/>
  <c r="P133" i="19"/>
  <c r="P132" i="19"/>
  <c r="P131" i="19"/>
  <c r="P130" i="19"/>
  <c r="P129" i="19"/>
  <c r="P128" i="19"/>
  <c r="P127" i="19"/>
  <c r="P126" i="19"/>
  <c r="P125" i="19"/>
  <c r="P124" i="19"/>
  <c r="P123" i="19"/>
  <c r="P121" i="19"/>
  <c r="P120" i="19"/>
  <c r="P119" i="19"/>
  <c r="P118" i="19"/>
  <c r="P117" i="19"/>
  <c r="P116" i="19"/>
  <c r="P115" i="19"/>
  <c r="P114" i="19"/>
  <c r="P113" i="19"/>
  <c r="P112" i="19"/>
  <c r="P110" i="19"/>
  <c r="P109" i="19"/>
  <c r="P108" i="19"/>
  <c r="P107" i="19"/>
  <c r="P106" i="19"/>
  <c r="P105" i="19"/>
  <c r="P104" i="19"/>
  <c r="P103" i="19"/>
  <c r="P102" i="19"/>
  <c r="P101" i="19"/>
  <c r="P98" i="19"/>
  <c r="P97" i="19"/>
  <c r="P96" i="19"/>
  <c r="P95" i="19"/>
  <c r="P94" i="19"/>
  <c r="P93" i="19"/>
  <c r="P92" i="19"/>
  <c r="P91" i="19"/>
  <c r="P90" i="19"/>
  <c r="P88" i="19"/>
  <c r="P87" i="19"/>
  <c r="P86" i="19"/>
  <c r="P85" i="19"/>
  <c r="P84" i="19"/>
  <c r="P83" i="19"/>
  <c r="P82" i="19"/>
  <c r="P81" i="19"/>
  <c r="P80" i="19"/>
  <c r="P79" i="19"/>
  <c r="P78" i="19"/>
  <c r="P77" i="19"/>
  <c r="P76" i="19"/>
  <c r="P75" i="19"/>
  <c r="P74" i="19"/>
  <c r="P72" i="19"/>
  <c r="P71" i="19"/>
  <c r="P70" i="19"/>
  <c r="P69" i="19"/>
  <c r="P68" i="19"/>
  <c r="P67" i="19"/>
  <c r="P64" i="19"/>
  <c r="P63" i="19"/>
  <c r="P61" i="19"/>
  <c r="P60" i="19"/>
  <c r="P58" i="19"/>
  <c r="P57" i="19"/>
  <c r="P56" i="19"/>
  <c r="P55" i="19"/>
  <c r="P54" i="19"/>
  <c r="P53" i="19"/>
  <c r="P52" i="19"/>
  <c r="P49" i="19"/>
  <c r="P48" i="19"/>
  <c r="P47" i="19"/>
  <c r="P46" i="19"/>
  <c r="P45" i="19"/>
  <c r="P44" i="19"/>
  <c r="P43" i="19"/>
  <c r="P42" i="19"/>
  <c r="P41" i="19"/>
  <c r="P40" i="19"/>
  <c r="P39" i="19"/>
  <c r="P38" i="19"/>
  <c r="P37" i="19"/>
  <c r="P36" i="19"/>
  <c r="P35" i="19"/>
  <c r="P34" i="19"/>
  <c r="P33" i="19"/>
  <c r="P32" i="19"/>
  <c r="P30" i="19"/>
  <c r="P29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2" i="19"/>
  <c r="P11" i="19"/>
  <c r="P10" i="19"/>
  <c r="P9" i="19"/>
  <c r="M27" i="19"/>
  <c r="K237" i="19"/>
  <c r="H27" i="19"/>
  <c r="G237" i="19"/>
  <c r="F237" i="19"/>
  <c r="E27" i="19"/>
  <c r="M257" i="19"/>
  <c r="L257" i="19"/>
  <c r="K257" i="19"/>
  <c r="J257" i="19"/>
  <c r="I257" i="19"/>
  <c r="H257" i="19"/>
  <c r="G257" i="19"/>
  <c r="F257" i="19"/>
  <c r="E257" i="19"/>
  <c r="M155" i="19"/>
  <c r="K155" i="19"/>
  <c r="H155" i="19"/>
  <c r="G155" i="19"/>
  <c r="F155" i="19"/>
  <c r="E155" i="19"/>
  <c r="M134" i="19"/>
  <c r="K134" i="19"/>
  <c r="H134" i="19"/>
  <c r="G134" i="19"/>
  <c r="F134" i="19"/>
  <c r="E134" i="19"/>
  <c r="M100" i="19"/>
  <c r="K100" i="19"/>
  <c r="H100" i="19"/>
  <c r="G100" i="19"/>
  <c r="F100" i="19"/>
  <c r="E100" i="19"/>
  <c r="M203" i="19"/>
  <c r="K203" i="19"/>
  <c r="H203" i="19"/>
  <c r="G203" i="19"/>
  <c r="F203" i="19"/>
  <c r="E203" i="19"/>
  <c r="M8" i="19"/>
  <c r="M258" i="19" s="1"/>
  <c r="F8" i="19"/>
  <c r="F258" i="19" s="1"/>
  <c r="E8" i="19"/>
  <c r="E258" i="19" s="1"/>
  <c r="M65" i="19"/>
  <c r="K65" i="19"/>
  <c r="H65" i="19"/>
  <c r="G65" i="19"/>
  <c r="F65" i="19"/>
  <c r="E65" i="19"/>
  <c r="M187" i="19"/>
  <c r="K187" i="19"/>
  <c r="H187" i="19"/>
  <c r="G187" i="19"/>
  <c r="F187" i="19"/>
  <c r="E187" i="19"/>
  <c r="M83" i="19"/>
  <c r="K83" i="19"/>
  <c r="H83" i="19"/>
  <c r="G83" i="19"/>
  <c r="F83" i="19"/>
  <c r="E83" i="19"/>
  <c r="M175" i="19"/>
  <c r="K175" i="19"/>
  <c r="H175" i="19"/>
  <c r="G175" i="19"/>
  <c r="F175" i="19"/>
  <c r="E175" i="19"/>
  <c r="M44" i="19"/>
  <c r="K44" i="19"/>
  <c r="H44" i="19"/>
  <c r="G44" i="19"/>
  <c r="F44" i="19"/>
  <c r="E44" i="19"/>
  <c r="M115" i="19"/>
  <c r="K115" i="19"/>
  <c r="H115" i="19"/>
  <c r="G115" i="19"/>
  <c r="F115" i="19"/>
  <c r="E115" i="19"/>
  <c r="M217" i="19"/>
  <c r="K217" i="19"/>
  <c r="H217" i="19"/>
  <c r="G217" i="19"/>
  <c r="F217" i="19"/>
  <c r="E217" i="19"/>
  <c r="M237" i="19"/>
  <c r="F27" i="19"/>
  <c r="E237" i="19"/>
  <c r="H237" i="19"/>
  <c r="G27" i="19"/>
  <c r="K27" i="19"/>
  <c r="J44" i="19"/>
  <c r="I27" i="19"/>
  <c r="I44" i="19"/>
  <c r="I203" i="19"/>
  <c r="H8" i="19"/>
  <c r="H258" i="19" s="1"/>
  <c r="J100" i="19"/>
  <c r="J134" i="19"/>
  <c r="J83" i="19"/>
  <c r="J155" i="19"/>
  <c r="J187" i="19"/>
  <c r="J217" i="19"/>
  <c r="I100" i="19"/>
  <c r="I115" i="19"/>
  <c r="I175" i="19"/>
  <c r="J65" i="19"/>
  <c r="I187" i="19"/>
  <c r="J115" i="19"/>
  <c r="J175" i="19"/>
  <c r="I217" i="19"/>
  <c r="I83" i="19"/>
  <c r="J237" i="19"/>
  <c r="J203" i="19"/>
  <c r="K8" i="19"/>
  <c r="K258" i="19" s="1"/>
  <c r="I155" i="19"/>
  <c r="I134" i="19"/>
  <c r="I8" i="19"/>
  <c r="I258" i="19" s="1"/>
  <c r="G8" i="19"/>
  <c r="G258" i="19" s="1"/>
  <c r="I237" i="19"/>
  <c r="J27" i="19"/>
  <c r="I65" i="19"/>
  <c r="J8" i="19"/>
  <c r="J258" i="19" s="1"/>
  <c r="L217" i="19" l="1"/>
  <c r="L8" i="19"/>
  <c r="L187" i="19"/>
  <c r="L203" i="19"/>
  <c r="Q203" i="19"/>
  <c r="C16" i="20" s="1"/>
  <c r="Q217" i="19"/>
  <c r="C12" i="20" s="1"/>
  <c r="L83" i="19"/>
  <c r="Q115" i="19"/>
  <c r="C11" i="20" s="1"/>
  <c r="Q155" i="19"/>
  <c r="C6" i="20" s="1"/>
  <c r="Q175" i="19"/>
  <c r="C7" i="20" s="1"/>
  <c r="Q187" i="19"/>
  <c r="C17" i="20" s="1"/>
  <c r="Q237" i="19"/>
  <c r="C8" i="20" s="1"/>
  <c r="P8" i="19"/>
  <c r="Q8" i="19" s="1"/>
  <c r="Q27" i="19"/>
  <c r="C10" i="20" s="1"/>
  <c r="Q44" i="19"/>
  <c r="C13" i="20" s="1"/>
  <c r="Q65" i="19"/>
  <c r="C18" i="20" s="1"/>
  <c r="Q83" i="19"/>
  <c r="C9" i="20" s="1"/>
  <c r="Q100" i="19"/>
  <c r="C19" i="20" s="1"/>
  <c r="Q134" i="19"/>
  <c r="C14" i="20" s="1"/>
  <c r="L175" i="19"/>
  <c r="L155" i="19"/>
  <c r="L27" i="19"/>
  <c r="L237" i="19"/>
  <c r="L44" i="19"/>
  <c r="L65" i="19"/>
  <c r="L134" i="19"/>
  <c r="L115" i="19"/>
  <c r="L100" i="19"/>
  <c r="P258" i="19" l="1"/>
  <c r="L258" i="19"/>
  <c r="Q258" i="19"/>
  <c r="C15" i="20"/>
  <c r="C21" i="20" s="1"/>
</calcChain>
</file>

<file path=xl/sharedStrings.xml><?xml version="1.0" encoding="utf-8"?>
<sst xmlns="http://schemas.openxmlformats.org/spreadsheetml/2006/main" count="2412" uniqueCount="724">
  <si>
    <t>KARANGTENGAH</t>
  </si>
  <si>
    <t>NO</t>
  </si>
  <si>
    <t>KECAMATAN</t>
  </si>
  <si>
    <t xml:space="preserve"> DESA</t>
  </si>
  <si>
    <t>Mranggen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</si>
  <si>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</si>
  <si>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</si>
  <si>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</si>
  <si>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</si>
  <si>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</si>
  <si>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</si>
  <si>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</si>
  <si>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</si>
  <si>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</si>
  <si>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</si>
  <si>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</si>
  <si>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</si>
  <si>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</si>
  <si>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</si>
  <si>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</si>
  <si>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</si>
  <si>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</si>
  <si>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</si>
  <si>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</si>
  <si>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</si>
  <si>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</si>
  <si>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</si>
  <si>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</si>
  <si>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</si>
  <si>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</si>
  <si>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</si>
  <si>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</si>
  <si>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</si>
  <si>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</si>
  <si>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</si>
  <si>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</si>
  <si>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</si>
  <si>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</si>
  <si>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</si>
  <si>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</si>
  <si>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</si>
  <si>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</si>
  <si>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</si>
  <si>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</si>
  <si>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</si>
  <si>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</si>
  <si>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</si>
  <si>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</si>
  <si>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</si>
  <si>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</si>
  <si>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</si>
  <si>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</si>
  <si>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</si>
  <si>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</si>
  <si>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</si>
  <si>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</si>
  <si>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</si>
  <si>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</si>
  <si>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</si>
  <si>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</si>
  <si>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</si>
  <si>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</si>
  <si>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</si>
  <si>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</si>
  <si>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</si>
  <si>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</si>
  <si>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</si>
  <si>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</si>
  <si>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</si>
  <si>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</si>
  <si>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</si>
  <si>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</si>
  <si>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</si>
  <si>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</si>
  <si>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</si>
  <si>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</si>
  <si>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</si>
  <si>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</si>
  <si>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</si>
  <si>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</si>
  <si>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</si>
  <si>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</si>
  <si>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</si>
  <si>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</si>
  <si>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</si>
  <si>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</si>
  <si>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</si>
  <si>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</si>
  <si>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</si>
  <si>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</si>
  <si>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</si>
  <si>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</si>
  <si>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</si>
  <si>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</si>
  <si>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</si>
  <si>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</si>
  <si>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</si>
  <si>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</si>
  <si>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</si>
  <si>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</si>
  <si>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</si>
  <si>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</si>
  <si>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</si>
  <si>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</si>
  <si>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</si>
  <si>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</si>
  <si>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</si>
  <si>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</si>
  <si>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</si>
  <si>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</si>
  <si>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</si>
  <si>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</si>
  <si>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</si>
  <si>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</si>
  <si>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</si>
  <si>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</si>
  <si>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</si>
  <si>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</si>
  <si>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</si>
  <si>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</si>
  <si>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</si>
  <si>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</si>
  <si>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</si>
  <si>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</si>
  <si>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</si>
  <si>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</si>
  <si>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</si>
  <si>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</si>
  <si>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</si>
  <si>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</si>
  <si>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</si>
  <si>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</si>
  <si>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</si>
  <si>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</si>
  <si>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</si>
  <si>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</si>
  <si>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</si>
  <si>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</si>
  <si>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</si>
  <si>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</si>
  <si>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</si>
  <si>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</si>
  <si>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</si>
  <si>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</si>
  <si>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</si>
  <si>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</si>
  <si>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</si>
  <si>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</si>
  <si>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</si>
  <si>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</si>
  <si>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</si>
  <si>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</si>
  <si>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</si>
  <si>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</si>
  <si>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</si>
  <si>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</si>
  <si>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</si>
  <si>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</si>
  <si>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</si>
  <si>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</si>
  <si>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</si>
  <si>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</si>
  <si>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</si>
  <si>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</si>
  <si>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</si>
  <si>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</si>
  <si>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</si>
  <si>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</si>
  <si>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</si>
  <si>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</si>
  <si>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</si>
  <si>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</si>
  <si>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</si>
  <si>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</si>
  <si>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</si>
  <si>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</si>
  <si>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</si>
  <si>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</si>
  <si>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</si>
  <si>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</si>
  <si>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</si>
  <si>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</si>
  <si>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</si>
  <si>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</si>
  <si>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</si>
  <si>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</si>
  <si>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</si>
  <si>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</si>
  <si>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</si>
  <si>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</si>
  <si>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</si>
  <si>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</si>
  <si>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</si>
  <si>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</si>
  <si>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</si>
  <si>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</si>
  <si>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</si>
  <si>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</si>
  <si>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</si>
  <si>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</si>
  <si>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</si>
  <si>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</si>
  <si>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</si>
  <si>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</si>
  <si>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</si>
  <si>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</si>
  <si>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</si>
  <si>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</si>
  <si>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</si>
  <si>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</si>
  <si>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</si>
  <si>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</si>
  <si>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</si>
  <si>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</si>
  <si>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</si>
  <si>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</si>
  <si>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</si>
  <si>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</si>
  <si>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</si>
  <si>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</si>
  <si>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</si>
  <si>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</si>
  <si>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</si>
  <si>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</si>
  <si>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</si>
  <si>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</si>
  <si>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</si>
  <si>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</si>
  <si>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</si>
  <si>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</si>
  <si>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</si>
  <si>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</si>
  <si>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</si>
  <si>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</si>
  <si>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</si>
  <si>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</si>
  <si>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</si>
  <si>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</si>
  <si>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</si>
  <si>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</si>
  <si>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</si>
  <si>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</si>
  <si>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</si>
  <si>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</si>
  <si>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</si>
  <si>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</si>
  <si>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</si>
  <si>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</si>
  <si>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</si>
  <si>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</si>
  <si>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</si>
  <si>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</si>
  <si>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</si>
  <si>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</si>
  <si>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</si>
  <si>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</si>
  <si>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</si>
  <si>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</si>
  <si>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</si>
  <si>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</si>
  <si>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</si>
  <si>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</si>
  <si>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</si>
  <si>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</si>
  <si>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</si>
  <si>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</si>
  <si>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</si>
  <si>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</si>
  <si>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</si>
  <si>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</si>
  <si>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</si>
  <si>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</si>
  <si>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</si>
  <si>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</si>
  <si>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</si>
  <si>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</si>
  <si>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</si>
  <si>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</si>
  <si>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</si>
  <si>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</si>
  <si>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</si>
  <si>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</si>
  <si>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</si>
  <si>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</si>
  <si>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</si>
  <si>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</si>
  <si>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</si>
  <si>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</si>
  <si>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</si>
  <si>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</si>
  <si>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</si>
  <si>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</si>
  <si>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</si>
  <si>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</si>
  <si>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LUAR WILAYAH</t>
  </si>
  <si>
    <t>Kotakan</t>
  </si>
  <si>
    <t>MENINGGAL</t>
  </si>
  <si>
    <t>TERKONFIRMASI YANG DI RAWAT DI LUAR DEMAK</t>
  </si>
  <si>
    <t>TGL :</t>
  </si>
  <si>
    <t>KONFIRMASI  YANG DI TEMUKAN DI DEMAK</t>
  </si>
  <si>
    <t>KONFIRMASI YANG DI RARAT D DEMAK</t>
  </si>
  <si>
    <t>,</t>
  </si>
  <si>
    <t>OTG</t>
  </si>
  <si>
    <t>SEMBUH LUAR DAERAH</t>
  </si>
  <si>
    <t>SEMBUH DALAM DAERAH</t>
  </si>
  <si>
    <t>L</t>
  </si>
  <si>
    <t>RSUD Sunan Kalijaga Demak</t>
  </si>
  <si>
    <t>P</t>
  </si>
  <si>
    <t>-</t>
  </si>
  <si>
    <t>MRANGGEN</t>
  </si>
  <si>
    <t>ISOLASI MANDIRI</t>
  </si>
  <si>
    <t>demak</t>
  </si>
  <si>
    <t>RSUD K.R.M.T Wongsonegoro Semarang</t>
  </si>
  <si>
    <t>SULASTRI</t>
  </si>
  <si>
    <t>DARMAN</t>
  </si>
  <si>
    <t>0813-2545-0942</t>
  </si>
  <si>
    <t>ABDUL AZIZ</t>
  </si>
  <si>
    <t>REJOSARI RT05/01</t>
  </si>
  <si>
    <t>COVID Isolasi Mandiri</t>
  </si>
  <si>
    <t>SUYANTO, TN</t>
  </si>
  <si>
    <t>RS Nasional Diponegoro</t>
  </si>
  <si>
    <t>WRINGIN JAJAR RT -8/03 KEL. WRINGIN JAJAR, KEC. MRANGGEN</t>
  </si>
  <si>
    <t>Demam,Batuk</t>
  </si>
  <si>
    <t>Kedungmutih 01/02 wedung demak</t>
  </si>
  <si>
    <t>0821-3664-1181</t>
  </si>
  <si>
    <t>Sesak Napas</t>
  </si>
  <si>
    <t>Rumah</t>
  </si>
  <si>
    <t>YULI SUGIHARTI</t>
  </si>
  <si>
    <t>Demam</t>
  </si>
  <si>
    <t>0813-8349-4033</t>
  </si>
  <si>
    <t>Lain - Lain</t>
  </si>
  <si>
    <t>JAMBARI, TN</t>
  </si>
  <si>
    <t>M. ZUHRI</t>
  </si>
  <si>
    <t>0812-2953-7707</t>
  </si>
  <si>
    <t>Lemas</t>
  </si>
  <si>
    <t>SUMARTO</t>
  </si>
  <si>
    <t>0884-2711-4922</t>
  </si>
  <si>
    <t>SRI WAHYUNI</t>
  </si>
  <si>
    <t>KALISARI</t>
  </si>
  <si>
    <t>SUMBEREJO</t>
  </si>
  <si>
    <t>PURWOSARI</t>
  </si>
  <si>
    <t>SIDOGEMAH</t>
  </si>
  <si>
    <t>GEMULAK</t>
  </si>
  <si>
    <t>SRIWULAN</t>
  </si>
  <si>
    <t>DONOREJO</t>
  </si>
  <si>
    <t>REJOSARI</t>
  </si>
  <si>
    <t>BATURSARI</t>
  </si>
  <si>
    <t>MENUR</t>
  </si>
  <si>
    <t>WRINGINJAJAR</t>
  </si>
  <si>
    <t>SIDOREJO</t>
  </si>
  <si>
    <t>Dinkes Demak</t>
  </si>
  <si>
    <t>KEMBANGARUM</t>
  </si>
  <si>
    <t>jateng</t>
  </si>
  <si>
    <t>LOIRENG</t>
  </si>
  <si>
    <t>KEDUNGMUTIH</t>
  </si>
  <si>
    <t>ISOLASI MANDIRI LUAR</t>
  </si>
  <si>
    <t>BAMBANG SUJATMIKO</t>
  </si>
  <si>
    <t>0821-3262-6204-5</t>
  </si>
  <si>
    <t>KANGKUNG</t>
  </si>
  <si>
    <t>PONO</t>
  </si>
  <si>
    <t>JRAGUNG RT02/17</t>
  </si>
  <si>
    <t>Mual</t>
  </si>
  <si>
    <t>MAHARANI PUSPITASARI</t>
  </si>
  <si>
    <t>SYAFIUDIN</t>
  </si>
  <si>
    <t>SUMBEREJO RT02/08</t>
  </si>
  <si>
    <t>0813-2760-7087</t>
  </si>
  <si>
    <t>Sakit Perut,Sesak Napas</t>
  </si>
  <si>
    <t>SRIWULAN RT08/01</t>
  </si>
  <si>
    <t>0857-4362-6762</t>
  </si>
  <si>
    <t>Demam,Batuk,Sakit Tenggorokan,Pilek</t>
  </si>
  <si>
    <t>JRAGUNG</t>
  </si>
  <si>
    <t>JETAKSARI</t>
  </si>
  <si>
    <t>M. RUMAJI</t>
  </si>
  <si>
    <t>KEMBANGARUM RT11/12</t>
  </si>
  <si>
    <t>0823-2577-3548</t>
  </si>
  <si>
    <t>2020-06-21 00:00:00</t>
  </si>
  <si>
    <t>2020-06-22 00:00:00</t>
  </si>
  <si>
    <t>2020-06-17 00:00:00</t>
  </si>
  <si>
    <t>SUGIYARTI</t>
  </si>
  <si>
    <t>0858-4292-4931</t>
  </si>
  <si>
    <t>2020-06-12 00:00:00</t>
  </si>
  <si>
    <t>TELUK</t>
  </si>
  <si>
    <t>TELUK KAJAR RT03/05</t>
  </si>
  <si>
    <t>0896-3890-847</t>
  </si>
  <si>
    <t>Mual,Demam</t>
  </si>
  <si>
    <t>2020-06-16 00:00:00</t>
  </si>
  <si>
    <t>MIR`AH</t>
  </si>
  <si>
    <t>SIDOREJO RT02/04</t>
  </si>
  <si>
    <t>0823-0604-2525</t>
  </si>
  <si>
    <t>2020-06-15 00:00:00</t>
  </si>
  <si>
    <t>MUHAMAD TOPIK HIDAYAT</t>
  </si>
  <si>
    <t>PRIGI RT05/06</t>
  </si>
  <si>
    <t>2020-06-26 00:00:00</t>
  </si>
  <si>
    <t>COVID Sembuh</t>
  </si>
  <si>
    <t>Kembangarum</t>
  </si>
  <si>
    <t>CABEAN</t>
  </si>
  <si>
    <t>PRAMPELAN</t>
  </si>
  <si>
    <t>TRENGGULI</t>
  </si>
  <si>
    <t>Kedungori</t>
  </si>
  <si>
    <t>2020-06-03 00:00:00</t>
  </si>
  <si>
    <t xml:space="preserve">MRANGGEN </t>
  </si>
  <si>
    <t>TOTAL</t>
  </si>
  <si>
    <t>Betty Diah Novita</t>
  </si>
  <si>
    <t>3374016611730001</t>
  </si>
  <si>
    <t>Bukit seroja 2 no.178  4/2 Semarang</t>
  </si>
  <si>
    <t>0818828017733</t>
  </si>
  <si>
    <t>MONDOKERTO RT05/03</t>
  </si>
  <si>
    <t>2020-06-09 00:00:00</t>
  </si>
  <si>
    <t>0895-3840-0274-3</t>
  </si>
  <si>
    <t>2020-06-07 00:00:00</t>
  </si>
  <si>
    <t>Trengguli RT 03 RW 03 Wonosalam Demak</t>
  </si>
  <si>
    <t>2020-06-08 00:00:00</t>
  </si>
  <si>
    <t>KARANG RT04/05</t>
  </si>
  <si>
    <t>Lemas,Sakit Perut,Sesak Napas,Batuk,Demam</t>
  </si>
  <si>
    <t>0821-6053-0951</t>
  </si>
  <si>
    <t>KAYON RT03/01</t>
  </si>
  <si>
    <t>Batuk,Sesak Napas,Mual,Demam,Lemas</t>
  </si>
  <si>
    <t>Demam,Mual</t>
  </si>
  <si>
    <t>JL KH ABURROHMAN RT04/01</t>
  </si>
  <si>
    <t>Batuk,Sakit Tenggorokan</t>
  </si>
  <si>
    <t>LENGKONG RT02/05</t>
  </si>
  <si>
    <t>2020-06-02 00:00:00</t>
  </si>
  <si>
    <t>Demam,Batuk,Sesak Napas,Mual,Lemas,Sakit Kepala</t>
  </si>
  <si>
    <t>PUCANG GEDE RAYA NO 19 RT11/13</t>
  </si>
  <si>
    <t>2020-06-13 00:00:00</t>
  </si>
  <si>
    <t>Sesak Napas,Batuk,Sakit Kepala,Mual,Demam,Lemas</t>
  </si>
  <si>
    <t>0856-4059-2750</t>
  </si>
  <si>
    <t>Sakit Kepala,Demam</t>
  </si>
  <si>
    <t>RT.03 RW.06, Kel/Desa Cabean Kec. Demak</t>
  </si>
  <si>
    <t>SAWI</t>
  </si>
  <si>
    <t>DINKES PONTIANAK</t>
  </si>
  <si>
    <t>NAMA</t>
  </si>
  <si>
    <t>KABUPATEN</t>
  </si>
  <si>
    <t>KELURAHAN</t>
  </si>
  <si>
    <t>ALAMAT</t>
  </si>
  <si>
    <t>UMUR</t>
  </si>
  <si>
    <t>JENIS KELAMIN</t>
  </si>
  <si>
    <t>NO. TELP</t>
  </si>
  <si>
    <t>STATUS</t>
  </si>
  <si>
    <t>TOTAL KECAMATAN</t>
  </si>
  <si>
    <t>Suspek Dirawat</t>
  </si>
  <si>
    <t>RUMAH SAKIT</t>
  </si>
  <si>
    <t xml:space="preserve">REKAPITULASI DATA SUSPECT </t>
  </si>
  <si>
    <t>REKAP PASIEN DALAM PENGAWASAN (PDP) YANG MASIH DALAM PERAWATAN</t>
  </si>
  <si>
    <t>FASYANKES : RSUD SUNAN KALI JAGA DEMAK</t>
  </si>
  <si>
    <t>NIK</t>
  </si>
  <si>
    <t>PEKERJAAN</t>
  </si>
  <si>
    <t>TEMPAT PEKERJAAN</t>
  </si>
  <si>
    <t>KONDISI UMUM</t>
  </si>
  <si>
    <t>PERSINGGAHAN</t>
  </si>
  <si>
    <t>RIWAYAT MEDIS</t>
  </si>
  <si>
    <t>FAKTOR RESIKO</t>
  </si>
  <si>
    <t>GEJALA</t>
  </si>
  <si>
    <t>TGL MULAI GEJALA</t>
  </si>
  <si>
    <t>TGL MASUK RS</t>
  </si>
  <si>
    <t>TGL KELUAR RS</t>
  </si>
  <si>
    <t>JUMLAH KONTAK</t>
  </si>
  <si>
    <t>TGL UPDATE</t>
  </si>
  <si>
    <t>TGL LAPOR SISTEM</t>
  </si>
  <si>
    <t>SUSPEK</t>
  </si>
  <si>
    <t>REKAPITULASI DATA SUSPEK</t>
  </si>
  <si>
    <t xml:space="preserve">  </t>
  </si>
  <si>
    <t>Karyawan Swasta</t>
  </si>
  <si>
    <t>SUSPEK TOTAL</t>
  </si>
  <si>
    <t>SUSPEK SEHAT</t>
  </si>
  <si>
    <t>SUSPEK DIRAWAT</t>
  </si>
  <si>
    <t>TGL</t>
  </si>
  <si>
    <t>SUSPEK BARU</t>
  </si>
  <si>
    <t>SUSPEK PULANG</t>
  </si>
  <si>
    <t>Petani/ Pekebun</t>
  </si>
  <si>
    <t>Mengurus Rumah Tangga</t>
  </si>
  <si>
    <t>Tidak Tahu</t>
  </si>
  <si>
    <t>TIDAK TAHU</t>
  </si>
  <si>
    <t>LEMAH</t>
  </si>
  <si>
    <t>Wiraswasta</t>
  </si>
  <si>
    <t>JAWA TENGAH</t>
  </si>
  <si>
    <t>KEBONBATUR</t>
  </si>
  <si>
    <t>Pegawai Negeri Sipil</t>
  </si>
  <si>
    <t xml:space="preserve"> RS Umum Daerah K.R.M.T Wongsonegoro</t>
  </si>
  <si>
    <t>LEMAS</t>
  </si>
  <si>
    <t>Pelajar / Mahasiswa</t>
  </si>
  <si>
    <t>BANDUNGREJO</t>
  </si>
  <si>
    <t>demam</t>
  </si>
  <si>
    <t>lemas sesak</t>
  </si>
  <si>
    <t xml:space="preserve"> RS Umum  Islam Sunan Kudus</t>
  </si>
  <si>
    <t>WONOREJO</t>
  </si>
  <si>
    <t>GEBANGARUM</t>
  </si>
  <si>
    <t>DEMAM</t>
  </si>
  <si>
    <t>'3321086410010001</t>
  </si>
  <si>
    <t>MIYA ADELA</t>
  </si>
  <si>
    <t>TAMBIREJO</t>
  </si>
  <si>
    <t>0812-2537-1533</t>
  </si>
  <si>
    <t>DEMAM, BATUK, SESAK NAPAS</t>
  </si>
  <si>
    <t>RS Umum Daerah Tugurejo Semarang</t>
  </si>
  <si>
    <t>'3321040507680005</t>
  </si>
  <si>
    <t>MASYKUR</t>
  </si>
  <si>
    <t>SODONG</t>
  </si>
  <si>
    <t>0882-2174-1864</t>
  </si>
  <si>
    <t>SECURITY DI KAWASAN KALIGAWE</t>
  </si>
  <si>
    <t>RS Umum William Booth</t>
  </si>
  <si>
    <t>0240-6725-555</t>
  </si>
  <si>
    <t>'3321096612710001</t>
  </si>
  <si>
    <t>NUR AZIZAH</t>
  </si>
  <si>
    <t>0856-4156-7715</t>
  </si>
  <si>
    <t>PROVINSI</t>
  </si>
  <si>
    <t>RT</t>
  </si>
  <si>
    <t>RW</t>
  </si>
  <si>
    <t>'3321120903660001</t>
  </si>
  <si>
    <t>NUR WAKHID</t>
  </si>
  <si>
    <t>0813-3622-5043</t>
  </si>
  <si>
    <t>Nelayan/ Perikanan</t>
  </si>
  <si>
    <t>- TIDAK TAHU</t>
  </si>
  <si>
    <t>RS Umum Jati Husada</t>
  </si>
  <si>
    <t>lemah</t>
  </si>
  <si>
    <t>'3321012802630005</t>
  </si>
  <si>
    <t>HARWEL</t>
  </si>
  <si>
    <t>JL. PUCANG JAJAR IV NO. 14</t>
  </si>
  <si>
    <t>0852-9020-0025</t>
  </si>
  <si>
    <t>PERSON ID</t>
  </si>
  <si>
    <t>KODE SAMPEL</t>
  </si>
  <si>
    <t>HASIL PEMERIKSAAN</t>
  </si>
  <si>
    <t>TANGGAL PEMERIKSAAN</t>
  </si>
  <si>
    <t>no</t>
  </si>
  <si>
    <t>'3321010501750002</t>
  </si>
  <si>
    <t>KHABIB SHOLEH, S.AG.</t>
  </si>
  <si>
    <t>JL. JATIKUSUMAN I MRANGGEN</t>
  </si>
  <si>
    <t>'3374062010510001</t>
  </si>
  <si>
    <t>SUDARSO</t>
  </si>
  <si>
    <t>JL. KEBON PENI II NO. 16</t>
  </si>
  <si>
    <t>BULUSARI</t>
  </si>
  <si>
    <t>RS Orthopedi Prof. Dr. R. Soeharso</t>
  </si>
  <si>
    <t>PILANGSARI</t>
  </si>
  <si>
    <t>'3321014101910008</t>
  </si>
  <si>
    <t>SHELA MONITA ZAIN</t>
  </si>
  <si>
    <t>PONDOK MAJAPAHIT II BLOK T NO. 3</t>
  </si>
  <si>
    <t>0821-3644-4491</t>
  </si>
  <si>
    <t>cm</t>
  </si>
  <si>
    <t>RS Umum Indriati</t>
  </si>
  <si>
    <t>'3321044809730003</t>
  </si>
  <si>
    <t>DHOFIFAH</t>
  </si>
  <si>
    <t>KARANGASEM</t>
  </si>
  <si>
    <t>0895-3830-0644-9</t>
  </si>
  <si>
    <t>'3321046505720003</t>
  </si>
  <si>
    <t>UMI SALAMAH</t>
  </si>
  <si>
    <t>PILANG  3</t>
  </si>
  <si>
    <t>0821-3617-5955</t>
  </si>
  <si>
    <t>LEMAS,DEMAM,SESEG</t>
  </si>
  <si>
    <t>'3374100803520001</t>
  </si>
  <si>
    <t>NURDIN, H</t>
  </si>
  <si>
    <t>0896-6832-2667-</t>
  </si>
  <si>
    <t>'3321012207640001</t>
  </si>
  <si>
    <t>HENDARTO</t>
  </si>
  <si>
    <t>JL. KEBON SAWIT VIII No. 7</t>
  </si>
  <si>
    <t>8132-7223-367</t>
  </si>
  <si>
    <t>'3321016306730001</t>
  </si>
  <si>
    <t>DWI TRI YUNIATI</t>
  </si>
  <si>
    <t>PUCANG SENTOSA TMR X/1</t>
  </si>
  <si>
    <t>0813-2558-3448</t>
  </si>
  <si>
    <t>RS Umum Sultan Agung Semarang</t>
  </si>
  <si>
    <t>'3321040507520006</t>
  </si>
  <si>
    <t>'3374026012960004</t>
  </si>
  <si>
    <t>DEVITA NIDIASTUTI</t>
  </si>
  <si>
    <t>JAMUS</t>
  </si>
  <si>
    <t>JAMUS KRAJAN</t>
  </si>
  <si>
    <t>0813-3295-5615</t>
  </si>
  <si>
    <t>Puskesmas Wedung 2</t>
  </si>
  <si>
    <t>SOEMARNO</t>
  </si>
  <si>
    <t xml:space="preserve">BULUSARI SAYUNG RT 03/02 sayung demak </t>
  </si>
  <si>
    <t>085225994473</t>
  </si>
  <si>
    <t>'3321131110140001</t>
  </si>
  <si>
    <t>MUHAMMAD FAQIH KHOIRY RAHMAN</t>
  </si>
  <si>
    <t>KENDALASEM</t>
  </si>
  <si>
    <t>0821-3760-1147</t>
  </si>
  <si>
    <t>panas batuk lemes</t>
  </si>
  <si>
    <t>'3321131305650001</t>
  </si>
  <si>
    <t>MOH. DORUN</t>
  </si>
  <si>
    <t>TEDUNAN</t>
  </si>
  <si>
    <t>0888-8888-8888</t>
  </si>
  <si>
    <t>DINAS KESEHATAN KAB. DEMAK TH 2021</t>
  </si>
  <si>
    <t>NEGATIF</t>
  </si>
  <si>
    <t>'3321011006450001</t>
  </si>
  <si>
    <t>MAT SAKURUN</t>
  </si>
  <si>
    <t>WARU</t>
  </si>
  <si>
    <t>KRAJAN LOR</t>
  </si>
  <si>
    <t>085876714669</t>
  </si>
  <si>
    <t>POSITIF</t>
  </si>
  <si>
    <t>RS Umum Islam NU Demak</t>
  </si>
  <si>
    <t>RS Umum Pusat Dr. Kariadi</t>
  </si>
  <si>
    <t>'3321111303680001</t>
  </si>
  <si>
    <t>SUTIYO</t>
  </si>
  <si>
    <t>KATONSARI</t>
  </si>
  <si>
    <t>CANGKRING</t>
  </si>
  <si>
    <t>0000-0000-000</t>
  </si>
  <si>
    <t>RS Umum Daerah Sultan Fatah Karangawen Demak</t>
  </si>
  <si>
    <t>'3321016007800008</t>
  </si>
  <si>
    <t>MASLIKHATUL UMAMI</t>
  </si>
  <si>
    <t>0813-2572-5010</t>
  </si>
  <si>
    <t>KU BAIK, COMPOSMENTIS, TD 163/95, T 36, N 108, SPO2 100 (OKSIGEN 10LPM)</t>
  </si>
  <si>
    <t>'3321060401680001</t>
  </si>
  <si>
    <t>FAIZ FAKHRUDDIN, SH</t>
  </si>
  <si>
    <t>JOGOLOYO</t>
  </si>
  <si>
    <t>SALAM INDAH II NO. 25 WONOSALAM ASRI</t>
  </si>
  <si>
    <t>0813-2017-7103</t>
  </si>
  <si>
    <t>sesak,batuk,hipertensi ,DM,bronchopnemonia</t>
  </si>
  <si>
    <t>AG.3321033.1411</t>
  </si>
  <si>
    <t>'3321062403120001</t>
  </si>
  <si>
    <t>MUHAMMAD BAGUS SADEWO</t>
  </si>
  <si>
    <t>0882-1610-3207</t>
  </si>
  <si>
    <t>BATUK, SESAK NAFAS</t>
  </si>
  <si>
    <t>RS Umum Mardi Rahayu</t>
  </si>
  <si>
    <t>SESAK NAFAS</t>
  </si>
  <si>
    <t>'3321134612660001</t>
  </si>
  <si>
    <t>SUYATI</t>
  </si>
  <si>
    <t>NGAWEN</t>
  </si>
  <si>
    <t>0821-3710-4006</t>
  </si>
  <si>
    <t>muntah,diare</t>
  </si>
  <si>
    <t>Puskesmas Wedung 1</t>
  </si>
  <si>
    <t>'3321136102870001</t>
  </si>
  <si>
    <t>SHOFIYATUN</t>
  </si>
  <si>
    <t>TAMBAK SEKLENTING</t>
  </si>
  <si>
    <t>0882-1564-6528</t>
  </si>
  <si>
    <t>tenggorokan sakit,batuk,pilek</t>
  </si>
  <si>
    <t>'3321111306830007</t>
  </si>
  <si>
    <t>SYAKIRULLAH</t>
  </si>
  <si>
    <t>TIMBULSLOKO</t>
  </si>
  <si>
    <t>0882-3379-0960</t>
  </si>
  <si>
    <t>sesek,batuk,lemes</t>
  </si>
  <si>
    <t>'3321125005550003</t>
  </si>
  <si>
    <t>SUNTARI</t>
  </si>
  <si>
    <t>PONCOHARJO</t>
  </si>
  <si>
    <t>KRAJAN</t>
  </si>
  <si>
    <t>0812-2523-3620</t>
  </si>
  <si>
    <t>DI RUMAH SAJA</t>
  </si>
  <si>
    <t>RS Paru Dr. Ario Wirawan</t>
  </si>
  <si>
    <t>'3321031602410001</t>
  </si>
  <si>
    <t>HARTONO, A.MA.PD</t>
  </si>
  <si>
    <t>SUKOREJO</t>
  </si>
  <si>
    <t>JARO</t>
  </si>
  <si>
    <t>0821-3371-8735</t>
  </si>
  <si>
    <t>Pensiunan</t>
  </si>
  <si>
    <t>AG.3374076.1000019</t>
  </si>
  <si>
    <t>'3321010409590002</t>
  </si>
  <si>
    <t>AKHMAD SOKHIB</t>
  </si>
  <si>
    <t>BANYUMENENG</t>
  </si>
  <si>
    <t>KRAJAN KIDUL</t>
  </si>
  <si>
    <t>0822-4251-3384</t>
  </si>
  <si>
    <t>AG.3374076.1000020</t>
  </si>
  <si>
    <t>'3315166603980002</t>
  </si>
  <si>
    <t>KHANA AMRINA ROSYADA</t>
  </si>
  <si>
    <t>SAMBUNG</t>
  </si>
  <si>
    <t>0822-3468-6335</t>
  </si>
  <si>
    <t>'3321075204780004</t>
  </si>
  <si>
    <t>MASFUFAH</t>
  </si>
  <si>
    <t>BALEREJO</t>
  </si>
  <si>
    <t>MAREDAN</t>
  </si>
  <si>
    <t>00</t>
  </si>
  <si>
    <t>'3321143110930002</t>
  </si>
  <si>
    <t>FANDI AHMAD WIJAYANTO</t>
  </si>
  <si>
    <t>DK. WARENG</t>
  </si>
  <si>
    <t>0000-0000-0000-000</t>
  </si>
  <si>
    <t>Karyawan BUMD</t>
  </si>
  <si>
    <t>lemas</t>
  </si>
  <si>
    <t>'3321015207480001</t>
  </si>
  <si>
    <t>RR. SRI RAHAYUNINGSIH</t>
  </si>
  <si>
    <t>JL. PUCANG ASRI II NO. 6</t>
  </si>
  <si>
    <t>0877-6368-4874-</t>
  </si>
  <si>
    <t>Belum / Tidak Bekerja</t>
  </si>
  <si>
    <t>kedua kaki lemas,</t>
  </si>
  <si>
    <t xml:space="preserve"> RS Umum Roemani Muhammadiyah</t>
  </si>
  <si>
    <t>'3321027112500015</t>
  </si>
  <si>
    <t>SITI PATIMAH</t>
  </si>
  <si>
    <t>'3321030707470001</t>
  </si>
  <si>
    <t>ALI AFANDI</t>
  </si>
  <si>
    <t>KRANDON</t>
  </si>
  <si>
    <t>0856-5414-4113</t>
  </si>
  <si>
    <t>'3321017004980006</t>
  </si>
  <si>
    <t>ANNISSA APRILIA SARI</t>
  </si>
  <si>
    <t>JL. PUCANG KARYA V NO. 3</t>
  </si>
  <si>
    <t>baik</t>
  </si>
  <si>
    <t>Puskesmas Mranggen 3</t>
  </si>
  <si>
    <t>AG.1031938.1000002</t>
  </si>
  <si>
    <t>'3321012105730002</t>
  </si>
  <si>
    <t>YOYOK SUTRISNO</t>
  </si>
  <si>
    <t>JL. PUCANG PERMAI XVI NO. 6</t>
  </si>
  <si>
    <t>0813-2753-3995</t>
  </si>
  <si>
    <t>Sakit Kepala,Sesak Napas,Batuk,Demam,Mual</t>
  </si>
  <si>
    <t>'3321095705810003</t>
  </si>
  <si>
    <t>INAYATUL MAULA</t>
  </si>
  <si>
    <t>BINTORO</t>
  </si>
  <si>
    <t>DOMENGGALAN BARU</t>
  </si>
  <si>
    <t>0800</t>
  </si>
  <si>
    <t>BEKERJA DIRUMAH</t>
  </si>
  <si>
    <t>sesak,spo2 89,hipertensi,pnemonia</t>
  </si>
  <si>
    <t>'3321096510160001</t>
  </si>
  <si>
    <t>ADIBA SHAKILA OKTAVIANI</t>
  </si>
  <si>
    <t>0877-3366-8944</t>
  </si>
  <si>
    <t>'3321131105200002</t>
  </si>
  <si>
    <t>ATHA HAFIZH ALFAREZI</t>
  </si>
  <si>
    <t>BERAHAN WETAN</t>
  </si>
  <si>
    <t>0856-5586-2157</t>
  </si>
  <si>
    <t>diare</t>
  </si>
  <si>
    <t>'3321030304630007</t>
  </si>
  <si>
    <t>ABDUL AZIS</t>
  </si>
  <si>
    <t>BUMIHARJO</t>
  </si>
  <si>
    <t>089</t>
  </si>
  <si>
    <t>BEKERJA DISAWAH</t>
  </si>
  <si>
    <t>batuk,sesak,DM,pnemonia viral</t>
  </si>
  <si>
    <t>'3321022407760001</t>
  </si>
  <si>
    <t>EKO SUSANTO.</t>
  </si>
  <si>
    <t>KURIPAN</t>
  </si>
  <si>
    <t>AG.3374076.1000022</t>
  </si>
  <si>
    <t>'3321015805590002</t>
  </si>
  <si>
    <t>ENDANG SISWANTI DWIASTUTI</t>
  </si>
  <si>
    <t>JL.PUCANG SANTOSO TIMUR I NO. 11</t>
  </si>
  <si>
    <t>AG.3374076.1000023</t>
  </si>
  <si>
    <t>'3321014602610002</t>
  </si>
  <si>
    <t>MUSDARIYAH</t>
  </si>
  <si>
    <t>0812-1528-0012</t>
  </si>
  <si>
    <t>AG.3374076.1000024</t>
  </si>
  <si>
    <t>'3321016505000001</t>
  </si>
  <si>
    <t>SAFIRA AZMY RIFZIKKA</t>
  </si>
  <si>
    <t>AG.3374076.1000025</t>
  </si>
  <si>
    <t>22 AGUSTUS 2021</t>
  </si>
  <si>
    <t>TANGGAL : 22 AGUSTUS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</si>
</sst>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[$-F800]dddd\,\ mmmm\ dd\,\ yyyy"/>
    <numFmt numFmtId="166" formatCode="s\t\r"/>
    <numFmt numFmtId="167" formatCode="d/m/yy\ h: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164" fontId="2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9" fontId="10" fillId="0" borderId="0" applyFont="0" applyFill="0" applyBorder="0" applyAlignment="0" applyProtection="0"/>
  </cellStyleXfs>
  <cellXfs count="112">
    <xf numFmtId="0" fontId="0" fillId="0" borderId="0" xfId="0"/>
    <xf numFmtId="0" fontId="9" fillId="0" borderId="0" xfId="0" applyFont="1" applyAlignment="1"/>
    <xf numFmtId="0" fontId="0" fillId="0" borderId="6" xfId="0" applyBorder="1" applyAlignment="1">
      <alignment horizontal="left" vertical="justify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8" fillId="0" borderId="0" xfId="0" applyFont="1"/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Alignment="1">
      <alignment horizontal="centerContinuous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9" fillId="0" borderId="0" xfId="0" applyFont="1" applyFill="1" applyAlignment="1">
      <alignment horizontal="centerContinuous" vertical="center"/>
    </xf>
    <xf numFmtId="0" fontId="0" fillId="0" borderId="8" xfId="0" applyBorder="1" applyAlignmen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2" borderId="0" xfId="0" applyFill="1"/>
    <xf numFmtId="0" fontId="0" fillId="0" borderId="11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left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left" wrapText="1"/>
    </xf>
    <xf numFmtId="15" fontId="0" fillId="2" borderId="5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5" xfId="0" applyFill="1" applyBorder="1"/>
    <xf numFmtId="0" fontId="0" fillId="0" borderId="7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5" fontId="12" fillId="4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ill="1" applyBorder="1"/>
    <xf numFmtId="0" fontId="0" fillId="5" borderId="6" xfId="0" applyFill="1" applyBorder="1" applyAlignment="1">
      <alignment horizontal="center"/>
    </xf>
    <xf numFmtId="0" fontId="0" fillId="5" borderId="6" xfId="0" applyFill="1" applyBorder="1"/>
    <xf numFmtId="49" fontId="0" fillId="0" borderId="8" xfId="0" applyNumberFormat="1" applyBorder="1" applyAlignment="1"/>
    <xf numFmtId="0" fontId="0" fillId="0" borderId="6" xfId="0" applyFill="1" applyBorder="1"/>
    <xf numFmtId="0" fontId="0" fillId="0" borderId="5" xfId="0" applyBorder="1" applyAlignment="1">
      <alignment horizontal="center" vertical="justify" wrapText="1"/>
    </xf>
    <xf numFmtId="0" fontId="0" fillId="0" borderId="5" xfId="0" applyBorder="1" applyAlignment="1">
      <alignment horizontal="left" vertical="justify"/>
    </xf>
    <xf numFmtId="0" fontId="0" fillId="0" borderId="5" xfId="0" applyBorder="1" applyAlignment="1">
      <alignment horizontal="left" vertical="center"/>
    </xf>
    <xf numFmtId="0" fontId="10" fillId="0" borderId="5" xfId="0" applyFont="1" applyFill="1" applyBorder="1"/>
    <xf numFmtId="0" fontId="10" fillId="2" borderId="5" xfId="0" applyFont="1" applyFill="1" applyBorder="1"/>
    <xf numFmtId="0" fontId="0" fillId="0" borderId="5" xfId="0" applyFill="1" applyBorder="1" applyAlignment="1">
      <alignment horizontal="center" vertical="justify" wrapText="1"/>
    </xf>
    <xf numFmtId="0" fontId="0" fillId="0" borderId="5" xfId="0" applyFill="1" applyBorder="1" applyAlignment="1">
      <alignment horizontal="left" vertical="justify" wrapText="1"/>
    </xf>
    <xf numFmtId="0" fontId="0" fillId="2" borderId="5" xfId="0" applyFill="1" applyBorder="1"/>
    <xf numFmtId="16" fontId="0" fillId="2" borderId="5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165" fontId="0" fillId="0" borderId="5" xfId="0" applyNumberForma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14" fillId="0" borderId="0" xfId="7"/>
    <xf numFmtId="0" fontId="11" fillId="0" borderId="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0" fillId="0" borderId="4" xfId="0" applyFill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6" fontId="0" fillId="0" borderId="0" xfId="0" applyNumberFormat="1"/>
    <xf numFmtId="0" fontId="16" fillId="0" borderId="0" xfId="0" applyFont="1" applyFill="1" applyAlignment="1">
      <alignment horizontal="center" vertical="center"/>
    </xf>
    <xf numFmtId="167" fontId="0" fillId="0" borderId="0" xfId="0" applyNumberFormat="1"/>
    <xf numFmtId="14" fontId="0" fillId="0" borderId="0" xfId="0" applyNumberFormat="1"/>
    <xf numFmtId="1" fontId="14" fillId="0" borderId="0" xfId="7" applyNumberFormat="1"/>
    <xf numFmtId="1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Fill="1" applyBorder="1" applyAlignment="1">
      <alignment horizontal="center" vertical="justify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165" fontId="0" fillId="5" borderId="8" xfId="0" applyNumberFormat="1" applyFill="1" applyBorder="1" applyAlignment="1">
      <alignment horizontal="left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</cellXfs>
  <cellStyles count="14">
    <cellStyle name="Comma [0] 2" xfId="6"/>
    <cellStyle name="Normal" xfId="0" builtinId="0"/>
    <cellStyle name="Normal 10" xfId="8"/>
    <cellStyle name="Normal 13" xfId="9"/>
    <cellStyle name="Normal 2" xfId="4"/>
    <cellStyle name="Normal 3" xfId="7"/>
    <cellStyle name="Normal 4" xfId="10"/>
    <cellStyle name="Normal 5" xfId="2"/>
    <cellStyle name="Normal 6" xfId="1"/>
    <cellStyle name="Normal 6 2" xfId="3"/>
    <cellStyle name="Normal 6 3" xfId="5"/>
    <cellStyle name="Normal 7" xfId="11"/>
    <cellStyle name="Normal 8" xfId="12"/>
    <cellStyle name="Percent 2" xfId="13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159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254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629150" y="512159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629150" y="510254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16</xdr:col>
      <xdr:colOff>88773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31531" y="512206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16</xdr:col>
      <xdr:colOff>88773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31531" y="51030188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opLeftCell="A28" zoomScale="70" zoomScaleNormal="70" workbookViewId="0">
      <selection activeCell="C49" sqref="C49"/>
    </sheetView>
  </sheetViews>
  <sheetFormatPr defaultColWidth="9.140625" defaultRowHeight="12.75" x14ac:dyDescent="0.2"/>
  <cols>
    <col min="1" max="1" width="7.28515625" style="86" customWidth="1"/>
    <col min="2" max="2" width="26" style="75" customWidth="1"/>
    <col min="3" max="4" width="14.42578125" style="75" customWidth="1"/>
    <col min="5" max="5" width="19.140625" style="75" customWidth="1"/>
    <col min="6" max="6" width="31.7109375" style="75" customWidth="1"/>
    <col min="7" max="7" width="29.42578125" style="75" customWidth="1"/>
    <col min="8" max="8" width="7.7109375" style="75" customWidth="1"/>
    <col min="9" max="9" width="20.5703125" style="75" customWidth="1"/>
    <col min="10" max="10" width="21.140625" style="75" customWidth="1"/>
    <col min="11" max="11" width="20" style="75" customWidth="1"/>
    <col min="12" max="12" width="13.140625" style="75" customWidth="1"/>
    <col min="13" max="13" width="12" style="75" customWidth="1"/>
    <col min="14" max="14" width="17.5703125" style="75" customWidth="1"/>
    <col min="15" max="15" width="38.85546875" style="75" customWidth="1"/>
    <col min="16" max="16" width="23.5703125" style="75" customWidth="1"/>
    <col min="17" max="17" width="22.85546875" style="75" customWidth="1"/>
    <col min="18" max="18" width="15.5703125" style="75" customWidth="1"/>
    <col min="19" max="19" width="36.85546875" style="75" customWidth="1"/>
    <col min="20" max="20" width="14.140625" style="75" customWidth="1"/>
    <col min="21" max="21" width="35.5703125" style="75" customWidth="1"/>
    <col min="22" max="22" width="18.7109375" style="75" customWidth="1"/>
    <col min="23" max="23" width="9.140625" style="75"/>
    <col min="24" max="24" width="18.7109375" style="75" customWidth="1"/>
    <col min="25" max="25" width="22.28515625" style="75" customWidth="1"/>
    <col min="26" max="26" width="29.140625" style="75" customWidth="1"/>
    <col min="27" max="27" width="27.28515625" style="75" customWidth="1"/>
    <col min="28" max="28" width="14.7109375" style="75" customWidth="1"/>
    <col min="29" max="29" width="19.5703125" style="75" customWidth="1"/>
    <col min="30" max="30" width="24.28515625" style="75" customWidth="1"/>
    <col min="31" max="31" width="16.42578125" style="75" customWidth="1"/>
    <col min="32" max="16384" width="9.140625" style="75"/>
  </cols>
  <sheetData>
    <row r="1" spans="1:31" customFormat="1" ht="15" x14ac:dyDescent="0.25">
      <c r="A1" s="87" t="s">
        <v>522</v>
      </c>
      <c r="B1" t="s">
        <v>431</v>
      </c>
      <c r="C1" t="s">
        <v>504</v>
      </c>
      <c r="D1" t="s">
        <v>432</v>
      </c>
      <c r="E1" t="s">
        <v>2</v>
      </c>
      <c r="F1" t="s">
        <v>433</v>
      </c>
      <c r="G1" t="s">
        <v>505</v>
      </c>
      <c r="H1" t="s">
        <v>506</v>
      </c>
      <c r="I1" t="s">
        <v>434</v>
      </c>
      <c r="J1" t="s">
        <v>435</v>
      </c>
      <c r="K1" t="s">
        <v>436</v>
      </c>
      <c r="L1" t="s">
        <v>437</v>
      </c>
      <c r="M1" t="s">
        <v>446</v>
      </c>
      <c r="N1" t="s">
        <v>447</v>
      </c>
      <c r="O1" t="s">
        <v>448</v>
      </c>
      <c r="P1" t="s">
        <v>449</v>
      </c>
      <c r="Q1" t="s">
        <v>450</v>
      </c>
      <c r="R1" t="s">
        <v>451</v>
      </c>
      <c r="S1" t="s">
        <v>452</v>
      </c>
      <c r="T1" s="85" t="s">
        <v>453</v>
      </c>
      <c r="U1" t="s">
        <v>441</v>
      </c>
      <c r="V1" s="85" t="s">
        <v>454</v>
      </c>
      <c r="W1" s="85" t="s">
        <v>455</v>
      </c>
      <c r="X1" t="s">
        <v>438</v>
      </c>
      <c r="Y1" t="s">
        <v>519</v>
      </c>
      <c r="Z1" t="s">
        <v>520</v>
      </c>
      <c r="AA1" s="85" t="s">
        <v>521</v>
      </c>
      <c r="AB1" t="s">
        <v>456</v>
      </c>
      <c r="AC1" s="84" t="s">
        <v>457</v>
      </c>
      <c r="AD1" s="84" t="s">
        <v>458</v>
      </c>
      <c r="AE1" s="75"/>
    </row>
    <row r="2" spans="1:31" ht="15" x14ac:dyDescent="0.25">
      <c r="A2">
        <v>1</v>
      </c>
      <c r="B2" t="s">
        <v>687</v>
      </c>
      <c r="C2" t="s">
        <v>475</v>
      </c>
      <c r="D2" t="s">
        <v>283</v>
      </c>
      <c r="E2" t="s">
        <v>283</v>
      </c>
      <c r="F2" t="s">
        <v>688</v>
      </c>
      <c r="G2">
        <v>2</v>
      </c>
      <c r="H2">
        <v>3</v>
      </c>
      <c r="I2" t="s">
        <v>689</v>
      </c>
      <c r="J2">
        <v>40</v>
      </c>
      <c r="K2" t="s">
        <v>307</v>
      </c>
      <c r="L2" t="s">
        <v>690</v>
      </c>
      <c r="M2" t="s">
        <v>470</v>
      </c>
      <c r="N2" t="s">
        <v>691</v>
      </c>
      <c r="O2" t="s">
        <v>692</v>
      </c>
      <c r="P2"/>
      <c r="Q2"/>
      <c r="R2"/>
      <c r="S2"/>
      <c r="T2" s="85"/>
      <c r="U2" t="s">
        <v>586</v>
      </c>
      <c r="V2" s="85">
        <v>44359</v>
      </c>
      <c r="W2" s="85"/>
      <c r="X2" t="s">
        <v>440</v>
      </c>
      <c r="Y2"/>
      <c r="Z2"/>
      <c r="AA2" s="85"/>
      <c r="AB2">
        <v>0</v>
      </c>
      <c r="AC2" s="84">
        <v>44429.790775463</v>
      </c>
      <c r="AD2" s="84">
        <v>44424.480115740997</v>
      </c>
    </row>
    <row r="3" spans="1:31" ht="15" x14ac:dyDescent="0.25">
      <c r="A3">
        <v>2</v>
      </c>
      <c r="B3" t="s">
        <v>672</v>
      </c>
      <c r="C3" t="s">
        <v>475</v>
      </c>
      <c r="D3" t="s">
        <v>283</v>
      </c>
      <c r="E3" t="s">
        <v>284</v>
      </c>
      <c r="F3" t="s">
        <v>673</v>
      </c>
      <c r="G3">
        <v>9</v>
      </c>
      <c r="H3">
        <v>3</v>
      </c>
      <c r="I3" t="s">
        <v>673</v>
      </c>
      <c r="J3">
        <v>74</v>
      </c>
      <c r="K3" t="s">
        <v>305</v>
      </c>
      <c r="L3" t="s">
        <v>674</v>
      </c>
      <c r="M3" t="s">
        <v>471</v>
      </c>
      <c r="N3" t="s">
        <v>472</v>
      </c>
      <c r="O3"/>
      <c r="P3"/>
      <c r="Q3"/>
      <c r="R3"/>
      <c r="S3"/>
      <c r="T3" s="85"/>
      <c r="U3" t="s">
        <v>478</v>
      </c>
      <c r="V3" s="85">
        <v>44427</v>
      </c>
      <c r="W3" s="85"/>
      <c r="X3" t="s">
        <v>440</v>
      </c>
      <c r="Y3"/>
      <c r="Z3"/>
      <c r="AA3" s="85"/>
      <c r="AB3">
        <v>0</v>
      </c>
      <c r="AC3" s="84">
        <v>44429.317939815002</v>
      </c>
      <c r="AD3" s="84">
        <v>44427.811226851998</v>
      </c>
    </row>
    <row r="4" spans="1:31" ht="15" x14ac:dyDescent="0.25">
      <c r="A4">
        <v>3</v>
      </c>
      <c r="B4" t="s">
        <v>676</v>
      </c>
      <c r="C4" t="s">
        <v>475</v>
      </c>
      <c r="D4" t="s">
        <v>283</v>
      </c>
      <c r="E4" t="s">
        <v>309</v>
      </c>
      <c r="F4" t="s">
        <v>346</v>
      </c>
      <c r="G4">
        <v>3</v>
      </c>
      <c r="H4">
        <v>15</v>
      </c>
      <c r="I4" t="s">
        <v>677</v>
      </c>
      <c r="J4">
        <v>23</v>
      </c>
      <c r="K4" t="s">
        <v>307</v>
      </c>
      <c r="L4" t="s">
        <v>308</v>
      </c>
      <c r="M4" t="s">
        <v>471</v>
      </c>
      <c r="N4" t="s">
        <v>472</v>
      </c>
      <c r="O4" t="s">
        <v>678</v>
      </c>
      <c r="P4"/>
      <c r="Q4"/>
      <c r="R4"/>
      <c r="S4"/>
      <c r="T4" s="85"/>
      <c r="U4" t="s">
        <v>679</v>
      </c>
      <c r="V4" s="85">
        <v>44427</v>
      </c>
      <c r="W4" s="85"/>
      <c r="X4" t="s">
        <v>440</v>
      </c>
      <c r="Y4" t="s">
        <v>680</v>
      </c>
      <c r="Z4" t="s">
        <v>579</v>
      </c>
      <c r="AA4" s="85">
        <v>44427</v>
      </c>
      <c r="AB4">
        <v>0</v>
      </c>
      <c r="AC4" s="84">
        <v>44428.390567130002</v>
      </c>
      <c r="AD4" s="84">
        <v>44428.390567130002</v>
      </c>
    </row>
    <row r="5" spans="1:31" ht="15" x14ac:dyDescent="0.25">
      <c r="A5">
        <v>4</v>
      </c>
      <c r="B5" t="s">
        <v>682</v>
      </c>
      <c r="C5" t="s">
        <v>475</v>
      </c>
      <c r="D5" t="s">
        <v>283</v>
      </c>
      <c r="E5" t="s">
        <v>309</v>
      </c>
      <c r="F5" t="s">
        <v>346</v>
      </c>
      <c r="G5">
        <v>4</v>
      </c>
      <c r="H5">
        <v>22</v>
      </c>
      <c r="I5" t="s">
        <v>683</v>
      </c>
      <c r="J5">
        <v>48</v>
      </c>
      <c r="K5" t="s">
        <v>305</v>
      </c>
      <c r="L5" t="s">
        <v>684</v>
      </c>
      <c r="M5" t="s">
        <v>471</v>
      </c>
      <c r="N5" t="s">
        <v>472</v>
      </c>
      <c r="O5"/>
      <c r="P5"/>
      <c r="Q5"/>
      <c r="R5"/>
      <c r="S5"/>
      <c r="T5" s="85"/>
      <c r="U5" t="s">
        <v>478</v>
      </c>
      <c r="V5" s="85">
        <v>44428</v>
      </c>
      <c r="W5" s="85"/>
      <c r="X5" t="s">
        <v>440</v>
      </c>
      <c r="Y5"/>
      <c r="Z5"/>
      <c r="AA5" s="85"/>
      <c r="AB5">
        <v>0</v>
      </c>
      <c r="AC5" s="84">
        <v>44429.324131943999</v>
      </c>
      <c r="AD5" s="84">
        <v>44428.598622685</v>
      </c>
    </row>
    <row r="6" spans="1:31" ht="15" x14ac:dyDescent="0.25">
      <c r="A6">
        <v>5</v>
      </c>
      <c r="B6" t="s">
        <v>694</v>
      </c>
      <c r="C6" t="s">
        <v>475</v>
      </c>
      <c r="D6" t="s">
        <v>283</v>
      </c>
      <c r="E6" t="s">
        <v>291</v>
      </c>
      <c r="F6" t="s">
        <v>485</v>
      </c>
      <c r="G6">
        <v>8</v>
      </c>
      <c r="H6">
        <v>3</v>
      </c>
      <c r="I6" t="s">
        <v>485</v>
      </c>
      <c r="J6">
        <v>4</v>
      </c>
      <c r="K6" t="s">
        <v>307</v>
      </c>
      <c r="L6" t="s">
        <v>695</v>
      </c>
      <c r="M6" t="s">
        <v>666</v>
      </c>
      <c r="N6" t="s">
        <v>472</v>
      </c>
      <c r="O6" t="s">
        <v>482</v>
      </c>
      <c r="P6"/>
      <c r="Q6"/>
      <c r="R6"/>
      <c r="S6"/>
      <c r="T6" s="85"/>
      <c r="U6" t="s">
        <v>609</v>
      </c>
      <c r="V6" s="85">
        <v>44429</v>
      </c>
      <c r="W6" s="85"/>
      <c r="X6" t="s">
        <v>440</v>
      </c>
      <c r="Y6">
        <v>21058224</v>
      </c>
      <c r="Z6" t="s">
        <v>579</v>
      </c>
      <c r="AA6" s="85">
        <v>44429</v>
      </c>
      <c r="AB6">
        <v>0</v>
      </c>
      <c r="AC6" s="84">
        <v>44429.596273148003</v>
      </c>
      <c r="AD6" s="84">
        <v>44429.596273148003</v>
      </c>
    </row>
    <row r="7" spans="1:31" ht="15" x14ac:dyDescent="0.25">
      <c r="A7">
        <v>6</v>
      </c>
      <c r="B7" t="s">
        <v>697</v>
      </c>
      <c r="C7" t="s">
        <v>475</v>
      </c>
      <c r="D7" t="s">
        <v>283</v>
      </c>
      <c r="E7" t="s">
        <v>293</v>
      </c>
      <c r="F7" t="s">
        <v>698</v>
      </c>
      <c r="G7">
        <v>6</v>
      </c>
      <c r="H7">
        <v>4</v>
      </c>
      <c r="I7" t="s">
        <v>698</v>
      </c>
      <c r="J7">
        <v>1</v>
      </c>
      <c r="K7" t="s">
        <v>305</v>
      </c>
      <c r="L7" t="s">
        <v>699</v>
      </c>
      <c r="M7" t="s">
        <v>666</v>
      </c>
      <c r="N7" t="s">
        <v>472</v>
      </c>
      <c r="O7" t="s">
        <v>700</v>
      </c>
      <c r="P7"/>
      <c r="Q7"/>
      <c r="R7"/>
      <c r="S7"/>
      <c r="T7" s="85"/>
      <c r="U7" t="s">
        <v>616</v>
      </c>
      <c r="V7" s="85">
        <v>44428</v>
      </c>
      <c r="W7" s="85"/>
      <c r="X7" t="s">
        <v>440</v>
      </c>
      <c r="Y7"/>
      <c r="Z7"/>
      <c r="AA7" s="85"/>
      <c r="AB7">
        <v>0</v>
      </c>
      <c r="AC7" s="84">
        <v>44429.758888889002</v>
      </c>
      <c r="AD7" s="84">
        <v>44429.758888889002</v>
      </c>
    </row>
    <row r="8" spans="1:31" ht="15" x14ac:dyDescent="0.25">
      <c r="A8">
        <v>7</v>
      </c>
      <c r="B8" t="s">
        <v>702</v>
      </c>
      <c r="C8" t="s">
        <v>475</v>
      </c>
      <c r="D8" t="s">
        <v>283</v>
      </c>
      <c r="E8" t="s">
        <v>284</v>
      </c>
      <c r="F8" t="s">
        <v>703</v>
      </c>
      <c r="G8">
        <v>2</v>
      </c>
      <c r="H8">
        <v>2</v>
      </c>
      <c r="I8" t="s">
        <v>703</v>
      </c>
      <c r="J8">
        <v>58</v>
      </c>
      <c r="K8" t="s">
        <v>305</v>
      </c>
      <c r="L8" t="s">
        <v>704</v>
      </c>
      <c r="M8" t="s">
        <v>469</v>
      </c>
      <c r="N8" t="s">
        <v>705</v>
      </c>
      <c r="O8" t="s">
        <v>706</v>
      </c>
      <c r="P8"/>
      <c r="Q8"/>
      <c r="R8"/>
      <c r="S8"/>
      <c r="T8" s="85"/>
      <c r="U8" t="s">
        <v>586</v>
      </c>
      <c r="V8" s="85">
        <v>44429</v>
      </c>
      <c r="W8" s="85"/>
      <c r="X8" t="s">
        <v>440</v>
      </c>
      <c r="Y8"/>
      <c r="Z8"/>
      <c r="AA8" s="85"/>
      <c r="AB8">
        <v>0</v>
      </c>
      <c r="AC8" s="84">
        <v>44429.807268518998</v>
      </c>
      <c r="AD8" s="84">
        <v>44429.807268518998</v>
      </c>
    </row>
    <row r="9" spans="1:31" ht="15" x14ac:dyDescent="0.25">
      <c r="A9">
        <v>8</v>
      </c>
      <c r="B9" t="s">
        <v>708</v>
      </c>
      <c r="C9" t="s">
        <v>475</v>
      </c>
      <c r="D9" t="s">
        <v>283</v>
      </c>
      <c r="E9" t="s">
        <v>282</v>
      </c>
      <c r="F9" t="s">
        <v>709</v>
      </c>
      <c r="G9">
        <v>1</v>
      </c>
      <c r="H9">
        <v>9</v>
      </c>
      <c r="I9" t="s">
        <v>709</v>
      </c>
      <c r="J9">
        <v>45</v>
      </c>
      <c r="K9" t="s">
        <v>305</v>
      </c>
      <c r="L9" t="s">
        <v>308</v>
      </c>
      <c r="M9" t="s">
        <v>462</v>
      </c>
      <c r="N9" t="s">
        <v>472</v>
      </c>
      <c r="O9" t="s">
        <v>334</v>
      </c>
      <c r="P9"/>
      <c r="Q9"/>
      <c r="R9"/>
      <c r="S9"/>
      <c r="T9" s="85"/>
      <c r="U9" t="s">
        <v>558</v>
      </c>
      <c r="V9" s="85">
        <v>44429</v>
      </c>
      <c r="W9" s="85"/>
      <c r="X9" t="s">
        <v>440</v>
      </c>
      <c r="Y9" t="s">
        <v>710</v>
      </c>
      <c r="Z9" t="s">
        <v>579</v>
      </c>
      <c r="AA9" s="85">
        <v>44429</v>
      </c>
      <c r="AB9">
        <v>0</v>
      </c>
      <c r="AC9" s="84">
        <v>44430.324247684999</v>
      </c>
      <c r="AD9" s="84">
        <v>44430.324247684999</v>
      </c>
    </row>
    <row r="10" spans="1:31" ht="15" x14ac:dyDescent="0.25">
      <c r="A10">
        <v>9</v>
      </c>
      <c r="B10" t="s">
        <v>712</v>
      </c>
      <c r="C10" t="s">
        <v>475</v>
      </c>
      <c r="D10" t="s">
        <v>283</v>
      </c>
      <c r="E10" t="s">
        <v>309</v>
      </c>
      <c r="F10" t="s">
        <v>346</v>
      </c>
      <c r="G10">
        <v>1</v>
      </c>
      <c r="H10">
        <v>30</v>
      </c>
      <c r="I10" t="s">
        <v>713</v>
      </c>
      <c r="J10">
        <v>62</v>
      </c>
      <c r="K10" t="s">
        <v>307</v>
      </c>
      <c r="L10" t="s">
        <v>308</v>
      </c>
      <c r="M10" t="s">
        <v>474</v>
      </c>
      <c r="N10" t="s">
        <v>472</v>
      </c>
      <c r="O10" t="s">
        <v>334</v>
      </c>
      <c r="P10"/>
      <c r="Q10"/>
      <c r="R10"/>
      <c r="S10"/>
      <c r="T10" s="85"/>
      <c r="U10" t="s">
        <v>558</v>
      </c>
      <c r="V10" s="85">
        <v>44429</v>
      </c>
      <c r="W10" s="85"/>
      <c r="X10" t="s">
        <v>440</v>
      </c>
      <c r="Y10" t="s">
        <v>714</v>
      </c>
      <c r="Z10" t="s">
        <v>579</v>
      </c>
      <c r="AA10" s="85">
        <v>44429</v>
      </c>
      <c r="AB10">
        <v>0</v>
      </c>
      <c r="AC10" s="84">
        <v>44430.327858796001</v>
      </c>
      <c r="AD10" s="84">
        <v>44430.327858796001</v>
      </c>
    </row>
    <row r="11" spans="1:31" ht="15" x14ac:dyDescent="0.25">
      <c r="A11">
        <v>10</v>
      </c>
      <c r="B11" t="s">
        <v>716</v>
      </c>
      <c r="C11" t="s">
        <v>475</v>
      </c>
      <c r="D11" t="s">
        <v>283</v>
      </c>
      <c r="E11" t="s">
        <v>309</v>
      </c>
      <c r="F11" t="s">
        <v>643</v>
      </c>
      <c r="G11">
        <v>2</v>
      </c>
      <c r="H11">
        <v>4</v>
      </c>
      <c r="I11" t="s">
        <v>644</v>
      </c>
      <c r="J11">
        <v>60</v>
      </c>
      <c r="K11" t="s">
        <v>307</v>
      </c>
      <c r="L11" t="s">
        <v>717</v>
      </c>
      <c r="M11" t="s">
        <v>639</v>
      </c>
      <c r="N11" t="s">
        <v>472</v>
      </c>
      <c r="O11" t="s">
        <v>334</v>
      </c>
      <c r="P11"/>
      <c r="Q11"/>
      <c r="R11"/>
      <c r="S11"/>
      <c r="T11" s="85"/>
      <c r="U11" t="s">
        <v>558</v>
      </c>
      <c r="V11" s="85">
        <v>44429</v>
      </c>
      <c r="W11" s="85"/>
      <c r="X11" t="s">
        <v>440</v>
      </c>
      <c r="Y11" t="s">
        <v>718</v>
      </c>
      <c r="Z11" t="s">
        <v>579</v>
      </c>
      <c r="AA11" s="85">
        <v>44429</v>
      </c>
      <c r="AB11">
        <v>0</v>
      </c>
      <c r="AC11" s="84">
        <v>44430.335891203998</v>
      </c>
      <c r="AD11" s="84">
        <v>44430.335891203998</v>
      </c>
    </row>
    <row r="12" spans="1:31" ht="15" x14ac:dyDescent="0.25">
      <c r="A12">
        <v>11</v>
      </c>
      <c r="B12" t="s">
        <v>720</v>
      </c>
      <c r="C12" t="s">
        <v>475</v>
      </c>
      <c r="D12" t="s">
        <v>283</v>
      </c>
      <c r="E12" t="s">
        <v>309</v>
      </c>
      <c r="F12" t="s">
        <v>643</v>
      </c>
      <c r="G12">
        <v>2</v>
      </c>
      <c r="H12">
        <v>4</v>
      </c>
      <c r="I12" t="s">
        <v>644</v>
      </c>
      <c r="J12">
        <v>21</v>
      </c>
      <c r="K12" t="s">
        <v>307</v>
      </c>
      <c r="L12" t="s">
        <v>308</v>
      </c>
      <c r="M12" t="s">
        <v>480</v>
      </c>
      <c r="N12" t="s">
        <v>472</v>
      </c>
      <c r="O12" t="s">
        <v>334</v>
      </c>
      <c r="P12"/>
      <c r="Q12"/>
      <c r="R12"/>
      <c r="S12"/>
      <c r="T12" s="85"/>
      <c r="U12" t="s">
        <v>558</v>
      </c>
      <c r="V12" s="85">
        <v>44429</v>
      </c>
      <c r="W12" s="85"/>
      <c r="X12" t="s">
        <v>440</v>
      </c>
      <c r="Y12" t="s">
        <v>721</v>
      </c>
      <c r="Z12" t="s">
        <v>579</v>
      </c>
      <c r="AA12" s="85">
        <v>44429</v>
      </c>
      <c r="AB12">
        <v>0</v>
      </c>
      <c r="AC12" s="84">
        <v>44430.337534721999</v>
      </c>
      <c r="AD12" s="84">
        <v>44430.337534721999</v>
      </c>
    </row>
    <row r="13" spans="1:31" ht="15" x14ac:dyDescent="0.25">
      <c r="A13">
        <v>12</v>
      </c>
      <c r="B13" t="s">
        <v>489</v>
      </c>
      <c r="C13" t="s">
        <v>475</v>
      </c>
      <c r="D13" t="s">
        <v>283</v>
      </c>
      <c r="E13" t="s">
        <v>289</v>
      </c>
      <c r="F13" t="s">
        <v>490</v>
      </c>
      <c r="G13">
        <v>3</v>
      </c>
      <c r="H13">
        <v>3</v>
      </c>
      <c r="I13" t="s">
        <v>490</v>
      </c>
      <c r="J13">
        <v>19</v>
      </c>
      <c r="K13" t="s">
        <v>307</v>
      </c>
      <c r="L13" t="s">
        <v>491</v>
      </c>
      <c r="M13" t="s">
        <v>480</v>
      </c>
      <c r="N13" t="s">
        <v>472</v>
      </c>
      <c r="O13" t="s">
        <v>487</v>
      </c>
      <c r="P13"/>
      <c r="Q13"/>
      <c r="R13"/>
      <c r="S13"/>
      <c r="T13" s="85"/>
      <c r="U13" t="s">
        <v>530</v>
      </c>
      <c r="V13" s="85">
        <v>44357</v>
      </c>
      <c r="W13" s="85"/>
      <c r="X13" t="s">
        <v>440</v>
      </c>
      <c r="Y13"/>
      <c r="Z13"/>
      <c r="AA13" s="85"/>
      <c r="AB13">
        <v>0</v>
      </c>
      <c r="AC13" s="84">
        <v>44359.813113425997</v>
      </c>
      <c r="AD13" s="84">
        <v>44359.813113425997</v>
      </c>
    </row>
    <row r="14" spans="1:31" ht="15" x14ac:dyDescent="0.25">
      <c r="A14">
        <v>13</v>
      </c>
      <c r="B14" t="s">
        <v>495</v>
      </c>
      <c r="C14" t="s">
        <v>475</v>
      </c>
      <c r="D14" t="s">
        <v>283</v>
      </c>
      <c r="E14" t="s">
        <v>285</v>
      </c>
      <c r="F14" t="s">
        <v>341</v>
      </c>
      <c r="G14">
        <v>5</v>
      </c>
      <c r="H14">
        <v>4</v>
      </c>
      <c r="I14" t="s">
        <v>496</v>
      </c>
      <c r="J14">
        <v>52</v>
      </c>
      <c r="K14" t="s">
        <v>305</v>
      </c>
      <c r="L14" t="s">
        <v>497</v>
      </c>
      <c r="M14" t="s">
        <v>462</v>
      </c>
      <c r="N14" t="s">
        <v>498</v>
      </c>
      <c r="O14" t="s">
        <v>479</v>
      </c>
      <c r="P14"/>
      <c r="Q14"/>
      <c r="R14"/>
      <c r="S14" t="s">
        <v>685</v>
      </c>
      <c r="T14" s="85"/>
      <c r="U14" t="s">
        <v>499</v>
      </c>
      <c r="V14" s="85">
        <v>44359</v>
      </c>
      <c r="W14" s="85"/>
      <c r="X14" t="s">
        <v>440</v>
      </c>
      <c r="Y14"/>
      <c r="Z14"/>
      <c r="AA14" s="85"/>
      <c r="AB14">
        <v>0</v>
      </c>
      <c r="AC14" s="84">
        <v>44361.344733796002</v>
      </c>
      <c r="AD14" s="84">
        <v>44361.344733796002</v>
      </c>
    </row>
    <row r="15" spans="1:31" ht="15" x14ac:dyDescent="0.25">
      <c r="A15">
        <v>14</v>
      </c>
      <c r="B15" t="s">
        <v>502</v>
      </c>
      <c r="C15" t="s">
        <v>475</v>
      </c>
      <c r="D15" t="s">
        <v>283</v>
      </c>
      <c r="E15" t="s">
        <v>291</v>
      </c>
      <c r="F15" t="s">
        <v>485</v>
      </c>
      <c r="G15">
        <v>7</v>
      </c>
      <c r="H15">
        <v>3</v>
      </c>
      <c r="I15" t="s">
        <v>485</v>
      </c>
      <c r="J15">
        <v>49</v>
      </c>
      <c r="K15" t="s">
        <v>307</v>
      </c>
      <c r="L15" t="s">
        <v>503</v>
      </c>
      <c r="M15" t="s">
        <v>471</v>
      </c>
      <c r="N15" t="s">
        <v>472</v>
      </c>
      <c r="O15" t="s">
        <v>483</v>
      </c>
      <c r="P15"/>
      <c r="Q15"/>
      <c r="R15"/>
      <c r="S15"/>
      <c r="T15" s="85"/>
      <c r="U15" t="s">
        <v>484</v>
      </c>
      <c r="V15" s="85">
        <v>44362</v>
      </c>
      <c r="W15" s="85"/>
      <c r="X15" t="s">
        <v>440</v>
      </c>
      <c r="Y15"/>
      <c r="Z15"/>
      <c r="AA15" s="85"/>
      <c r="AB15">
        <v>0</v>
      </c>
      <c r="AC15" s="84">
        <v>44362.310740740999</v>
      </c>
      <c r="AD15" s="84">
        <v>44362.310740740999</v>
      </c>
    </row>
    <row r="16" spans="1:31" ht="15" x14ac:dyDescent="0.25">
      <c r="A16">
        <v>15</v>
      </c>
      <c r="B16" t="s">
        <v>508</v>
      </c>
      <c r="C16" t="s">
        <v>475</v>
      </c>
      <c r="D16" t="s">
        <v>283</v>
      </c>
      <c r="E16" t="s">
        <v>292</v>
      </c>
      <c r="F16" t="s">
        <v>486</v>
      </c>
      <c r="G16">
        <v>3</v>
      </c>
      <c r="H16">
        <v>2</v>
      </c>
      <c r="I16" t="s">
        <v>486</v>
      </c>
      <c r="J16">
        <v>55</v>
      </c>
      <c r="K16" t="s">
        <v>305</v>
      </c>
      <c r="L16" t="s">
        <v>509</v>
      </c>
      <c r="M16" t="s">
        <v>510</v>
      </c>
      <c r="N16" t="s">
        <v>511</v>
      </c>
      <c r="O16" t="s">
        <v>482</v>
      </c>
      <c r="P16"/>
      <c r="Q16"/>
      <c r="R16"/>
      <c r="S16"/>
      <c r="T16" s="85"/>
      <c r="U16" t="s">
        <v>512</v>
      </c>
      <c r="V16" s="85">
        <v>44362</v>
      </c>
      <c r="W16" s="85"/>
      <c r="X16" t="s">
        <v>440</v>
      </c>
      <c r="Y16"/>
      <c r="Z16"/>
      <c r="AA16" s="85"/>
      <c r="AB16">
        <v>1</v>
      </c>
      <c r="AC16" s="84">
        <v>44363.290347221999</v>
      </c>
      <c r="AD16" s="84">
        <v>44363.290347221999</v>
      </c>
    </row>
    <row r="17" spans="1:30" ht="15" x14ac:dyDescent="0.25">
      <c r="A17">
        <v>16</v>
      </c>
      <c r="B17" t="s">
        <v>515</v>
      </c>
      <c r="C17" t="s">
        <v>475</v>
      </c>
      <c r="D17" t="s">
        <v>283</v>
      </c>
      <c r="E17" t="s">
        <v>309</v>
      </c>
      <c r="F17" t="s">
        <v>346</v>
      </c>
      <c r="G17">
        <v>3</v>
      </c>
      <c r="H17">
        <v>24</v>
      </c>
      <c r="I17" t="s">
        <v>516</v>
      </c>
      <c r="J17">
        <v>58</v>
      </c>
      <c r="K17" t="s">
        <v>305</v>
      </c>
      <c r="L17" t="s">
        <v>517</v>
      </c>
      <c r="M17" t="s">
        <v>471</v>
      </c>
      <c r="N17" t="s">
        <v>472</v>
      </c>
      <c r="O17" t="s">
        <v>473</v>
      </c>
      <c r="P17"/>
      <c r="Q17"/>
      <c r="R17"/>
      <c r="S17"/>
      <c r="T17" s="85"/>
      <c r="U17" t="s">
        <v>478</v>
      </c>
      <c r="V17" s="85">
        <v>44369</v>
      </c>
      <c r="W17" s="85"/>
      <c r="X17" t="s">
        <v>440</v>
      </c>
      <c r="Y17"/>
      <c r="Z17"/>
      <c r="AA17" s="85"/>
      <c r="AB17">
        <v>2</v>
      </c>
      <c r="AC17" s="84">
        <v>44370.563344907001</v>
      </c>
      <c r="AD17" s="84">
        <v>44370.563344907001</v>
      </c>
    </row>
    <row r="18" spans="1:30" ht="15" x14ac:dyDescent="0.25">
      <c r="A18">
        <v>17</v>
      </c>
      <c r="B18" t="s">
        <v>524</v>
      </c>
      <c r="C18" t="s">
        <v>475</v>
      </c>
      <c r="D18" t="s">
        <v>283</v>
      </c>
      <c r="E18" t="s">
        <v>309</v>
      </c>
      <c r="F18" t="s">
        <v>309</v>
      </c>
      <c r="G18">
        <v>7</v>
      </c>
      <c r="H18">
        <v>3</v>
      </c>
      <c r="I18" t="s">
        <v>525</v>
      </c>
      <c r="J18">
        <v>46</v>
      </c>
      <c r="K18" t="s">
        <v>305</v>
      </c>
      <c r="L18" t="s">
        <v>308</v>
      </c>
      <c r="M18" t="s">
        <v>471</v>
      </c>
      <c r="N18" t="s">
        <v>472</v>
      </c>
      <c r="O18" t="s">
        <v>513</v>
      </c>
      <c r="P18"/>
      <c r="Q18"/>
      <c r="R18"/>
      <c r="S18"/>
      <c r="T18" s="85"/>
      <c r="U18" t="s">
        <v>478</v>
      </c>
      <c r="V18" s="85">
        <v>44372</v>
      </c>
      <c r="W18" s="85"/>
      <c r="X18" t="s">
        <v>440</v>
      </c>
      <c r="Y18"/>
      <c r="Z18"/>
      <c r="AA18" s="85"/>
      <c r="AB18">
        <v>0</v>
      </c>
      <c r="AC18" s="84">
        <v>44373.484652778003</v>
      </c>
      <c r="AD18" s="84">
        <v>44373.484652778003</v>
      </c>
    </row>
    <row r="19" spans="1:30" ht="15" x14ac:dyDescent="0.25">
      <c r="A19">
        <v>18</v>
      </c>
      <c r="B19" t="s">
        <v>527</v>
      </c>
      <c r="C19" t="s">
        <v>475</v>
      </c>
      <c r="D19" t="s">
        <v>283</v>
      </c>
      <c r="E19" t="s">
        <v>309</v>
      </c>
      <c r="F19" t="s">
        <v>476</v>
      </c>
      <c r="G19">
        <v>7</v>
      </c>
      <c r="H19">
        <v>21</v>
      </c>
      <c r="I19" t="s">
        <v>528</v>
      </c>
      <c r="J19">
        <v>69</v>
      </c>
      <c r="K19" t="s">
        <v>305</v>
      </c>
      <c r="L19" t="s">
        <v>500</v>
      </c>
      <c r="M19" t="s">
        <v>471</v>
      </c>
      <c r="N19" t="s">
        <v>472</v>
      </c>
      <c r="O19" t="s">
        <v>513</v>
      </c>
      <c r="P19"/>
      <c r="Q19"/>
      <c r="R19"/>
      <c r="S19"/>
      <c r="T19" s="85"/>
      <c r="U19" t="s">
        <v>478</v>
      </c>
      <c r="V19" s="85">
        <v>44374</v>
      </c>
      <c r="W19" s="85"/>
      <c r="X19" t="s">
        <v>440</v>
      </c>
      <c r="Y19"/>
      <c r="Z19"/>
      <c r="AA19" s="85"/>
      <c r="AB19">
        <v>0</v>
      </c>
      <c r="AC19" s="84">
        <v>44376.326423610997</v>
      </c>
      <c r="AD19" s="84">
        <v>44374.932384259002</v>
      </c>
    </row>
    <row r="20" spans="1:30" ht="15" x14ac:dyDescent="0.25">
      <c r="A20">
        <v>19</v>
      </c>
      <c r="B20" t="s">
        <v>533</v>
      </c>
      <c r="C20" t="s">
        <v>475</v>
      </c>
      <c r="D20" t="s">
        <v>283</v>
      </c>
      <c r="E20" t="s">
        <v>309</v>
      </c>
      <c r="F20" t="s">
        <v>309</v>
      </c>
      <c r="G20">
        <v>10</v>
      </c>
      <c r="H20">
        <v>7</v>
      </c>
      <c r="I20" t="s">
        <v>534</v>
      </c>
      <c r="J20">
        <v>30</v>
      </c>
      <c r="K20" t="s">
        <v>307</v>
      </c>
      <c r="L20" t="s">
        <v>535</v>
      </c>
      <c r="M20" t="s">
        <v>462</v>
      </c>
      <c r="N20" t="s">
        <v>472</v>
      </c>
      <c r="O20" t="s">
        <v>536</v>
      </c>
      <c r="P20"/>
      <c r="Q20"/>
      <c r="R20"/>
      <c r="S20"/>
      <c r="T20" s="85"/>
      <c r="U20" t="s">
        <v>537</v>
      </c>
      <c r="V20" s="85">
        <v>44379</v>
      </c>
      <c r="W20" s="85"/>
      <c r="X20" t="s">
        <v>440</v>
      </c>
      <c r="Y20"/>
      <c r="Z20"/>
      <c r="AA20" s="85"/>
      <c r="AB20">
        <v>0</v>
      </c>
      <c r="AC20" s="84">
        <v>44380.488125000003</v>
      </c>
      <c r="AD20" s="84">
        <v>44380.488125000003</v>
      </c>
    </row>
    <row r="21" spans="1:30" ht="15" x14ac:dyDescent="0.25">
      <c r="A21">
        <v>20</v>
      </c>
      <c r="B21" t="s">
        <v>539</v>
      </c>
      <c r="C21" t="s">
        <v>475</v>
      </c>
      <c r="D21" t="s">
        <v>283</v>
      </c>
      <c r="E21" t="s">
        <v>285</v>
      </c>
      <c r="F21" t="s">
        <v>540</v>
      </c>
      <c r="G21">
        <v>3</v>
      </c>
      <c r="H21">
        <v>3</v>
      </c>
      <c r="I21" t="s">
        <v>540</v>
      </c>
      <c r="J21">
        <v>47</v>
      </c>
      <c r="K21" t="s">
        <v>307</v>
      </c>
      <c r="L21" t="s">
        <v>541</v>
      </c>
      <c r="M21" t="s">
        <v>471</v>
      </c>
      <c r="N21" t="s">
        <v>472</v>
      </c>
      <c r="O21" t="s">
        <v>473</v>
      </c>
      <c r="P21"/>
      <c r="Q21"/>
      <c r="R21"/>
      <c r="S21"/>
      <c r="T21" s="85"/>
      <c r="U21" t="s">
        <v>478</v>
      </c>
      <c r="V21" s="85">
        <v>44377</v>
      </c>
      <c r="W21" s="85"/>
      <c r="X21" t="s">
        <v>440</v>
      </c>
      <c r="Y21"/>
      <c r="Z21"/>
      <c r="AA21" s="85"/>
      <c r="AB21">
        <v>0</v>
      </c>
      <c r="AC21" s="84">
        <v>44382.622627315002</v>
      </c>
      <c r="AD21" s="84">
        <v>44382.622627315002</v>
      </c>
    </row>
    <row r="22" spans="1:30" ht="15" x14ac:dyDescent="0.25">
      <c r="A22">
        <v>21</v>
      </c>
      <c r="B22" t="s">
        <v>548</v>
      </c>
      <c r="C22" t="s">
        <v>475</v>
      </c>
      <c r="D22" t="s">
        <v>283</v>
      </c>
      <c r="E22" t="s">
        <v>309</v>
      </c>
      <c r="F22" t="s">
        <v>481</v>
      </c>
      <c r="G22">
        <v>1</v>
      </c>
      <c r="H22">
        <v>1</v>
      </c>
      <c r="I22" t="s">
        <v>481</v>
      </c>
      <c r="J22">
        <v>69</v>
      </c>
      <c r="K22" t="s">
        <v>305</v>
      </c>
      <c r="L22" t="s">
        <v>549</v>
      </c>
      <c r="M22" t="s">
        <v>474</v>
      </c>
      <c r="N22" t="s">
        <v>472</v>
      </c>
      <c r="O22" t="s">
        <v>513</v>
      </c>
      <c r="P22"/>
      <c r="Q22"/>
      <c r="R22"/>
      <c r="S22"/>
      <c r="T22" s="85"/>
      <c r="U22" t="s">
        <v>478</v>
      </c>
      <c r="V22" s="85">
        <v>44384</v>
      </c>
      <c r="W22" s="85"/>
      <c r="X22" t="s">
        <v>440</v>
      </c>
      <c r="Y22"/>
      <c r="Z22"/>
      <c r="AA22" s="85"/>
      <c r="AB22">
        <v>0</v>
      </c>
      <c r="AC22" s="84">
        <v>44384.898194444002</v>
      </c>
      <c r="AD22" s="84">
        <v>44384.898194444002</v>
      </c>
    </row>
    <row r="23" spans="1:30" ht="15" x14ac:dyDescent="0.25">
      <c r="A23">
        <v>22</v>
      </c>
      <c r="B23" t="s">
        <v>555</v>
      </c>
      <c r="C23" t="s">
        <v>475</v>
      </c>
      <c r="D23" t="s">
        <v>283</v>
      </c>
      <c r="E23" t="s">
        <v>309</v>
      </c>
      <c r="F23" t="s">
        <v>346</v>
      </c>
      <c r="G23">
        <v>21</v>
      </c>
      <c r="H23">
        <v>30</v>
      </c>
      <c r="I23" t="s">
        <v>556</v>
      </c>
      <c r="J23">
        <v>48</v>
      </c>
      <c r="K23" t="s">
        <v>307</v>
      </c>
      <c r="L23" t="s">
        <v>557</v>
      </c>
      <c r="M23" t="s">
        <v>471</v>
      </c>
      <c r="N23" t="s">
        <v>472</v>
      </c>
      <c r="O23" t="s">
        <v>513</v>
      </c>
      <c r="P23"/>
      <c r="Q23"/>
      <c r="R23"/>
      <c r="S23"/>
      <c r="T23" s="85"/>
      <c r="U23" t="s">
        <v>478</v>
      </c>
      <c r="V23" s="85">
        <v>44384</v>
      </c>
      <c r="W23" s="85"/>
      <c r="X23" t="s">
        <v>440</v>
      </c>
      <c r="Y23"/>
      <c r="Z23"/>
      <c r="AA23" s="85"/>
      <c r="AB23">
        <v>0</v>
      </c>
      <c r="AC23" s="84">
        <v>44384.901585647996</v>
      </c>
      <c r="AD23" s="84">
        <v>44384.901585647996</v>
      </c>
    </row>
    <row r="24" spans="1:30" ht="15" x14ac:dyDescent="0.25">
      <c r="A24">
        <v>23</v>
      </c>
      <c r="B24" t="s">
        <v>551</v>
      </c>
      <c r="C24" t="s">
        <v>475</v>
      </c>
      <c r="D24" t="s">
        <v>283</v>
      </c>
      <c r="E24" t="s">
        <v>309</v>
      </c>
      <c r="F24" t="s">
        <v>476</v>
      </c>
      <c r="G24">
        <v>3</v>
      </c>
      <c r="H24">
        <v>20</v>
      </c>
      <c r="I24" t="s">
        <v>552</v>
      </c>
      <c r="J24">
        <v>56</v>
      </c>
      <c r="K24" t="s">
        <v>305</v>
      </c>
      <c r="L24" t="s">
        <v>553</v>
      </c>
      <c r="M24" t="s">
        <v>477</v>
      </c>
      <c r="N24" t="s">
        <v>472</v>
      </c>
      <c r="O24" t="s">
        <v>492</v>
      </c>
      <c r="P24"/>
      <c r="Q24"/>
      <c r="R24"/>
      <c r="S24"/>
      <c r="T24" s="85"/>
      <c r="U24" t="s">
        <v>493</v>
      </c>
      <c r="V24" s="85">
        <v>44384</v>
      </c>
      <c r="W24" s="85"/>
      <c r="X24" t="s">
        <v>440</v>
      </c>
      <c r="Y24"/>
      <c r="Z24"/>
      <c r="AA24" s="85"/>
      <c r="AB24">
        <v>0</v>
      </c>
      <c r="AC24" s="84">
        <v>44385.406284721998</v>
      </c>
      <c r="AD24" s="84">
        <v>44385.406284721998</v>
      </c>
    </row>
    <row r="25" spans="1:30" ht="15" x14ac:dyDescent="0.25">
      <c r="A25">
        <v>24</v>
      </c>
      <c r="B25" t="s">
        <v>543</v>
      </c>
      <c r="C25" t="s">
        <v>475</v>
      </c>
      <c r="D25" t="s">
        <v>283</v>
      </c>
      <c r="E25" t="s">
        <v>285</v>
      </c>
      <c r="F25" t="s">
        <v>531</v>
      </c>
      <c r="G25">
        <v>3</v>
      </c>
      <c r="H25">
        <v>5</v>
      </c>
      <c r="I25" t="s">
        <v>544</v>
      </c>
      <c r="J25">
        <v>49</v>
      </c>
      <c r="K25" t="s">
        <v>307</v>
      </c>
      <c r="L25" t="s">
        <v>545</v>
      </c>
      <c r="M25" t="s">
        <v>474</v>
      </c>
      <c r="N25" t="s">
        <v>472</v>
      </c>
      <c r="O25" t="s">
        <v>546</v>
      </c>
      <c r="P25"/>
      <c r="Q25"/>
      <c r="R25"/>
      <c r="S25"/>
      <c r="T25" s="85"/>
      <c r="U25" t="s">
        <v>493</v>
      </c>
      <c r="V25" s="85">
        <v>44383</v>
      </c>
      <c r="W25" s="85"/>
      <c r="X25" t="s">
        <v>440</v>
      </c>
      <c r="Y25"/>
      <c r="Z25"/>
      <c r="AA25" s="85"/>
      <c r="AB25">
        <v>0</v>
      </c>
      <c r="AC25" s="84">
        <v>44385.415798611</v>
      </c>
      <c r="AD25" s="84">
        <v>44385.415798611</v>
      </c>
    </row>
    <row r="26" spans="1:30" ht="15" x14ac:dyDescent="0.25">
      <c r="A26">
        <v>25</v>
      </c>
      <c r="B26" t="s">
        <v>561</v>
      </c>
      <c r="C26" t="s">
        <v>475</v>
      </c>
      <c r="D26" t="s">
        <v>283</v>
      </c>
      <c r="E26" t="s">
        <v>309</v>
      </c>
      <c r="F26" t="s">
        <v>562</v>
      </c>
      <c r="G26">
        <v>19</v>
      </c>
      <c r="H26">
        <v>1</v>
      </c>
      <c r="I26" t="s">
        <v>563</v>
      </c>
      <c r="J26">
        <v>24</v>
      </c>
      <c r="K26" t="s">
        <v>307</v>
      </c>
      <c r="L26" t="s">
        <v>564</v>
      </c>
      <c r="M26" t="s">
        <v>471</v>
      </c>
      <c r="N26" t="s">
        <v>472</v>
      </c>
      <c r="O26" t="s">
        <v>513</v>
      </c>
      <c r="P26"/>
      <c r="Q26"/>
      <c r="R26"/>
      <c r="S26"/>
      <c r="T26" s="85"/>
      <c r="U26" t="s">
        <v>478</v>
      </c>
      <c r="V26" s="85">
        <v>44388</v>
      </c>
      <c r="W26" s="85"/>
      <c r="X26" t="s">
        <v>440</v>
      </c>
      <c r="Y26"/>
      <c r="Z26"/>
      <c r="AA26" s="85"/>
      <c r="AB26">
        <v>0</v>
      </c>
      <c r="AC26" s="84">
        <v>44389.688125000001</v>
      </c>
      <c r="AD26" s="84">
        <v>44389.688125000001</v>
      </c>
    </row>
    <row r="27" spans="1:30" ht="15" x14ac:dyDescent="0.25">
      <c r="A27">
        <v>26</v>
      </c>
      <c r="B27" t="s">
        <v>566</v>
      </c>
      <c r="C27" t="s">
        <v>475</v>
      </c>
      <c r="D27" t="s">
        <v>283</v>
      </c>
      <c r="E27" t="s">
        <v>285</v>
      </c>
      <c r="F27" t="s">
        <v>529</v>
      </c>
      <c r="G27">
        <v>3</v>
      </c>
      <c r="H27">
        <v>2</v>
      </c>
      <c r="I27" t="s">
        <v>567</v>
      </c>
      <c r="J27">
        <v>69</v>
      </c>
      <c r="K27" t="s">
        <v>305</v>
      </c>
      <c r="L27" t="s">
        <v>568</v>
      </c>
      <c r="M27"/>
      <c r="N27"/>
      <c r="O27" t="s">
        <v>513</v>
      </c>
      <c r="P27"/>
      <c r="Q27"/>
      <c r="R27"/>
      <c r="S27"/>
      <c r="T27" s="85"/>
      <c r="U27" t="s">
        <v>478</v>
      </c>
      <c r="V27" s="85">
        <v>44382</v>
      </c>
      <c r="W27" s="85"/>
      <c r="X27" t="s">
        <v>440</v>
      </c>
      <c r="Y27"/>
      <c r="Z27"/>
      <c r="AA27" s="85"/>
      <c r="AB27">
        <v>0</v>
      </c>
      <c r="AC27" s="84">
        <v>44396.500775462999</v>
      </c>
      <c r="AD27" s="84">
        <v>44395.468495369998</v>
      </c>
    </row>
    <row r="28" spans="1:30" ht="15" x14ac:dyDescent="0.25">
      <c r="A28">
        <v>27</v>
      </c>
      <c r="B28" t="s">
        <v>581</v>
      </c>
      <c r="C28" t="s">
        <v>475</v>
      </c>
      <c r="D28" t="s">
        <v>283</v>
      </c>
      <c r="E28" t="s">
        <v>309</v>
      </c>
      <c r="F28" t="s">
        <v>582</v>
      </c>
      <c r="G28">
        <v>1</v>
      </c>
      <c r="H28">
        <v>5</v>
      </c>
      <c r="I28" t="s">
        <v>583</v>
      </c>
      <c r="J28">
        <v>76</v>
      </c>
      <c r="K28" t="s">
        <v>305</v>
      </c>
      <c r="L28" t="s">
        <v>584</v>
      </c>
      <c r="M28"/>
      <c r="N28"/>
      <c r="O28" t="s">
        <v>513</v>
      </c>
      <c r="P28"/>
      <c r="Q28"/>
      <c r="R28"/>
      <c r="S28"/>
      <c r="T28" s="85"/>
      <c r="U28" t="s">
        <v>478</v>
      </c>
      <c r="V28" s="85">
        <v>44391</v>
      </c>
      <c r="W28" s="85"/>
      <c r="X28" t="s">
        <v>440</v>
      </c>
      <c r="Y28"/>
      <c r="Z28"/>
      <c r="AA28" s="85"/>
      <c r="AB28">
        <v>0</v>
      </c>
      <c r="AC28" s="84">
        <v>44412.695428241001</v>
      </c>
      <c r="AD28" s="84">
        <v>44396.719884259001</v>
      </c>
    </row>
    <row r="29" spans="1:30" ht="15" x14ac:dyDescent="0.25">
      <c r="A29">
        <v>28</v>
      </c>
      <c r="B29" t="s">
        <v>570</v>
      </c>
      <c r="C29" t="s">
        <v>475</v>
      </c>
      <c r="D29" t="s">
        <v>283</v>
      </c>
      <c r="E29" t="s">
        <v>293</v>
      </c>
      <c r="F29" t="s">
        <v>571</v>
      </c>
      <c r="G29">
        <v>3</v>
      </c>
      <c r="H29">
        <v>2</v>
      </c>
      <c r="I29" t="s">
        <v>571</v>
      </c>
      <c r="J29">
        <v>6</v>
      </c>
      <c r="K29" t="s">
        <v>305</v>
      </c>
      <c r="L29" t="s">
        <v>572</v>
      </c>
      <c r="M29" t="s">
        <v>471</v>
      </c>
      <c r="N29" t="s">
        <v>472</v>
      </c>
      <c r="O29" t="s">
        <v>573</v>
      </c>
      <c r="P29"/>
      <c r="Q29"/>
      <c r="R29"/>
      <c r="S29"/>
      <c r="T29" s="85"/>
      <c r="U29" t="s">
        <v>565</v>
      </c>
      <c r="V29" s="85">
        <v>44390</v>
      </c>
      <c r="W29" s="85"/>
      <c r="X29" t="s">
        <v>440</v>
      </c>
      <c r="Y29"/>
      <c r="Z29"/>
      <c r="AA29" s="85"/>
      <c r="AB29">
        <v>2</v>
      </c>
      <c r="AC29" s="84">
        <v>44401.377314814999</v>
      </c>
      <c r="AD29" s="84">
        <v>44401.377314814999</v>
      </c>
    </row>
    <row r="30" spans="1:30" ht="15" x14ac:dyDescent="0.25">
      <c r="A30">
        <v>29</v>
      </c>
      <c r="B30" t="s">
        <v>575</v>
      </c>
      <c r="C30" t="s">
        <v>475</v>
      </c>
      <c r="D30" t="s">
        <v>283</v>
      </c>
      <c r="E30" t="s">
        <v>293</v>
      </c>
      <c r="F30" t="s">
        <v>576</v>
      </c>
      <c r="G30">
        <v>4</v>
      </c>
      <c r="H30">
        <v>2</v>
      </c>
      <c r="I30" t="s">
        <v>576</v>
      </c>
      <c r="J30">
        <v>56</v>
      </c>
      <c r="K30" t="s">
        <v>305</v>
      </c>
      <c r="L30" t="s">
        <v>577</v>
      </c>
      <c r="M30" t="s">
        <v>471</v>
      </c>
      <c r="N30" t="s">
        <v>472</v>
      </c>
      <c r="O30"/>
      <c r="P30"/>
      <c r="Q30"/>
      <c r="R30"/>
      <c r="S30"/>
      <c r="T30" s="85"/>
      <c r="U30" t="s">
        <v>565</v>
      </c>
      <c r="V30" s="85">
        <v>44382</v>
      </c>
      <c r="W30" s="85"/>
      <c r="X30" t="s">
        <v>440</v>
      </c>
      <c r="Y30"/>
      <c r="Z30"/>
      <c r="AA30" s="85"/>
      <c r="AB30">
        <v>2</v>
      </c>
      <c r="AC30" s="84">
        <v>44401.411851851997</v>
      </c>
      <c r="AD30" s="84">
        <v>44401.387129629999</v>
      </c>
    </row>
    <row r="31" spans="1:30" ht="15" x14ac:dyDescent="0.25">
      <c r="A31">
        <v>30</v>
      </c>
      <c r="B31" t="s">
        <v>589</v>
      </c>
      <c r="C31" t="s">
        <v>475</v>
      </c>
      <c r="D31" t="s">
        <v>283</v>
      </c>
      <c r="E31" t="s">
        <v>283</v>
      </c>
      <c r="F31" t="s">
        <v>590</v>
      </c>
      <c r="G31">
        <v>6</v>
      </c>
      <c r="H31">
        <v>2</v>
      </c>
      <c r="I31" t="s">
        <v>591</v>
      </c>
      <c r="J31">
        <v>53</v>
      </c>
      <c r="K31" t="s">
        <v>305</v>
      </c>
      <c r="L31" t="s">
        <v>592</v>
      </c>
      <c r="M31" t="s">
        <v>471</v>
      </c>
      <c r="N31" t="s">
        <v>472</v>
      </c>
      <c r="O31" t="s">
        <v>513</v>
      </c>
      <c r="P31"/>
      <c r="Q31"/>
      <c r="R31"/>
      <c r="S31"/>
      <c r="T31" s="85"/>
      <c r="U31" t="s">
        <v>593</v>
      </c>
      <c r="V31" s="85">
        <v>44423</v>
      </c>
      <c r="W31" s="85"/>
      <c r="X31" t="s">
        <v>440</v>
      </c>
      <c r="Y31"/>
      <c r="Z31"/>
      <c r="AA31" s="85"/>
      <c r="AB31">
        <v>0</v>
      </c>
      <c r="AC31" s="84">
        <v>44423.288946758999</v>
      </c>
      <c r="AD31" s="84">
        <v>44423.288946758999</v>
      </c>
    </row>
    <row r="32" spans="1:30" ht="15" x14ac:dyDescent="0.25">
      <c r="A32">
        <v>31</v>
      </c>
      <c r="B32" t="s">
        <v>595</v>
      </c>
      <c r="C32" t="s">
        <v>475</v>
      </c>
      <c r="D32" t="s">
        <v>283</v>
      </c>
      <c r="E32" t="s">
        <v>309</v>
      </c>
      <c r="F32" t="s">
        <v>481</v>
      </c>
      <c r="G32">
        <v>9</v>
      </c>
      <c r="H32">
        <v>6</v>
      </c>
      <c r="I32" t="s">
        <v>481</v>
      </c>
      <c r="J32">
        <v>41</v>
      </c>
      <c r="K32" t="s">
        <v>307</v>
      </c>
      <c r="L32" t="s">
        <v>596</v>
      </c>
      <c r="M32" t="s">
        <v>470</v>
      </c>
      <c r="N32" t="s">
        <v>472</v>
      </c>
      <c r="O32" t="s">
        <v>597</v>
      </c>
      <c r="P32"/>
      <c r="Q32"/>
      <c r="R32"/>
      <c r="S32"/>
      <c r="T32" s="85"/>
      <c r="U32" t="s">
        <v>587</v>
      </c>
      <c r="V32" s="85">
        <v>44424</v>
      </c>
      <c r="W32" s="85"/>
      <c r="X32" t="s">
        <v>440</v>
      </c>
      <c r="Y32"/>
      <c r="Z32"/>
      <c r="AA32" s="85"/>
      <c r="AB32">
        <v>0</v>
      </c>
      <c r="AC32" s="84">
        <v>44424.601793980997</v>
      </c>
      <c r="AD32" s="84">
        <v>44424.601793980997</v>
      </c>
    </row>
    <row r="33" spans="1:30" ht="15" x14ac:dyDescent="0.25">
      <c r="A33">
        <v>32</v>
      </c>
      <c r="B33" t="s">
        <v>599</v>
      </c>
      <c r="C33" t="s">
        <v>475</v>
      </c>
      <c r="D33" t="s">
        <v>283</v>
      </c>
      <c r="E33" t="s">
        <v>286</v>
      </c>
      <c r="F33" t="s">
        <v>600</v>
      </c>
      <c r="G33">
        <v>5</v>
      </c>
      <c r="H33">
        <v>7</v>
      </c>
      <c r="I33" t="s">
        <v>601</v>
      </c>
      <c r="J33">
        <v>53</v>
      </c>
      <c r="K33" t="s">
        <v>305</v>
      </c>
      <c r="L33" t="s">
        <v>602</v>
      </c>
      <c r="M33" t="s">
        <v>474</v>
      </c>
      <c r="N33" t="s">
        <v>472</v>
      </c>
      <c r="O33" t="s">
        <v>603</v>
      </c>
      <c r="P33"/>
      <c r="Q33"/>
      <c r="R33"/>
      <c r="S33"/>
      <c r="T33" s="85"/>
      <c r="U33" t="s">
        <v>586</v>
      </c>
      <c r="V33" s="85">
        <v>44422</v>
      </c>
      <c r="W33" s="85"/>
      <c r="X33" t="s">
        <v>440</v>
      </c>
      <c r="Y33" t="s">
        <v>604</v>
      </c>
      <c r="Z33" t="s">
        <v>579</v>
      </c>
      <c r="AA33" s="85">
        <v>44422</v>
      </c>
      <c r="AB33">
        <v>0</v>
      </c>
      <c r="AC33" s="84">
        <v>44425.512928240998</v>
      </c>
      <c r="AD33" s="84">
        <v>44425.512928240998</v>
      </c>
    </row>
    <row r="34" spans="1:30" ht="15" x14ac:dyDescent="0.25">
      <c r="A34">
        <v>33</v>
      </c>
      <c r="B34" t="s">
        <v>612</v>
      </c>
      <c r="C34" t="s">
        <v>475</v>
      </c>
      <c r="D34" t="s">
        <v>283</v>
      </c>
      <c r="E34" t="s">
        <v>293</v>
      </c>
      <c r="F34" t="s">
        <v>613</v>
      </c>
      <c r="G34">
        <v>2</v>
      </c>
      <c r="H34">
        <v>3</v>
      </c>
      <c r="I34" t="s">
        <v>613</v>
      </c>
      <c r="J34">
        <v>54</v>
      </c>
      <c r="K34" t="s">
        <v>307</v>
      </c>
      <c r="L34" t="s">
        <v>614</v>
      </c>
      <c r="M34" t="s">
        <v>470</v>
      </c>
      <c r="N34" t="s">
        <v>472</v>
      </c>
      <c r="O34" t="s">
        <v>615</v>
      </c>
      <c r="P34"/>
      <c r="Q34"/>
      <c r="R34"/>
      <c r="S34"/>
      <c r="T34" s="85"/>
      <c r="U34" t="s">
        <v>616</v>
      </c>
      <c r="V34" s="85">
        <v>44425</v>
      </c>
      <c r="W34" s="85"/>
      <c r="X34" t="s">
        <v>440</v>
      </c>
      <c r="Y34"/>
      <c r="Z34"/>
      <c r="AA34" s="85"/>
      <c r="AB34">
        <v>0</v>
      </c>
      <c r="AC34" s="84">
        <v>44426.592777778002</v>
      </c>
      <c r="AD34" s="84">
        <v>44426.592777778002</v>
      </c>
    </row>
    <row r="35" spans="1:30" ht="15" x14ac:dyDescent="0.25">
      <c r="A35">
        <v>34</v>
      </c>
      <c r="B35" t="s">
        <v>618</v>
      </c>
      <c r="C35" t="s">
        <v>475</v>
      </c>
      <c r="D35" t="s">
        <v>283</v>
      </c>
      <c r="E35" t="s">
        <v>293</v>
      </c>
      <c r="F35" t="s">
        <v>293</v>
      </c>
      <c r="G35">
        <v>1</v>
      </c>
      <c r="H35">
        <v>11</v>
      </c>
      <c r="I35" t="s">
        <v>619</v>
      </c>
      <c r="J35">
        <v>34</v>
      </c>
      <c r="K35" t="s">
        <v>307</v>
      </c>
      <c r="L35" t="s">
        <v>620</v>
      </c>
      <c r="M35" t="s">
        <v>470</v>
      </c>
      <c r="N35" t="s">
        <v>472</v>
      </c>
      <c r="O35" t="s">
        <v>621</v>
      </c>
      <c r="P35"/>
      <c r="Q35"/>
      <c r="R35"/>
      <c r="S35"/>
      <c r="T35" s="85"/>
      <c r="U35" t="s">
        <v>616</v>
      </c>
      <c r="V35" s="85">
        <v>44425</v>
      </c>
      <c r="W35" s="85"/>
      <c r="X35" t="s">
        <v>440</v>
      </c>
      <c r="Y35"/>
      <c r="Z35"/>
      <c r="AA35" s="85"/>
      <c r="AB35">
        <v>0</v>
      </c>
      <c r="AC35" s="84">
        <v>44426.593796296002</v>
      </c>
      <c r="AD35" s="84">
        <v>44426.593796296002</v>
      </c>
    </row>
    <row r="36" spans="1:30" ht="15" x14ac:dyDescent="0.25">
      <c r="A36">
        <v>35</v>
      </c>
      <c r="B36" t="s">
        <v>623</v>
      </c>
      <c r="C36" t="s">
        <v>475</v>
      </c>
      <c r="D36" t="s">
        <v>283</v>
      </c>
      <c r="E36" t="s">
        <v>285</v>
      </c>
      <c r="F36" t="s">
        <v>624</v>
      </c>
      <c r="G36">
        <v>4</v>
      </c>
      <c r="H36">
        <v>1</v>
      </c>
      <c r="I36" t="s">
        <v>624</v>
      </c>
      <c r="J36">
        <v>38</v>
      </c>
      <c r="K36" t="s">
        <v>305</v>
      </c>
      <c r="L36" t="s">
        <v>625</v>
      </c>
      <c r="M36" t="s">
        <v>462</v>
      </c>
      <c r="N36" t="s">
        <v>472</v>
      </c>
      <c r="O36" t="s">
        <v>626</v>
      </c>
      <c r="P36"/>
      <c r="Q36"/>
      <c r="R36"/>
      <c r="S36"/>
      <c r="T36" s="85"/>
      <c r="U36" t="s">
        <v>586</v>
      </c>
      <c r="V36" s="85">
        <v>44426</v>
      </c>
      <c r="W36" s="85"/>
      <c r="X36" t="s">
        <v>440</v>
      </c>
      <c r="Y36"/>
      <c r="Z36"/>
      <c r="AA36" s="85"/>
      <c r="AB36">
        <v>0</v>
      </c>
      <c r="AC36" s="84">
        <v>44426.596828704001</v>
      </c>
      <c r="AD36" s="84">
        <v>44426.596828704001</v>
      </c>
    </row>
    <row r="37" spans="1:30" ht="15" x14ac:dyDescent="0.25">
      <c r="A37">
        <v>36</v>
      </c>
      <c r="B37" t="s">
        <v>628</v>
      </c>
      <c r="C37" t="s">
        <v>475</v>
      </c>
      <c r="D37" t="s">
        <v>283</v>
      </c>
      <c r="E37" t="s">
        <v>292</v>
      </c>
      <c r="F37" t="s">
        <v>629</v>
      </c>
      <c r="G37">
        <v>6</v>
      </c>
      <c r="H37">
        <v>3</v>
      </c>
      <c r="I37" t="s">
        <v>630</v>
      </c>
      <c r="J37">
        <v>66</v>
      </c>
      <c r="K37" t="s">
        <v>307</v>
      </c>
      <c r="L37" t="s">
        <v>631</v>
      </c>
      <c r="M37" t="s">
        <v>470</v>
      </c>
      <c r="N37" t="s">
        <v>632</v>
      </c>
      <c r="O37" t="s">
        <v>610</v>
      </c>
      <c r="P37"/>
      <c r="Q37"/>
      <c r="R37"/>
      <c r="S37"/>
      <c r="T37" s="85"/>
      <c r="U37" t="s">
        <v>633</v>
      </c>
      <c r="V37" s="85">
        <v>44424</v>
      </c>
      <c r="W37" s="85"/>
      <c r="X37" t="s">
        <v>440</v>
      </c>
      <c r="Y37"/>
      <c r="Z37"/>
      <c r="AA37" s="85"/>
      <c r="AB37">
        <v>0</v>
      </c>
      <c r="AC37" s="84">
        <v>44426.621064815001</v>
      </c>
      <c r="AD37" s="84">
        <v>44426.621064815001</v>
      </c>
    </row>
    <row r="38" spans="1:30" ht="15" x14ac:dyDescent="0.25">
      <c r="A38">
        <v>37</v>
      </c>
      <c r="B38" t="s">
        <v>635</v>
      </c>
      <c r="C38" t="s">
        <v>475</v>
      </c>
      <c r="D38" t="s">
        <v>283</v>
      </c>
      <c r="E38" t="s">
        <v>284</v>
      </c>
      <c r="F38" t="s">
        <v>636</v>
      </c>
      <c r="G38">
        <v>4</v>
      </c>
      <c r="H38">
        <v>1</v>
      </c>
      <c r="I38" t="s">
        <v>637</v>
      </c>
      <c r="J38">
        <v>80</v>
      </c>
      <c r="K38" t="s">
        <v>305</v>
      </c>
      <c r="L38" t="s">
        <v>638</v>
      </c>
      <c r="M38" t="s">
        <v>639</v>
      </c>
      <c r="N38" t="s">
        <v>472</v>
      </c>
      <c r="O38" t="s">
        <v>479</v>
      </c>
      <c r="P38"/>
      <c r="Q38"/>
      <c r="R38"/>
      <c r="S38"/>
      <c r="T38" s="85"/>
      <c r="U38" t="s">
        <v>558</v>
      </c>
      <c r="V38" s="85">
        <v>44426</v>
      </c>
      <c r="W38" s="85"/>
      <c r="X38" t="s">
        <v>440</v>
      </c>
      <c r="Y38" t="s">
        <v>640</v>
      </c>
      <c r="Z38" t="s">
        <v>579</v>
      </c>
      <c r="AA38" s="85">
        <v>44426</v>
      </c>
      <c r="AB38">
        <v>0</v>
      </c>
      <c r="AC38" s="84">
        <v>44427.301956019</v>
      </c>
      <c r="AD38" s="84">
        <v>44427.301956019</v>
      </c>
    </row>
    <row r="39" spans="1:30" ht="15" x14ac:dyDescent="0.25">
      <c r="A39">
        <v>38</v>
      </c>
      <c r="B39" t="s">
        <v>642</v>
      </c>
      <c r="C39" t="s">
        <v>475</v>
      </c>
      <c r="D39" t="s">
        <v>283</v>
      </c>
      <c r="E39" t="s">
        <v>309</v>
      </c>
      <c r="F39" t="s">
        <v>643</v>
      </c>
      <c r="G39">
        <v>2</v>
      </c>
      <c r="H39">
        <v>4</v>
      </c>
      <c r="I39" t="s">
        <v>644</v>
      </c>
      <c r="J39">
        <v>61</v>
      </c>
      <c r="K39" t="s">
        <v>305</v>
      </c>
      <c r="L39" t="s">
        <v>645</v>
      </c>
      <c r="M39" t="s">
        <v>639</v>
      </c>
      <c r="N39" t="s">
        <v>472</v>
      </c>
      <c r="O39" t="s">
        <v>479</v>
      </c>
      <c r="P39"/>
      <c r="Q39"/>
      <c r="R39"/>
      <c r="S39"/>
      <c r="T39" s="85"/>
      <c r="U39" t="s">
        <v>558</v>
      </c>
      <c r="V39" s="85">
        <v>44426</v>
      </c>
      <c r="W39" s="85"/>
      <c r="X39" t="s">
        <v>440</v>
      </c>
      <c r="Y39" t="s">
        <v>646</v>
      </c>
      <c r="Z39" t="s">
        <v>585</v>
      </c>
      <c r="AA39" s="85">
        <v>44426</v>
      </c>
      <c r="AB39">
        <v>0</v>
      </c>
      <c r="AC39" s="84">
        <v>44427.304386573996</v>
      </c>
      <c r="AD39" s="84">
        <v>44427.304386573996</v>
      </c>
    </row>
    <row r="40" spans="1:30" ht="15" x14ac:dyDescent="0.25">
      <c r="A40">
        <v>39</v>
      </c>
      <c r="B40" t="s">
        <v>652</v>
      </c>
      <c r="C40" t="s">
        <v>475</v>
      </c>
      <c r="D40" t="s">
        <v>283</v>
      </c>
      <c r="E40" t="s">
        <v>288</v>
      </c>
      <c r="F40" t="s">
        <v>653</v>
      </c>
      <c r="G40">
        <v>5</v>
      </c>
      <c r="H40">
        <v>4</v>
      </c>
      <c r="I40" t="s">
        <v>654</v>
      </c>
      <c r="J40">
        <v>43</v>
      </c>
      <c r="K40" t="s">
        <v>307</v>
      </c>
      <c r="L40" t="s">
        <v>655</v>
      </c>
      <c r="M40" t="s">
        <v>462</v>
      </c>
      <c r="N40" t="s">
        <v>472</v>
      </c>
      <c r="O40"/>
      <c r="P40"/>
      <c r="Q40"/>
      <c r="R40"/>
      <c r="S40"/>
      <c r="T40" s="85"/>
      <c r="U40" t="s">
        <v>593</v>
      </c>
      <c r="V40" s="85">
        <v>44426</v>
      </c>
      <c r="W40" s="85"/>
      <c r="X40" t="s">
        <v>440</v>
      </c>
      <c r="Y40"/>
      <c r="Z40"/>
      <c r="AA40" s="85"/>
      <c r="AB40">
        <v>0</v>
      </c>
      <c r="AC40" s="84">
        <v>44428.34212963</v>
      </c>
      <c r="AD40" s="84">
        <v>44427.467731481003</v>
      </c>
    </row>
    <row r="41" spans="1:30" ht="15" x14ac:dyDescent="0.25">
      <c r="A41">
        <v>40</v>
      </c>
      <c r="B41" t="s">
        <v>657</v>
      </c>
      <c r="C41" t="s">
        <v>475</v>
      </c>
      <c r="D41" t="s">
        <v>283</v>
      </c>
      <c r="E41" t="s">
        <v>287</v>
      </c>
      <c r="F41" t="s">
        <v>287</v>
      </c>
      <c r="G41">
        <v>4</v>
      </c>
      <c r="H41">
        <v>3</v>
      </c>
      <c r="I41" t="s">
        <v>658</v>
      </c>
      <c r="J41">
        <v>27</v>
      </c>
      <c r="K41" t="s">
        <v>305</v>
      </c>
      <c r="L41" t="s">
        <v>659</v>
      </c>
      <c r="M41" t="s">
        <v>660</v>
      </c>
      <c r="N41" t="s">
        <v>472</v>
      </c>
      <c r="O41" t="s">
        <v>661</v>
      </c>
      <c r="P41"/>
      <c r="Q41"/>
      <c r="R41"/>
      <c r="S41"/>
      <c r="T41" s="85"/>
      <c r="U41" t="s">
        <v>478</v>
      </c>
      <c r="V41" s="85">
        <v>44428</v>
      </c>
      <c r="W41" s="85"/>
      <c r="X41" t="s">
        <v>440</v>
      </c>
      <c r="Y41"/>
      <c r="Z41"/>
      <c r="AA41" s="85"/>
      <c r="AB41">
        <v>0</v>
      </c>
      <c r="AC41" s="84">
        <v>44428.308611111002</v>
      </c>
      <c r="AD41" s="84">
        <v>44428.308611111002</v>
      </c>
    </row>
    <row r="42" spans="1:30" ht="15" x14ac:dyDescent="0.25">
      <c r="A42">
        <v>41</v>
      </c>
      <c r="B42" t="s">
        <v>663</v>
      </c>
      <c r="C42" t="s">
        <v>475</v>
      </c>
      <c r="D42" t="s">
        <v>283</v>
      </c>
      <c r="E42" t="s">
        <v>309</v>
      </c>
      <c r="F42" t="s">
        <v>346</v>
      </c>
      <c r="G42">
        <v>8</v>
      </c>
      <c r="H42">
        <v>12</v>
      </c>
      <c r="I42" t="s">
        <v>664</v>
      </c>
      <c r="J42">
        <v>73</v>
      </c>
      <c r="K42" t="s">
        <v>307</v>
      </c>
      <c r="L42" t="s">
        <v>665</v>
      </c>
      <c r="M42" t="s">
        <v>666</v>
      </c>
      <c r="N42" t="s">
        <v>472</v>
      </c>
      <c r="O42" t="s">
        <v>667</v>
      </c>
      <c r="P42"/>
      <c r="Q42"/>
      <c r="R42"/>
      <c r="S42"/>
      <c r="T42" s="85"/>
      <c r="U42" t="s">
        <v>668</v>
      </c>
      <c r="V42" s="85">
        <v>44427</v>
      </c>
      <c r="W42" s="85"/>
      <c r="X42" t="s">
        <v>440</v>
      </c>
      <c r="Y42"/>
      <c r="Z42"/>
      <c r="AA42" s="85"/>
      <c r="AB42">
        <v>0</v>
      </c>
      <c r="AC42" s="84">
        <v>44428.316180556001</v>
      </c>
      <c r="AD42" s="84">
        <v>44428.316180556001</v>
      </c>
    </row>
    <row r="43" spans="1:30" ht="15" x14ac:dyDescent="0.25">
      <c r="A43">
        <v>42</v>
      </c>
      <c r="B43" t="s">
        <v>670</v>
      </c>
      <c r="C43" t="s">
        <v>475</v>
      </c>
      <c r="D43" t="s">
        <v>283</v>
      </c>
      <c r="E43" t="s">
        <v>282</v>
      </c>
      <c r="F43" t="s">
        <v>345</v>
      </c>
      <c r="G43">
        <v>2</v>
      </c>
      <c r="H43">
        <v>4</v>
      </c>
      <c r="I43" t="s">
        <v>345</v>
      </c>
      <c r="J43">
        <v>70</v>
      </c>
      <c r="K43" t="s">
        <v>307</v>
      </c>
      <c r="L43" t="s">
        <v>655</v>
      </c>
      <c r="M43" t="s">
        <v>462</v>
      </c>
      <c r="N43" t="s">
        <v>472</v>
      </c>
      <c r="O43"/>
      <c r="P43"/>
      <c r="Q43"/>
      <c r="R43"/>
      <c r="S43"/>
      <c r="T43" s="85"/>
      <c r="U43" t="s">
        <v>593</v>
      </c>
      <c r="V43" s="85">
        <v>44427</v>
      </c>
      <c r="W43" s="85"/>
      <c r="X43" t="s">
        <v>440</v>
      </c>
      <c r="Y43"/>
      <c r="Z43"/>
      <c r="AA43" s="85"/>
      <c r="AB43">
        <v>0</v>
      </c>
      <c r="AC43" s="84">
        <v>44428.341840278001</v>
      </c>
      <c r="AD43" s="84">
        <v>44428.327013889</v>
      </c>
    </row>
    <row r="44" spans="1:30" ht="15" x14ac:dyDescent="0.25">
      <c r="A44" s="8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85"/>
      <c r="U44"/>
      <c r="V44" s="85"/>
      <c r="W44" s="85"/>
      <c r="X44"/>
      <c r="Y44"/>
      <c r="Z44"/>
      <c r="AA44" s="85"/>
      <c r="AB44"/>
      <c r="AC44" s="84"/>
      <c r="AD44" s="84"/>
    </row>
    <row r="45" spans="1:30" ht="15" x14ac:dyDescent="0.25">
      <c r="A45" s="8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85"/>
      <c r="U45"/>
      <c r="V45" s="85"/>
      <c r="W45" s="85"/>
      <c r="X45"/>
      <c r="Y45"/>
      <c r="Z45"/>
      <c r="AA45" s="85"/>
      <c r="AB45"/>
      <c r="AC45" s="84"/>
      <c r="AD45" s="84"/>
    </row>
    <row r="46" spans="1:30" ht="15" x14ac:dyDescent="0.25">
      <c r="A46" s="8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85"/>
      <c r="U46"/>
      <c r="V46" s="85"/>
      <c r="W46" s="85"/>
      <c r="X46"/>
      <c r="Y46"/>
      <c r="Z46"/>
      <c r="AA46" s="85"/>
      <c r="AB46"/>
      <c r="AC46" s="84"/>
      <c r="AD46" s="84"/>
    </row>
    <row r="47" spans="1:30" ht="15" x14ac:dyDescent="0.25">
      <c r="A47" s="8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 s="85"/>
      <c r="U47"/>
      <c r="V47" s="85"/>
      <c r="W47" s="85"/>
      <c r="X47"/>
      <c r="Y47"/>
      <c r="Z47"/>
      <c r="AA47" s="85"/>
      <c r="AB47"/>
      <c r="AC47" s="84"/>
      <c r="AD47" s="84"/>
    </row>
    <row r="48" spans="1:30" ht="15" x14ac:dyDescent="0.25">
      <c r="A48" s="8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 s="85"/>
      <c r="U48"/>
      <c r="V48" s="85"/>
      <c r="W48" s="85"/>
      <c r="X48"/>
      <c r="Y48"/>
      <c r="Z48"/>
      <c r="AA48" s="85"/>
      <c r="AB48"/>
      <c r="AC48" s="84"/>
      <c r="AD48" s="84"/>
    </row>
    <row r="49" spans="1:30" ht="15" x14ac:dyDescent="0.25">
      <c r="A49" s="8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 s="85"/>
      <c r="U49"/>
      <c r="V49" s="85"/>
      <c r="W49" s="85"/>
      <c r="X49"/>
      <c r="Y49"/>
      <c r="Z49"/>
      <c r="AA49" s="85"/>
      <c r="AB49"/>
      <c r="AC49" s="84"/>
      <c r="AD49" s="84"/>
    </row>
    <row r="50" spans="1:30" ht="15" x14ac:dyDescent="0.25">
      <c r="A50" s="8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 s="85"/>
      <c r="U50"/>
      <c r="V50" s="85"/>
      <c r="W50" s="85"/>
      <c r="X50"/>
      <c r="Y50"/>
      <c r="Z50"/>
      <c r="AA50" s="85"/>
      <c r="AB50"/>
      <c r="AC50" s="84"/>
      <c r="AD50" s="84"/>
    </row>
    <row r="51" spans="1:30" ht="15" x14ac:dyDescent="0.25">
      <c r="A51" s="8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 s="85"/>
      <c r="U51"/>
      <c r="V51" s="85"/>
      <c r="W51" s="85"/>
      <c r="X51"/>
      <c r="Y51"/>
      <c r="Z51"/>
      <c r="AA51" s="85"/>
      <c r="AB51"/>
      <c r="AC51" s="84"/>
      <c r="AD51" s="84"/>
    </row>
    <row r="52" spans="1:30" ht="15" x14ac:dyDescent="0.25">
      <c r="A52" s="8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 s="85"/>
      <c r="U52"/>
      <c r="V52" s="85"/>
      <c r="W52" s="85"/>
      <c r="X52"/>
      <c r="Y52"/>
      <c r="Z52"/>
      <c r="AA52" s="85"/>
      <c r="AB52"/>
      <c r="AC52" s="84"/>
      <c r="AD52" s="84"/>
    </row>
    <row r="53" spans="1:30" ht="15" x14ac:dyDescent="0.25">
      <c r="A53" s="8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 s="85"/>
      <c r="U53"/>
      <c r="V53" s="85"/>
      <c r="W53" s="85"/>
      <c r="X53"/>
      <c r="Y53"/>
      <c r="Z53"/>
      <c r="AA53" s="85"/>
      <c r="AB53"/>
      <c r="AC53" s="84"/>
      <c r="AD53" s="84"/>
    </row>
    <row r="54" spans="1:30" ht="15" x14ac:dyDescent="0.25">
      <c r="A54" s="8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 s="85"/>
      <c r="U54"/>
      <c r="V54" s="85"/>
      <c r="W54" s="85"/>
      <c r="X54"/>
      <c r="Y54"/>
      <c r="Z54"/>
      <c r="AA54" s="85"/>
      <c r="AB54"/>
      <c r="AC54" s="84"/>
      <c r="AD54" s="84"/>
    </row>
    <row r="55" spans="1:30" ht="15" x14ac:dyDescent="0.25">
      <c r="A55" s="8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 s="85"/>
      <c r="U55"/>
      <c r="V55" s="85"/>
      <c r="W55" s="85"/>
      <c r="X55"/>
      <c r="Y55"/>
      <c r="Z55"/>
      <c r="AA55" s="85"/>
      <c r="AB55"/>
      <c r="AC55" s="84"/>
      <c r="AD55" s="84"/>
    </row>
    <row r="56" spans="1:30" ht="15" x14ac:dyDescent="0.25">
      <c r="A56" s="8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 s="85"/>
      <c r="U56"/>
      <c r="V56" s="85"/>
      <c r="W56" s="85"/>
      <c r="X56"/>
      <c r="Y56"/>
      <c r="Z56"/>
      <c r="AA56" s="85"/>
      <c r="AB56"/>
      <c r="AC56" s="84"/>
      <c r="AD56" s="84"/>
    </row>
    <row r="57" spans="1:30" ht="15" x14ac:dyDescent="0.25">
      <c r="A57" s="8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 s="85"/>
      <c r="U57"/>
      <c r="V57" s="85"/>
      <c r="W57" s="85"/>
      <c r="X57"/>
      <c r="Y57"/>
      <c r="Z57"/>
      <c r="AA57" s="85"/>
      <c r="AB57"/>
      <c r="AC57" s="84"/>
      <c r="AD57" s="84"/>
    </row>
    <row r="58" spans="1:30" ht="15" x14ac:dyDescent="0.25">
      <c r="A58" s="8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 s="85"/>
      <c r="U58"/>
      <c r="V58" s="85"/>
      <c r="W58" s="85"/>
      <c r="X58"/>
      <c r="Y58"/>
      <c r="Z58"/>
      <c r="AA58" s="85"/>
      <c r="AB58"/>
      <c r="AC58" s="84"/>
      <c r="AD58" s="84"/>
    </row>
    <row r="59" spans="1:30" ht="15" x14ac:dyDescent="0.25">
      <c r="A59" s="8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 s="85"/>
      <c r="U59"/>
      <c r="V59" s="85"/>
      <c r="W59" s="85"/>
      <c r="X59"/>
      <c r="Y59"/>
      <c r="Z59"/>
      <c r="AA59" s="85"/>
      <c r="AB59"/>
      <c r="AC59" s="84"/>
      <c r="AD59" s="84"/>
    </row>
    <row r="60" spans="1:30" ht="15" x14ac:dyDescent="0.25">
      <c r="A60" s="8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 s="85"/>
      <c r="U60"/>
      <c r="V60" s="85"/>
      <c r="W60" s="85"/>
      <c r="X60"/>
      <c r="Y60"/>
      <c r="Z60"/>
      <c r="AA60" s="85"/>
      <c r="AB60"/>
      <c r="AC60" s="84"/>
      <c r="AD60" s="84"/>
    </row>
    <row r="61" spans="1:30" ht="15" x14ac:dyDescent="0.25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85"/>
      <c r="U61"/>
      <c r="V61" s="85"/>
      <c r="W61" s="85"/>
      <c r="X61"/>
      <c r="Y61"/>
      <c r="Z61"/>
      <c r="AA61" s="85"/>
      <c r="AB61"/>
      <c r="AC61" s="84"/>
      <c r="AD61" s="84"/>
    </row>
    <row r="62" spans="1:30" ht="15" x14ac:dyDescent="0.25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 s="85"/>
      <c r="U62"/>
      <c r="V62" s="85"/>
      <c r="W62" s="85"/>
      <c r="X62"/>
      <c r="Y62"/>
      <c r="Z62"/>
      <c r="AA62" s="85"/>
      <c r="AB62"/>
      <c r="AC62" s="84"/>
      <c r="AD62" s="84"/>
    </row>
    <row r="63" spans="1:30" ht="15" x14ac:dyDescent="0.25">
      <c r="A63" s="8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 s="85"/>
      <c r="U63"/>
      <c r="V63" s="85"/>
      <c r="W63" s="85"/>
      <c r="X63"/>
      <c r="Y63"/>
      <c r="Z63"/>
      <c r="AA63" s="85"/>
      <c r="AB63"/>
      <c r="AC63" s="84"/>
      <c r="AD63" s="84"/>
    </row>
    <row r="64" spans="1:30" ht="15" x14ac:dyDescent="0.25">
      <c r="A64" s="8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 s="85"/>
      <c r="U64"/>
      <c r="V64" s="85"/>
      <c r="W64" s="85"/>
      <c r="X64"/>
      <c r="Y64"/>
      <c r="Z64"/>
      <c r="AA64" s="85"/>
      <c r="AB64"/>
      <c r="AC64" s="84"/>
      <c r="AD64" s="84"/>
    </row>
    <row r="65" spans="1:30" ht="15" x14ac:dyDescent="0.25">
      <c r="A65" s="8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 s="85"/>
      <c r="U65"/>
      <c r="V65" s="85"/>
      <c r="W65" s="85"/>
      <c r="X65"/>
      <c r="Y65"/>
      <c r="Z65"/>
      <c r="AA65" s="85"/>
      <c r="AB65"/>
      <c r="AC65" s="84"/>
      <c r="AD65" s="84"/>
    </row>
    <row r="66" spans="1:30" ht="15" x14ac:dyDescent="0.25">
      <c r="A66" s="8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 s="85"/>
      <c r="U66"/>
      <c r="V66" s="85"/>
      <c r="W66" s="85"/>
      <c r="X66"/>
      <c r="Y66"/>
      <c r="Z66"/>
      <c r="AA66" s="85"/>
      <c r="AB66"/>
      <c r="AC66" s="84"/>
      <c r="AD66" s="84"/>
    </row>
    <row r="67" spans="1:30" ht="15" x14ac:dyDescent="0.25">
      <c r="A67" s="8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 s="85"/>
      <c r="U67"/>
      <c r="V67" s="85"/>
      <c r="W67" s="85"/>
      <c r="X67"/>
      <c r="Y67"/>
      <c r="Z67"/>
      <c r="AA67" s="85"/>
      <c r="AB67"/>
      <c r="AC67" s="84"/>
      <c r="AD67" s="84"/>
    </row>
    <row r="68" spans="1:30" ht="15" x14ac:dyDescent="0.25">
      <c r="A68" s="8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 s="85"/>
      <c r="U68"/>
      <c r="V68" s="85"/>
      <c r="W68" s="85"/>
      <c r="X68"/>
      <c r="Y68"/>
      <c r="Z68"/>
      <c r="AA68" s="85"/>
      <c r="AB68"/>
      <c r="AC68" s="84"/>
      <c r="AD68" s="84"/>
    </row>
    <row r="69" spans="1:30" ht="15" x14ac:dyDescent="0.25">
      <c r="A69" s="8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 s="85"/>
      <c r="U69"/>
      <c r="V69" s="85"/>
      <c r="W69" s="85"/>
      <c r="X69"/>
      <c r="Y69"/>
      <c r="Z69"/>
      <c r="AA69" s="85"/>
      <c r="AB69"/>
      <c r="AC69" s="84"/>
      <c r="AD69" s="84"/>
    </row>
    <row r="70" spans="1:30" ht="15" x14ac:dyDescent="0.25">
      <c r="A70" s="8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 s="85"/>
      <c r="U70"/>
      <c r="V70" s="85"/>
      <c r="W70" s="85"/>
      <c r="X70"/>
      <c r="Y70"/>
      <c r="Z70"/>
      <c r="AA70" s="85"/>
      <c r="AB70"/>
      <c r="AC70" s="84"/>
      <c r="AD70" s="84"/>
    </row>
    <row r="71" spans="1:30" ht="15" x14ac:dyDescent="0.25">
      <c r="A71" s="8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 s="85"/>
      <c r="U71"/>
      <c r="V71" s="85"/>
      <c r="W71" s="85"/>
      <c r="X71"/>
      <c r="Y71"/>
      <c r="Z71"/>
      <c r="AA71" s="85"/>
      <c r="AB71"/>
      <c r="AC71" s="84"/>
      <c r="AD71" s="84"/>
    </row>
    <row r="72" spans="1:30" ht="15" x14ac:dyDescent="0.25">
      <c r="A72" s="8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 s="85"/>
      <c r="U72"/>
      <c r="V72" s="85"/>
      <c r="W72" s="85"/>
      <c r="X72"/>
      <c r="Y72"/>
      <c r="Z72"/>
      <c r="AA72" s="85"/>
      <c r="AB72"/>
      <c r="AC72" s="84"/>
      <c r="AD72" s="84"/>
    </row>
    <row r="73" spans="1:30" ht="15" x14ac:dyDescent="0.25">
      <c r="A73" s="8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 s="85"/>
      <c r="U73"/>
      <c r="V73" s="85"/>
      <c r="W73" s="85"/>
      <c r="X73"/>
      <c r="Y73"/>
      <c r="Z73"/>
      <c r="AA73" s="85"/>
      <c r="AB73"/>
      <c r="AC73" s="84"/>
      <c r="AD73" s="84"/>
    </row>
  </sheetData>
  <autoFilter ref="A1:AB34"/>
  <sortState ref="A2:AD34">
    <sortCondition sortBy="cellColor" ref="B2:B34" dxfId="39"/>
  </sortState>
  <conditionalFormatting sqref="B1 B44:B1048576">
    <cfRule type="duplicateValues" dxfId="38" priority="7"/>
  </conditionalFormatting>
  <conditionalFormatting sqref="B74:B1048576 B1">
    <cfRule type="duplicateValues" dxfId="37" priority="122"/>
  </conditionalFormatting>
  <conditionalFormatting sqref="B74:B1048576">
    <cfRule type="duplicateValues" dxfId="36" priority="125"/>
  </conditionalFormatting>
  <conditionalFormatting sqref="B74:B1048576">
    <cfRule type="duplicateValues" dxfId="35" priority="127"/>
  </conditionalFormatting>
  <conditionalFormatting sqref="A44:A73">
    <cfRule type="duplicateValues" dxfId="34" priority="13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zoomScale="80" zoomScaleNormal="80" workbookViewId="0">
      <pane xSplit="3" ySplit="7" topLeftCell="D242" activePane="bottomRight" state="frozen"/>
      <selection pane="topRight" activeCell="E1" sqref="E1"/>
      <selection pane="bottomLeft" activeCell="A8" sqref="A8"/>
      <selection pane="bottomRight" activeCell="U254" sqref="U254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14" customWidth="1"/>
    <col min="4" max="4" width="22" style="1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26" hidden="1" customWidth="1"/>
    <col min="16" max="16" width="6.7109375" hidden="1" customWidth="1"/>
    <col min="17" max="17" width="17.42578125" customWidth="1"/>
  </cols>
  <sheetData>
    <row r="1" spans="1:17" x14ac:dyDescent="0.25">
      <c r="A1" s="15" t="s">
        <v>460</v>
      </c>
      <c r="B1" s="15"/>
      <c r="C1" s="19"/>
      <c r="D1" s="19"/>
    </row>
    <row r="2" spans="1:17" x14ac:dyDescent="0.25">
      <c r="A2" s="1"/>
      <c r="B2" s="1"/>
      <c r="C2" s="11"/>
      <c r="D2" s="11"/>
    </row>
    <row r="3" spans="1:17" x14ac:dyDescent="0.25">
      <c r="A3" s="1"/>
      <c r="B3" s="1"/>
      <c r="C3" s="11"/>
      <c r="D3" s="11"/>
    </row>
    <row r="4" spans="1:17" x14ac:dyDescent="0.25">
      <c r="A4" s="20" t="s">
        <v>298</v>
      </c>
      <c r="B4" s="59" t="s">
        <v>722</v>
      </c>
      <c r="C4" s="12"/>
      <c r="D4" s="12"/>
    </row>
    <row r="5" spans="1:17" ht="60" customHeight="1" x14ac:dyDescent="0.25">
      <c r="A5" s="102" t="s">
        <v>1</v>
      </c>
      <c r="B5" s="102" t="s">
        <v>2</v>
      </c>
      <c r="C5" s="104" t="s">
        <v>3</v>
      </c>
      <c r="D5" s="106" t="s">
        <v>459</v>
      </c>
      <c r="E5" s="97" t="s">
        <v>272</v>
      </c>
      <c r="F5" s="97" t="s">
        <v>273</v>
      </c>
      <c r="G5" s="98" t="s">
        <v>300</v>
      </c>
      <c r="H5" s="101" t="s">
        <v>299</v>
      </c>
      <c r="I5" s="101" t="s">
        <v>297</v>
      </c>
      <c r="J5" s="97" t="s">
        <v>296</v>
      </c>
      <c r="K5" s="98" t="s">
        <v>303</v>
      </c>
      <c r="L5" s="98" t="s">
        <v>304</v>
      </c>
      <c r="M5" s="97" t="s">
        <v>302</v>
      </c>
      <c r="Q5" s="91" t="s">
        <v>439</v>
      </c>
    </row>
    <row r="6" spans="1:17" ht="15" customHeight="1" x14ac:dyDescent="0.25">
      <c r="A6" s="103"/>
      <c r="B6" s="103"/>
      <c r="C6" s="105"/>
      <c r="D6" s="107"/>
      <c r="E6" s="97"/>
      <c r="F6" s="97"/>
      <c r="G6" s="99"/>
      <c r="H6" s="101"/>
      <c r="I6" s="101"/>
      <c r="J6" s="97"/>
      <c r="K6" s="99"/>
      <c r="L6" s="99"/>
      <c r="M6" s="97"/>
      <c r="Q6" s="92"/>
    </row>
    <row r="7" spans="1:17" ht="15.75" customHeight="1" x14ac:dyDescent="0.25">
      <c r="A7" s="103"/>
      <c r="B7" s="103"/>
      <c r="C7" s="105"/>
      <c r="D7" s="107"/>
      <c r="E7" s="97"/>
      <c r="F7" s="97"/>
      <c r="G7" s="100"/>
      <c r="H7" s="101"/>
      <c r="I7" s="101"/>
      <c r="J7" s="97"/>
      <c r="K7" s="100"/>
      <c r="L7" s="100"/>
      <c r="M7" s="97"/>
      <c r="Q7" s="93"/>
    </row>
    <row r="8" spans="1:17" x14ac:dyDescent="0.25">
      <c r="A8" s="61">
        <v>1</v>
      </c>
      <c r="B8" s="62" t="s">
        <v>4</v>
      </c>
      <c r="C8" s="43" t="s">
        <v>394</v>
      </c>
      <c r="D8" s="76">
        <f>COUNTIFS('TOTAL SUSPEK'!$F:$F,"kembangarum")</f>
        <v>0</v>
      </c>
      <c r="E8" s="21" t="e">
        <f>SUM(#REF!)</f>
        <v>#REF!</v>
      </c>
      <c r="F8" s="21" t="e">
        <f>SUM(#REF!)</f>
        <v>#REF!</v>
      </c>
      <c r="G8" s="21" t="e">
        <f>SUM(#REF!)</f>
        <v>#REF!</v>
      </c>
      <c r="H8" s="21" t="e">
        <f>SUM(#REF!)</f>
        <v>#REF!</v>
      </c>
      <c r="I8" s="21" t="e">
        <f>SUM(#REF!)</f>
        <v>#REF!</v>
      </c>
      <c r="J8" s="21" t="e">
        <f>SUM(#REF!)</f>
        <v>#REF!</v>
      </c>
      <c r="K8" s="21" t="e">
        <f>SUM(#REF!)</f>
        <v>#REF!</v>
      </c>
      <c r="L8" s="21">
        <f>SUM(D8:D26)</f>
        <v>17</v>
      </c>
      <c r="M8" s="21" t="e">
        <f>SUM(#REF!)</f>
        <v>#REF!</v>
      </c>
      <c r="P8" s="42">
        <f t="shared" ref="P8:P71" si="0">SUM(D8:D8)</f>
        <v>0</v>
      </c>
      <c r="Q8" s="42">
        <f>SUM(P8:P26)</f>
        <v>17</v>
      </c>
    </row>
    <row r="9" spans="1:17" x14ac:dyDescent="0.25">
      <c r="A9" s="61"/>
      <c r="B9" s="62" t="s">
        <v>4</v>
      </c>
      <c r="C9" s="43" t="s">
        <v>4</v>
      </c>
      <c r="D9" s="76">
        <f>COUNTIFS('TOTAL SUSPEK'!$F:$F,"mranggen")</f>
        <v>2</v>
      </c>
      <c r="E9" s="22"/>
      <c r="F9" s="23"/>
      <c r="G9" s="23"/>
      <c r="H9" s="23"/>
      <c r="I9" s="23"/>
      <c r="J9" s="23"/>
      <c r="K9" s="24"/>
      <c r="L9" s="24"/>
      <c r="M9" s="24"/>
      <c r="P9" s="42">
        <f t="shared" si="0"/>
        <v>2</v>
      </c>
    </row>
    <row r="10" spans="1:17" x14ac:dyDescent="0.25">
      <c r="A10" s="61"/>
      <c r="B10" s="62" t="s">
        <v>4</v>
      </c>
      <c r="C10" s="43" t="s">
        <v>5</v>
      </c>
      <c r="D10" s="76">
        <f>COUNTIFS('TOTAL SUSPEK'!$F:$F,"kangkung")</f>
        <v>0</v>
      </c>
      <c r="E10" s="22"/>
      <c r="F10" s="23"/>
      <c r="G10" s="23"/>
      <c r="H10" s="23"/>
      <c r="I10" s="23"/>
      <c r="J10" s="23"/>
      <c r="K10" s="24"/>
      <c r="L10" s="24"/>
      <c r="M10" s="24"/>
      <c r="P10" s="42">
        <f t="shared" si="0"/>
        <v>0</v>
      </c>
    </row>
    <row r="11" spans="1:17" x14ac:dyDescent="0.25">
      <c r="A11" s="61"/>
      <c r="B11" s="62" t="s">
        <v>4</v>
      </c>
      <c r="C11" s="43" t="s">
        <v>6</v>
      </c>
      <c r="D11" s="76">
        <f>COUNTIFS('TOTAL SUSPEK'!$F:$F,"Kalitengah")</f>
        <v>0</v>
      </c>
      <c r="E11" s="22"/>
      <c r="F11" s="23"/>
      <c r="G11" s="23"/>
      <c r="H11" s="23"/>
      <c r="I11" s="23"/>
      <c r="J11" s="23"/>
      <c r="K11" s="24"/>
      <c r="L11" s="24"/>
      <c r="M11" s="24"/>
      <c r="P11" s="42">
        <f t="shared" si="0"/>
        <v>0</v>
      </c>
    </row>
    <row r="12" spans="1:17" x14ac:dyDescent="0.25">
      <c r="A12" s="61"/>
      <c r="B12" s="62" t="s">
        <v>4</v>
      </c>
      <c r="C12" s="43" t="s">
        <v>7</v>
      </c>
      <c r="D12" s="76">
        <f>COUNTIFS('TOTAL SUSPEK'!$F:$F,"brumbung")</f>
        <v>0</v>
      </c>
      <c r="E12" s="22"/>
      <c r="F12" s="23"/>
      <c r="G12" s="23"/>
      <c r="H12" s="23"/>
      <c r="I12" s="23"/>
      <c r="J12" s="23"/>
      <c r="K12" s="24"/>
      <c r="L12" s="24"/>
      <c r="M12" s="24"/>
      <c r="P12" s="42">
        <f t="shared" si="0"/>
        <v>0</v>
      </c>
    </row>
    <row r="13" spans="1:17" x14ac:dyDescent="0.25">
      <c r="A13" s="61"/>
      <c r="B13" s="62" t="s">
        <v>4</v>
      </c>
      <c r="C13" s="43" t="s">
        <v>8</v>
      </c>
      <c r="D13" s="76">
        <f>COUNTIFS('TOTAL SUSPEK'!$F:$F,"Sumberejo",'TOTAL SUSPEK'!$E:$E,"mranggen")</f>
        <v>0</v>
      </c>
      <c r="E13" s="22"/>
      <c r="F13" s="23"/>
      <c r="G13" s="23"/>
      <c r="H13" s="23"/>
      <c r="I13" s="23"/>
      <c r="J13" s="23"/>
      <c r="K13" s="24"/>
      <c r="L13" s="24"/>
      <c r="M13" s="24"/>
      <c r="P13" s="42">
        <f t="shared" si="0"/>
        <v>0</v>
      </c>
    </row>
    <row r="14" spans="1:17" x14ac:dyDescent="0.25">
      <c r="A14" s="61"/>
      <c r="B14" s="62" t="s">
        <v>4</v>
      </c>
      <c r="C14" s="43" t="s">
        <v>9</v>
      </c>
      <c r="D14" s="76">
        <f>COUNTIFS('TOTAL SUSPEK'!$F:$F,"Bandungrejo",'TOTAL SUSPEK'!$E:$E,"mranggen")</f>
        <v>2</v>
      </c>
      <c r="E14" s="22"/>
      <c r="F14" s="23"/>
      <c r="G14" s="23"/>
      <c r="H14" s="23"/>
      <c r="I14" s="23"/>
      <c r="J14" s="23"/>
      <c r="K14" s="24"/>
      <c r="L14" s="24"/>
      <c r="M14" s="24"/>
      <c r="P14" s="42">
        <f t="shared" si="0"/>
        <v>2</v>
      </c>
    </row>
    <row r="15" spans="1:17" x14ac:dyDescent="0.25">
      <c r="A15" s="61"/>
      <c r="B15" s="62" t="s">
        <v>4</v>
      </c>
      <c r="C15" s="43" t="s">
        <v>10</v>
      </c>
      <c r="D15" s="76">
        <f>COUNTIFS('TOTAL SUSPEK'!$F:$F,"menur")</f>
        <v>0</v>
      </c>
      <c r="E15" s="22"/>
      <c r="F15" s="23"/>
      <c r="G15" s="23"/>
      <c r="H15" s="23"/>
      <c r="I15" s="23"/>
      <c r="J15" s="23"/>
      <c r="K15" s="24"/>
      <c r="L15" s="24"/>
      <c r="M15" s="24"/>
      <c r="P15" s="42">
        <f t="shared" si="0"/>
        <v>0</v>
      </c>
    </row>
    <row r="16" spans="1:17" x14ac:dyDescent="0.25">
      <c r="A16" s="61"/>
      <c r="B16" s="62" t="s">
        <v>4</v>
      </c>
      <c r="C16" s="43" t="s">
        <v>11</v>
      </c>
      <c r="D16" s="76">
        <f>COUNTIFS('TOTAL SUSPEK'!$F:$F,"wringinjajar")</f>
        <v>0</v>
      </c>
      <c r="E16" s="22"/>
      <c r="F16" s="23"/>
      <c r="G16" s="23"/>
      <c r="H16" s="23"/>
      <c r="I16" s="23"/>
      <c r="J16" s="23"/>
      <c r="K16" s="24"/>
      <c r="L16" s="24"/>
      <c r="M16" s="24"/>
      <c r="P16" s="42">
        <f t="shared" si="0"/>
        <v>0</v>
      </c>
    </row>
    <row r="17" spans="1:17" x14ac:dyDescent="0.25">
      <c r="A17" s="61"/>
      <c r="B17" s="62" t="s">
        <v>4</v>
      </c>
      <c r="C17" s="43" t="s">
        <v>12</v>
      </c>
      <c r="D17" s="76">
        <f>COUNTIFS('TOTAL SUSPEK'!$F:$F,"candisari")</f>
        <v>0</v>
      </c>
      <c r="E17" s="22"/>
      <c r="F17" s="23"/>
      <c r="G17" s="23"/>
      <c r="H17" s="23"/>
      <c r="I17" s="23"/>
      <c r="J17" s="23"/>
      <c r="K17" s="24"/>
      <c r="L17" s="24"/>
      <c r="M17" s="24"/>
      <c r="P17" s="42">
        <f t="shared" si="0"/>
        <v>0</v>
      </c>
    </row>
    <row r="18" spans="1:17" x14ac:dyDescent="0.25">
      <c r="A18" s="61"/>
      <c r="B18" s="62" t="s">
        <v>4</v>
      </c>
      <c r="C18" s="43" t="s">
        <v>13</v>
      </c>
      <c r="D18" s="76">
        <f>COUNTIFS('TOTAL SUSPEK'!$F:$F,"ngemplak")</f>
        <v>0</v>
      </c>
      <c r="E18" s="22"/>
      <c r="F18" s="23"/>
      <c r="G18" s="23"/>
      <c r="H18" s="23"/>
      <c r="I18" s="23"/>
      <c r="J18" s="23"/>
      <c r="K18" s="24"/>
      <c r="L18" s="24"/>
      <c r="M18" s="24"/>
      <c r="P18" s="42">
        <f t="shared" si="0"/>
        <v>0</v>
      </c>
    </row>
    <row r="19" spans="1:17" x14ac:dyDescent="0.25">
      <c r="A19" s="61"/>
      <c r="B19" s="62" t="s">
        <v>4</v>
      </c>
      <c r="C19" s="43" t="s">
        <v>14</v>
      </c>
      <c r="D19" s="76">
        <f>COUNTIFS('TOTAL SUSPEK'!$F:$F,"karangsono")</f>
        <v>0</v>
      </c>
      <c r="E19" s="22"/>
      <c r="F19" s="23"/>
      <c r="G19" s="23"/>
      <c r="H19" s="23"/>
      <c r="I19" s="23"/>
      <c r="J19" s="23"/>
      <c r="K19" s="24"/>
      <c r="L19" s="24"/>
      <c r="M19" s="24"/>
      <c r="P19" s="42">
        <f t="shared" si="0"/>
        <v>0</v>
      </c>
    </row>
    <row r="20" spans="1:17" x14ac:dyDescent="0.25">
      <c r="A20" s="61"/>
      <c r="B20" s="62" t="s">
        <v>4</v>
      </c>
      <c r="C20" s="43" t="s">
        <v>15</v>
      </c>
      <c r="D20" s="76">
        <f>COUNTIFS('TOTAL SUSPEK'!$F:$F,"jamus")</f>
        <v>1</v>
      </c>
      <c r="E20" s="22"/>
      <c r="F20" s="23"/>
      <c r="G20" s="23"/>
      <c r="H20" s="23"/>
      <c r="I20" s="23"/>
      <c r="J20" s="23"/>
      <c r="K20" s="24"/>
      <c r="L20" s="24"/>
      <c r="M20" s="24"/>
      <c r="P20" s="42">
        <f t="shared" si="0"/>
        <v>1</v>
      </c>
    </row>
    <row r="21" spans="1:17" x14ac:dyDescent="0.25">
      <c r="A21" s="61"/>
      <c r="B21" s="62" t="s">
        <v>4</v>
      </c>
      <c r="C21" s="43" t="s">
        <v>16</v>
      </c>
      <c r="D21" s="76">
        <f>COUNTIFS('TOTAL SUSPEK'!$F:$F,"waru")</f>
        <v>1</v>
      </c>
      <c r="E21" s="22"/>
      <c r="F21" s="23"/>
      <c r="G21" s="23"/>
      <c r="H21" s="23"/>
      <c r="I21" s="23"/>
      <c r="J21" s="23"/>
      <c r="K21" s="24"/>
      <c r="L21" s="24"/>
      <c r="M21" s="24"/>
      <c r="P21" s="42">
        <f t="shared" si="0"/>
        <v>1</v>
      </c>
    </row>
    <row r="22" spans="1:17" x14ac:dyDescent="0.25">
      <c r="A22" s="61"/>
      <c r="B22" s="62" t="s">
        <v>4</v>
      </c>
      <c r="C22" s="43" t="s">
        <v>17</v>
      </c>
      <c r="D22" s="76">
        <f>COUNTIFS('TOTAL SUSPEK'!$F:$F,"tegalarum")</f>
        <v>0</v>
      </c>
      <c r="E22" s="22"/>
      <c r="F22" s="23"/>
      <c r="G22" s="23"/>
      <c r="H22" s="23"/>
      <c r="I22" s="23"/>
      <c r="J22" s="23"/>
      <c r="K22" s="24"/>
      <c r="L22" s="24"/>
      <c r="M22" s="24"/>
      <c r="P22" s="42">
        <f t="shared" si="0"/>
        <v>0</v>
      </c>
    </row>
    <row r="23" spans="1:17" x14ac:dyDescent="0.25">
      <c r="A23" s="61"/>
      <c r="B23" s="62" t="s">
        <v>4</v>
      </c>
      <c r="C23" s="43" t="s">
        <v>18</v>
      </c>
      <c r="D23" s="76">
        <f>COUNTIFS('TOTAL SUSPEK'!$F:$F,"tamansari")</f>
        <v>0</v>
      </c>
      <c r="E23" s="22"/>
      <c r="F23" s="23"/>
      <c r="G23" s="23"/>
      <c r="H23" s="23"/>
      <c r="I23" s="23"/>
      <c r="J23" s="23"/>
      <c r="K23" s="24"/>
      <c r="L23" s="24"/>
      <c r="M23" s="24"/>
      <c r="P23" s="42">
        <f t="shared" si="0"/>
        <v>0</v>
      </c>
    </row>
    <row r="24" spans="1:17" x14ac:dyDescent="0.25">
      <c r="A24" s="61"/>
      <c r="B24" s="62" t="s">
        <v>4</v>
      </c>
      <c r="C24" s="43" t="s">
        <v>19</v>
      </c>
      <c r="D24" s="76">
        <f>COUNTIFS('TOTAL SUSPEK'!$F:$F,"banyumeneng")</f>
        <v>3</v>
      </c>
      <c r="E24" s="22"/>
      <c r="F24" s="23"/>
      <c r="G24" s="23"/>
      <c r="H24" s="23"/>
      <c r="I24" s="23"/>
      <c r="J24" s="23"/>
      <c r="K24" s="24"/>
      <c r="L24" s="24"/>
      <c r="M24" s="24"/>
      <c r="P24" s="42">
        <f t="shared" si="0"/>
        <v>3</v>
      </c>
    </row>
    <row r="25" spans="1:17" x14ac:dyDescent="0.25">
      <c r="A25" s="61"/>
      <c r="B25" s="62" t="s">
        <v>4</v>
      </c>
      <c r="C25" s="43" t="s">
        <v>20</v>
      </c>
      <c r="D25" s="76">
        <f>COUNTIFS('TOTAL SUSPEK'!$F:$F,"kebonbatur")</f>
        <v>2</v>
      </c>
      <c r="E25" s="22"/>
      <c r="F25" s="23"/>
      <c r="G25" s="23"/>
      <c r="H25" s="23"/>
      <c r="I25" s="23"/>
      <c r="J25" s="23"/>
      <c r="K25" s="24"/>
      <c r="L25" s="24"/>
      <c r="M25" s="24"/>
      <c r="P25" s="42">
        <f t="shared" si="0"/>
        <v>2</v>
      </c>
    </row>
    <row r="26" spans="1:17" x14ac:dyDescent="0.25">
      <c r="A26" s="61"/>
      <c r="B26" s="62" t="s">
        <v>4</v>
      </c>
      <c r="C26" s="43" t="s">
        <v>21</v>
      </c>
      <c r="D26" s="76">
        <f>COUNTIFS('TOTAL SUSPEK'!$F:$F,"batursari")</f>
        <v>6</v>
      </c>
      <c r="E26" s="22"/>
      <c r="F26" s="23"/>
      <c r="G26" s="23"/>
      <c r="H26" s="23"/>
      <c r="I26" s="23"/>
      <c r="J26" s="23"/>
      <c r="K26" s="24"/>
      <c r="L26" s="24"/>
      <c r="M26" s="24"/>
      <c r="P26" s="42">
        <f t="shared" si="0"/>
        <v>6</v>
      </c>
    </row>
    <row r="27" spans="1:17" ht="15" customHeight="1" x14ac:dyDescent="0.25">
      <c r="A27" s="61">
        <v>2</v>
      </c>
      <c r="B27" s="62" t="s">
        <v>22</v>
      </c>
      <c r="C27" s="43" t="s">
        <v>23</v>
      </c>
      <c r="D27" s="76">
        <f>COUNTIFS('TOTAL SUSPEK'!$F:$F,"wonowoso")</f>
        <v>0</v>
      </c>
      <c r="E27" s="22" t="e">
        <f>SUM(#REF!)</f>
        <v>#REF!</v>
      </c>
      <c r="F27" s="22" t="e">
        <f>SUM(#REF!)</f>
        <v>#REF!</v>
      </c>
      <c r="G27" s="22" t="e">
        <f>SUM(#REF!)</f>
        <v>#REF!</v>
      </c>
      <c r="H27" s="22" t="e">
        <f>SUM(#REF!)</f>
        <v>#REF!</v>
      </c>
      <c r="I27" s="22" t="e">
        <f>SUM(#REF!)</f>
        <v>#REF!</v>
      </c>
      <c r="J27" s="22" t="e">
        <f>SUM(#REF!)</f>
        <v>#REF!</v>
      </c>
      <c r="K27" s="22" t="e">
        <f>SUM(#REF!)</f>
        <v>#REF!</v>
      </c>
      <c r="L27" s="22">
        <f>SUM(D27:D43)</f>
        <v>0</v>
      </c>
      <c r="M27" s="22" t="e">
        <f>SUM(#REF!)</f>
        <v>#REF!</v>
      </c>
      <c r="P27" s="42">
        <f t="shared" si="0"/>
        <v>0</v>
      </c>
      <c r="Q27" s="42">
        <f>SUM(P27:P43)</f>
        <v>0</v>
      </c>
    </row>
    <row r="28" spans="1:17" ht="15" customHeight="1" x14ac:dyDescent="0.25">
      <c r="A28" s="61"/>
      <c r="B28" s="62" t="s">
        <v>22</v>
      </c>
      <c r="C28" s="43" t="s">
        <v>24</v>
      </c>
      <c r="D28" s="76">
        <f>COUNTIFS('TOTAL SUSPEK'!$F:$F,"sampang")</f>
        <v>0</v>
      </c>
      <c r="E28" s="22"/>
      <c r="F28" s="23"/>
      <c r="G28" s="23"/>
      <c r="H28" s="23"/>
      <c r="I28" s="23"/>
      <c r="J28" s="23"/>
      <c r="K28" s="24"/>
      <c r="L28" s="24"/>
      <c r="M28" s="24"/>
      <c r="P28" s="42">
        <f t="shared" si="0"/>
        <v>0</v>
      </c>
    </row>
    <row r="29" spans="1:17" ht="15" customHeight="1" x14ac:dyDescent="0.25">
      <c r="A29" s="61"/>
      <c r="B29" s="62" t="s">
        <v>22</v>
      </c>
      <c r="C29" s="43" t="s">
        <v>242</v>
      </c>
      <c r="D29" s="76">
        <f>COUNTIFS('TOTAL SUSPEK'!$F:$F,"tambakbulusan")</f>
        <v>0</v>
      </c>
      <c r="E29" s="22"/>
      <c r="F29" s="23"/>
      <c r="G29" s="23"/>
      <c r="H29" s="23"/>
      <c r="I29" s="23"/>
      <c r="J29" s="23"/>
      <c r="K29" s="24"/>
      <c r="L29" s="24"/>
      <c r="M29" s="24"/>
      <c r="P29" s="42">
        <f t="shared" si="0"/>
        <v>0</v>
      </c>
    </row>
    <row r="30" spans="1:17" ht="15" customHeight="1" x14ac:dyDescent="0.25">
      <c r="A30" s="61"/>
      <c r="B30" s="62" t="s">
        <v>22</v>
      </c>
      <c r="C30" s="43" t="s">
        <v>25</v>
      </c>
      <c r="D30" s="76">
        <f>COUNTIFS('TOTAL SUSPEK'!$F:$F,"pulosari")</f>
        <v>0</v>
      </c>
      <c r="E30" s="22"/>
      <c r="F30" s="23"/>
      <c r="G30" s="23"/>
      <c r="H30" s="23"/>
      <c r="I30" s="23"/>
      <c r="J30" s="23"/>
      <c r="K30" s="24"/>
      <c r="L30" s="24"/>
      <c r="M30" s="24"/>
      <c r="P30" s="42">
        <f t="shared" si="0"/>
        <v>0</v>
      </c>
    </row>
    <row r="31" spans="1:17" ht="15" customHeight="1" x14ac:dyDescent="0.25">
      <c r="A31" s="61"/>
      <c r="B31" s="62" t="s">
        <v>22</v>
      </c>
      <c r="C31" s="43" t="s">
        <v>26</v>
      </c>
      <c r="D31" s="76">
        <f>COUNTIFS('TOTAL SUSPEK'!$F:$F,"Rejosari",'TOTAL SUSPEK'!$E:$E,"karangtengah")</f>
        <v>0</v>
      </c>
      <c r="E31" s="22"/>
      <c r="F31" s="23"/>
      <c r="G31" s="23"/>
      <c r="H31" s="23"/>
      <c r="I31" s="23"/>
      <c r="J31" s="23"/>
      <c r="K31" s="24"/>
      <c r="L31" s="24"/>
      <c r="M31" s="24"/>
      <c r="P31" s="42">
        <f t="shared" si="0"/>
        <v>0</v>
      </c>
    </row>
    <row r="32" spans="1:17" ht="15" customHeight="1" x14ac:dyDescent="0.25">
      <c r="A32" s="61"/>
      <c r="B32" s="62" t="s">
        <v>22</v>
      </c>
      <c r="C32" s="43" t="s">
        <v>27</v>
      </c>
      <c r="D32" s="76">
        <f>COUNTIFS('TOTAL SUSPEK'!$F:$F,"Ploso")</f>
        <v>0</v>
      </c>
      <c r="E32" s="22"/>
      <c r="F32" s="23"/>
      <c r="G32" s="23"/>
      <c r="H32" s="23"/>
      <c r="I32" s="23"/>
      <c r="J32" s="23"/>
      <c r="K32" s="24"/>
      <c r="L32" s="24"/>
      <c r="M32" s="24"/>
      <c r="P32" s="42">
        <f t="shared" si="0"/>
        <v>0</v>
      </c>
    </row>
    <row r="33" spans="1:17" ht="15" customHeight="1" x14ac:dyDescent="0.25">
      <c r="A33" s="61"/>
      <c r="B33" s="62" t="s">
        <v>22</v>
      </c>
      <c r="C33" s="43" t="s">
        <v>28</v>
      </c>
      <c r="D33" s="76">
        <f>COUNTIFS('TOTAL SUSPEK'!$F:$F,"Wonokerto")</f>
        <v>0</v>
      </c>
      <c r="E33" s="22"/>
      <c r="F33" s="23"/>
      <c r="G33" s="23"/>
      <c r="H33" s="23"/>
      <c r="I33" s="23"/>
      <c r="J33" s="23"/>
      <c r="K33" s="24"/>
      <c r="L33" s="24"/>
      <c r="M33" s="24"/>
      <c r="P33" s="42">
        <f t="shared" si="0"/>
        <v>0</v>
      </c>
    </row>
    <row r="34" spans="1:17" ht="15" customHeight="1" x14ac:dyDescent="0.25">
      <c r="A34" s="61"/>
      <c r="B34" s="62" t="s">
        <v>22</v>
      </c>
      <c r="C34" s="43" t="s">
        <v>240</v>
      </c>
      <c r="D34" s="76">
        <f>COUNTIFS('TOTAL SUSPEK'!$F:$F,"Karangsari")</f>
        <v>0</v>
      </c>
      <c r="E34" s="22"/>
      <c r="F34" s="23"/>
      <c r="G34" s="23"/>
      <c r="H34" s="23"/>
      <c r="I34" s="23"/>
      <c r="J34" s="23"/>
      <c r="K34" s="24"/>
      <c r="L34" s="24"/>
      <c r="M34" s="24"/>
      <c r="P34" s="42">
        <f t="shared" si="0"/>
        <v>0</v>
      </c>
    </row>
    <row r="35" spans="1:17" ht="15" customHeight="1" x14ac:dyDescent="0.25">
      <c r="A35" s="61"/>
      <c r="B35" s="62" t="s">
        <v>22</v>
      </c>
      <c r="C35" s="43" t="s">
        <v>29</v>
      </c>
      <c r="D35" s="76">
        <f>COUNTIFS('TOTAL SUSPEK'!$F:$F,"Batu")</f>
        <v>0</v>
      </c>
      <c r="E35" s="22"/>
      <c r="F35" s="23"/>
      <c r="G35" s="23"/>
      <c r="H35" s="23"/>
      <c r="I35" s="23"/>
      <c r="J35" s="23"/>
      <c r="K35" s="24"/>
      <c r="L35" s="24"/>
      <c r="M35" s="24"/>
      <c r="P35" s="42">
        <f t="shared" si="0"/>
        <v>0</v>
      </c>
    </row>
    <row r="36" spans="1:17" ht="15" customHeight="1" x14ac:dyDescent="0.25">
      <c r="A36" s="61"/>
      <c r="B36" s="62" t="s">
        <v>22</v>
      </c>
      <c r="C36" s="43" t="s">
        <v>30</v>
      </c>
      <c r="D36" s="76">
        <f>COUNTIFS('TOTAL SUSPEK'!$F:$F,"Donorejo")</f>
        <v>0</v>
      </c>
      <c r="E36" s="22"/>
      <c r="F36" s="23"/>
      <c r="G36" s="23"/>
      <c r="H36" s="23"/>
      <c r="I36" s="23"/>
      <c r="J36" s="23"/>
      <c r="K36" s="24"/>
      <c r="L36" s="24"/>
      <c r="M36" s="24"/>
      <c r="P36" s="42">
        <f t="shared" si="0"/>
        <v>0</v>
      </c>
    </row>
    <row r="37" spans="1:17" ht="15" customHeight="1" x14ac:dyDescent="0.25">
      <c r="A37" s="61"/>
      <c r="B37" s="62" t="s">
        <v>22</v>
      </c>
      <c r="C37" s="43" t="s">
        <v>276</v>
      </c>
      <c r="D37" s="76">
        <f>COUNTIFS('TOTAL SUSPEK'!$F:$F,"Kedunguter")</f>
        <v>0</v>
      </c>
      <c r="E37" s="22"/>
      <c r="F37" s="23"/>
      <c r="G37" s="23"/>
      <c r="H37" s="23"/>
      <c r="I37" s="23"/>
      <c r="J37" s="23"/>
      <c r="K37" s="24"/>
      <c r="L37" s="24"/>
      <c r="M37" s="24"/>
      <c r="P37" s="42">
        <f t="shared" si="0"/>
        <v>0</v>
      </c>
    </row>
    <row r="38" spans="1:17" ht="15" customHeight="1" x14ac:dyDescent="0.25">
      <c r="A38" s="61"/>
      <c r="B38" s="62" t="s">
        <v>22</v>
      </c>
      <c r="C38" s="43" t="s">
        <v>277</v>
      </c>
      <c r="D38" s="76">
        <f>COUNTIFS('TOTAL SUSPEK'!$F:$F,"Karangtowo")</f>
        <v>0</v>
      </c>
      <c r="E38" s="22"/>
      <c r="F38" s="23"/>
      <c r="G38" s="23"/>
      <c r="H38" s="23"/>
      <c r="I38" s="23"/>
      <c r="J38" s="23"/>
      <c r="K38" s="24"/>
      <c r="L38" s="24"/>
      <c r="M38" s="24"/>
      <c r="P38" s="42">
        <f t="shared" si="0"/>
        <v>0</v>
      </c>
    </row>
    <row r="39" spans="1:17" ht="15" customHeight="1" x14ac:dyDescent="0.25">
      <c r="A39" s="61"/>
      <c r="B39" s="62" t="s">
        <v>22</v>
      </c>
      <c r="C39" s="43" t="s">
        <v>31</v>
      </c>
      <c r="D39" s="76">
        <f>COUNTIFS('TOTAL SUSPEK'!$F:$F,"Wonoagung")</f>
        <v>0</v>
      </c>
      <c r="E39" s="22"/>
      <c r="F39" s="23"/>
      <c r="G39" s="23"/>
      <c r="H39" s="23"/>
      <c r="I39" s="23"/>
      <c r="J39" s="23"/>
      <c r="K39" s="24"/>
      <c r="L39" s="24"/>
      <c r="M39" s="24"/>
      <c r="P39" s="42">
        <f t="shared" si="0"/>
        <v>0</v>
      </c>
    </row>
    <row r="40" spans="1:17" ht="15" customHeight="1" x14ac:dyDescent="0.25">
      <c r="A40" s="61"/>
      <c r="B40" s="62" t="s">
        <v>22</v>
      </c>
      <c r="C40" s="43" t="s">
        <v>32</v>
      </c>
      <c r="D40" s="76">
        <f>COUNTIFS('TOTAL SUSPEK'!$F:$F,"Klitih")</f>
        <v>0</v>
      </c>
      <c r="E40" s="22"/>
      <c r="F40" s="23"/>
      <c r="G40" s="23"/>
      <c r="H40" s="23"/>
      <c r="I40" s="23"/>
      <c r="J40" s="23"/>
      <c r="K40" s="24"/>
      <c r="L40" s="24"/>
      <c r="M40" s="24"/>
      <c r="P40" s="42">
        <f t="shared" si="0"/>
        <v>0</v>
      </c>
    </row>
    <row r="41" spans="1:17" ht="15" customHeight="1" x14ac:dyDescent="0.25">
      <c r="A41" s="61"/>
      <c r="B41" s="62" t="s">
        <v>22</v>
      </c>
      <c r="C41" s="43" t="s">
        <v>33</v>
      </c>
      <c r="D41" s="76">
        <f>COUNTIFS('TOTAL SUSPEK'!$F:$F,"Grogol")</f>
        <v>0</v>
      </c>
      <c r="E41" s="22"/>
      <c r="F41" s="23"/>
      <c r="G41" s="23"/>
      <c r="H41" s="23"/>
      <c r="I41" s="23"/>
      <c r="J41" s="23"/>
      <c r="K41" s="24"/>
      <c r="L41" s="24"/>
      <c r="M41" s="24"/>
      <c r="P41" s="42">
        <f t="shared" si="0"/>
        <v>0</v>
      </c>
    </row>
    <row r="42" spans="1:17" ht="15" customHeight="1" x14ac:dyDescent="0.25">
      <c r="A42" s="61"/>
      <c r="B42" s="62" t="s">
        <v>22</v>
      </c>
      <c r="C42" s="43" t="s">
        <v>34</v>
      </c>
      <c r="D42" s="76">
        <f>COUNTIFS('TOTAL SUSPEK'!$F:$F,"Pidodo")</f>
        <v>0</v>
      </c>
      <c r="E42" s="22"/>
      <c r="F42" s="23"/>
      <c r="G42" s="23"/>
      <c r="H42" s="23"/>
      <c r="I42" s="23"/>
      <c r="J42" s="23"/>
      <c r="K42" s="24"/>
      <c r="L42" s="24"/>
      <c r="M42" s="24"/>
      <c r="P42" s="42">
        <f t="shared" si="0"/>
        <v>0</v>
      </c>
    </row>
    <row r="43" spans="1:17" ht="15" customHeight="1" x14ac:dyDescent="0.25">
      <c r="A43" s="61"/>
      <c r="B43" s="62" t="s">
        <v>22</v>
      </c>
      <c r="C43" s="43" t="s">
        <v>35</v>
      </c>
      <c r="D43" s="76">
        <f>COUNTIFS('TOTAL SUSPEK'!$F:$F,"Dukun")</f>
        <v>0</v>
      </c>
      <c r="E43" s="22"/>
      <c r="F43" s="23"/>
      <c r="G43" s="23"/>
      <c r="H43" s="23"/>
      <c r="I43" s="23"/>
      <c r="J43" s="23"/>
      <c r="K43" s="24"/>
      <c r="L43" s="24"/>
      <c r="M43" s="24"/>
      <c r="P43" s="42">
        <f t="shared" si="0"/>
        <v>0</v>
      </c>
    </row>
    <row r="44" spans="1:17" x14ac:dyDescent="0.25">
      <c r="A44" s="47">
        <v>3</v>
      </c>
      <c r="B44" s="63" t="s">
        <v>36</v>
      </c>
      <c r="C44" s="43" t="s">
        <v>37</v>
      </c>
      <c r="D44" s="76">
        <f>COUNTIFS('TOTAL SUSPEK'!$F:$F,"Botorejo")</f>
        <v>0</v>
      </c>
      <c r="E44" s="22" t="e">
        <f>SUM(#REF!)</f>
        <v>#REF!</v>
      </c>
      <c r="F44" s="22" t="e">
        <f>SUM(#REF!)</f>
        <v>#REF!</v>
      </c>
      <c r="G44" s="22" t="e">
        <f>SUM(#REF!)</f>
        <v>#REF!</v>
      </c>
      <c r="H44" s="22" t="e">
        <f>SUM(#REF!)</f>
        <v>#REF!</v>
      </c>
      <c r="I44" s="22" t="e">
        <f>SUM(#REF!)</f>
        <v>#REF!</v>
      </c>
      <c r="J44" s="22" t="e">
        <f>SUM(#REF!)</f>
        <v>#REF!</v>
      </c>
      <c r="K44" s="22" t="e">
        <f>SUM(#REF!)</f>
        <v>#REF!</v>
      </c>
      <c r="L44" s="22">
        <f>SUM(D44:D64)</f>
        <v>1</v>
      </c>
      <c r="M44" s="22" t="e">
        <f>SUM(#REF!)</f>
        <v>#REF!</v>
      </c>
      <c r="P44" s="42">
        <f t="shared" si="0"/>
        <v>0</v>
      </c>
      <c r="Q44" s="42">
        <f>SUM(P44:P64)</f>
        <v>1</v>
      </c>
    </row>
    <row r="45" spans="1:17" x14ac:dyDescent="0.25">
      <c r="A45" s="47"/>
      <c r="B45" s="63" t="s">
        <v>36</v>
      </c>
      <c r="C45" s="43" t="s">
        <v>38</v>
      </c>
      <c r="D45" s="76">
        <f>COUNTIFS('TOTAL SUSPEK'!$F:$F,"Getas")</f>
        <v>0</v>
      </c>
      <c r="E45" s="22"/>
      <c r="F45" s="23"/>
      <c r="G45" s="23"/>
      <c r="H45" s="23"/>
      <c r="I45" s="23"/>
      <c r="J45" s="23"/>
      <c r="K45" s="24"/>
      <c r="L45" s="24"/>
      <c r="M45" s="24"/>
      <c r="P45" s="42">
        <f t="shared" si="0"/>
        <v>0</v>
      </c>
    </row>
    <row r="46" spans="1:17" x14ac:dyDescent="0.25">
      <c r="A46" s="47"/>
      <c r="B46" s="63" t="s">
        <v>36</v>
      </c>
      <c r="C46" s="43" t="s">
        <v>39</v>
      </c>
      <c r="D46" s="76">
        <f>COUNTIFS('TOTAL SUSPEK'!$F:$F,"Kuncir")</f>
        <v>0</v>
      </c>
      <c r="E46" s="22"/>
      <c r="F46" s="23"/>
      <c r="G46" s="23"/>
      <c r="H46" s="23"/>
      <c r="I46" s="23"/>
      <c r="J46" s="23"/>
      <c r="K46" s="24"/>
      <c r="L46" s="24"/>
      <c r="M46" s="24"/>
      <c r="P46" s="42">
        <f t="shared" si="0"/>
        <v>0</v>
      </c>
    </row>
    <row r="47" spans="1:17" x14ac:dyDescent="0.25">
      <c r="A47" s="47"/>
      <c r="B47" s="63" t="s">
        <v>36</v>
      </c>
      <c r="C47" s="43" t="s">
        <v>40</v>
      </c>
      <c r="D47" s="76">
        <f>COUNTIFS('TOTAL SUSPEK'!$F:$F,"trengguli")</f>
        <v>0</v>
      </c>
      <c r="E47" s="22"/>
      <c r="F47" s="23"/>
      <c r="G47" s="23"/>
      <c r="H47" s="23"/>
      <c r="I47" s="23"/>
      <c r="J47" s="23"/>
      <c r="K47" s="24"/>
      <c r="L47" s="24"/>
      <c r="M47" s="24"/>
      <c r="P47" s="42">
        <f t="shared" si="0"/>
        <v>0</v>
      </c>
    </row>
    <row r="48" spans="1:17" x14ac:dyDescent="0.25">
      <c r="A48" s="47"/>
      <c r="B48" s="63" t="s">
        <v>36</v>
      </c>
      <c r="C48" s="43" t="s">
        <v>41</v>
      </c>
      <c r="D48" s="76">
        <f>COUNTIFS('TOTAL SUSPEK'!$F:$F,"Mranak")</f>
        <v>0</v>
      </c>
      <c r="E48" s="22"/>
      <c r="F48" s="23"/>
      <c r="G48" s="23"/>
      <c r="H48" s="23"/>
      <c r="I48" s="23"/>
      <c r="J48" s="23"/>
      <c r="K48" s="24"/>
      <c r="L48" s="24"/>
      <c r="M48" s="24"/>
      <c r="P48" s="42">
        <f t="shared" si="0"/>
        <v>0</v>
      </c>
    </row>
    <row r="49" spans="1:16" x14ac:dyDescent="0.25">
      <c r="A49" s="47"/>
      <c r="B49" s="63" t="s">
        <v>36</v>
      </c>
      <c r="C49" s="43" t="s">
        <v>42</v>
      </c>
      <c r="D49" s="76">
        <f>COUNTIFS('TOTAL SUSPEK'!$F:$F,"Pilangrejo")</f>
        <v>0</v>
      </c>
      <c r="E49" s="22"/>
      <c r="F49" s="23"/>
      <c r="G49" s="23"/>
      <c r="H49" s="23"/>
      <c r="I49" s="23"/>
      <c r="J49" s="23"/>
      <c r="K49" s="24"/>
      <c r="L49" s="24"/>
      <c r="M49" s="24"/>
      <c r="P49" s="42">
        <f t="shared" si="0"/>
        <v>0</v>
      </c>
    </row>
    <row r="50" spans="1:16" x14ac:dyDescent="0.25">
      <c r="A50" s="47"/>
      <c r="B50" s="63" t="s">
        <v>36</v>
      </c>
      <c r="C50" s="43" t="s">
        <v>43</v>
      </c>
      <c r="D50" s="76">
        <f>COUNTIFS('TOTAL SUSPEK'!$F:$F,"Kerangkulon")</f>
        <v>0</v>
      </c>
      <c r="E50" s="22"/>
      <c r="F50" s="23"/>
      <c r="G50" s="23"/>
      <c r="H50" s="23"/>
      <c r="I50" s="23"/>
      <c r="J50" s="23"/>
      <c r="K50" s="24"/>
      <c r="L50" s="24"/>
      <c r="M50" s="24"/>
      <c r="P50" s="42">
        <f t="shared" si="0"/>
        <v>0</v>
      </c>
    </row>
    <row r="51" spans="1:16" x14ac:dyDescent="0.25">
      <c r="A51" s="47"/>
      <c r="B51" s="63" t="s">
        <v>36</v>
      </c>
      <c r="C51" s="43" t="s">
        <v>44</v>
      </c>
      <c r="D51" s="76">
        <f>COUNTIFS('TOTAL SUSPEK'!$F:$F,"Sidomulyo",'TOTAL SUSPEK'!$E:$E,"wonosalam")</f>
        <v>0</v>
      </c>
      <c r="E51" s="22"/>
      <c r="F51" s="23"/>
      <c r="G51" s="23"/>
      <c r="H51" s="23"/>
      <c r="I51" s="23"/>
      <c r="J51" s="23"/>
      <c r="K51" s="24"/>
      <c r="L51" s="24"/>
      <c r="M51" s="24"/>
      <c r="P51" s="42">
        <f t="shared" si="0"/>
        <v>0</v>
      </c>
    </row>
    <row r="52" spans="1:16" x14ac:dyDescent="0.25">
      <c r="A52" s="47"/>
      <c r="B52" s="63" t="s">
        <v>36</v>
      </c>
      <c r="C52" s="43" t="s">
        <v>45</v>
      </c>
      <c r="D52" s="76">
        <f>COUNTIFS('TOTAL SUSPEK'!$F:$F,"Bunderan")</f>
        <v>0</v>
      </c>
      <c r="E52" s="22"/>
      <c r="F52" s="23"/>
      <c r="G52" s="23"/>
      <c r="H52" s="23"/>
      <c r="I52" s="23"/>
      <c r="J52" s="23"/>
      <c r="K52" s="24"/>
      <c r="L52" s="24"/>
      <c r="M52" s="24"/>
      <c r="P52" s="42">
        <f t="shared" si="0"/>
        <v>0</v>
      </c>
    </row>
    <row r="53" spans="1:16" x14ac:dyDescent="0.25">
      <c r="A53" s="47"/>
      <c r="B53" s="63" t="s">
        <v>36</v>
      </c>
      <c r="C53" s="43" t="s">
        <v>46</v>
      </c>
      <c r="D53" s="76">
        <f>COUNTIFS('TOTAL SUSPEK'!$F:$F,"Mojodemak")</f>
        <v>0</v>
      </c>
      <c r="E53" s="22"/>
      <c r="F53" s="23"/>
      <c r="G53" s="23"/>
      <c r="H53" s="23"/>
      <c r="I53" s="23"/>
      <c r="J53" s="23"/>
      <c r="K53" s="24"/>
      <c r="L53" s="24"/>
      <c r="M53" s="24"/>
      <c r="P53" s="42">
        <f t="shared" si="0"/>
        <v>0</v>
      </c>
    </row>
    <row r="54" spans="1:16" x14ac:dyDescent="0.25">
      <c r="A54" s="47"/>
      <c r="B54" s="63" t="s">
        <v>36</v>
      </c>
      <c r="C54" s="43" t="s">
        <v>47</v>
      </c>
      <c r="D54" s="76">
        <f>COUNTIFS('TOTAL SUSPEK'!$F:$F,"Mrisen")</f>
        <v>0</v>
      </c>
      <c r="E54" s="22"/>
      <c r="F54" s="23"/>
      <c r="G54" s="23"/>
      <c r="H54" s="23"/>
      <c r="I54" s="23"/>
      <c r="J54" s="23"/>
      <c r="K54" s="24"/>
      <c r="L54" s="24"/>
      <c r="M54" s="24"/>
      <c r="P54" s="42">
        <f t="shared" si="0"/>
        <v>0</v>
      </c>
    </row>
    <row r="55" spans="1:16" x14ac:dyDescent="0.25">
      <c r="A55" s="47"/>
      <c r="B55" s="63" t="s">
        <v>36</v>
      </c>
      <c r="C55" s="43" t="s">
        <v>48</v>
      </c>
      <c r="D55" s="76">
        <f>COUNTIFS('TOTAL SUSPEK'!$F:$F,"Doreng")</f>
        <v>0</v>
      </c>
      <c r="E55" s="22"/>
      <c r="F55" s="23"/>
      <c r="G55" s="23"/>
      <c r="H55" s="23"/>
      <c r="I55" s="23"/>
      <c r="J55" s="23"/>
      <c r="K55" s="24"/>
      <c r="L55" s="24"/>
      <c r="M55" s="24"/>
      <c r="P55" s="42">
        <f t="shared" si="0"/>
        <v>0</v>
      </c>
    </row>
    <row r="56" spans="1:16" x14ac:dyDescent="0.25">
      <c r="A56" s="47"/>
      <c r="B56" s="63" t="s">
        <v>36</v>
      </c>
      <c r="C56" s="43" t="s">
        <v>274</v>
      </c>
      <c r="D56" s="76">
        <f>COUNTIFS('TOTAL SUSPEK'!$F:$F,"Karangrowo")</f>
        <v>0</v>
      </c>
      <c r="E56" s="22"/>
      <c r="F56" s="23"/>
      <c r="G56" s="23"/>
      <c r="H56" s="23"/>
      <c r="I56" s="23"/>
      <c r="J56" s="23"/>
      <c r="K56" s="24"/>
      <c r="L56" s="24"/>
      <c r="M56" s="24"/>
      <c r="P56" s="42">
        <f t="shared" si="0"/>
        <v>0</v>
      </c>
    </row>
    <row r="57" spans="1:16" x14ac:dyDescent="0.25">
      <c r="A57" s="47"/>
      <c r="B57" s="63" t="s">
        <v>36</v>
      </c>
      <c r="C57" s="43" t="s">
        <v>49</v>
      </c>
      <c r="D57" s="76">
        <f>COUNTIFS('TOTAL SUSPEK'!$F:$F,"Kalianyar")</f>
        <v>0</v>
      </c>
      <c r="E57" s="22"/>
      <c r="F57" s="23"/>
      <c r="G57" s="23"/>
      <c r="H57" s="23"/>
      <c r="I57" s="23"/>
      <c r="J57" s="23"/>
      <c r="K57" s="24"/>
      <c r="L57" s="24"/>
      <c r="M57" s="24"/>
      <c r="P57" s="42">
        <f t="shared" si="0"/>
        <v>0</v>
      </c>
    </row>
    <row r="58" spans="1:16" x14ac:dyDescent="0.25">
      <c r="A58" s="47"/>
      <c r="B58" s="63" t="s">
        <v>36</v>
      </c>
      <c r="C58" s="43" t="s">
        <v>36</v>
      </c>
      <c r="D58" s="76">
        <f>COUNTIFS('TOTAL SUSPEK'!$F:$F,"Wonosalam")</f>
        <v>0</v>
      </c>
      <c r="E58" s="22"/>
      <c r="F58" s="23"/>
      <c r="G58" s="23"/>
      <c r="H58" s="23"/>
      <c r="I58" s="23"/>
      <c r="J58" s="23"/>
      <c r="K58" s="24"/>
      <c r="L58" s="24"/>
      <c r="M58" s="24"/>
      <c r="P58" s="42">
        <f t="shared" si="0"/>
        <v>0</v>
      </c>
    </row>
    <row r="59" spans="1:16" x14ac:dyDescent="0.25">
      <c r="A59" s="47"/>
      <c r="B59" s="63" t="s">
        <v>36</v>
      </c>
      <c r="C59" s="43" t="s">
        <v>50</v>
      </c>
      <c r="D59" s="76">
        <f>COUNTIFS('TOTAL SUSPEK'!$F:$F,"Tlogorejo",'TOTAL SUSPEK'!$E:$E,"wonosalam")</f>
        <v>0</v>
      </c>
      <c r="E59" s="22"/>
      <c r="F59" s="23"/>
      <c r="G59" s="23"/>
      <c r="H59" s="23"/>
      <c r="I59" s="23"/>
      <c r="J59" s="23"/>
      <c r="K59" s="24"/>
      <c r="L59" s="24"/>
      <c r="M59" s="24"/>
      <c r="P59" s="42">
        <f t="shared" si="0"/>
        <v>0</v>
      </c>
    </row>
    <row r="60" spans="1:16" x14ac:dyDescent="0.25">
      <c r="A60" s="47"/>
      <c r="B60" s="63" t="s">
        <v>36</v>
      </c>
      <c r="C60" s="43" t="s">
        <v>51</v>
      </c>
      <c r="D60" s="76">
        <f>COUNTIFS('TOTAL SUSPEK'!$F:$F,"Tlogodowo")</f>
        <v>0</v>
      </c>
      <c r="E60" s="22"/>
      <c r="F60" s="23"/>
      <c r="G60" s="23"/>
      <c r="H60" s="23"/>
      <c r="I60" s="23"/>
      <c r="J60" s="23"/>
      <c r="K60" s="24"/>
      <c r="L60" s="24"/>
      <c r="M60" s="24"/>
      <c r="P60" s="42">
        <f t="shared" si="0"/>
        <v>0</v>
      </c>
    </row>
    <row r="61" spans="1:16" x14ac:dyDescent="0.25">
      <c r="A61" s="47"/>
      <c r="B61" s="63" t="s">
        <v>36</v>
      </c>
      <c r="C61" s="43" t="s">
        <v>52</v>
      </c>
      <c r="D61" s="76">
        <f>COUNTIFS('TOTAL SUSPEK'!$F:$F,"Lempuyang")</f>
        <v>0</v>
      </c>
      <c r="E61" s="22"/>
      <c r="F61" s="23"/>
      <c r="G61" s="23"/>
      <c r="H61" s="23"/>
      <c r="I61" s="23"/>
      <c r="J61" s="23"/>
      <c r="K61" s="24"/>
      <c r="L61" s="24"/>
      <c r="M61" s="24"/>
      <c r="P61" s="42">
        <f t="shared" si="0"/>
        <v>0</v>
      </c>
    </row>
    <row r="62" spans="1:16" x14ac:dyDescent="0.25">
      <c r="A62" s="47"/>
      <c r="B62" s="63" t="s">
        <v>36</v>
      </c>
      <c r="C62" s="43" t="s">
        <v>53</v>
      </c>
      <c r="D62" s="76">
        <f>COUNTIFS('TOTAL SUSPEK'!$F:$F,"Karangrejo",'TOTAL SUSPEK'!$E:$E,"Wonosalam")</f>
        <v>0</v>
      </c>
      <c r="E62" s="22"/>
      <c r="F62" s="23"/>
      <c r="G62" s="23"/>
      <c r="H62" s="23"/>
      <c r="I62" s="23"/>
      <c r="J62" s="23"/>
      <c r="K62" s="24"/>
      <c r="L62" s="24"/>
      <c r="M62" s="24"/>
      <c r="P62" s="42">
        <f t="shared" si="0"/>
        <v>0</v>
      </c>
    </row>
    <row r="63" spans="1:16" x14ac:dyDescent="0.25">
      <c r="A63" s="47"/>
      <c r="B63" s="63" t="s">
        <v>36</v>
      </c>
      <c r="C63" s="43" t="s">
        <v>275</v>
      </c>
      <c r="D63" s="76">
        <f>COUNTIFS('TOTAL SUSPEK'!$F:$F,"Kendaldoyong")</f>
        <v>0</v>
      </c>
      <c r="E63" s="22"/>
      <c r="F63" s="23"/>
      <c r="G63" s="23"/>
      <c r="H63" s="23"/>
      <c r="I63" s="23"/>
      <c r="J63" s="23"/>
      <c r="K63" s="24"/>
      <c r="L63" s="24"/>
      <c r="M63" s="24"/>
      <c r="P63" s="42">
        <f t="shared" si="0"/>
        <v>0</v>
      </c>
    </row>
    <row r="64" spans="1:16" x14ac:dyDescent="0.25">
      <c r="A64" s="47"/>
      <c r="B64" s="63" t="s">
        <v>36</v>
      </c>
      <c r="C64" s="43" t="s">
        <v>54</v>
      </c>
      <c r="D64" s="76">
        <f>COUNTIFS('TOTAL SUSPEK'!$F:$F,"Jogoloyo")</f>
        <v>1</v>
      </c>
      <c r="E64" s="22"/>
      <c r="F64" s="23"/>
      <c r="G64" s="23"/>
      <c r="H64" s="23"/>
      <c r="I64" s="23"/>
      <c r="J64" s="23"/>
      <c r="K64" s="24"/>
      <c r="L64" s="24"/>
      <c r="M64" s="24"/>
      <c r="P64" s="42">
        <f t="shared" si="0"/>
        <v>1</v>
      </c>
    </row>
    <row r="65" spans="1:17" x14ac:dyDescent="0.25">
      <c r="A65" s="61">
        <v>4</v>
      </c>
      <c r="B65" s="62" t="s">
        <v>55</v>
      </c>
      <c r="C65" s="64" t="s">
        <v>56</v>
      </c>
      <c r="D65" s="76">
        <f>COUNTIFS('TOTAL SUSPEK'!$F:$F,"Kedondong",'TOTAL SUSPEK'!$E:$E,"gajah")</f>
        <v>0</v>
      </c>
      <c r="E65" s="22" t="e">
        <f>SUM(#REF!)</f>
        <v>#REF!</v>
      </c>
      <c r="F65" s="22" t="e">
        <f>SUM(#REF!)</f>
        <v>#REF!</v>
      </c>
      <c r="G65" s="22" t="e">
        <f>SUM(#REF!)</f>
        <v>#REF!</v>
      </c>
      <c r="H65" s="22" t="e">
        <f>SUM(#REF!)</f>
        <v>#REF!</v>
      </c>
      <c r="I65" s="22" t="e">
        <f>SUM(#REF!)</f>
        <v>#REF!</v>
      </c>
      <c r="J65" s="22" t="e">
        <f>SUM(#REF!)</f>
        <v>#REF!</v>
      </c>
      <c r="K65" s="22" t="e">
        <f>SUM(#REF!)</f>
        <v>#REF!</v>
      </c>
      <c r="L65" s="22">
        <f>SUM(D65:D82)</f>
        <v>1</v>
      </c>
      <c r="M65" s="22" t="e">
        <f>SUM(#REF!)</f>
        <v>#REF!</v>
      </c>
      <c r="P65" s="42">
        <f t="shared" si="0"/>
        <v>0</v>
      </c>
      <c r="Q65" s="42">
        <f>SUM(P65:P82)</f>
        <v>1</v>
      </c>
    </row>
    <row r="66" spans="1:17" x14ac:dyDescent="0.25">
      <c r="A66" s="61"/>
      <c r="B66" s="62" t="s">
        <v>55</v>
      </c>
      <c r="C66" s="65" t="s">
        <v>57</v>
      </c>
      <c r="D66" s="76">
        <f>COUNTIFS('TOTAL SUSPEK'!$F:$F,"Banjarsari",'TOTAL SUSPEK'!$E:$E,"gajah")</f>
        <v>0</v>
      </c>
      <c r="E66" s="22"/>
      <c r="F66" s="23"/>
      <c r="G66" s="23"/>
      <c r="H66" s="23"/>
      <c r="I66" s="23"/>
      <c r="J66" s="23"/>
      <c r="K66" s="24"/>
      <c r="L66" s="24"/>
      <c r="M66" s="24"/>
      <c r="P66" s="42">
        <f t="shared" si="0"/>
        <v>0</v>
      </c>
    </row>
    <row r="67" spans="1:17" x14ac:dyDescent="0.25">
      <c r="A67" s="61"/>
      <c r="B67" s="62" t="s">
        <v>55</v>
      </c>
      <c r="C67" s="64" t="s">
        <v>55</v>
      </c>
      <c r="D67" s="76">
        <f>COUNTIFS('TOTAL SUSPEK'!$F:$F,"Gajah")</f>
        <v>0</v>
      </c>
      <c r="E67" s="22"/>
      <c r="F67" s="23"/>
      <c r="G67" s="23"/>
      <c r="H67" s="23"/>
      <c r="I67" s="23"/>
      <c r="J67" s="23"/>
      <c r="K67" s="24"/>
      <c r="L67" s="24"/>
      <c r="M67" s="24"/>
      <c r="P67" s="42">
        <f t="shared" si="0"/>
        <v>0</v>
      </c>
    </row>
    <row r="68" spans="1:17" x14ac:dyDescent="0.25">
      <c r="A68" s="61"/>
      <c r="B68" s="62" t="s">
        <v>55</v>
      </c>
      <c r="C68" s="64" t="s">
        <v>58</v>
      </c>
      <c r="D68" s="76">
        <f>COUNTIFS('TOTAL SUSPEK'!$F:$F,"Sari")</f>
        <v>0</v>
      </c>
      <c r="E68" s="22"/>
      <c r="F68" s="23"/>
      <c r="G68" s="23"/>
      <c r="H68" s="23"/>
      <c r="I68" s="23"/>
      <c r="J68" s="23"/>
      <c r="K68" s="24"/>
      <c r="L68" s="24"/>
      <c r="M68" s="24"/>
      <c r="P68" s="42">
        <f t="shared" si="0"/>
        <v>0</v>
      </c>
    </row>
    <row r="69" spans="1:17" x14ac:dyDescent="0.25">
      <c r="A69" s="61"/>
      <c r="B69" s="62" t="s">
        <v>55</v>
      </c>
      <c r="C69" s="64" t="s">
        <v>59</v>
      </c>
      <c r="D69" s="76">
        <f>COUNTIFS('TOTAL SUSPEK'!$F:$F,"Boyolali")</f>
        <v>0</v>
      </c>
      <c r="E69" s="22"/>
      <c r="F69" s="23"/>
      <c r="G69" s="23"/>
      <c r="H69" s="23"/>
      <c r="I69" s="23"/>
      <c r="J69" s="23"/>
      <c r="K69" s="24"/>
      <c r="L69" s="24"/>
      <c r="M69" s="24"/>
      <c r="P69" s="42">
        <f t="shared" si="0"/>
        <v>0</v>
      </c>
    </row>
    <row r="70" spans="1:17" x14ac:dyDescent="0.25">
      <c r="A70" s="61"/>
      <c r="B70" s="62" t="s">
        <v>55</v>
      </c>
      <c r="C70" s="64" t="s">
        <v>60</v>
      </c>
      <c r="D70" s="76">
        <f>COUNTIFS('TOTAL SUSPEK'!$F:$F,"Jatisono")</f>
        <v>0</v>
      </c>
      <c r="E70" s="22"/>
      <c r="F70" s="23"/>
      <c r="G70" s="23"/>
      <c r="H70" s="23"/>
      <c r="I70" s="23"/>
      <c r="J70" s="23"/>
      <c r="K70" s="24"/>
      <c r="L70" s="24"/>
      <c r="M70" s="24"/>
      <c r="P70" s="42">
        <f t="shared" si="0"/>
        <v>0</v>
      </c>
    </row>
    <row r="71" spans="1:17" x14ac:dyDescent="0.25">
      <c r="A71" s="61"/>
      <c r="B71" s="62" t="s">
        <v>55</v>
      </c>
      <c r="C71" s="64" t="s">
        <v>61</v>
      </c>
      <c r="D71" s="76">
        <f>COUNTIFS('TOTAL SUSPEK'!$F:$F,"Sambiroto")</f>
        <v>0</v>
      </c>
      <c r="E71" s="22"/>
      <c r="F71" s="23"/>
      <c r="G71" s="23"/>
      <c r="H71" s="23"/>
      <c r="I71" s="23"/>
      <c r="J71" s="23"/>
      <c r="K71" s="24"/>
      <c r="L71" s="24"/>
      <c r="M71" s="24"/>
      <c r="P71" s="42">
        <f t="shared" si="0"/>
        <v>0</v>
      </c>
    </row>
    <row r="72" spans="1:17" x14ac:dyDescent="0.25">
      <c r="A72" s="61"/>
      <c r="B72" s="62" t="s">
        <v>55</v>
      </c>
      <c r="C72" s="64" t="s">
        <v>62</v>
      </c>
      <c r="D72" s="76">
        <f>COUNTIFS('TOTAL SUSPEK'!$F:$F,"Tlogopandogan")</f>
        <v>0</v>
      </c>
      <c r="E72" s="22"/>
      <c r="F72" s="23"/>
      <c r="G72" s="23"/>
      <c r="H72" s="23"/>
      <c r="I72" s="23"/>
      <c r="J72" s="23"/>
      <c r="K72" s="24"/>
      <c r="L72" s="24"/>
      <c r="M72" s="24"/>
      <c r="P72" s="42">
        <f t="shared" ref="P72:P135" si="1">SUM(D72:D72)</f>
        <v>0</v>
      </c>
    </row>
    <row r="73" spans="1:17" x14ac:dyDescent="0.25">
      <c r="A73" s="61"/>
      <c r="B73" s="62" t="s">
        <v>55</v>
      </c>
      <c r="C73" s="64" t="s">
        <v>63</v>
      </c>
      <c r="D73" s="76">
        <f>COUNTIFS('TOTAL SUSPEK'!$F:$F,"Surodadi",'TOTAL SUSPEK'!$E:$E,"gajah")</f>
        <v>0</v>
      </c>
      <c r="E73" s="22"/>
      <c r="F73" s="23"/>
      <c r="G73" s="23"/>
      <c r="H73" s="23"/>
      <c r="I73" s="23"/>
      <c r="J73" s="23"/>
      <c r="K73" s="24"/>
      <c r="L73" s="24"/>
      <c r="M73" s="24"/>
      <c r="P73" s="42">
        <f t="shared" si="1"/>
        <v>0</v>
      </c>
    </row>
    <row r="74" spans="1:17" x14ac:dyDescent="0.25">
      <c r="A74" s="61"/>
      <c r="B74" s="62" t="s">
        <v>55</v>
      </c>
      <c r="C74" s="64" t="s">
        <v>64</v>
      </c>
      <c r="D74" s="76">
        <f>COUNTIFS('TOTAL SUSPEK'!$F:$F,"Gedangalas")</f>
        <v>0</v>
      </c>
      <c r="E74" s="22"/>
      <c r="F74" s="23"/>
      <c r="G74" s="23"/>
      <c r="H74" s="23"/>
      <c r="I74" s="23"/>
      <c r="J74" s="23"/>
      <c r="K74" s="24"/>
      <c r="L74" s="24"/>
      <c r="M74" s="24"/>
      <c r="P74" s="42">
        <f t="shared" si="1"/>
        <v>0</v>
      </c>
    </row>
    <row r="75" spans="1:17" x14ac:dyDescent="0.25">
      <c r="A75" s="61"/>
      <c r="B75" s="62" t="s">
        <v>55</v>
      </c>
      <c r="C75" s="64" t="s">
        <v>65</v>
      </c>
      <c r="D75" s="76">
        <f>COUNTIFS('TOTAL SUSPEK'!$F:$F,"Sambung")</f>
        <v>0</v>
      </c>
      <c r="E75" s="22"/>
      <c r="F75" s="23"/>
      <c r="G75" s="23"/>
      <c r="H75" s="23"/>
      <c r="I75" s="23"/>
      <c r="J75" s="23"/>
      <c r="K75" s="24"/>
      <c r="L75" s="24"/>
      <c r="M75" s="24"/>
      <c r="P75" s="42">
        <f t="shared" si="1"/>
        <v>0</v>
      </c>
    </row>
    <row r="76" spans="1:17" x14ac:dyDescent="0.25">
      <c r="A76" s="61"/>
      <c r="B76" s="62" t="s">
        <v>55</v>
      </c>
      <c r="C76" s="64" t="s">
        <v>66</v>
      </c>
      <c r="D76" s="76">
        <f>COUNTIFS('TOTAL SUSPEK'!$F:$F,"Tambirejo")</f>
        <v>1</v>
      </c>
      <c r="E76" s="22"/>
      <c r="F76" s="23"/>
      <c r="G76" s="23"/>
      <c r="H76" s="23"/>
      <c r="I76" s="23"/>
      <c r="J76" s="23"/>
      <c r="K76" s="24"/>
      <c r="L76" s="24"/>
      <c r="M76" s="24"/>
      <c r="P76" s="42">
        <f t="shared" si="1"/>
        <v>1</v>
      </c>
    </row>
    <row r="77" spans="1:17" x14ac:dyDescent="0.25">
      <c r="A77" s="61"/>
      <c r="B77" s="62" t="s">
        <v>55</v>
      </c>
      <c r="C77" s="64" t="s">
        <v>67</v>
      </c>
      <c r="D77" s="76">
        <f>COUNTIFS('TOTAL SUSPEK'!$F:$F,"Mlatiharjo")</f>
        <v>0</v>
      </c>
      <c r="E77" s="22"/>
      <c r="F77" s="23"/>
      <c r="G77" s="23"/>
      <c r="H77" s="23"/>
      <c r="I77" s="23"/>
      <c r="J77" s="23"/>
      <c r="K77" s="24"/>
      <c r="L77" s="24"/>
      <c r="M77" s="24"/>
      <c r="P77" s="42">
        <f t="shared" si="1"/>
        <v>0</v>
      </c>
    </row>
    <row r="78" spans="1:17" x14ac:dyDescent="0.25">
      <c r="A78" s="61"/>
      <c r="B78" s="62" t="s">
        <v>55</v>
      </c>
      <c r="C78" s="64" t="s">
        <v>68</v>
      </c>
      <c r="D78" s="76">
        <f>COUNTIFS('TOTAL SUSPEK'!$F:$F,"Mojosimo")</f>
        <v>0</v>
      </c>
      <c r="E78" s="22"/>
      <c r="F78" s="23"/>
      <c r="G78" s="23"/>
      <c r="H78" s="23"/>
      <c r="I78" s="23"/>
      <c r="J78" s="23"/>
      <c r="K78" s="24"/>
      <c r="L78" s="24"/>
      <c r="M78" s="24"/>
      <c r="P78" s="42">
        <f t="shared" si="1"/>
        <v>0</v>
      </c>
    </row>
    <row r="79" spans="1:17" x14ac:dyDescent="0.25">
      <c r="A79" s="61"/>
      <c r="B79" s="62" t="s">
        <v>55</v>
      </c>
      <c r="C79" s="64" t="s">
        <v>69</v>
      </c>
      <c r="D79" s="76">
        <f>COUNTIFS('TOTAL SUSPEK'!$F:$F,"Medini")</f>
        <v>0</v>
      </c>
      <c r="E79" s="22"/>
      <c r="F79" s="23"/>
      <c r="G79" s="23"/>
      <c r="H79" s="23"/>
      <c r="I79" s="23"/>
      <c r="J79" s="23"/>
      <c r="K79" s="24"/>
      <c r="L79" s="24"/>
      <c r="M79" s="24"/>
      <c r="P79" s="42">
        <f t="shared" si="1"/>
        <v>0</v>
      </c>
    </row>
    <row r="80" spans="1:17" x14ac:dyDescent="0.25">
      <c r="A80" s="61"/>
      <c r="B80" s="62" t="s">
        <v>55</v>
      </c>
      <c r="C80" s="64" t="s">
        <v>70</v>
      </c>
      <c r="D80" s="76">
        <f>COUNTIFS('TOTAL SUSPEK'!$F:$F,"Wilalung")</f>
        <v>0</v>
      </c>
      <c r="E80" s="22"/>
      <c r="F80" s="23"/>
      <c r="G80" s="23"/>
      <c r="H80" s="23"/>
      <c r="I80" s="23"/>
      <c r="J80" s="23"/>
      <c r="K80" s="24"/>
      <c r="L80" s="24"/>
      <c r="M80" s="24"/>
      <c r="P80" s="42">
        <f t="shared" si="1"/>
        <v>0</v>
      </c>
    </row>
    <row r="81" spans="1:17" x14ac:dyDescent="0.25">
      <c r="A81" s="61"/>
      <c r="B81" s="62" t="s">
        <v>55</v>
      </c>
      <c r="C81" s="64" t="s">
        <v>71</v>
      </c>
      <c r="D81" s="76">
        <f>COUNTIFS('TOTAL SUSPEK'!$F:$F,"Tanjunganyar")</f>
        <v>0</v>
      </c>
      <c r="E81" s="22"/>
      <c r="F81" s="23"/>
      <c r="G81" s="23"/>
      <c r="H81" s="23"/>
      <c r="I81" s="23"/>
      <c r="J81" s="23"/>
      <c r="K81" s="24"/>
      <c r="L81" s="24"/>
      <c r="M81" s="24"/>
      <c r="P81" s="42">
        <f t="shared" si="1"/>
        <v>0</v>
      </c>
    </row>
    <row r="82" spans="1:17" x14ac:dyDescent="0.25">
      <c r="A82" s="61"/>
      <c r="B82" s="62" t="s">
        <v>55</v>
      </c>
      <c r="C82" s="64" t="s">
        <v>72</v>
      </c>
      <c r="D82" s="76">
        <f>COUNTIFS('TOTAL SUSPEK'!$F:$F,"Mlekang")</f>
        <v>0</v>
      </c>
      <c r="E82" s="22"/>
      <c r="F82" s="23"/>
      <c r="G82" s="23"/>
      <c r="H82" s="23"/>
      <c r="I82" s="23"/>
      <c r="J82" s="23"/>
      <c r="K82" s="24"/>
      <c r="L82" s="24"/>
      <c r="M82" s="24"/>
      <c r="P82" s="42">
        <f t="shared" si="1"/>
        <v>0</v>
      </c>
    </row>
    <row r="83" spans="1:17" ht="15" customHeight="1" x14ac:dyDescent="0.25">
      <c r="A83" s="61">
        <v>5</v>
      </c>
      <c r="B83" s="18" t="s">
        <v>73</v>
      </c>
      <c r="C83" s="43" t="s">
        <v>74</v>
      </c>
      <c r="D83" s="76">
        <f>COUNTIFS('TOTAL SUSPEK'!$F:$F,"Cangkring B")</f>
        <v>0</v>
      </c>
      <c r="E83" s="22" t="e">
        <f>SUM(#REF!)</f>
        <v>#REF!</v>
      </c>
      <c r="F83" s="22" t="e">
        <f>SUM(#REF!)</f>
        <v>#REF!</v>
      </c>
      <c r="G83" s="22" t="e">
        <f>SUM(#REF!)</f>
        <v>#REF!</v>
      </c>
      <c r="H83" s="22" t="e">
        <f>SUM(#REF!)</f>
        <v>#REF!</v>
      </c>
      <c r="I83" s="22" t="e">
        <f>SUM(#REF!)</f>
        <v>#REF!</v>
      </c>
      <c r="J83" s="22" t="e">
        <f>SUM(#REF!)</f>
        <v>#REF!</v>
      </c>
      <c r="K83" s="22" t="e">
        <f>SUM(#REF!)</f>
        <v>#REF!</v>
      </c>
      <c r="L83" s="22">
        <f>SUM(D83:D99)</f>
        <v>2</v>
      </c>
      <c r="M83" s="22" t="e">
        <f>SUM(#REF!)</f>
        <v>#REF!</v>
      </c>
      <c r="P83" s="42">
        <f t="shared" si="1"/>
        <v>0</v>
      </c>
      <c r="Q83" s="42">
        <f>SUM(P83:P99)</f>
        <v>2</v>
      </c>
    </row>
    <row r="84" spans="1:17" ht="15" customHeight="1" x14ac:dyDescent="0.25">
      <c r="A84" s="61"/>
      <c r="B84" s="18" t="s">
        <v>73</v>
      </c>
      <c r="C84" s="43" t="s">
        <v>75</v>
      </c>
      <c r="D84" s="76">
        <f>COUNTIFS('TOTAL SUSPEK'!$F:$F,"Undaan Lor")</f>
        <v>0</v>
      </c>
      <c r="E84" s="22"/>
      <c r="F84" s="23"/>
      <c r="G84" s="23"/>
      <c r="H84" s="23"/>
      <c r="I84" s="23"/>
      <c r="J84" s="23"/>
      <c r="K84" s="24"/>
      <c r="L84" s="24"/>
      <c r="M84" s="24"/>
      <c r="P84" s="42">
        <f t="shared" si="1"/>
        <v>0</v>
      </c>
    </row>
    <row r="85" spans="1:17" ht="15" customHeight="1" x14ac:dyDescent="0.25">
      <c r="A85" s="61"/>
      <c r="B85" s="18" t="s">
        <v>73</v>
      </c>
      <c r="C85" s="43" t="s">
        <v>76</v>
      </c>
      <c r="D85" s="76">
        <f>COUNTIFS('TOTAL SUSPEK'!$F:$F,"Undaan Kidul")</f>
        <v>0</v>
      </c>
      <c r="E85" s="22"/>
      <c r="F85" s="23"/>
      <c r="G85" s="23"/>
      <c r="H85" s="23"/>
      <c r="I85" s="23"/>
      <c r="J85" s="23"/>
      <c r="K85" s="24"/>
      <c r="L85" s="24"/>
      <c r="M85" s="24"/>
      <c r="P85" s="42">
        <f t="shared" si="1"/>
        <v>0</v>
      </c>
    </row>
    <row r="86" spans="1:17" ht="15" customHeight="1" x14ac:dyDescent="0.25">
      <c r="A86" s="61"/>
      <c r="B86" s="18" t="s">
        <v>73</v>
      </c>
      <c r="C86" s="43" t="s">
        <v>77</v>
      </c>
      <c r="D86" s="76">
        <f>COUNTIFS('TOTAL SUSPEK'!$F:$F,"Ketanjung")</f>
        <v>0</v>
      </c>
      <c r="E86" s="22"/>
      <c r="F86" s="23"/>
      <c r="G86" s="23"/>
      <c r="H86" s="23"/>
      <c r="I86" s="23"/>
      <c r="J86" s="23"/>
      <c r="K86" s="24"/>
      <c r="L86" s="24"/>
      <c r="M86" s="24"/>
      <c r="P86" s="42">
        <f t="shared" si="1"/>
        <v>0</v>
      </c>
    </row>
    <row r="87" spans="1:17" ht="15" customHeight="1" x14ac:dyDescent="0.25">
      <c r="A87" s="61"/>
      <c r="B87" s="18" t="s">
        <v>73</v>
      </c>
      <c r="C87" s="43" t="s">
        <v>280</v>
      </c>
      <c r="D87" s="76">
        <f>COUNTIFS('TOTAL SUSPEK'!$F:$F,"Cangkring Rembang")</f>
        <v>0</v>
      </c>
      <c r="E87" s="22"/>
      <c r="F87" s="23"/>
      <c r="G87" s="23"/>
      <c r="H87" s="23"/>
      <c r="I87" s="23"/>
      <c r="J87" s="23"/>
      <c r="K87" s="24"/>
      <c r="L87" s="24"/>
      <c r="M87" s="24"/>
      <c r="P87" s="42">
        <f t="shared" si="1"/>
        <v>0</v>
      </c>
    </row>
    <row r="88" spans="1:17" ht="15" customHeight="1" x14ac:dyDescent="0.25">
      <c r="A88" s="61"/>
      <c r="B88" s="18" t="s">
        <v>73</v>
      </c>
      <c r="C88" s="43" t="s">
        <v>79</v>
      </c>
      <c r="D88" s="76">
        <f>COUNTIFS('TOTAL SUSPEK'!$F:$F,"Tuwang")</f>
        <v>0</v>
      </c>
      <c r="E88" s="22"/>
      <c r="F88" s="23"/>
      <c r="G88" s="23"/>
      <c r="H88" s="23"/>
      <c r="I88" s="23"/>
      <c r="J88" s="23"/>
      <c r="K88" s="24"/>
      <c r="L88" s="24"/>
      <c r="M88" s="24"/>
      <c r="P88" s="42">
        <f t="shared" si="1"/>
        <v>0</v>
      </c>
    </row>
    <row r="89" spans="1:17" ht="15" customHeight="1" x14ac:dyDescent="0.25">
      <c r="A89" s="61"/>
      <c r="B89" s="18" t="s">
        <v>73</v>
      </c>
      <c r="C89" s="43" t="s">
        <v>80</v>
      </c>
      <c r="D89" s="76">
        <f>COUNTIFS('TOTAL SUSPEK'!$F:$F,"Wonorejo",'TOTAL SUSPEK'!$E:$E,"karanganyar")</f>
        <v>2</v>
      </c>
      <c r="E89" s="22"/>
      <c r="F89" s="23"/>
      <c r="G89" s="23"/>
      <c r="H89" s="23"/>
      <c r="I89" s="23"/>
      <c r="J89" s="23"/>
      <c r="K89" s="24"/>
      <c r="L89" s="24"/>
      <c r="M89" s="24"/>
      <c r="P89" s="42">
        <f t="shared" si="1"/>
        <v>2</v>
      </c>
    </row>
    <row r="90" spans="1:17" ht="15" customHeight="1" x14ac:dyDescent="0.25">
      <c r="A90" s="61"/>
      <c r="B90" s="18" t="s">
        <v>73</v>
      </c>
      <c r="C90" s="43" t="s">
        <v>281</v>
      </c>
      <c r="D90" s="76">
        <f>COUNTIFS('TOTAL SUSPEK'!$F:$F,"Ngemplik Wetan")</f>
        <v>0</v>
      </c>
      <c r="E90" s="22"/>
      <c r="F90" s="23"/>
      <c r="G90" s="23"/>
      <c r="H90" s="23"/>
      <c r="I90" s="23"/>
      <c r="J90" s="23"/>
      <c r="K90" s="24"/>
      <c r="L90" s="24"/>
      <c r="M90" s="24"/>
      <c r="P90" s="42">
        <f t="shared" si="1"/>
        <v>0</v>
      </c>
    </row>
    <row r="91" spans="1:17" ht="15" customHeight="1" x14ac:dyDescent="0.25">
      <c r="A91" s="61"/>
      <c r="B91" s="18" t="s">
        <v>73</v>
      </c>
      <c r="C91" s="43" t="s">
        <v>73</v>
      </c>
      <c r="D91" s="76">
        <f>COUNTIFS('TOTAL SUSPEK'!$F:$F,"Karanganyar")</f>
        <v>0</v>
      </c>
      <c r="E91" s="22"/>
      <c r="F91" s="23"/>
      <c r="G91" s="23"/>
      <c r="H91" s="23"/>
      <c r="I91" s="23"/>
      <c r="J91" s="23"/>
      <c r="K91" s="24"/>
      <c r="L91" s="24"/>
      <c r="M91" s="24"/>
      <c r="P91" s="42">
        <f t="shared" si="1"/>
        <v>0</v>
      </c>
    </row>
    <row r="92" spans="1:17" ht="15" customHeight="1" x14ac:dyDescent="0.25">
      <c r="A92" s="61"/>
      <c r="B92" s="18" t="s">
        <v>73</v>
      </c>
      <c r="C92" s="43" t="s">
        <v>81</v>
      </c>
      <c r="D92" s="76">
        <f>COUNTIFS('TOTAL SUSPEK'!$F:$F,"Ngaluran")</f>
        <v>0</v>
      </c>
      <c r="E92" s="22"/>
      <c r="F92" s="23"/>
      <c r="G92" s="23"/>
      <c r="H92" s="23"/>
      <c r="I92" s="23"/>
      <c r="J92" s="23"/>
      <c r="K92" s="24"/>
      <c r="L92" s="24"/>
      <c r="M92" s="24"/>
      <c r="P92" s="42">
        <f t="shared" si="1"/>
        <v>0</v>
      </c>
    </row>
    <row r="93" spans="1:17" ht="15" customHeight="1" x14ac:dyDescent="0.25">
      <c r="A93" s="61"/>
      <c r="B93" s="18" t="s">
        <v>73</v>
      </c>
      <c r="C93" s="43" t="s">
        <v>82</v>
      </c>
      <c r="D93" s="76">
        <f>COUNTIFS('TOTAL SUSPEK'!$F:$F,"Kedungwaru Kidul")</f>
        <v>0</v>
      </c>
      <c r="E93" s="22"/>
      <c r="F93" s="23"/>
      <c r="G93" s="23"/>
      <c r="H93" s="23"/>
      <c r="I93" s="23"/>
      <c r="J93" s="23"/>
      <c r="K93" s="24"/>
      <c r="L93" s="24"/>
      <c r="M93" s="24"/>
      <c r="P93" s="42">
        <f t="shared" si="1"/>
        <v>0</v>
      </c>
    </row>
    <row r="94" spans="1:17" ht="15" customHeight="1" x14ac:dyDescent="0.25">
      <c r="A94" s="61"/>
      <c r="B94" s="18" t="s">
        <v>73</v>
      </c>
      <c r="C94" s="43" t="s">
        <v>83</v>
      </c>
      <c r="D94" s="76">
        <f>COUNTIFS('TOTAL SUSPEK'!$F:$F,"Kedungwaru Lor")</f>
        <v>0</v>
      </c>
      <c r="E94" s="22"/>
      <c r="F94" s="23"/>
      <c r="G94" s="23"/>
      <c r="H94" s="23"/>
      <c r="I94" s="23"/>
      <c r="J94" s="23"/>
      <c r="K94" s="24"/>
      <c r="L94" s="24"/>
      <c r="M94" s="24"/>
      <c r="P94" s="42">
        <f t="shared" si="1"/>
        <v>0</v>
      </c>
    </row>
    <row r="95" spans="1:17" ht="15" customHeight="1" x14ac:dyDescent="0.25">
      <c r="A95" s="61"/>
      <c r="B95" s="18" t="s">
        <v>73</v>
      </c>
      <c r="C95" s="43" t="s">
        <v>84</v>
      </c>
      <c r="D95" s="76">
        <f>COUNTIFS('TOTAL SUSPEK'!$F:$F,"Tugu Lor")</f>
        <v>0</v>
      </c>
      <c r="E95" s="22"/>
      <c r="F95" s="23"/>
      <c r="G95" s="23"/>
      <c r="H95" s="23"/>
      <c r="I95" s="23"/>
      <c r="J95" s="23"/>
      <c r="K95" s="24"/>
      <c r="L95" s="24"/>
      <c r="M95" s="24"/>
      <c r="P95" s="42">
        <f t="shared" si="1"/>
        <v>0</v>
      </c>
    </row>
    <row r="96" spans="1:17" ht="15" customHeight="1" x14ac:dyDescent="0.25">
      <c r="A96" s="61"/>
      <c r="B96" s="18" t="s">
        <v>73</v>
      </c>
      <c r="C96" s="43" t="s">
        <v>295</v>
      </c>
      <c r="D96" s="76">
        <f>COUNTIFS('TOTAL SUSPEK'!$F:$F,"Kotakan")</f>
        <v>0</v>
      </c>
      <c r="E96" s="22"/>
      <c r="F96" s="23"/>
      <c r="G96" s="23"/>
      <c r="H96" s="23"/>
      <c r="I96" s="23"/>
      <c r="J96" s="23"/>
      <c r="K96" s="24"/>
      <c r="L96" s="24"/>
      <c r="M96" s="24"/>
      <c r="P96" s="42">
        <f t="shared" si="1"/>
        <v>0</v>
      </c>
    </row>
    <row r="97" spans="1:17" ht="15" customHeight="1" x14ac:dyDescent="0.25">
      <c r="A97" s="61"/>
      <c r="B97" s="18" t="s">
        <v>73</v>
      </c>
      <c r="C97" s="43" t="s">
        <v>85</v>
      </c>
      <c r="D97" s="76">
        <f>COUNTIFS('TOTAL SUSPEK'!$F:$F,"Wonoketingal")</f>
        <v>0</v>
      </c>
      <c r="E97" s="22"/>
      <c r="F97" s="23"/>
      <c r="G97" s="23"/>
      <c r="H97" s="23"/>
      <c r="I97" s="23"/>
      <c r="J97" s="23"/>
      <c r="K97" s="24"/>
      <c r="L97" s="24"/>
      <c r="M97" s="24"/>
      <c r="P97" s="42">
        <f t="shared" si="1"/>
        <v>0</v>
      </c>
    </row>
    <row r="98" spans="1:17" ht="15" customHeight="1" x14ac:dyDescent="0.25">
      <c r="A98" s="61"/>
      <c r="B98" s="18" t="s">
        <v>73</v>
      </c>
      <c r="C98" s="43" t="s">
        <v>86</v>
      </c>
      <c r="D98" s="76">
        <f>COUNTIFS('TOTAL SUSPEK'!$F:$F,"Jatirejo")</f>
        <v>0</v>
      </c>
      <c r="E98" s="22"/>
      <c r="F98" s="23"/>
      <c r="G98" s="23"/>
      <c r="H98" s="23"/>
      <c r="I98" s="23"/>
      <c r="J98" s="23"/>
      <c r="K98" s="24"/>
      <c r="L98" s="24"/>
      <c r="M98" s="24"/>
      <c r="P98" s="42">
        <f t="shared" si="1"/>
        <v>0</v>
      </c>
    </row>
    <row r="99" spans="1:17" ht="15" customHeight="1" x14ac:dyDescent="0.25">
      <c r="A99" s="61"/>
      <c r="B99" s="18" t="s">
        <v>73</v>
      </c>
      <c r="C99" s="43" t="s">
        <v>9</v>
      </c>
      <c r="D99" s="76">
        <f>COUNTIFS('TOTAL SUSPEK'!$F:$F,"Bandungrejo",'TOTAL SUSPEK'!$E:$E,"Karanganyar")</f>
        <v>0</v>
      </c>
      <c r="E99" s="22"/>
      <c r="F99" s="23"/>
      <c r="G99" s="23"/>
      <c r="H99" s="23"/>
      <c r="I99" s="23"/>
      <c r="J99" s="23"/>
      <c r="K99" s="24"/>
      <c r="L99" s="24"/>
      <c r="M99" s="24"/>
      <c r="P99" s="42">
        <f t="shared" si="1"/>
        <v>0</v>
      </c>
    </row>
    <row r="100" spans="1:17" ht="15" customHeight="1" x14ac:dyDescent="0.25">
      <c r="A100" s="61">
        <v>6</v>
      </c>
      <c r="B100" s="18" t="s">
        <v>87</v>
      </c>
      <c r="C100" s="43" t="s">
        <v>88</v>
      </c>
      <c r="D100" s="76">
        <f>COUNTIFS('TOTAL SUSPEK'!$F:$F,"Mijen",'TOTAL SUSPEK'!$E:$E,"mijen")</f>
        <v>0</v>
      </c>
      <c r="E100" s="22" t="e">
        <f>SUM(#REF!)</f>
        <v>#REF!</v>
      </c>
      <c r="F100" s="22" t="e">
        <f>SUM(#REF!)</f>
        <v>#REF!</v>
      </c>
      <c r="G100" s="22" t="e">
        <f>SUM(#REF!)</f>
        <v>#REF!</v>
      </c>
      <c r="H100" s="22" t="e">
        <f>SUM(#REF!)</f>
        <v>#REF!</v>
      </c>
      <c r="I100" s="22" t="e">
        <f>SUM(#REF!)</f>
        <v>#REF!</v>
      </c>
      <c r="J100" s="22" t="e">
        <f>SUM(#REF!)</f>
        <v>#REF!</v>
      </c>
      <c r="K100" s="22" t="e">
        <f>SUM(#REF!)</f>
        <v>#REF!</v>
      </c>
      <c r="L100" s="22">
        <f>SUM(D100:D114)</f>
        <v>0</v>
      </c>
      <c r="M100" s="22" t="e">
        <f>SUM(#REF!)</f>
        <v>#REF!</v>
      </c>
      <c r="P100" s="42">
        <f t="shared" si="1"/>
        <v>0</v>
      </c>
      <c r="Q100" s="42">
        <f>SUM(P100:P114)</f>
        <v>0</v>
      </c>
    </row>
    <row r="101" spans="1:17" ht="15" customHeight="1" x14ac:dyDescent="0.25">
      <c r="A101" s="61"/>
      <c r="B101" s="18" t="s">
        <v>87</v>
      </c>
      <c r="C101" s="43" t="s">
        <v>89</v>
      </c>
      <c r="D101" s="76">
        <f>COUNTIFS('TOTAL SUSPEK'!$F:$F,"Geneng")</f>
        <v>0</v>
      </c>
      <c r="E101" s="22"/>
      <c r="F101" s="23"/>
      <c r="G101" s="23"/>
      <c r="H101" s="23"/>
      <c r="I101" s="23"/>
      <c r="J101" s="23"/>
      <c r="K101" s="24"/>
      <c r="L101" s="24"/>
      <c r="M101" s="24"/>
      <c r="P101" s="42">
        <f t="shared" si="1"/>
        <v>0</v>
      </c>
    </row>
    <row r="102" spans="1:17" ht="15" customHeight="1" x14ac:dyDescent="0.25">
      <c r="A102" s="61"/>
      <c r="B102" s="18" t="s">
        <v>87</v>
      </c>
      <c r="C102" s="43" t="s">
        <v>90</v>
      </c>
      <c r="D102" s="76">
        <f>COUNTIFS('TOTAL SUSPEK'!$F:$F,"Tanggul")</f>
        <v>0</v>
      </c>
      <c r="E102" s="22"/>
      <c r="F102" s="23"/>
      <c r="G102" s="23"/>
      <c r="H102" s="23"/>
      <c r="I102" s="23"/>
      <c r="J102" s="23"/>
      <c r="K102" s="24"/>
      <c r="L102" s="24"/>
      <c r="M102" s="24"/>
      <c r="P102" s="42">
        <f t="shared" si="1"/>
        <v>0</v>
      </c>
    </row>
    <row r="103" spans="1:17" ht="15" customHeight="1" x14ac:dyDescent="0.25">
      <c r="A103" s="61"/>
      <c r="B103" s="18" t="s">
        <v>87</v>
      </c>
      <c r="C103" s="43" t="s">
        <v>91</v>
      </c>
      <c r="D103" s="76">
        <f>COUNTIFS('TOTAL SUSPEK'!$F:$F,"Bantengmati")</f>
        <v>0</v>
      </c>
      <c r="E103" s="22"/>
      <c r="F103" s="23"/>
      <c r="G103" s="23"/>
      <c r="H103" s="23"/>
      <c r="I103" s="23"/>
      <c r="J103" s="23"/>
      <c r="K103" s="24"/>
      <c r="L103" s="24"/>
      <c r="M103" s="24"/>
      <c r="P103" s="42">
        <f t="shared" si="1"/>
        <v>0</v>
      </c>
    </row>
    <row r="104" spans="1:17" ht="15" customHeight="1" x14ac:dyDescent="0.25">
      <c r="A104" s="61"/>
      <c r="B104" s="18" t="s">
        <v>87</v>
      </c>
      <c r="C104" s="43" t="s">
        <v>92</v>
      </c>
      <c r="D104" s="76">
        <f>COUNTIFS('TOTAL SUSPEK'!$F:$F,"Mlaten")</f>
        <v>0</v>
      </c>
      <c r="E104" s="22"/>
      <c r="F104" s="23"/>
      <c r="G104" s="23"/>
      <c r="H104" s="23"/>
      <c r="I104" s="23"/>
      <c r="J104" s="23"/>
      <c r="K104" s="24"/>
      <c r="L104" s="24"/>
      <c r="M104" s="24"/>
      <c r="P104" s="42">
        <f t="shared" si="1"/>
        <v>0</v>
      </c>
    </row>
    <row r="105" spans="1:17" ht="15" customHeight="1" x14ac:dyDescent="0.25">
      <c r="A105" s="61"/>
      <c r="B105" s="18" t="s">
        <v>87</v>
      </c>
      <c r="C105" s="43" t="s">
        <v>93</v>
      </c>
      <c r="D105" s="76">
        <f>COUNTIFS('TOTAL SUSPEK'!$F:$F,"Bermi")</f>
        <v>0</v>
      </c>
      <c r="E105" s="22"/>
      <c r="F105" s="23"/>
      <c r="G105" s="23"/>
      <c r="H105" s="23"/>
      <c r="I105" s="23"/>
      <c r="J105" s="23"/>
      <c r="K105" s="24"/>
      <c r="L105" s="24"/>
      <c r="M105" s="24"/>
      <c r="P105" s="42">
        <f t="shared" si="1"/>
        <v>0</v>
      </c>
    </row>
    <row r="106" spans="1:17" ht="15" customHeight="1" x14ac:dyDescent="0.25">
      <c r="A106" s="61"/>
      <c r="B106" s="18" t="s">
        <v>87</v>
      </c>
      <c r="C106" s="43" t="s">
        <v>94</v>
      </c>
      <c r="D106" s="76">
        <f>COUNTIFS('TOTAL SUSPEK'!$F:$F,"Gempolsongo")</f>
        <v>0</v>
      </c>
      <c r="E106" s="22"/>
      <c r="F106" s="23"/>
      <c r="G106" s="23"/>
      <c r="H106" s="23"/>
      <c r="I106" s="23"/>
      <c r="J106" s="23"/>
      <c r="K106" s="24"/>
      <c r="L106" s="24"/>
      <c r="M106" s="24"/>
      <c r="P106" s="42">
        <f t="shared" si="1"/>
        <v>0</v>
      </c>
    </row>
    <row r="107" spans="1:17" ht="15" customHeight="1" x14ac:dyDescent="0.25">
      <c r="A107" s="61"/>
      <c r="B107" s="18" t="s">
        <v>87</v>
      </c>
      <c r="C107" s="43" t="s">
        <v>95</v>
      </c>
      <c r="D107" s="76">
        <f>COUNTIFS('TOTAL SUSPEK'!$F:$F,"Ngelo wetan")</f>
        <v>0</v>
      </c>
      <c r="E107" s="22"/>
      <c r="F107" s="23"/>
      <c r="G107" s="23"/>
      <c r="H107" s="23"/>
      <c r="I107" s="23"/>
      <c r="J107" s="23"/>
      <c r="K107" s="24"/>
      <c r="L107" s="24"/>
      <c r="M107" s="24"/>
      <c r="P107" s="42">
        <f t="shared" si="1"/>
        <v>0</v>
      </c>
    </row>
    <row r="108" spans="1:17" ht="15" customHeight="1" x14ac:dyDescent="0.25">
      <c r="A108" s="61"/>
      <c r="B108" s="18" t="s">
        <v>87</v>
      </c>
      <c r="C108" s="43" t="s">
        <v>96</v>
      </c>
      <c r="D108" s="76">
        <f>COUNTIFS('TOTAL SUSPEK'!$F:$F,"Bakung")</f>
        <v>0</v>
      </c>
      <c r="E108" s="22"/>
      <c r="F108" s="23"/>
      <c r="G108" s="23"/>
      <c r="H108" s="23"/>
      <c r="I108" s="23"/>
      <c r="J108" s="23"/>
      <c r="K108" s="24"/>
      <c r="L108" s="24"/>
      <c r="M108" s="24"/>
      <c r="P108" s="42">
        <f t="shared" si="1"/>
        <v>0</v>
      </c>
    </row>
    <row r="109" spans="1:17" ht="15" customHeight="1" x14ac:dyDescent="0.25">
      <c r="A109" s="61"/>
      <c r="B109" s="18" t="s">
        <v>87</v>
      </c>
      <c r="C109" s="43" t="s">
        <v>97</v>
      </c>
      <c r="D109" s="76">
        <f>COUNTIFS('TOTAL SUSPEK'!$F:$F,"Pasir")</f>
        <v>0</v>
      </c>
      <c r="E109" s="22"/>
      <c r="F109" s="23"/>
      <c r="G109" s="23"/>
      <c r="H109" s="23"/>
      <c r="I109" s="23"/>
      <c r="J109" s="23"/>
      <c r="K109" s="24"/>
      <c r="L109" s="24"/>
      <c r="M109" s="24"/>
      <c r="P109" s="42">
        <f t="shared" si="1"/>
        <v>0</v>
      </c>
    </row>
    <row r="110" spans="1:17" ht="15" customHeight="1" x14ac:dyDescent="0.25">
      <c r="A110" s="61"/>
      <c r="B110" s="18" t="s">
        <v>87</v>
      </c>
      <c r="C110" s="43" t="s">
        <v>98</v>
      </c>
      <c r="D110" s="76">
        <f>COUNTIFS('TOTAL SUSPEK'!$F:$F,"Jleper")</f>
        <v>0</v>
      </c>
      <c r="E110" s="22"/>
      <c r="F110" s="23"/>
      <c r="G110" s="23"/>
      <c r="H110" s="23"/>
      <c r="I110" s="23"/>
      <c r="J110" s="23"/>
      <c r="K110" s="24"/>
      <c r="L110" s="24"/>
      <c r="M110" s="24"/>
      <c r="P110" s="42">
        <f t="shared" si="1"/>
        <v>0</v>
      </c>
    </row>
    <row r="111" spans="1:17" ht="15" customHeight="1" x14ac:dyDescent="0.25">
      <c r="A111" s="61"/>
      <c r="B111" s="18" t="s">
        <v>87</v>
      </c>
      <c r="C111" s="43" t="s">
        <v>26</v>
      </c>
      <c r="D111" s="76">
        <f>COUNTIFS('TOTAL SUSPEK'!$F:$F,"Rejosari",'TOTAL SUSPEK'!$E:$E,"mijen")</f>
        <v>0</v>
      </c>
      <c r="E111" s="22"/>
      <c r="F111" s="23"/>
      <c r="G111" s="23"/>
      <c r="H111" s="23"/>
      <c r="I111" s="23"/>
      <c r="J111" s="23"/>
      <c r="K111" s="24"/>
      <c r="L111" s="24"/>
      <c r="M111" s="24"/>
      <c r="P111" s="42">
        <f t="shared" si="1"/>
        <v>0</v>
      </c>
    </row>
    <row r="112" spans="1:17" ht="15" customHeight="1" x14ac:dyDescent="0.25">
      <c r="A112" s="61"/>
      <c r="B112" s="18" t="s">
        <v>87</v>
      </c>
      <c r="C112" s="43" t="s">
        <v>99</v>
      </c>
      <c r="D112" s="76">
        <f>COUNTIFS('TOTAL SUSPEK'!$F:$F,"Ngegot")</f>
        <v>0</v>
      </c>
      <c r="E112" s="22"/>
      <c r="F112" s="23"/>
      <c r="G112" s="23"/>
      <c r="H112" s="23"/>
      <c r="I112" s="23"/>
      <c r="J112" s="23"/>
      <c r="K112" s="24"/>
      <c r="L112" s="24"/>
      <c r="M112" s="24"/>
      <c r="P112" s="42">
        <f t="shared" si="1"/>
        <v>0</v>
      </c>
    </row>
    <row r="113" spans="1:17" ht="15" customHeight="1" x14ac:dyDescent="0.25">
      <c r="A113" s="61"/>
      <c r="B113" s="18" t="s">
        <v>87</v>
      </c>
      <c r="C113" s="43" t="s">
        <v>100</v>
      </c>
      <c r="D113" s="76">
        <f>COUNTIFS('TOTAL SUSPEK'!$F:$F,"Pecuk")</f>
        <v>0</v>
      </c>
      <c r="E113" s="22"/>
      <c r="F113" s="23"/>
      <c r="G113" s="23"/>
      <c r="H113" s="23"/>
      <c r="I113" s="23"/>
      <c r="J113" s="23"/>
      <c r="K113" s="24"/>
      <c r="L113" s="24"/>
      <c r="M113" s="24"/>
      <c r="P113" s="42">
        <f t="shared" si="1"/>
        <v>0</v>
      </c>
    </row>
    <row r="114" spans="1:17" ht="15" customHeight="1" x14ac:dyDescent="0.25">
      <c r="A114" s="61"/>
      <c r="B114" s="18" t="s">
        <v>87</v>
      </c>
      <c r="C114" s="43" t="s">
        <v>101</v>
      </c>
      <c r="D114" s="76">
        <f>COUNTIFS('TOTAL SUSPEK'!$F:$F,"Ngelo Kulon")</f>
        <v>0</v>
      </c>
      <c r="E114" s="22"/>
      <c r="F114" s="23"/>
      <c r="G114" s="23"/>
      <c r="H114" s="23"/>
      <c r="I114" s="23"/>
      <c r="J114" s="23"/>
      <c r="K114" s="24"/>
      <c r="L114" s="24"/>
      <c r="M114" s="24"/>
      <c r="P114" s="42">
        <f t="shared" si="1"/>
        <v>0</v>
      </c>
    </row>
    <row r="115" spans="1:17" x14ac:dyDescent="0.25">
      <c r="A115" s="61">
        <v>7</v>
      </c>
      <c r="B115" s="18" t="s">
        <v>102</v>
      </c>
      <c r="C115" s="43" t="s">
        <v>103</v>
      </c>
      <c r="D115" s="76">
        <f>COUNTIFS('TOTAL SUSPEK'!$F:$F,"Betokan")</f>
        <v>0</v>
      </c>
      <c r="E115" s="22" t="e">
        <f>SUM(#REF!)</f>
        <v>#REF!</v>
      </c>
      <c r="F115" s="22" t="e">
        <f>SUM(#REF!)</f>
        <v>#REF!</v>
      </c>
      <c r="G115" s="22" t="e">
        <f>SUM(#REF!)</f>
        <v>#REF!</v>
      </c>
      <c r="H115" s="22" t="e">
        <f>SUM(#REF!)</f>
        <v>#REF!</v>
      </c>
      <c r="I115" s="22" t="e">
        <f>SUM(#REF!)</f>
        <v>#REF!</v>
      </c>
      <c r="J115" s="22" t="e">
        <f>SUM(#REF!)</f>
        <v>#REF!</v>
      </c>
      <c r="K115" s="22" t="e">
        <f>SUM(#REF!)</f>
        <v>#REF!</v>
      </c>
      <c r="L115" s="22">
        <f>SUM(D115:D133)</f>
        <v>2</v>
      </c>
      <c r="M115" s="22" t="e">
        <f>SUM(#REF!)</f>
        <v>#REF!</v>
      </c>
      <c r="P115" s="42">
        <f t="shared" si="1"/>
        <v>0</v>
      </c>
      <c r="Q115" s="42">
        <f>SUM(P115:P133)</f>
        <v>2</v>
      </c>
    </row>
    <row r="116" spans="1:17" x14ac:dyDescent="0.25">
      <c r="A116" s="61"/>
      <c r="B116" s="18" t="s">
        <v>102</v>
      </c>
      <c r="C116" s="43" t="s">
        <v>104</v>
      </c>
      <c r="D116" s="76">
        <f>COUNTIFS('TOTAL SUSPEK'!$F:$F,"Kalicilik")</f>
        <v>0</v>
      </c>
      <c r="E116" s="22"/>
      <c r="F116" s="23"/>
      <c r="G116" s="23"/>
      <c r="H116" s="23"/>
      <c r="I116" s="23"/>
      <c r="J116" s="23"/>
      <c r="K116" s="24"/>
      <c r="L116" s="24"/>
      <c r="M116" s="24"/>
      <c r="P116" s="42">
        <f t="shared" si="1"/>
        <v>0</v>
      </c>
    </row>
    <row r="117" spans="1:17" x14ac:dyDescent="0.25">
      <c r="A117" s="61"/>
      <c r="B117" s="18" t="s">
        <v>102</v>
      </c>
      <c r="C117" s="43" t="s">
        <v>105</v>
      </c>
      <c r="D117" s="76">
        <f>COUNTIFS('TOTAL SUSPEK'!$F:$F,"Kadilangu")</f>
        <v>0</v>
      </c>
      <c r="E117" s="22"/>
      <c r="F117" s="23"/>
      <c r="G117" s="23"/>
      <c r="H117" s="23"/>
      <c r="I117" s="23"/>
      <c r="J117" s="23"/>
      <c r="K117" s="24"/>
      <c r="L117" s="24"/>
      <c r="M117" s="24"/>
      <c r="P117" s="42">
        <f t="shared" si="1"/>
        <v>0</v>
      </c>
    </row>
    <row r="118" spans="1:17" x14ac:dyDescent="0.25">
      <c r="A118" s="61"/>
      <c r="B118" s="18" t="s">
        <v>102</v>
      </c>
      <c r="C118" s="43" t="s">
        <v>106</v>
      </c>
      <c r="D118" s="76">
        <f>COUNTIFS('TOTAL SUSPEK'!$F:$F,"Singorejo")</f>
        <v>0</v>
      </c>
      <c r="E118" s="22"/>
      <c r="F118" s="23"/>
      <c r="G118" s="23"/>
      <c r="H118" s="23"/>
      <c r="I118" s="23"/>
      <c r="J118" s="23"/>
      <c r="K118" s="24"/>
      <c r="L118" s="24"/>
      <c r="M118" s="24"/>
      <c r="P118" s="42">
        <f t="shared" si="1"/>
        <v>0</v>
      </c>
    </row>
    <row r="119" spans="1:17" x14ac:dyDescent="0.25">
      <c r="A119" s="61"/>
      <c r="B119" s="18" t="s">
        <v>102</v>
      </c>
      <c r="C119" s="43" t="s">
        <v>107</v>
      </c>
      <c r="D119" s="76">
        <f>COUNTIFS('TOTAL SUSPEK'!$F:$F,"Karangmlati")</f>
        <v>0</v>
      </c>
      <c r="E119" s="22"/>
      <c r="F119" s="23"/>
      <c r="G119" s="23"/>
      <c r="H119" s="23"/>
      <c r="I119" s="23"/>
      <c r="J119" s="23"/>
      <c r="K119" s="24"/>
      <c r="L119" s="24"/>
      <c r="M119" s="24"/>
      <c r="P119" s="42">
        <f t="shared" si="1"/>
        <v>0</v>
      </c>
    </row>
    <row r="120" spans="1:17" x14ac:dyDescent="0.25">
      <c r="A120" s="61"/>
      <c r="B120" s="18" t="s">
        <v>102</v>
      </c>
      <c r="C120" s="43" t="s">
        <v>108</v>
      </c>
      <c r="D120" s="76">
        <f>COUNTIFS('TOTAL SUSPEK'!$F:$F,"Bintoro")</f>
        <v>1</v>
      </c>
      <c r="E120" s="22"/>
      <c r="F120" s="23"/>
      <c r="G120" s="23"/>
      <c r="H120" s="23"/>
      <c r="I120" s="23"/>
      <c r="J120" s="23"/>
      <c r="K120" s="24"/>
      <c r="L120" s="24"/>
      <c r="M120" s="24"/>
      <c r="P120" s="42">
        <f t="shared" si="1"/>
        <v>1</v>
      </c>
    </row>
    <row r="121" spans="1:17" x14ac:dyDescent="0.25">
      <c r="A121" s="61"/>
      <c r="B121" s="18" t="s">
        <v>102</v>
      </c>
      <c r="C121" s="43" t="s">
        <v>109</v>
      </c>
      <c r="D121" s="76">
        <f>COUNTIFS('TOTAL SUSPEK'!$F:$F,"Turirejo")</f>
        <v>0</v>
      </c>
      <c r="E121" s="22"/>
      <c r="F121" s="23"/>
      <c r="G121" s="23"/>
      <c r="H121" s="23"/>
      <c r="I121" s="23"/>
      <c r="J121" s="23"/>
      <c r="K121" s="24"/>
      <c r="L121" s="24"/>
      <c r="M121" s="24"/>
      <c r="P121" s="42">
        <f t="shared" si="1"/>
        <v>0</v>
      </c>
    </row>
    <row r="122" spans="1:17" s="14" customFormat="1" x14ac:dyDescent="0.25">
      <c r="A122" s="66"/>
      <c r="B122" s="67" t="s">
        <v>102</v>
      </c>
      <c r="C122" s="43" t="s">
        <v>56</v>
      </c>
      <c r="D122" s="76">
        <f>COUNTIFS('TOTAL SUSPEK'!$F:$F,"Kedondong",'TOTAL SUSPEK'!$E:$E,"demak")</f>
        <v>0</v>
      </c>
      <c r="E122" s="28"/>
      <c r="F122" s="29"/>
      <c r="G122" s="29"/>
      <c r="H122" s="29"/>
      <c r="I122" s="29"/>
      <c r="J122" s="29"/>
      <c r="K122" s="30"/>
      <c r="L122" s="30"/>
      <c r="M122" s="30"/>
      <c r="P122" s="42">
        <f t="shared" si="1"/>
        <v>0</v>
      </c>
    </row>
    <row r="123" spans="1:17" x14ac:dyDescent="0.25">
      <c r="A123" s="61"/>
      <c r="B123" s="18" t="s">
        <v>102</v>
      </c>
      <c r="C123" s="68" t="s">
        <v>110</v>
      </c>
      <c r="D123" s="76">
        <f>COUNTIFS('TOTAL SUSPEK'!$F:$F,"Bango")</f>
        <v>0</v>
      </c>
      <c r="E123" s="22"/>
      <c r="F123" s="23"/>
      <c r="G123" s="23"/>
      <c r="H123" s="23"/>
      <c r="I123" s="23"/>
      <c r="J123" s="23"/>
      <c r="K123" s="24"/>
      <c r="L123" s="24"/>
      <c r="M123" s="24"/>
      <c r="P123" s="42">
        <f t="shared" si="1"/>
        <v>0</v>
      </c>
    </row>
    <row r="124" spans="1:17" x14ac:dyDescent="0.25">
      <c r="A124" s="61"/>
      <c r="B124" s="18" t="s">
        <v>102</v>
      </c>
      <c r="C124" s="43" t="s">
        <v>111</v>
      </c>
      <c r="D124" s="76">
        <f>COUNTIFS('TOTAL SUSPEK'!$F:$F,"Raji")</f>
        <v>0</v>
      </c>
      <c r="E124" s="22"/>
      <c r="F124" s="23"/>
      <c r="G124" s="23"/>
      <c r="H124" s="23"/>
      <c r="I124" s="23"/>
      <c r="J124" s="23"/>
      <c r="K124" s="24"/>
      <c r="L124" s="24"/>
      <c r="M124" s="24"/>
      <c r="P124" s="42">
        <f t="shared" si="1"/>
        <v>0</v>
      </c>
    </row>
    <row r="125" spans="1:17" x14ac:dyDescent="0.25">
      <c r="A125" s="61"/>
      <c r="B125" s="18" t="s">
        <v>102</v>
      </c>
      <c r="C125" s="43" t="s">
        <v>112</v>
      </c>
      <c r="D125" s="76">
        <f>COUNTIFS('TOTAL SUSPEK'!$F:$F,"Mulyorejo")</f>
        <v>0</v>
      </c>
      <c r="E125" s="22"/>
      <c r="F125" s="23"/>
      <c r="G125" s="23"/>
      <c r="H125" s="23"/>
      <c r="I125" s="23"/>
      <c r="J125" s="23"/>
      <c r="K125" s="24"/>
      <c r="L125" s="24"/>
      <c r="M125" s="24"/>
      <c r="P125" s="42">
        <f t="shared" si="1"/>
        <v>0</v>
      </c>
    </row>
    <row r="126" spans="1:17" x14ac:dyDescent="0.25">
      <c r="A126" s="61"/>
      <c r="B126" s="18" t="s">
        <v>102</v>
      </c>
      <c r="C126" s="43" t="s">
        <v>113</v>
      </c>
      <c r="D126" s="76">
        <f>COUNTIFS('TOTAL SUSPEK'!$F:$F,"Sedo")</f>
        <v>0</v>
      </c>
      <c r="E126" s="22"/>
      <c r="F126" s="23"/>
      <c r="G126" s="23"/>
      <c r="H126" s="23"/>
      <c r="I126" s="23"/>
      <c r="J126" s="23"/>
      <c r="K126" s="24"/>
      <c r="L126" s="24"/>
      <c r="M126" s="24"/>
      <c r="P126" s="42">
        <f t="shared" si="1"/>
        <v>0</v>
      </c>
    </row>
    <row r="127" spans="1:17" x14ac:dyDescent="0.25">
      <c r="A127" s="61"/>
      <c r="B127" s="18" t="s">
        <v>102</v>
      </c>
      <c r="C127" s="68" t="s">
        <v>114</v>
      </c>
      <c r="D127" s="76">
        <f>COUNTIFS('TOTAL SUSPEK'!$F:$F,"Bolo")</f>
        <v>0</v>
      </c>
      <c r="E127" s="22"/>
      <c r="F127" s="23"/>
      <c r="G127" s="23"/>
      <c r="H127" s="23"/>
      <c r="I127" s="23"/>
      <c r="J127" s="23"/>
      <c r="K127" s="24"/>
      <c r="L127" s="24"/>
      <c r="M127" s="24"/>
      <c r="P127" s="42">
        <f t="shared" si="1"/>
        <v>0</v>
      </c>
    </row>
    <row r="128" spans="1:17" x14ac:dyDescent="0.25">
      <c r="A128" s="61"/>
      <c r="B128" s="18" t="s">
        <v>102</v>
      </c>
      <c r="C128" s="43" t="s">
        <v>115</v>
      </c>
      <c r="D128" s="76">
        <f>COUNTIFS('TOTAL SUSPEK'!$F:$F,"Katonsari")</f>
        <v>1</v>
      </c>
      <c r="E128" s="22"/>
      <c r="F128" s="23"/>
      <c r="G128" s="23"/>
      <c r="H128" s="23"/>
      <c r="I128" s="23"/>
      <c r="J128" s="23"/>
      <c r="K128" s="24"/>
      <c r="L128" s="24"/>
      <c r="M128" s="24"/>
      <c r="P128" s="42">
        <f t="shared" si="1"/>
        <v>1</v>
      </c>
    </row>
    <row r="129" spans="1:17" x14ac:dyDescent="0.25">
      <c r="A129" s="61"/>
      <c r="B129" s="18" t="s">
        <v>102</v>
      </c>
      <c r="C129" s="43" t="s">
        <v>116</v>
      </c>
      <c r="D129" s="76">
        <f>COUNTIFS('TOTAL SUSPEK'!$F:$F,"Kalikondang")</f>
        <v>0</v>
      </c>
      <c r="E129" s="22"/>
      <c r="F129" s="23"/>
      <c r="G129" s="23"/>
      <c r="H129" s="23"/>
      <c r="I129" s="23"/>
      <c r="J129" s="23"/>
      <c r="K129" s="24"/>
      <c r="L129" s="24"/>
      <c r="M129" s="24"/>
      <c r="P129" s="42">
        <f t="shared" si="1"/>
        <v>0</v>
      </c>
    </row>
    <row r="130" spans="1:17" x14ac:dyDescent="0.25">
      <c r="A130" s="61"/>
      <c r="B130" s="18" t="s">
        <v>102</v>
      </c>
      <c r="C130" s="43" t="s">
        <v>117</v>
      </c>
      <c r="D130" s="76">
        <f>COUNTIFS('TOTAL SUSPEK'!$F:$F,"Cabean")</f>
        <v>0</v>
      </c>
      <c r="E130" s="22"/>
      <c r="F130" s="23"/>
      <c r="G130" s="23"/>
      <c r="H130" s="23"/>
      <c r="I130" s="23"/>
      <c r="J130" s="23"/>
      <c r="K130" s="24"/>
      <c r="L130" s="24"/>
      <c r="M130" s="24"/>
      <c r="P130" s="42">
        <f t="shared" si="1"/>
        <v>0</v>
      </c>
    </row>
    <row r="131" spans="1:17" x14ac:dyDescent="0.25">
      <c r="A131" s="61"/>
      <c r="B131" s="18" t="s">
        <v>102</v>
      </c>
      <c r="C131" s="43" t="s">
        <v>118</v>
      </c>
      <c r="D131" s="76">
        <f>COUNTIFS('TOTAL SUSPEK'!$F:$F,"Tempuran")</f>
        <v>0</v>
      </c>
      <c r="E131" s="22"/>
      <c r="F131" s="23"/>
      <c r="G131" s="23"/>
      <c r="H131" s="23"/>
      <c r="I131" s="23"/>
      <c r="J131" s="23"/>
      <c r="K131" s="24"/>
      <c r="L131" s="24"/>
      <c r="M131" s="24"/>
      <c r="P131" s="42">
        <f t="shared" si="1"/>
        <v>0</v>
      </c>
    </row>
    <row r="132" spans="1:17" x14ac:dyDescent="0.25">
      <c r="A132" s="61"/>
      <c r="B132" s="18" t="s">
        <v>102</v>
      </c>
      <c r="C132" s="43" t="s">
        <v>119</v>
      </c>
      <c r="D132" s="76">
        <f>COUNTIFS('TOTAL SUSPEK'!$F:$F,"Donorojo")</f>
        <v>0</v>
      </c>
      <c r="E132" s="22"/>
      <c r="F132" s="23"/>
      <c r="G132" s="23"/>
      <c r="H132" s="23"/>
      <c r="I132" s="23"/>
      <c r="J132" s="23"/>
      <c r="K132" s="24"/>
      <c r="L132" s="24"/>
      <c r="M132" s="24"/>
      <c r="P132" s="42">
        <f t="shared" si="1"/>
        <v>0</v>
      </c>
    </row>
    <row r="133" spans="1:17" x14ac:dyDescent="0.25">
      <c r="A133" s="61"/>
      <c r="B133" s="18" t="s">
        <v>102</v>
      </c>
      <c r="C133" s="43" t="s">
        <v>120</v>
      </c>
      <c r="D133" s="76">
        <f>COUNTIFS('TOTAL SUSPEK'!$F:$F,"Mangunjiwan")</f>
        <v>0</v>
      </c>
      <c r="E133" s="22"/>
      <c r="F133" s="23"/>
      <c r="G133" s="23"/>
      <c r="H133" s="23"/>
      <c r="I133" s="23"/>
      <c r="J133" s="23"/>
      <c r="K133" s="24"/>
      <c r="L133" s="24"/>
      <c r="M133" s="24"/>
      <c r="P133" s="42">
        <f t="shared" si="1"/>
        <v>0</v>
      </c>
    </row>
    <row r="134" spans="1:17" x14ac:dyDescent="0.25">
      <c r="A134" s="61">
        <v>8</v>
      </c>
      <c r="B134" s="18" t="s">
        <v>121</v>
      </c>
      <c r="C134" s="43" t="s">
        <v>122</v>
      </c>
      <c r="D134" s="76">
        <f>COUNTIFS('TOTAL SUSPEK'!$F:$F,"Morodemak")</f>
        <v>0</v>
      </c>
      <c r="E134" s="22" t="e">
        <f>SUM(#REF!)</f>
        <v>#REF!</v>
      </c>
      <c r="F134" s="22" t="e">
        <f>SUM(#REF!)</f>
        <v>#REF!</v>
      </c>
      <c r="G134" s="22" t="e">
        <f>SUM(#REF!)</f>
        <v>#REF!</v>
      </c>
      <c r="H134" s="22" t="e">
        <f>SUM(#REF!)</f>
        <v>#REF!</v>
      </c>
      <c r="I134" s="22" t="e">
        <f>SUM(#REF!)</f>
        <v>#REF!</v>
      </c>
      <c r="J134" s="22" t="e">
        <f>SUM(#REF!)</f>
        <v>#REF!</v>
      </c>
      <c r="K134" s="22" t="e">
        <f>SUM(#REF!)</f>
        <v>#REF!</v>
      </c>
      <c r="L134" s="22">
        <f>SUM(D134:D154)</f>
        <v>2</v>
      </c>
      <c r="M134" s="22" t="e">
        <f>SUM(#REF!)</f>
        <v>#REF!</v>
      </c>
      <c r="P134" s="42">
        <f t="shared" si="1"/>
        <v>0</v>
      </c>
      <c r="Q134" s="42">
        <f>SUM(P134:P154)</f>
        <v>2</v>
      </c>
    </row>
    <row r="135" spans="1:17" x14ac:dyDescent="0.25">
      <c r="A135" s="61"/>
      <c r="B135" s="18" t="s">
        <v>121</v>
      </c>
      <c r="C135" s="43" t="s">
        <v>123</v>
      </c>
      <c r="D135" s="76">
        <f>COUNTIFS('TOTAL SUSPEK'!$F:$F,"Purworejo")</f>
        <v>0</v>
      </c>
      <c r="E135" s="22"/>
      <c r="F135" s="23"/>
      <c r="G135" s="23"/>
      <c r="H135" s="23"/>
      <c r="I135" s="23"/>
      <c r="J135" s="23"/>
      <c r="K135" s="24"/>
      <c r="L135" s="24"/>
      <c r="M135" s="24"/>
      <c r="P135" s="42">
        <f t="shared" si="1"/>
        <v>0</v>
      </c>
    </row>
    <row r="136" spans="1:17" x14ac:dyDescent="0.25">
      <c r="A136" s="61"/>
      <c r="B136" s="18" t="s">
        <v>121</v>
      </c>
      <c r="C136" s="43" t="s">
        <v>8</v>
      </c>
      <c r="D136" s="76">
        <f>COUNTIFS('TOTAL SUSPEK'!$F:$F,"Sumberejo",'TOTAL SUSPEK'!$E:$E,"bonang")</f>
        <v>0</v>
      </c>
      <c r="E136" s="22"/>
      <c r="F136" s="23"/>
      <c r="G136" s="23"/>
      <c r="H136" s="23"/>
      <c r="I136" s="23"/>
      <c r="J136" s="23"/>
      <c r="K136" s="24"/>
      <c r="L136" s="24"/>
      <c r="M136" s="24"/>
      <c r="P136" s="42">
        <f t="shared" ref="P136:P199" si="2">SUM(D136:D136)</f>
        <v>0</v>
      </c>
    </row>
    <row r="137" spans="1:17" x14ac:dyDescent="0.25">
      <c r="A137" s="61"/>
      <c r="B137" s="18" t="s">
        <v>121</v>
      </c>
      <c r="C137" s="43" t="s">
        <v>124</v>
      </c>
      <c r="D137" s="76">
        <f>COUNTIFS('TOTAL SUSPEK'!$F:$F,"Gebangarum")</f>
        <v>1</v>
      </c>
      <c r="E137" s="22"/>
      <c r="F137" s="23"/>
      <c r="G137" s="23"/>
      <c r="H137" s="23"/>
      <c r="I137" s="23"/>
      <c r="J137" s="23"/>
      <c r="K137" s="24"/>
      <c r="L137" s="24"/>
      <c r="M137" s="24"/>
      <c r="P137" s="42">
        <f t="shared" si="2"/>
        <v>1</v>
      </c>
    </row>
    <row r="138" spans="1:17" x14ac:dyDescent="0.25">
      <c r="A138" s="61"/>
      <c r="B138" s="18" t="s">
        <v>121</v>
      </c>
      <c r="C138" s="43" t="s">
        <v>125</v>
      </c>
      <c r="D138" s="76">
        <f>COUNTIFS('TOTAL SUSPEK'!$F:$F,"Gebang")</f>
        <v>0</v>
      </c>
      <c r="E138" s="22"/>
      <c r="F138" s="23"/>
      <c r="G138" s="23"/>
      <c r="H138" s="23"/>
      <c r="I138" s="23"/>
      <c r="J138" s="23"/>
      <c r="K138" s="24"/>
      <c r="L138" s="24"/>
      <c r="M138" s="24"/>
      <c r="P138" s="42">
        <f t="shared" si="2"/>
        <v>0</v>
      </c>
    </row>
    <row r="139" spans="1:17" x14ac:dyDescent="0.25">
      <c r="A139" s="61"/>
      <c r="B139" s="18" t="s">
        <v>121</v>
      </c>
      <c r="C139" s="43" t="s">
        <v>126</v>
      </c>
      <c r="D139" s="76">
        <f>COUNTIFS('TOTAL SUSPEK'!$F:$F,"Kembangan")</f>
        <v>0</v>
      </c>
      <c r="E139" s="22"/>
      <c r="F139" s="23"/>
      <c r="G139" s="23"/>
      <c r="H139" s="23"/>
      <c r="I139" s="23"/>
      <c r="J139" s="23"/>
      <c r="K139" s="24"/>
      <c r="L139" s="24"/>
      <c r="M139" s="24"/>
      <c r="P139" s="42">
        <f t="shared" si="2"/>
        <v>0</v>
      </c>
    </row>
    <row r="140" spans="1:17" x14ac:dyDescent="0.25">
      <c r="A140" s="61"/>
      <c r="B140" s="18" t="s">
        <v>121</v>
      </c>
      <c r="C140" s="43" t="s">
        <v>53</v>
      </c>
      <c r="D140" s="76">
        <f>COUNTIFS('TOTAL SUSPEK'!$F:$F,"Karangrejo",'TOTAL SUSPEK'!$E:$E,"bonang")</f>
        <v>0</v>
      </c>
      <c r="E140" s="22"/>
      <c r="F140" s="23"/>
      <c r="G140" s="23"/>
      <c r="H140" s="23"/>
      <c r="I140" s="23"/>
      <c r="J140" s="23"/>
      <c r="K140" s="24"/>
      <c r="L140" s="24"/>
      <c r="M140" s="24"/>
      <c r="P140" s="42">
        <f t="shared" si="2"/>
        <v>0</v>
      </c>
    </row>
    <row r="141" spans="1:17" x14ac:dyDescent="0.25">
      <c r="A141" s="61"/>
      <c r="B141" s="18" t="s">
        <v>121</v>
      </c>
      <c r="C141" s="43" t="s">
        <v>127</v>
      </c>
      <c r="D141" s="76">
        <f>COUNTIFS('TOTAL SUSPEK'!$F:$F,"Sukodono")</f>
        <v>0</v>
      </c>
      <c r="E141" s="22"/>
      <c r="F141" s="23"/>
      <c r="G141" s="23"/>
      <c r="H141" s="23"/>
      <c r="I141" s="23"/>
      <c r="J141" s="23"/>
      <c r="K141" s="24"/>
      <c r="L141" s="24"/>
      <c r="M141" s="24"/>
      <c r="P141" s="42">
        <f t="shared" si="2"/>
        <v>0</v>
      </c>
    </row>
    <row r="142" spans="1:17" x14ac:dyDescent="0.25">
      <c r="A142" s="61"/>
      <c r="B142" s="18" t="s">
        <v>121</v>
      </c>
      <c r="C142" s="43" t="s">
        <v>128</v>
      </c>
      <c r="D142" s="76">
        <f>COUNTIFS('TOTAL SUSPEK'!$F:$F,"Tlogoboyo")</f>
        <v>0</v>
      </c>
      <c r="E142" s="22"/>
      <c r="F142" s="23"/>
      <c r="G142" s="23"/>
      <c r="H142" s="23"/>
      <c r="I142" s="23"/>
      <c r="J142" s="23"/>
      <c r="K142" s="24"/>
      <c r="L142" s="24"/>
      <c r="M142" s="24"/>
      <c r="P142" s="42">
        <f t="shared" si="2"/>
        <v>0</v>
      </c>
    </row>
    <row r="143" spans="1:17" x14ac:dyDescent="0.25">
      <c r="A143" s="61"/>
      <c r="B143" s="18" t="s">
        <v>121</v>
      </c>
      <c r="C143" s="43" t="s">
        <v>129</v>
      </c>
      <c r="D143" s="76">
        <f>COUNTIFS('TOTAL SUSPEK'!$F:$F,"Margolinduk")</f>
        <v>0</v>
      </c>
      <c r="E143" s="22"/>
      <c r="F143" s="23"/>
      <c r="G143" s="23"/>
      <c r="H143" s="23"/>
      <c r="I143" s="23"/>
      <c r="J143" s="23"/>
      <c r="K143" s="24"/>
      <c r="L143" s="24"/>
      <c r="M143" s="24"/>
      <c r="P143" s="42">
        <f t="shared" si="2"/>
        <v>0</v>
      </c>
    </row>
    <row r="144" spans="1:17" x14ac:dyDescent="0.25">
      <c r="A144" s="61"/>
      <c r="B144" s="18" t="s">
        <v>121</v>
      </c>
      <c r="C144" s="43" t="s">
        <v>130</v>
      </c>
      <c r="D144" s="76">
        <f>COUNTIFS('TOTAL SUSPEK'!$F:$F,"Tridonorejo")</f>
        <v>0</v>
      </c>
      <c r="E144" s="22"/>
      <c r="F144" s="23"/>
      <c r="G144" s="23"/>
      <c r="H144" s="23"/>
      <c r="I144" s="23"/>
      <c r="J144" s="23"/>
      <c r="K144" s="24"/>
      <c r="L144" s="24"/>
      <c r="M144" s="24"/>
      <c r="P144" s="42">
        <f t="shared" si="2"/>
        <v>0</v>
      </c>
    </row>
    <row r="145" spans="1:17" x14ac:dyDescent="0.25">
      <c r="A145" s="61"/>
      <c r="B145" s="18" t="s">
        <v>121</v>
      </c>
      <c r="C145" s="43" t="s">
        <v>131</v>
      </c>
      <c r="D145" s="76">
        <f>COUNTIFS('TOTAL SUSPEK'!$F:$F,"Wonosari")</f>
        <v>0</v>
      </c>
      <c r="E145" s="22"/>
      <c r="F145" s="23"/>
      <c r="G145" s="23"/>
      <c r="H145" s="23"/>
      <c r="I145" s="23"/>
      <c r="J145" s="23"/>
      <c r="K145" s="24"/>
      <c r="L145" s="24"/>
      <c r="M145" s="24"/>
      <c r="P145" s="42">
        <f t="shared" si="2"/>
        <v>0</v>
      </c>
    </row>
    <row r="146" spans="1:17" x14ac:dyDescent="0.25">
      <c r="A146" s="61"/>
      <c r="B146" s="18" t="s">
        <v>121</v>
      </c>
      <c r="C146" s="43" t="s">
        <v>132</v>
      </c>
      <c r="D146" s="76">
        <f>COUNTIFS('TOTAL SUSPEK'!$F:$F,"Jatirogo")</f>
        <v>0</v>
      </c>
      <c r="E146" s="22"/>
      <c r="F146" s="23"/>
      <c r="G146" s="23"/>
      <c r="H146" s="23"/>
      <c r="I146" s="23"/>
      <c r="J146" s="23"/>
      <c r="K146" s="24"/>
      <c r="L146" s="24"/>
      <c r="M146" s="24"/>
      <c r="P146" s="42">
        <f t="shared" si="2"/>
        <v>0</v>
      </c>
    </row>
    <row r="147" spans="1:17" x14ac:dyDescent="0.25">
      <c r="A147" s="61"/>
      <c r="B147" s="18" t="s">
        <v>121</v>
      </c>
      <c r="C147" s="43" t="s">
        <v>133</v>
      </c>
      <c r="D147" s="76">
        <f>COUNTIFS('TOTAL SUSPEK'!$F:$F,"Poncoharjo")</f>
        <v>1</v>
      </c>
      <c r="E147" s="22"/>
      <c r="F147" s="23"/>
      <c r="G147" s="23"/>
      <c r="H147" s="23"/>
      <c r="I147" s="23"/>
      <c r="J147" s="23"/>
      <c r="K147" s="24"/>
      <c r="L147" s="24"/>
      <c r="M147" s="24"/>
      <c r="P147" s="42">
        <f t="shared" si="2"/>
        <v>1</v>
      </c>
    </row>
    <row r="148" spans="1:17" x14ac:dyDescent="0.25">
      <c r="A148" s="61"/>
      <c r="B148" s="18" t="s">
        <v>121</v>
      </c>
      <c r="C148" s="43" t="s">
        <v>134</v>
      </c>
      <c r="D148" s="76">
        <f>COUNTIFS('TOTAL SUSPEK'!$F:$F,"Jali")</f>
        <v>0</v>
      </c>
      <c r="E148" s="22"/>
      <c r="F148" s="23"/>
      <c r="G148" s="23"/>
      <c r="H148" s="23"/>
      <c r="I148" s="23"/>
      <c r="J148" s="23"/>
      <c r="K148" s="24"/>
      <c r="L148" s="24"/>
      <c r="M148" s="24"/>
      <c r="P148" s="42">
        <f t="shared" si="2"/>
        <v>0</v>
      </c>
    </row>
    <row r="149" spans="1:17" x14ac:dyDescent="0.25">
      <c r="A149" s="61"/>
      <c r="B149" s="18" t="s">
        <v>121</v>
      </c>
      <c r="C149" s="43" t="s">
        <v>135</v>
      </c>
      <c r="D149" s="76">
        <f>COUNTIFS('TOTAL SUSPEK'!$F:$F,"Krajanbogo")</f>
        <v>0</v>
      </c>
      <c r="E149" s="22"/>
      <c r="F149" s="23"/>
      <c r="G149" s="23"/>
      <c r="H149" s="23"/>
      <c r="I149" s="23"/>
      <c r="J149" s="23"/>
      <c r="K149" s="24"/>
      <c r="L149" s="24"/>
      <c r="M149" s="24"/>
      <c r="P149" s="42">
        <f t="shared" si="2"/>
        <v>0</v>
      </c>
    </row>
    <row r="150" spans="1:17" x14ac:dyDescent="0.25">
      <c r="A150" s="61"/>
      <c r="B150" s="18" t="s">
        <v>121</v>
      </c>
      <c r="C150" s="43" t="s">
        <v>136</v>
      </c>
      <c r="D150" s="76">
        <f>COUNTIFS('TOTAL SUSPEK'!$F:$F,"Serangan")</f>
        <v>0</v>
      </c>
      <c r="E150" s="22"/>
      <c r="F150" s="23"/>
      <c r="G150" s="23"/>
      <c r="H150" s="23"/>
      <c r="I150" s="23"/>
      <c r="J150" s="23"/>
      <c r="K150" s="24"/>
      <c r="L150" s="24"/>
      <c r="M150" s="24"/>
      <c r="P150" s="42">
        <f t="shared" si="2"/>
        <v>0</v>
      </c>
    </row>
    <row r="151" spans="1:17" x14ac:dyDescent="0.25">
      <c r="A151" s="61"/>
      <c r="B151" s="18" t="s">
        <v>121</v>
      </c>
      <c r="C151" s="68" t="s">
        <v>137</v>
      </c>
      <c r="D151" s="76">
        <f>COUNTIFS('TOTAL SUSPEK'!$F:$F,"Betahwalang")</f>
        <v>0</v>
      </c>
      <c r="E151" s="22"/>
      <c r="F151" s="23"/>
      <c r="G151" s="23"/>
      <c r="H151" s="23"/>
      <c r="I151" s="23"/>
      <c r="J151" s="23"/>
      <c r="K151" s="24"/>
      <c r="L151" s="24"/>
      <c r="M151" s="24"/>
      <c r="P151" s="42">
        <f t="shared" si="2"/>
        <v>0</v>
      </c>
    </row>
    <row r="152" spans="1:17" x14ac:dyDescent="0.25">
      <c r="A152" s="61"/>
      <c r="B152" s="18" t="s">
        <v>121</v>
      </c>
      <c r="C152" s="43" t="s">
        <v>138</v>
      </c>
      <c r="D152" s="76">
        <f>COUNTIFS('TOTAL SUSPEK'!$F:$F,"Jatimulyo")</f>
        <v>0</v>
      </c>
      <c r="E152" s="22"/>
      <c r="F152" s="23"/>
      <c r="G152" s="23"/>
      <c r="H152" s="23"/>
      <c r="I152" s="23"/>
      <c r="J152" s="23"/>
      <c r="K152" s="24"/>
      <c r="L152" s="24"/>
      <c r="M152" s="24"/>
      <c r="P152" s="42">
        <f t="shared" si="2"/>
        <v>0</v>
      </c>
    </row>
    <row r="153" spans="1:17" x14ac:dyDescent="0.25">
      <c r="A153" s="61"/>
      <c r="B153" s="18" t="s">
        <v>121</v>
      </c>
      <c r="C153" s="43" t="s">
        <v>139</v>
      </c>
      <c r="D153" s="76">
        <f>COUNTIFS('TOTAL SUSPEK'!$F:$F,"Weding")</f>
        <v>0</v>
      </c>
      <c r="E153" s="22"/>
      <c r="F153" s="23"/>
      <c r="G153" s="23"/>
      <c r="H153" s="23"/>
      <c r="I153" s="23"/>
      <c r="J153" s="23"/>
      <c r="K153" s="24"/>
      <c r="L153" s="24"/>
      <c r="M153" s="24"/>
      <c r="P153" s="42">
        <f t="shared" si="2"/>
        <v>0</v>
      </c>
    </row>
    <row r="154" spans="1:17" x14ac:dyDescent="0.25">
      <c r="A154" s="61"/>
      <c r="B154" s="18" t="s">
        <v>121</v>
      </c>
      <c r="C154" s="43" t="s">
        <v>140</v>
      </c>
      <c r="D154" s="76">
        <f>COUNTIFS('TOTAL SUSPEK'!$F:$F,"Bonangrejo")</f>
        <v>0</v>
      </c>
      <c r="E154" s="22"/>
      <c r="F154" s="23"/>
      <c r="G154" s="23"/>
      <c r="H154" s="23"/>
      <c r="I154" s="23"/>
      <c r="J154" s="23"/>
      <c r="K154" s="24"/>
      <c r="L154" s="24"/>
      <c r="M154" s="24"/>
      <c r="P154" s="42">
        <f t="shared" si="2"/>
        <v>0</v>
      </c>
    </row>
    <row r="155" spans="1:17" ht="15" customHeight="1" x14ac:dyDescent="0.25">
      <c r="A155" s="61">
        <v>9</v>
      </c>
      <c r="B155" s="18" t="s">
        <v>141</v>
      </c>
      <c r="C155" s="43" t="s">
        <v>142</v>
      </c>
      <c r="D155" s="76">
        <f>COUNTIFS('TOTAL SUSPEK'!$F:$F,"Temuroso")</f>
        <v>0</v>
      </c>
      <c r="E155" s="22" t="e">
        <f>SUM(#REF!)</f>
        <v>#REF!</v>
      </c>
      <c r="F155" s="22" t="e">
        <f>SUM(#REF!)</f>
        <v>#REF!</v>
      </c>
      <c r="G155" s="22" t="e">
        <f>SUM(#REF!)</f>
        <v>#REF!</v>
      </c>
      <c r="H155" s="22" t="e">
        <f>SUM(#REF!)</f>
        <v>#REF!</v>
      </c>
      <c r="I155" s="22" t="e">
        <f>SUM(#REF!)</f>
        <v>#REF!</v>
      </c>
      <c r="J155" s="22" t="e">
        <f>SUM(#REF!)</f>
        <v>#REF!</v>
      </c>
      <c r="K155" s="22" t="e">
        <f>SUM(#REF!)</f>
        <v>#REF!</v>
      </c>
      <c r="L155" s="22">
        <f>SUM(D155:D174)</f>
        <v>3</v>
      </c>
      <c r="M155" s="22" t="e">
        <f>SUM(#REF!)</f>
        <v>#REF!</v>
      </c>
      <c r="P155" s="42">
        <f t="shared" si="2"/>
        <v>0</v>
      </c>
      <c r="Q155" s="42">
        <f>SUM(P155:P174)</f>
        <v>3</v>
      </c>
    </row>
    <row r="156" spans="1:17" ht="15" customHeight="1" x14ac:dyDescent="0.25">
      <c r="A156" s="61"/>
      <c r="B156" s="18" t="s">
        <v>141</v>
      </c>
      <c r="C156" s="43" t="s">
        <v>143</v>
      </c>
      <c r="D156" s="76">
        <f>COUNTIFS('TOTAL SUSPEK'!$F:$F,"Turitempel")</f>
        <v>0</v>
      </c>
      <c r="E156" s="22"/>
      <c r="F156" s="23"/>
      <c r="G156" s="23"/>
      <c r="H156" s="23"/>
      <c r="I156" s="23"/>
      <c r="J156" s="23"/>
      <c r="K156" s="24"/>
      <c r="L156" s="24"/>
      <c r="M156" s="24"/>
      <c r="P156" s="42">
        <f t="shared" si="2"/>
        <v>0</v>
      </c>
    </row>
    <row r="157" spans="1:17" ht="15" customHeight="1" x14ac:dyDescent="0.25">
      <c r="A157" s="61"/>
      <c r="B157" s="18" t="s">
        <v>141</v>
      </c>
      <c r="C157" s="43" t="s">
        <v>144</v>
      </c>
      <c r="D157" s="76">
        <f>COUNTIFS('TOTAL SUSPEK'!$F:$F,"Tlogoweru")</f>
        <v>0</v>
      </c>
      <c r="E157" s="22"/>
      <c r="F157" s="23"/>
      <c r="G157" s="23"/>
      <c r="H157" s="23"/>
      <c r="I157" s="23"/>
      <c r="J157" s="23"/>
      <c r="K157" s="24"/>
      <c r="L157" s="24"/>
      <c r="M157" s="24"/>
      <c r="P157" s="42">
        <f t="shared" si="2"/>
        <v>0</v>
      </c>
    </row>
    <row r="158" spans="1:17" ht="15" customHeight="1" x14ac:dyDescent="0.25">
      <c r="A158" s="61"/>
      <c r="B158" s="18" t="s">
        <v>141</v>
      </c>
      <c r="C158" s="43" t="s">
        <v>145</v>
      </c>
      <c r="D158" s="76">
        <f>COUNTIFS('TOTAL SUSPEK'!$F:$F,"Trimulyo")</f>
        <v>0</v>
      </c>
      <c r="E158" s="22"/>
      <c r="F158" s="23"/>
      <c r="G158" s="23"/>
      <c r="H158" s="23"/>
      <c r="I158" s="23"/>
      <c r="J158" s="23"/>
      <c r="K158" s="24"/>
      <c r="L158" s="24"/>
      <c r="M158" s="24"/>
      <c r="P158" s="42">
        <f t="shared" si="2"/>
        <v>0</v>
      </c>
    </row>
    <row r="159" spans="1:17" ht="15" customHeight="1" x14ac:dyDescent="0.25">
      <c r="A159" s="61"/>
      <c r="B159" s="18" t="s">
        <v>141</v>
      </c>
      <c r="C159" s="43" t="s">
        <v>146</v>
      </c>
      <c r="D159" s="76">
        <f>COUNTIFS('TOTAL SUSPEK'!$F:$F,"Bakalrejo")</f>
        <v>0</v>
      </c>
      <c r="E159" s="22"/>
      <c r="F159" s="23"/>
      <c r="G159" s="23"/>
      <c r="H159" s="23"/>
      <c r="I159" s="23"/>
      <c r="J159" s="23"/>
      <c r="K159" s="24"/>
      <c r="L159" s="24"/>
      <c r="M159" s="24"/>
      <c r="P159" s="42">
        <f t="shared" si="2"/>
        <v>0</v>
      </c>
    </row>
    <row r="160" spans="1:17" ht="15" customHeight="1" x14ac:dyDescent="0.25">
      <c r="A160" s="61"/>
      <c r="B160" s="18" t="s">
        <v>141</v>
      </c>
      <c r="C160" s="43" t="s">
        <v>50</v>
      </c>
      <c r="D160" s="76">
        <f>COUNTIFS('TOTAL SUSPEK'!$F:$F,"Tlogorejo",'TOTAL SUSPEK'!$E:$E,"guntur")</f>
        <v>0</v>
      </c>
      <c r="E160" s="22"/>
      <c r="F160" s="23"/>
      <c r="G160" s="23"/>
      <c r="H160" s="23"/>
      <c r="I160" s="23"/>
      <c r="J160" s="23"/>
      <c r="K160" s="24"/>
      <c r="L160" s="24"/>
      <c r="M160" s="24"/>
      <c r="P160" s="42">
        <f t="shared" si="2"/>
        <v>0</v>
      </c>
    </row>
    <row r="161" spans="1:17" ht="15" customHeight="1" x14ac:dyDescent="0.25">
      <c r="A161" s="61"/>
      <c r="B161" s="18" t="s">
        <v>141</v>
      </c>
      <c r="C161" s="43" t="s">
        <v>147</v>
      </c>
      <c r="D161" s="76">
        <f>COUNTIFS('TOTAL SUSPEK'!$F:$F,"Bumiharjo")</f>
        <v>1</v>
      </c>
      <c r="E161" s="22"/>
      <c r="F161" s="23"/>
      <c r="G161" s="23"/>
      <c r="H161" s="23"/>
      <c r="I161" s="23"/>
      <c r="J161" s="23"/>
      <c r="K161" s="24"/>
      <c r="L161" s="24"/>
      <c r="M161" s="24"/>
      <c r="P161" s="42">
        <f t="shared" si="2"/>
        <v>1</v>
      </c>
    </row>
    <row r="162" spans="1:17" ht="15" customHeight="1" x14ac:dyDescent="0.25">
      <c r="A162" s="61"/>
      <c r="B162" s="18" t="s">
        <v>141</v>
      </c>
      <c r="C162" s="43" t="s">
        <v>148</v>
      </c>
      <c r="D162" s="76">
        <f>COUNTIFS('TOTAL SUSPEK'!$F:$F,"Sidoharjo")</f>
        <v>0</v>
      </c>
      <c r="E162" s="22"/>
      <c r="F162" s="23"/>
      <c r="G162" s="23"/>
      <c r="H162" s="23"/>
      <c r="I162" s="23"/>
      <c r="J162" s="23"/>
      <c r="K162" s="24"/>
      <c r="L162" s="24"/>
      <c r="M162" s="24"/>
      <c r="P162" s="42">
        <f t="shared" si="2"/>
        <v>0</v>
      </c>
    </row>
    <row r="163" spans="1:17" ht="15" customHeight="1" x14ac:dyDescent="0.25">
      <c r="A163" s="61"/>
      <c r="B163" s="18" t="s">
        <v>141</v>
      </c>
      <c r="C163" s="43" t="s">
        <v>149</v>
      </c>
      <c r="D163" s="76">
        <f>COUNTIFS('TOTAL SUSPEK'!$F:$F,"Bogosari")</f>
        <v>0</v>
      </c>
      <c r="E163" s="22"/>
      <c r="F163" s="23"/>
      <c r="G163" s="23"/>
      <c r="H163" s="23"/>
      <c r="I163" s="23"/>
      <c r="J163" s="23"/>
      <c r="K163" s="24"/>
      <c r="L163" s="24"/>
      <c r="M163" s="24"/>
      <c r="P163" s="42">
        <f t="shared" si="2"/>
        <v>0</v>
      </c>
    </row>
    <row r="164" spans="1:17" ht="15" customHeight="1" x14ac:dyDescent="0.25">
      <c r="A164" s="61"/>
      <c r="B164" s="18" t="s">
        <v>141</v>
      </c>
      <c r="C164" s="43" t="s">
        <v>150</v>
      </c>
      <c r="D164" s="76">
        <f>COUNTIFS('TOTAL SUSPEK'!$F:$F,"Guntur")</f>
        <v>0</v>
      </c>
      <c r="E164" s="22"/>
      <c r="F164" s="23"/>
      <c r="G164" s="23"/>
      <c r="H164" s="23"/>
      <c r="I164" s="23"/>
      <c r="J164" s="23"/>
      <c r="K164" s="24"/>
      <c r="L164" s="24"/>
      <c r="M164" s="24"/>
      <c r="P164" s="42">
        <f t="shared" si="2"/>
        <v>0</v>
      </c>
    </row>
    <row r="165" spans="1:17" ht="15" customHeight="1" x14ac:dyDescent="0.25">
      <c r="A165" s="61"/>
      <c r="B165" s="18" t="s">
        <v>141</v>
      </c>
      <c r="C165" s="43" t="s">
        <v>151</v>
      </c>
      <c r="D165" s="76">
        <f>COUNTIFS('TOTAL SUSPEK'!$F:$F,"Blerong")</f>
        <v>0</v>
      </c>
      <c r="E165" s="22"/>
      <c r="F165" s="23"/>
      <c r="G165" s="23"/>
      <c r="H165" s="23"/>
      <c r="I165" s="23"/>
      <c r="J165" s="23"/>
      <c r="K165" s="24"/>
      <c r="L165" s="24"/>
      <c r="M165" s="24"/>
      <c r="P165" s="42">
        <f t="shared" si="2"/>
        <v>0</v>
      </c>
    </row>
    <row r="166" spans="1:17" ht="15" customHeight="1" x14ac:dyDescent="0.25">
      <c r="A166" s="61"/>
      <c r="B166" s="18" t="s">
        <v>141</v>
      </c>
      <c r="C166" s="43" t="s">
        <v>152</v>
      </c>
      <c r="D166" s="76">
        <f>COUNTIFS('TOTAL SUSPEK'!$F:$F,"Pamongan")</f>
        <v>0</v>
      </c>
      <c r="E166" s="22"/>
      <c r="F166" s="23"/>
      <c r="G166" s="23"/>
      <c r="H166" s="23"/>
      <c r="I166" s="23"/>
      <c r="J166" s="23"/>
      <c r="K166" s="24"/>
      <c r="L166" s="24"/>
      <c r="M166" s="24"/>
      <c r="P166" s="42">
        <f t="shared" si="2"/>
        <v>0</v>
      </c>
    </row>
    <row r="167" spans="1:17" ht="15" customHeight="1" x14ac:dyDescent="0.25">
      <c r="A167" s="61"/>
      <c r="B167" s="18" t="s">
        <v>141</v>
      </c>
      <c r="C167" s="43" t="s">
        <v>153</v>
      </c>
      <c r="D167" s="76">
        <f>COUNTIFS('TOTAL SUSPEK'!$F:$F,"Sukorejo")</f>
        <v>1</v>
      </c>
      <c r="E167" s="22"/>
      <c r="F167" s="23"/>
      <c r="G167" s="23"/>
      <c r="H167" s="23"/>
      <c r="I167" s="23"/>
      <c r="J167" s="23"/>
      <c r="K167" s="24"/>
      <c r="L167" s="24"/>
      <c r="M167" s="24"/>
      <c r="P167" s="42">
        <f t="shared" si="2"/>
        <v>1</v>
      </c>
    </row>
    <row r="168" spans="1:17" ht="15" customHeight="1" x14ac:dyDescent="0.25">
      <c r="A168" s="61"/>
      <c r="B168" s="18" t="s">
        <v>141</v>
      </c>
      <c r="C168" s="43" t="s">
        <v>154</v>
      </c>
      <c r="D168" s="76">
        <f>COUNTIFS('TOTAL SUSPEK'!$F:$F,"Sarirejo")</f>
        <v>0</v>
      </c>
      <c r="E168" s="22"/>
      <c r="F168" s="23"/>
      <c r="G168" s="23"/>
      <c r="H168" s="23"/>
      <c r="I168" s="23"/>
      <c r="J168" s="23"/>
      <c r="K168" s="24"/>
      <c r="L168" s="24"/>
      <c r="M168" s="24"/>
      <c r="P168" s="42">
        <f t="shared" si="2"/>
        <v>0</v>
      </c>
    </row>
    <row r="169" spans="1:17" ht="15" customHeight="1" x14ac:dyDescent="0.25">
      <c r="A169" s="61"/>
      <c r="B169" s="18" t="s">
        <v>141</v>
      </c>
      <c r="C169" s="43" t="s">
        <v>155</v>
      </c>
      <c r="D169" s="76">
        <f>COUNTIFS('TOTAL SUSPEK'!$F:$F,"Sidokumpul")</f>
        <v>0</v>
      </c>
      <c r="E169" s="22"/>
      <c r="F169" s="23"/>
      <c r="G169" s="23"/>
      <c r="H169" s="23"/>
      <c r="I169" s="23"/>
      <c r="J169" s="23"/>
      <c r="K169" s="24"/>
      <c r="L169" s="24"/>
      <c r="M169" s="24"/>
      <c r="P169" s="42">
        <f t="shared" si="2"/>
        <v>0</v>
      </c>
    </row>
    <row r="170" spans="1:17" ht="15" customHeight="1" x14ac:dyDescent="0.25">
      <c r="A170" s="61"/>
      <c r="B170" s="18" t="s">
        <v>141</v>
      </c>
      <c r="C170" s="43" t="s">
        <v>156</v>
      </c>
      <c r="D170" s="76">
        <f>COUNTIFS('TOTAL SUSPEK'!$F:$F,"Gaji")</f>
        <v>0</v>
      </c>
      <c r="E170" s="22"/>
      <c r="F170" s="23"/>
      <c r="G170" s="23"/>
      <c r="H170" s="23"/>
      <c r="I170" s="23"/>
      <c r="J170" s="23"/>
      <c r="K170" s="24"/>
      <c r="L170" s="24"/>
      <c r="M170" s="24"/>
      <c r="P170" s="42">
        <f t="shared" si="2"/>
        <v>0</v>
      </c>
    </row>
    <row r="171" spans="1:17" ht="15" customHeight="1" x14ac:dyDescent="0.25">
      <c r="A171" s="61"/>
      <c r="B171" s="18" t="s">
        <v>141</v>
      </c>
      <c r="C171" s="43" t="s">
        <v>157</v>
      </c>
      <c r="D171" s="76">
        <f>COUNTIFS('TOTAL SUSPEK'!$F:$F,"Banjarejo")</f>
        <v>0</v>
      </c>
      <c r="E171" s="22"/>
      <c r="F171" s="23"/>
      <c r="G171" s="23"/>
      <c r="H171" s="23"/>
      <c r="I171" s="23"/>
      <c r="J171" s="23"/>
      <c r="K171" s="24"/>
      <c r="L171" s="24"/>
      <c r="M171" s="24"/>
      <c r="P171" s="42">
        <f t="shared" si="2"/>
        <v>0</v>
      </c>
    </row>
    <row r="172" spans="1:17" ht="15" customHeight="1" x14ac:dyDescent="0.25">
      <c r="A172" s="61"/>
      <c r="B172" s="18" t="s">
        <v>141</v>
      </c>
      <c r="C172" s="43" t="s">
        <v>158</v>
      </c>
      <c r="D172" s="76">
        <f>COUNTIFS('TOTAL SUSPEK'!$F:$F,"Krandon")</f>
        <v>1</v>
      </c>
      <c r="E172" s="22"/>
      <c r="F172" s="23"/>
      <c r="G172" s="23"/>
      <c r="H172" s="23"/>
      <c r="I172" s="23"/>
      <c r="J172" s="23"/>
      <c r="K172" s="24"/>
      <c r="L172" s="24"/>
      <c r="M172" s="24"/>
      <c r="P172" s="42">
        <f t="shared" si="2"/>
        <v>1</v>
      </c>
    </row>
    <row r="173" spans="1:17" ht="15" customHeight="1" x14ac:dyDescent="0.25">
      <c r="A173" s="61"/>
      <c r="B173" s="18" t="s">
        <v>141</v>
      </c>
      <c r="C173" s="43" t="s">
        <v>159</v>
      </c>
      <c r="D173" s="76">
        <f>COUNTIFS('TOTAL SUSPEK'!$F:$F,"Tangkis")</f>
        <v>0</v>
      </c>
      <c r="E173" s="22"/>
      <c r="F173" s="23"/>
      <c r="G173" s="23"/>
      <c r="H173" s="23"/>
      <c r="I173" s="23"/>
      <c r="J173" s="23"/>
      <c r="K173" s="24"/>
      <c r="L173" s="24"/>
      <c r="M173" s="24"/>
      <c r="P173" s="42">
        <f t="shared" si="2"/>
        <v>0</v>
      </c>
    </row>
    <row r="174" spans="1:17" ht="15" customHeight="1" x14ac:dyDescent="0.25">
      <c r="A174" s="61"/>
      <c r="B174" s="18" t="s">
        <v>141</v>
      </c>
      <c r="C174" s="43" t="s">
        <v>80</v>
      </c>
      <c r="D174" s="76">
        <f>COUNTIFS('TOTAL SUSPEK'!$F:$F,"Wonorejo",'TOTAL SUSPEK'!$E:$E,"guntur")</f>
        <v>0</v>
      </c>
      <c r="E174" s="22"/>
      <c r="F174" s="23"/>
      <c r="G174" s="23"/>
      <c r="H174" s="23"/>
      <c r="I174" s="23"/>
      <c r="J174" s="23"/>
      <c r="K174" s="24"/>
      <c r="L174" s="24"/>
      <c r="M174" s="24"/>
      <c r="P174" s="42">
        <f t="shared" si="2"/>
        <v>0</v>
      </c>
    </row>
    <row r="175" spans="1:17" ht="15" customHeight="1" x14ac:dyDescent="0.25">
      <c r="A175" s="5">
        <v>10</v>
      </c>
      <c r="B175" s="18" t="s">
        <v>164</v>
      </c>
      <c r="C175" s="43" t="s">
        <v>160</v>
      </c>
      <c r="D175" s="76">
        <f>COUNTIFS('TOTAL SUSPEK'!$F:$F,"Bumirejo")</f>
        <v>0</v>
      </c>
      <c r="E175" s="22" t="e">
        <f>SUM(#REF!)</f>
        <v>#REF!</v>
      </c>
      <c r="F175" s="22" t="e">
        <f>SUM(#REF!)</f>
        <v>#REF!</v>
      </c>
      <c r="G175" s="22" t="e">
        <f>SUM(#REF!)</f>
        <v>#REF!</v>
      </c>
      <c r="H175" s="22" t="e">
        <f>SUM(#REF!)</f>
        <v>#REF!</v>
      </c>
      <c r="I175" s="22" t="e">
        <f>SUM(#REF!)</f>
        <v>#REF!</v>
      </c>
      <c r="J175" s="22" t="e">
        <f>SUM(#REF!)</f>
        <v>#REF!</v>
      </c>
      <c r="K175" s="22" t="e">
        <f>SUM(#REF!)</f>
        <v>#REF!</v>
      </c>
      <c r="L175" s="22">
        <f>SUM(D175:D186)</f>
        <v>2</v>
      </c>
      <c r="M175" s="22" t="e">
        <f>SUM(#REF!)</f>
        <v>#REF!</v>
      </c>
      <c r="P175" s="42">
        <f t="shared" si="2"/>
        <v>0</v>
      </c>
      <c r="Q175" s="42">
        <f>SUM(P175:P186)</f>
        <v>2</v>
      </c>
    </row>
    <row r="176" spans="1:17" ht="15" customHeight="1" x14ac:dyDescent="0.25">
      <c r="A176" s="5"/>
      <c r="B176" s="18" t="s">
        <v>164</v>
      </c>
      <c r="C176" s="43" t="s">
        <v>161</v>
      </c>
      <c r="D176" s="76">
        <f>COUNTIFS('TOTAL SUSPEK'!$F:$F,"Pundenarum")</f>
        <v>0</v>
      </c>
      <c r="E176" s="22"/>
      <c r="F176" s="23"/>
      <c r="G176" s="23"/>
      <c r="H176" s="23"/>
      <c r="I176" s="23"/>
      <c r="J176" s="23"/>
      <c r="K176" s="24"/>
      <c r="L176" s="24"/>
      <c r="M176" s="24"/>
      <c r="P176" s="42">
        <f t="shared" si="2"/>
        <v>0</v>
      </c>
    </row>
    <row r="177" spans="1:17" ht="15" customHeight="1" x14ac:dyDescent="0.25">
      <c r="A177" s="5"/>
      <c r="B177" s="18" t="s">
        <v>164</v>
      </c>
      <c r="C177" s="43" t="s">
        <v>162</v>
      </c>
      <c r="D177" s="76">
        <f>COUNTIFS('TOTAL SUSPEK'!$F:$F,"Kuripan")</f>
        <v>1</v>
      </c>
      <c r="E177" s="22"/>
      <c r="F177" s="23"/>
      <c r="G177" s="23"/>
      <c r="H177" s="23"/>
      <c r="I177" s="23"/>
      <c r="J177" s="23"/>
      <c r="K177" s="24"/>
      <c r="L177" s="24"/>
      <c r="M177" s="24"/>
      <c r="P177" s="42">
        <f t="shared" si="2"/>
        <v>1</v>
      </c>
    </row>
    <row r="178" spans="1:17" ht="15" customHeight="1" x14ac:dyDescent="0.25">
      <c r="A178" s="5"/>
      <c r="B178" s="18" t="s">
        <v>164</v>
      </c>
      <c r="C178" s="43" t="s">
        <v>163</v>
      </c>
      <c r="D178" s="76">
        <f>COUNTIFS('TOTAL SUSPEK'!$F:$F,"Brambang")</f>
        <v>0</v>
      </c>
      <c r="E178" s="22"/>
      <c r="F178" s="23"/>
      <c r="G178" s="23"/>
      <c r="H178" s="23"/>
      <c r="I178" s="23"/>
      <c r="J178" s="23"/>
      <c r="K178" s="24"/>
      <c r="L178" s="24"/>
      <c r="M178" s="24"/>
      <c r="P178" s="42">
        <f t="shared" si="2"/>
        <v>0</v>
      </c>
    </row>
    <row r="179" spans="1:17" ht="15" customHeight="1" x14ac:dyDescent="0.25">
      <c r="A179" s="5"/>
      <c r="B179" s="18" t="s">
        <v>164</v>
      </c>
      <c r="C179" s="43" t="s">
        <v>164</v>
      </c>
      <c r="D179" s="76">
        <f>COUNTIFS('TOTAL SUSPEK'!$F:$F,"Karangawen")</f>
        <v>0</v>
      </c>
      <c r="E179" s="22"/>
      <c r="F179" s="23"/>
      <c r="G179" s="23"/>
      <c r="H179" s="23"/>
      <c r="I179" s="23"/>
      <c r="J179" s="23"/>
      <c r="K179" s="24"/>
      <c r="L179" s="24"/>
      <c r="M179" s="24"/>
      <c r="P179" s="42">
        <f t="shared" si="2"/>
        <v>0</v>
      </c>
    </row>
    <row r="180" spans="1:17" ht="15" customHeight="1" x14ac:dyDescent="0.25">
      <c r="A180" s="5"/>
      <c r="B180" s="18" t="s">
        <v>164</v>
      </c>
      <c r="C180" s="43" t="s">
        <v>165</v>
      </c>
      <c r="D180" s="76">
        <f>COUNTIFS('TOTAL SUSPEK'!$F:$F,"Sidorejo",'TOTAL SUSPEK'!$E:$E,"karangawen")</f>
        <v>0</v>
      </c>
      <c r="E180" s="22"/>
      <c r="F180" s="23"/>
      <c r="G180" s="23"/>
      <c r="H180" s="23"/>
      <c r="I180" s="23"/>
      <c r="J180" s="23"/>
      <c r="K180" s="24"/>
      <c r="L180" s="24"/>
      <c r="M180" s="24"/>
      <c r="P180" s="42">
        <f t="shared" si="2"/>
        <v>0</v>
      </c>
    </row>
    <row r="181" spans="1:17" ht="15" customHeight="1" x14ac:dyDescent="0.25">
      <c r="A181" s="5"/>
      <c r="B181" s="18" t="s">
        <v>164</v>
      </c>
      <c r="C181" s="43" t="s">
        <v>166</v>
      </c>
      <c r="D181" s="76">
        <f>COUNTIFS('TOTAL SUSPEK'!$F:$F,"Wonosekar")</f>
        <v>0</v>
      </c>
      <c r="E181" s="22"/>
      <c r="F181" s="23"/>
      <c r="G181" s="23"/>
      <c r="H181" s="23"/>
      <c r="I181" s="23"/>
      <c r="J181" s="23"/>
      <c r="K181" s="24"/>
      <c r="L181" s="24"/>
      <c r="M181" s="24"/>
      <c r="P181" s="42">
        <f t="shared" si="2"/>
        <v>0</v>
      </c>
    </row>
    <row r="182" spans="1:17" ht="15" customHeight="1" x14ac:dyDescent="0.25">
      <c r="A182" s="5"/>
      <c r="B182" s="18" t="s">
        <v>164</v>
      </c>
      <c r="C182" s="43" t="s">
        <v>50</v>
      </c>
      <c r="D182" s="76">
        <f>COUNTIFS('TOTAL SUSPEK'!$F:$F,"Tlogorejo",'TOTAL SUSPEK'!$E:$E,"Karangawen")</f>
        <v>0</v>
      </c>
      <c r="E182" s="22"/>
      <c r="F182" s="23"/>
      <c r="G182" s="23"/>
      <c r="H182" s="23"/>
      <c r="I182" s="23"/>
      <c r="J182" s="23"/>
      <c r="K182" s="24"/>
      <c r="L182" s="24"/>
      <c r="M182" s="24"/>
      <c r="P182" s="42">
        <f t="shared" si="2"/>
        <v>0</v>
      </c>
    </row>
    <row r="183" spans="1:17" ht="15" customHeight="1" x14ac:dyDescent="0.25">
      <c r="A183" s="5"/>
      <c r="B183" s="18" t="s">
        <v>164</v>
      </c>
      <c r="C183" s="43" t="s">
        <v>26</v>
      </c>
      <c r="D183" s="76">
        <f>COUNTIFS('TOTAL SUSPEK'!$F:$F,"Rejosari",'TOTAL SUSPEK'!$E:$E,"karangawen")</f>
        <v>1</v>
      </c>
      <c r="E183" s="22"/>
      <c r="F183" s="23"/>
      <c r="G183" s="23"/>
      <c r="H183" s="23"/>
      <c r="I183" s="23"/>
      <c r="J183" s="23"/>
      <c r="K183" s="24"/>
      <c r="L183" s="24"/>
      <c r="M183" s="24"/>
      <c r="P183" s="42">
        <f t="shared" si="2"/>
        <v>1</v>
      </c>
    </row>
    <row r="184" spans="1:17" ht="15" customHeight="1" x14ac:dyDescent="0.25">
      <c r="A184" s="5"/>
      <c r="B184" s="18" t="s">
        <v>164</v>
      </c>
      <c r="C184" s="43" t="s">
        <v>167</v>
      </c>
      <c r="D184" s="76">
        <f>COUNTIFS('TOTAL SUSPEK'!$F:$F,"Teluk")</f>
        <v>0</v>
      </c>
      <c r="E184" s="22"/>
      <c r="F184" s="23"/>
      <c r="G184" s="23"/>
      <c r="H184" s="23"/>
      <c r="I184" s="23"/>
      <c r="J184" s="23"/>
      <c r="K184" s="24"/>
      <c r="L184" s="24"/>
      <c r="M184" s="24"/>
      <c r="P184" s="42">
        <f t="shared" si="2"/>
        <v>0</v>
      </c>
    </row>
    <row r="185" spans="1:17" ht="15" customHeight="1" x14ac:dyDescent="0.25">
      <c r="A185" s="5"/>
      <c r="B185" s="18" t="s">
        <v>164</v>
      </c>
      <c r="C185" s="43" t="s">
        <v>168</v>
      </c>
      <c r="D185" s="76">
        <f>COUNTIFS('TOTAL SUSPEK'!$F:$F,"Margohayu")</f>
        <v>0</v>
      </c>
      <c r="E185" s="22"/>
      <c r="F185" s="23"/>
      <c r="G185" s="23"/>
      <c r="H185" s="23"/>
      <c r="I185" s="23"/>
      <c r="J185" s="23"/>
      <c r="K185" s="24"/>
      <c r="L185" s="24"/>
      <c r="M185" s="24"/>
      <c r="P185" s="42">
        <f t="shared" si="2"/>
        <v>0</v>
      </c>
    </row>
    <row r="186" spans="1:17" ht="15" customHeight="1" x14ac:dyDescent="0.25">
      <c r="A186" s="5"/>
      <c r="B186" s="18" t="s">
        <v>164</v>
      </c>
      <c r="C186" s="43" t="s">
        <v>169</v>
      </c>
      <c r="D186" s="76">
        <f>COUNTIFS('TOTAL SUSPEK'!$F:$F,"Jragung")</f>
        <v>0</v>
      </c>
      <c r="E186" s="22"/>
      <c r="F186" s="23"/>
      <c r="G186" s="23"/>
      <c r="H186" s="23"/>
      <c r="I186" s="23"/>
      <c r="J186" s="23"/>
      <c r="K186" s="24"/>
      <c r="L186" s="24"/>
      <c r="M186" s="24"/>
      <c r="P186" s="42">
        <f t="shared" si="2"/>
        <v>0</v>
      </c>
    </row>
    <row r="187" spans="1:17" x14ac:dyDescent="0.25">
      <c r="A187" s="5">
        <v>11</v>
      </c>
      <c r="B187" s="18" t="s">
        <v>170</v>
      </c>
      <c r="C187" s="43" t="s">
        <v>171</v>
      </c>
      <c r="D187" s="76">
        <f>COUNTIFS('TOTAL SUSPEK'!$F:$F,"Harjowinangun")</f>
        <v>0</v>
      </c>
      <c r="E187" s="22" t="e">
        <f>SUM(#REF!)</f>
        <v>#REF!</v>
      </c>
      <c r="F187" s="22" t="e">
        <f>SUM(#REF!)</f>
        <v>#REF!</v>
      </c>
      <c r="G187" s="22" t="e">
        <f>SUM(#REF!)</f>
        <v>#REF!</v>
      </c>
      <c r="H187" s="22" t="e">
        <f>SUM(#REF!)</f>
        <v>#REF!</v>
      </c>
      <c r="I187" s="22" t="e">
        <f>SUM(#REF!)</f>
        <v>#REF!</v>
      </c>
      <c r="J187" s="22" t="e">
        <f>SUM(#REF!)</f>
        <v>#REF!</v>
      </c>
      <c r="K187" s="22" t="e">
        <f>SUM(#REF!)</f>
        <v>#REF!</v>
      </c>
      <c r="L187" s="22">
        <f>SUM(D187:D202)</f>
        <v>1</v>
      </c>
      <c r="M187" s="22" t="e">
        <f>SUM(#REF!)</f>
        <v>#REF!</v>
      </c>
      <c r="P187" s="42">
        <f t="shared" si="2"/>
        <v>0</v>
      </c>
      <c r="Q187" s="42">
        <f>SUM(P187:P202)</f>
        <v>1</v>
      </c>
    </row>
    <row r="188" spans="1:17" x14ac:dyDescent="0.25">
      <c r="A188" s="5"/>
      <c r="B188" s="18" t="s">
        <v>170</v>
      </c>
      <c r="C188" s="43" t="s">
        <v>170</v>
      </c>
      <c r="D188" s="76">
        <f>COUNTIFS('TOTAL SUSPEK'!$F:$F,"Dempet")</f>
        <v>0</v>
      </c>
      <c r="E188" s="22"/>
      <c r="F188" s="23"/>
      <c r="G188" s="23"/>
      <c r="H188" s="23"/>
      <c r="I188" s="23"/>
      <c r="J188" s="23"/>
      <c r="K188" s="24"/>
      <c r="L188" s="24"/>
      <c r="M188" s="24"/>
      <c r="P188" s="42">
        <f t="shared" si="2"/>
        <v>0</v>
      </c>
    </row>
    <row r="189" spans="1:17" x14ac:dyDescent="0.25">
      <c r="A189" s="5"/>
      <c r="B189" s="18" t="s">
        <v>170</v>
      </c>
      <c r="C189" s="43" t="s">
        <v>172</v>
      </c>
      <c r="D189" s="76">
        <f>COUNTIFS('TOTAL SUSPEK'!$F:$F,"Brakas")</f>
        <v>0</v>
      </c>
      <c r="E189" s="22"/>
      <c r="F189" s="23"/>
      <c r="G189" s="23"/>
      <c r="H189" s="23"/>
      <c r="I189" s="23"/>
      <c r="J189" s="23"/>
      <c r="K189" s="24"/>
      <c r="L189" s="24"/>
      <c r="M189" s="24"/>
      <c r="P189" s="42">
        <f t="shared" si="2"/>
        <v>0</v>
      </c>
    </row>
    <row r="190" spans="1:17" x14ac:dyDescent="0.25">
      <c r="A190" s="5"/>
      <c r="B190" s="18" t="s">
        <v>170</v>
      </c>
      <c r="C190" s="68" t="s">
        <v>44</v>
      </c>
      <c r="D190" s="76">
        <f>COUNTIFS('TOTAL SUSPEK'!$F:$F,"Sidomulyo",'TOTAL SUSPEK'!$E:$E,"dempet")</f>
        <v>0</v>
      </c>
      <c r="E190" s="22"/>
      <c r="F190" s="23"/>
      <c r="G190" s="23"/>
      <c r="H190" s="23"/>
      <c r="I190" s="23"/>
      <c r="J190" s="23"/>
      <c r="K190" s="24"/>
      <c r="L190" s="24"/>
      <c r="M190" s="24"/>
      <c r="P190" s="42">
        <f t="shared" si="2"/>
        <v>0</v>
      </c>
    </row>
    <row r="191" spans="1:17" x14ac:dyDescent="0.25">
      <c r="A191" s="5"/>
      <c r="B191" s="18" t="s">
        <v>170</v>
      </c>
      <c r="C191" s="43" t="s">
        <v>173</v>
      </c>
      <c r="D191" s="76">
        <f>COUNTIFS('TOTAL SUSPEK'!$F:$F,"Gempoldenok")</f>
        <v>0</v>
      </c>
      <c r="E191" s="22"/>
      <c r="F191" s="23"/>
      <c r="G191" s="23"/>
      <c r="H191" s="23"/>
      <c r="I191" s="23"/>
      <c r="J191" s="23"/>
      <c r="K191" s="24"/>
      <c r="L191" s="24"/>
      <c r="M191" s="24"/>
      <c r="P191" s="42">
        <f t="shared" si="2"/>
        <v>0</v>
      </c>
    </row>
    <row r="192" spans="1:17" x14ac:dyDescent="0.25">
      <c r="A192" s="5"/>
      <c r="B192" s="18" t="s">
        <v>170</v>
      </c>
      <c r="C192" s="43" t="s">
        <v>174</v>
      </c>
      <c r="D192" s="76">
        <f>COUNTIFS('TOTAL SUSPEK'!$F:$F,"Botosengon")</f>
        <v>0</v>
      </c>
      <c r="E192" s="22"/>
      <c r="F192" s="23"/>
      <c r="G192" s="23"/>
      <c r="H192" s="23"/>
      <c r="I192" s="23"/>
      <c r="J192" s="23"/>
      <c r="K192" s="24"/>
      <c r="L192" s="24"/>
      <c r="M192" s="24"/>
      <c r="P192" s="42">
        <f t="shared" si="2"/>
        <v>0</v>
      </c>
    </row>
    <row r="193" spans="1:17" x14ac:dyDescent="0.25">
      <c r="A193" s="5"/>
      <c r="B193" s="18" t="s">
        <v>170</v>
      </c>
      <c r="C193" s="43" t="s">
        <v>175</v>
      </c>
      <c r="D193" s="76">
        <f>COUNTIFS('TOTAL SUSPEK'!$F:$F,"Merak")</f>
        <v>0</v>
      </c>
      <c r="E193" s="22"/>
      <c r="F193" s="23"/>
      <c r="G193" s="23"/>
      <c r="H193" s="23"/>
      <c r="I193" s="23"/>
      <c r="J193" s="23"/>
      <c r="K193" s="24"/>
      <c r="L193" s="24"/>
      <c r="M193" s="24"/>
      <c r="P193" s="42">
        <f t="shared" si="2"/>
        <v>0</v>
      </c>
    </row>
    <row r="194" spans="1:17" x14ac:dyDescent="0.25">
      <c r="A194" s="5"/>
      <c r="B194" s="18" t="s">
        <v>170</v>
      </c>
      <c r="C194" s="43" t="s">
        <v>176</v>
      </c>
      <c r="D194" s="76">
        <f>COUNTIFS('TOTAL SUSPEK'!$F:$F,"Kebonsari")</f>
        <v>0</v>
      </c>
      <c r="E194" s="22"/>
      <c r="F194" s="23"/>
      <c r="G194" s="23"/>
      <c r="H194" s="23"/>
      <c r="I194" s="23"/>
      <c r="J194" s="23"/>
      <c r="K194" s="24"/>
      <c r="L194" s="24"/>
      <c r="M194" s="24"/>
      <c r="P194" s="42">
        <f t="shared" si="2"/>
        <v>0</v>
      </c>
    </row>
    <row r="195" spans="1:17" x14ac:dyDescent="0.25">
      <c r="A195" s="5"/>
      <c r="B195" s="18" t="s">
        <v>170</v>
      </c>
      <c r="C195" s="43" t="s">
        <v>177</v>
      </c>
      <c r="D195" s="76">
        <f>COUNTIFS('TOTAL SUSPEK'!$F:$F,"Balerejo")</f>
        <v>1</v>
      </c>
      <c r="E195" s="22"/>
      <c r="F195" s="23"/>
      <c r="G195" s="23"/>
      <c r="H195" s="23"/>
      <c r="I195" s="23"/>
      <c r="J195" s="23"/>
      <c r="K195" s="24"/>
      <c r="L195" s="24"/>
      <c r="M195" s="24"/>
      <c r="P195" s="42">
        <f t="shared" si="2"/>
        <v>1</v>
      </c>
    </row>
    <row r="196" spans="1:17" x14ac:dyDescent="0.25">
      <c r="A196" s="5"/>
      <c r="B196" s="18" t="s">
        <v>170</v>
      </c>
      <c r="C196" s="43" t="s">
        <v>53</v>
      </c>
      <c r="D196" s="76">
        <f>COUNTIFS('TOTAL SUSPEK'!$F:$F,"Karangrejo",'TOTAL SUSPEK'!$E:$E,"dempet")</f>
        <v>0</v>
      </c>
      <c r="E196" s="22"/>
      <c r="F196" s="23"/>
      <c r="G196" s="23"/>
      <c r="H196" s="23"/>
      <c r="I196" s="23"/>
      <c r="J196" s="23"/>
      <c r="K196" s="24"/>
      <c r="L196" s="24"/>
      <c r="M196" s="24"/>
      <c r="P196" s="42">
        <f t="shared" si="2"/>
        <v>0</v>
      </c>
    </row>
    <row r="197" spans="1:17" x14ac:dyDescent="0.25">
      <c r="A197" s="5"/>
      <c r="B197" s="18" t="s">
        <v>170</v>
      </c>
      <c r="C197" s="43" t="s">
        <v>178</v>
      </c>
      <c r="D197" s="76">
        <f>COUNTIFS('TOTAL SUSPEK'!$F:$F,"Baleromo")</f>
        <v>0</v>
      </c>
      <c r="E197" s="22"/>
      <c r="F197" s="23"/>
      <c r="G197" s="23"/>
      <c r="H197" s="23"/>
      <c r="I197" s="23"/>
      <c r="J197" s="23"/>
      <c r="K197" s="24"/>
      <c r="L197" s="24"/>
      <c r="M197" s="24"/>
      <c r="P197" s="42">
        <f t="shared" si="2"/>
        <v>0</v>
      </c>
    </row>
    <row r="198" spans="1:17" x14ac:dyDescent="0.25">
      <c r="A198" s="5"/>
      <c r="B198" s="18" t="s">
        <v>170</v>
      </c>
      <c r="C198" s="43" t="s">
        <v>179</v>
      </c>
      <c r="D198" s="76">
        <f>COUNTIFS('TOTAL SUSPEK'!$F:$F,"Jerukgulung")</f>
        <v>0</v>
      </c>
      <c r="E198" s="22"/>
      <c r="F198" s="23"/>
      <c r="G198" s="23"/>
      <c r="H198" s="23"/>
      <c r="I198" s="23"/>
      <c r="J198" s="23"/>
      <c r="K198" s="24"/>
      <c r="L198" s="24"/>
      <c r="M198" s="24"/>
      <c r="P198" s="42">
        <f t="shared" si="2"/>
        <v>0</v>
      </c>
    </row>
    <row r="199" spans="1:17" x14ac:dyDescent="0.25">
      <c r="A199" s="5"/>
      <c r="B199" s="18" t="s">
        <v>170</v>
      </c>
      <c r="C199" s="43" t="s">
        <v>180</v>
      </c>
      <c r="D199" s="76">
        <f>COUNTIFS('TOTAL SUSPEK'!$F:$F,"Kunir")</f>
        <v>0</v>
      </c>
      <c r="E199" s="22"/>
      <c r="F199" s="23"/>
      <c r="G199" s="23"/>
      <c r="H199" s="23"/>
      <c r="I199" s="23"/>
      <c r="J199" s="23"/>
      <c r="K199" s="24"/>
      <c r="L199" s="24"/>
      <c r="M199" s="24"/>
      <c r="P199" s="42">
        <f t="shared" si="2"/>
        <v>0</v>
      </c>
    </row>
    <row r="200" spans="1:17" x14ac:dyDescent="0.25">
      <c r="A200" s="5"/>
      <c r="B200" s="18" t="s">
        <v>170</v>
      </c>
      <c r="C200" s="43" t="s">
        <v>398</v>
      </c>
      <c r="D200" s="76">
        <f>COUNTIFS('TOTAL SUSPEK'!$F:$F,"Kedungori")</f>
        <v>0</v>
      </c>
      <c r="E200" s="22"/>
      <c r="F200" s="23"/>
      <c r="G200" s="23"/>
      <c r="H200" s="23"/>
      <c r="I200" s="23"/>
      <c r="J200" s="23"/>
      <c r="K200" s="24"/>
      <c r="L200" s="24"/>
      <c r="M200" s="24"/>
      <c r="P200" s="42">
        <f t="shared" ref="P200:P257" si="3">SUM(D200:D200)</f>
        <v>0</v>
      </c>
    </row>
    <row r="201" spans="1:17" x14ac:dyDescent="0.25">
      <c r="A201" s="5"/>
      <c r="B201" s="18" t="s">
        <v>170</v>
      </c>
      <c r="C201" s="68" t="s">
        <v>181</v>
      </c>
      <c r="D201" s="76">
        <f>COUNTIFS('TOTAL SUSPEK'!$F:$F,"Kuwu")</f>
        <v>0</v>
      </c>
      <c r="E201" s="22"/>
      <c r="F201" s="23"/>
      <c r="G201" s="23"/>
      <c r="H201" s="23"/>
      <c r="I201" s="23"/>
      <c r="J201" s="23"/>
      <c r="K201" s="24"/>
      <c r="L201" s="24"/>
      <c r="M201" s="24"/>
      <c r="P201" s="42">
        <f t="shared" si="3"/>
        <v>0</v>
      </c>
    </row>
    <row r="202" spans="1:17" x14ac:dyDescent="0.25">
      <c r="A202" s="5"/>
      <c r="B202" s="18" t="s">
        <v>170</v>
      </c>
      <c r="C202" s="43" t="s">
        <v>182</v>
      </c>
      <c r="D202" s="76">
        <f>COUNTIFS('TOTAL SUSPEK'!$F:$F,"Kramat")</f>
        <v>0</v>
      </c>
      <c r="E202" s="22"/>
      <c r="F202" s="23"/>
      <c r="G202" s="23"/>
      <c r="H202" s="23"/>
      <c r="I202" s="23"/>
      <c r="J202" s="23"/>
      <c r="K202" s="24"/>
      <c r="L202" s="24"/>
      <c r="M202" s="24"/>
      <c r="P202" s="42">
        <f t="shared" si="3"/>
        <v>0</v>
      </c>
    </row>
    <row r="203" spans="1:17" ht="15" customHeight="1" x14ac:dyDescent="0.25">
      <c r="A203" s="5">
        <v>12</v>
      </c>
      <c r="B203" s="18" t="s">
        <v>183</v>
      </c>
      <c r="C203" s="43" t="s">
        <v>184</v>
      </c>
      <c r="D203" s="76">
        <f>COUNTIFS('TOTAL SUSPEK'!$F:$F,"Mangunrejo")</f>
        <v>0</v>
      </c>
      <c r="E203" s="22" t="e">
        <f>SUM(#REF!)</f>
        <v>#REF!</v>
      </c>
      <c r="F203" s="22" t="e">
        <f>SUM(#REF!)</f>
        <v>#REF!</v>
      </c>
      <c r="G203" s="22" t="e">
        <f>SUM(#REF!)</f>
        <v>#REF!</v>
      </c>
      <c r="H203" s="22" t="e">
        <f>SUM(#REF!)</f>
        <v>#REF!</v>
      </c>
      <c r="I203" s="22" t="e">
        <f>SUM(#REF!)</f>
        <v>#REF!</v>
      </c>
      <c r="J203" s="22" t="e">
        <f>SUM(#REF!)</f>
        <v>#REF!</v>
      </c>
      <c r="K203" s="22" t="e">
        <f>SUM(#REF!)</f>
        <v>#REF!</v>
      </c>
      <c r="L203" s="22">
        <f>SUM(D203:D216)</f>
        <v>1</v>
      </c>
      <c r="M203" s="22" t="e">
        <f>SUM(#REF!)</f>
        <v>#REF!</v>
      </c>
      <c r="P203" s="42">
        <f t="shared" si="3"/>
        <v>0</v>
      </c>
      <c r="Q203" s="42">
        <f>SUM(P203:P216)</f>
        <v>1</v>
      </c>
    </row>
    <row r="204" spans="1:17" ht="15" customHeight="1" x14ac:dyDescent="0.25">
      <c r="A204" s="5"/>
      <c r="B204" s="18" t="s">
        <v>183</v>
      </c>
      <c r="C204" s="43" t="s">
        <v>185</v>
      </c>
      <c r="D204" s="76">
        <f>COUNTIFS('TOTAL SUSPEK'!$F:$F,"Tlogosih")</f>
        <v>0</v>
      </c>
      <c r="E204" s="22"/>
      <c r="F204" s="23"/>
      <c r="G204" s="23"/>
      <c r="H204" s="23"/>
      <c r="I204" s="23"/>
      <c r="J204" s="23"/>
      <c r="K204" s="24"/>
      <c r="L204" s="24"/>
      <c r="M204" s="24"/>
      <c r="P204" s="42">
        <f t="shared" si="3"/>
        <v>0</v>
      </c>
    </row>
    <row r="205" spans="1:17" ht="15" customHeight="1" x14ac:dyDescent="0.25">
      <c r="A205" s="5"/>
      <c r="B205" s="18" t="s">
        <v>183</v>
      </c>
      <c r="C205" s="43" t="s">
        <v>186</v>
      </c>
      <c r="D205" s="76">
        <f>COUNTIFS('TOTAL SUSPEK'!$F:$F,"Megonten")</f>
        <v>0</v>
      </c>
      <c r="E205" s="22"/>
      <c r="F205" s="23"/>
      <c r="G205" s="23"/>
      <c r="H205" s="23"/>
      <c r="I205" s="23"/>
      <c r="J205" s="23"/>
      <c r="K205" s="24"/>
      <c r="L205" s="24"/>
      <c r="M205" s="24"/>
      <c r="P205" s="42">
        <f t="shared" si="3"/>
        <v>0</v>
      </c>
    </row>
    <row r="206" spans="1:17" ht="15" customHeight="1" x14ac:dyDescent="0.25">
      <c r="A206" s="5"/>
      <c r="B206" s="18" t="s">
        <v>183</v>
      </c>
      <c r="C206" s="43" t="s">
        <v>187</v>
      </c>
      <c r="D206" s="76">
        <f>COUNTIFS('TOTAL SUSPEK'!$F:$F,"Soko kidul")</f>
        <v>0</v>
      </c>
      <c r="E206" s="22"/>
      <c r="F206" s="23"/>
      <c r="G206" s="23"/>
      <c r="H206" s="23"/>
      <c r="I206" s="23"/>
      <c r="J206" s="23"/>
      <c r="K206" s="24"/>
      <c r="L206" s="24"/>
      <c r="M206" s="24"/>
      <c r="P206" s="42">
        <f t="shared" si="3"/>
        <v>0</v>
      </c>
    </row>
    <row r="207" spans="1:17" ht="15" customHeight="1" x14ac:dyDescent="0.25">
      <c r="A207" s="5"/>
      <c r="B207" s="18" t="s">
        <v>183</v>
      </c>
      <c r="C207" s="43" t="s">
        <v>188</v>
      </c>
      <c r="D207" s="76">
        <f>COUNTIFS('TOTAL SUSPEK'!$F:$F,"Pilang wetan")</f>
        <v>0</v>
      </c>
      <c r="E207" s="22"/>
      <c r="F207" s="23"/>
      <c r="G207" s="23"/>
      <c r="H207" s="23"/>
      <c r="I207" s="23"/>
      <c r="J207" s="23"/>
      <c r="K207" s="24"/>
      <c r="L207" s="24"/>
      <c r="M207" s="24"/>
      <c r="P207" s="42">
        <f t="shared" si="3"/>
        <v>0</v>
      </c>
    </row>
    <row r="208" spans="1:17" ht="15" customHeight="1" x14ac:dyDescent="0.25">
      <c r="A208" s="5"/>
      <c r="B208" s="18" t="s">
        <v>183</v>
      </c>
      <c r="C208" s="43" t="s">
        <v>183</v>
      </c>
      <c r="D208" s="76">
        <f>COUNTIFS('TOTAL SUSPEK'!$F:$F,"Kebonagung")</f>
        <v>1</v>
      </c>
      <c r="E208" s="22"/>
      <c r="F208" s="23"/>
      <c r="G208" s="23"/>
      <c r="H208" s="23"/>
      <c r="I208" s="23"/>
      <c r="J208" s="23"/>
      <c r="K208" s="24"/>
      <c r="L208" s="24"/>
      <c r="M208" s="24"/>
      <c r="P208" s="42">
        <f t="shared" si="3"/>
        <v>1</v>
      </c>
    </row>
    <row r="209" spans="1:17" ht="15" customHeight="1" x14ac:dyDescent="0.25">
      <c r="A209" s="5"/>
      <c r="B209" s="18" t="s">
        <v>183</v>
      </c>
      <c r="C209" s="43" t="s">
        <v>88</v>
      </c>
      <c r="D209" s="76">
        <f>COUNTIFS('TOTAL SUSPEK'!$F:$F,"Mijen",'TOTAL SUSPEK'!$E:$E,"kebonagung")</f>
        <v>0</v>
      </c>
      <c r="E209" s="22"/>
      <c r="F209" s="23"/>
      <c r="G209" s="23"/>
      <c r="H209" s="23"/>
      <c r="I209" s="23"/>
      <c r="J209" s="23"/>
      <c r="K209" s="24"/>
      <c r="L209" s="24"/>
      <c r="M209" s="24"/>
      <c r="P209" s="42">
        <f t="shared" si="3"/>
        <v>0</v>
      </c>
    </row>
    <row r="210" spans="1:17" ht="15" customHeight="1" x14ac:dyDescent="0.25">
      <c r="A210" s="5"/>
      <c r="B210" s="18" t="s">
        <v>183</v>
      </c>
      <c r="C210" s="43" t="s">
        <v>189</v>
      </c>
      <c r="D210" s="76">
        <f>COUNTIFS('TOTAL SUSPEK'!$F:$F,"Klampok Lor")</f>
        <v>0</v>
      </c>
      <c r="E210" s="22"/>
      <c r="F210" s="23"/>
      <c r="G210" s="23"/>
      <c r="H210" s="23"/>
      <c r="I210" s="23"/>
      <c r="J210" s="23"/>
      <c r="K210" s="24"/>
      <c r="L210" s="24"/>
      <c r="M210" s="24"/>
      <c r="P210" s="42">
        <f t="shared" si="3"/>
        <v>0</v>
      </c>
    </row>
    <row r="211" spans="1:17" ht="15" customHeight="1" x14ac:dyDescent="0.25">
      <c r="A211" s="5"/>
      <c r="B211" s="18" t="s">
        <v>183</v>
      </c>
      <c r="C211" s="43" t="s">
        <v>190</v>
      </c>
      <c r="D211" s="76">
        <f>COUNTIFS('TOTAL SUSPEK'!$F:$F,"Werdoyo")</f>
        <v>0</v>
      </c>
      <c r="E211" s="22"/>
      <c r="F211" s="23"/>
      <c r="G211" s="23"/>
      <c r="H211" s="23"/>
      <c r="I211" s="23"/>
      <c r="J211" s="23"/>
      <c r="K211" s="24"/>
      <c r="L211" s="24"/>
      <c r="M211" s="24"/>
      <c r="P211" s="42">
        <f t="shared" si="3"/>
        <v>0</v>
      </c>
    </row>
    <row r="212" spans="1:17" ht="15" customHeight="1" x14ac:dyDescent="0.25">
      <c r="A212" s="5"/>
      <c r="B212" s="18" t="s">
        <v>183</v>
      </c>
      <c r="C212" s="43" t="s">
        <v>191</v>
      </c>
      <c r="D212" s="76">
        <f>COUNTIFS('TOTAL SUSPEK'!$F:$F,"Babat")</f>
        <v>0</v>
      </c>
      <c r="E212" s="22"/>
      <c r="F212" s="23"/>
      <c r="G212" s="23"/>
      <c r="H212" s="23"/>
      <c r="I212" s="23"/>
      <c r="J212" s="23"/>
      <c r="K212" s="24"/>
      <c r="L212" s="24"/>
      <c r="M212" s="24"/>
      <c r="P212" s="42">
        <f t="shared" si="3"/>
        <v>0</v>
      </c>
    </row>
    <row r="213" spans="1:17" ht="15" customHeight="1" x14ac:dyDescent="0.25">
      <c r="A213" s="5"/>
      <c r="B213" s="18" t="s">
        <v>183</v>
      </c>
      <c r="C213" s="43" t="s">
        <v>192</v>
      </c>
      <c r="D213" s="76">
        <f>COUNTIFS('TOTAL SUSPEK'!$F:$F,"Prigi")</f>
        <v>0</v>
      </c>
      <c r="E213" s="22"/>
      <c r="F213" s="23"/>
      <c r="G213" s="23"/>
      <c r="H213" s="23"/>
      <c r="I213" s="23"/>
      <c r="J213" s="23"/>
      <c r="K213" s="24"/>
      <c r="L213" s="24"/>
      <c r="M213" s="24"/>
      <c r="P213" s="42">
        <f t="shared" si="3"/>
        <v>0</v>
      </c>
    </row>
    <row r="214" spans="1:17" ht="15" customHeight="1" x14ac:dyDescent="0.25">
      <c r="A214" s="5"/>
      <c r="B214" s="18" t="s">
        <v>183</v>
      </c>
      <c r="C214" s="43" t="s">
        <v>193</v>
      </c>
      <c r="D214" s="76">
        <f>COUNTIFS('TOTAL SUSPEK'!$F:$F,"Sarimulyo")</f>
        <v>0</v>
      </c>
      <c r="E214" s="22"/>
      <c r="F214" s="23"/>
      <c r="G214" s="23"/>
      <c r="H214" s="23"/>
      <c r="I214" s="23"/>
      <c r="J214" s="23"/>
      <c r="K214" s="24"/>
      <c r="L214" s="24"/>
      <c r="M214" s="24"/>
      <c r="P214" s="42">
        <f t="shared" si="3"/>
        <v>0</v>
      </c>
    </row>
    <row r="215" spans="1:17" ht="15" customHeight="1" x14ac:dyDescent="0.25">
      <c r="A215" s="5"/>
      <c r="B215" s="18" t="s">
        <v>183</v>
      </c>
      <c r="C215" s="43" t="s">
        <v>194</v>
      </c>
      <c r="D215" s="76">
        <f>COUNTIFS('TOTAL SUSPEK'!$F:$F,"Solowire")</f>
        <v>0</v>
      </c>
      <c r="E215" s="22"/>
      <c r="F215" s="23"/>
      <c r="G215" s="23"/>
      <c r="H215" s="23"/>
      <c r="I215" s="23"/>
      <c r="J215" s="23"/>
      <c r="K215" s="24"/>
      <c r="L215" s="24"/>
      <c r="M215" s="24"/>
      <c r="P215" s="42">
        <f t="shared" si="3"/>
        <v>0</v>
      </c>
    </row>
    <row r="216" spans="1:17" ht="15" customHeight="1" x14ac:dyDescent="0.25">
      <c r="A216" s="5"/>
      <c r="B216" s="18" t="s">
        <v>183</v>
      </c>
      <c r="C216" s="43" t="s">
        <v>195</v>
      </c>
      <c r="D216" s="76">
        <f>COUNTIFS('TOTAL SUSPEK'!$F:$F,"Mangunan Lor")</f>
        <v>0</v>
      </c>
      <c r="E216" s="22"/>
      <c r="F216" s="23"/>
      <c r="G216" s="23"/>
      <c r="H216" s="23"/>
      <c r="I216" s="23"/>
      <c r="J216" s="23"/>
      <c r="K216" s="24"/>
      <c r="L216" s="24"/>
      <c r="M216" s="24"/>
      <c r="P216" s="42">
        <f t="shared" si="3"/>
        <v>0</v>
      </c>
    </row>
    <row r="217" spans="1:17" x14ac:dyDescent="0.25">
      <c r="A217" s="5">
        <v>13</v>
      </c>
      <c r="B217" s="18" t="s">
        <v>196</v>
      </c>
      <c r="C217" s="43" t="s">
        <v>197</v>
      </c>
      <c r="D217" s="76">
        <f>COUNTIFS('TOTAL SUSPEK'!$F:$F,"Bedono")</f>
        <v>0</v>
      </c>
      <c r="E217" s="22" t="e">
        <f>SUM(#REF!)</f>
        <v>#REF!</v>
      </c>
      <c r="F217" s="22" t="e">
        <f>SUM(#REF!)</f>
        <v>#REF!</v>
      </c>
      <c r="G217" s="22" t="e">
        <f>SUM(#REF!)</f>
        <v>#REF!</v>
      </c>
      <c r="H217" s="22" t="e">
        <f>SUM(#REF!)</f>
        <v>#REF!</v>
      </c>
      <c r="I217" s="22" t="e">
        <f>SUM(#REF!)</f>
        <v>#REF!</v>
      </c>
      <c r="J217" s="22" t="e">
        <f>SUM(#REF!)</f>
        <v>#REF!</v>
      </c>
      <c r="K217" s="22" t="e">
        <f>SUM(#REF!)</f>
        <v>#REF!</v>
      </c>
      <c r="L217" s="22">
        <f>SUM(D217:D236)</f>
        <v>5</v>
      </c>
      <c r="M217" s="22" t="e">
        <f>SUM(#REF!)</f>
        <v>#REF!</v>
      </c>
      <c r="N217" s="41" t="s">
        <v>342</v>
      </c>
      <c r="P217" s="42">
        <f t="shared" si="3"/>
        <v>0</v>
      </c>
      <c r="Q217" s="42">
        <f>SUM(P217:P236)</f>
        <v>5</v>
      </c>
    </row>
    <row r="218" spans="1:17" x14ac:dyDescent="0.25">
      <c r="A218" s="5"/>
      <c r="B218" s="18" t="s">
        <v>196</v>
      </c>
      <c r="C218" s="43" t="s">
        <v>198</v>
      </c>
      <c r="D218" s="76">
        <f>COUNTIFS('TOTAL SUSPEK'!$F:$F,"Gemulak")</f>
        <v>0</v>
      </c>
      <c r="E218" s="22"/>
      <c r="F218" s="23"/>
      <c r="G218" s="23" t="s">
        <v>301</v>
      </c>
      <c r="H218" s="23"/>
      <c r="I218" s="23"/>
      <c r="J218" s="23"/>
      <c r="K218" s="24"/>
      <c r="L218" s="24"/>
      <c r="M218" s="24"/>
      <c r="N218" s="69" t="s">
        <v>343</v>
      </c>
      <c r="P218" s="42">
        <f t="shared" si="3"/>
        <v>0</v>
      </c>
    </row>
    <row r="219" spans="1:17" x14ac:dyDescent="0.25">
      <c r="A219" s="5"/>
      <c r="B219" s="18" t="s">
        <v>196</v>
      </c>
      <c r="C219" s="43" t="s">
        <v>199</v>
      </c>
      <c r="D219" s="76">
        <f>COUNTIFS('TOTAL SUSPEK'!$F:$F,"Sriwulan")</f>
        <v>0</v>
      </c>
      <c r="E219" s="22"/>
      <c r="F219" s="23"/>
      <c r="G219" s="23"/>
      <c r="H219" s="23"/>
      <c r="I219" s="23"/>
      <c r="J219" s="23"/>
      <c r="K219" s="24"/>
      <c r="L219" s="24"/>
      <c r="M219" s="24"/>
      <c r="N219" s="70" t="s">
        <v>338</v>
      </c>
      <c r="P219" s="42">
        <f t="shared" si="3"/>
        <v>0</v>
      </c>
    </row>
    <row r="220" spans="1:17" x14ac:dyDescent="0.25">
      <c r="A220" s="5"/>
      <c r="B220" s="18" t="s">
        <v>196</v>
      </c>
      <c r="C220" s="43" t="s">
        <v>200</v>
      </c>
      <c r="D220" s="76">
        <f>COUNTIFS('TOTAL SUSPEK'!$F:$F,"Tugu")</f>
        <v>0</v>
      </c>
      <c r="E220" s="22"/>
      <c r="F220" s="23"/>
      <c r="G220" s="23"/>
      <c r="H220" s="23"/>
      <c r="I220" s="23"/>
      <c r="J220" s="23"/>
      <c r="K220" s="24"/>
      <c r="L220" s="24"/>
      <c r="M220" s="24"/>
      <c r="N220" s="41" t="s">
        <v>396</v>
      </c>
      <c r="P220" s="42">
        <f t="shared" si="3"/>
        <v>0</v>
      </c>
    </row>
    <row r="221" spans="1:17" x14ac:dyDescent="0.25">
      <c r="A221" s="5"/>
      <c r="B221" s="18" t="s">
        <v>196</v>
      </c>
      <c r="C221" s="43" t="s">
        <v>201</v>
      </c>
      <c r="D221" s="76">
        <f>COUNTIFS('TOTAL SUSPEK'!$F:$F,"Purwosari")</f>
        <v>0</v>
      </c>
      <c r="E221" s="22"/>
      <c r="F221" s="23"/>
      <c r="G221" s="23"/>
      <c r="H221" s="23"/>
      <c r="I221" s="23"/>
      <c r="J221" s="23"/>
      <c r="K221" s="24"/>
      <c r="L221" s="24"/>
      <c r="M221" s="24"/>
      <c r="N221" s="70" t="s">
        <v>340</v>
      </c>
      <c r="P221" s="42">
        <f t="shared" si="3"/>
        <v>0</v>
      </c>
    </row>
    <row r="222" spans="1:17" x14ac:dyDescent="0.25">
      <c r="A222" s="5"/>
      <c r="B222" s="18" t="s">
        <v>196</v>
      </c>
      <c r="C222" s="43" t="s">
        <v>63</v>
      </c>
      <c r="D222" s="76">
        <f>COUNTIFS('TOTAL SUSPEK'!$F:$F,"surodadi",'TOTAL SUSPEK'!$E:$E,"sayung")</f>
        <v>0</v>
      </c>
      <c r="E222" s="22"/>
      <c r="F222" s="23"/>
      <c r="G222" s="23"/>
      <c r="H222" s="23"/>
      <c r="I222" s="23"/>
      <c r="J222" s="23"/>
      <c r="K222" s="24"/>
      <c r="L222" s="24"/>
      <c r="M222" s="24"/>
      <c r="N222" s="34" t="s">
        <v>353</v>
      </c>
      <c r="P222" s="42">
        <f t="shared" si="3"/>
        <v>0</v>
      </c>
    </row>
    <row r="223" spans="1:17" x14ac:dyDescent="0.25">
      <c r="A223" s="5"/>
      <c r="B223" s="18" t="s">
        <v>196</v>
      </c>
      <c r="C223" s="43" t="s">
        <v>165</v>
      </c>
      <c r="D223" s="76">
        <f>COUNTIFS('TOTAL SUSPEK'!$F:$F,"sidorejo",'TOTAL SUSPEK'!$E:$E,"sayung")</f>
        <v>0</v>
      </c>
      <c r="E223" s="22"/>
      <c r="F223" s="23"/>
      <c r="G223" s="23"/>
      <c r="H223" s="23"/>
      <c r="I223" s="23"/>
      <c r="J223" s="23"/>
      <c r="K223" s="24"/>
      <c r="L223" s="24"/>
      <c r="M223" s="24"/>
      <c r="N223" s="34" t="s">
        <v>353</v>
      </c>
      <c r="P223" s="42">
        <f t="shared" si="3"/>
        <v>0</v>
      </c>
    </row>
    <row r="224" spans="1:17" x14ac:dyDescent="0.25">
      <c r="A224" s="5"/>
      <c r="B224" s="18" t="s">
        <v>196</v>
      </c>
      <c r="C224" s="43" t="s">
        <v>202</v>
      </c>
      <c r="D224" s="76">
        <f>COUNTIFS('TOTAL SUSPEK'!$F:$F,"Timbulsloko")</f>
        <v>1</v>
      </c>
      <c r="E224" s="22"/>
      <c r="F224" s="23"/>
      <c r="G224" s="23"/>
      <c r="H224" s="23"/>
      <c r="I224" s="23"/>
      <c r="J224" s="23"/>
      <c r="K224" s="24"/>
      <c r="L224" s="24"/>
      <c r="M224" s="24"/>
      <c r="N224" s="70" t="s">
        <v>340</v>
      </c>
      <c r="P224" s="42">
        <f t="shared" si="3"/>
        <v>1</v>
      </c>
    </row>
    <row r="225" spans="1:17" x14ac:dyDescent="0.25">
      <c r="A225" s="5"/>
      <c r="B225" s="18" t="s">
        <v>196</v>
      </c>
      <c r="C225" s="43" t="s">
        <v>57</v>
      </c>
      <c r="D225" s="76">
        <f>COUNTIFS('TOTAL SUSPEK'!$F:$F,"banjarsari",'TOTAL SUSPEK'!$E:$E,"sayung")</f>
        <v>0</v>
      </c>
      <c r="E225" s="22"/>
      <c r="F225" s="23"/>
      <c r="G225" s="23"/>
      <c r="H225" s="23"/>
      <c r="I225" s="23"/>
      <c r="J225" s="23"/>
      <c r="K225" s="24"/>
      <c r="L225" s="24"/>
      <c r="M225" s="24"/>
      <c r="N225" s="41" t="s">
        <v>371</v>
      </c>
      <c r="P225" s="42">
        <f t="shared" si="3"/>
        <v>0</v>
      </c>
    </row>
    <row r="226" spans="1:17" x14ac:dyDescent="0.25">
      <c r="A226" s="5"/>
      <c r="B226" s="18" t="s">
        <v>196</v>
      </c>
      <c r="C226" s="43" t="s">
        <v>203</v>
      </c>
      <c r="D226" s="76">
        <f>COUNTIFS('TOTAL SUSPEK'!$F:$F,"sidogemah")</f>
        <v>1</v>
      </c>
      <c r="E226" s="22"/>
      <c r="F226" s="23"/>
      <c r="G226" s="23"/>
      <c r="H226" s="23"/>
      <c r="I226" s="23"/>
      <c r="J226" s="23"/>
      <c r="K226" s="24"/>
      <c r="L226" s="24"/>
      <c r="M226" s="24"/>
      <c r="N226" s="70" t="s">
        <v>341</v>
      </c>
      <c r="P226" s="42">
        <f t="shared" si="3"/>
        <v>1</v>
      </c>
    </row>
    <row r="227" spans="1:17" x14ac:dyDescent="0.25">
      <c r="A227" s="5"/>
      <c r="B227" s="18" t="s">
        <v>196</v>
      </c>
      <c r="C227" s="43" t="s">
        <v>204</v>
      </c>
      <c r="D227" s="76">
        <f>COUNTIFS('TOTAL SUSPEK'!$F:$F,"Tambakroto")</f>
        <v>0</v>
      </c>
      <c r="E227" s="22"/>
      <c r="F227" s="23"/>
      <c r="G227" s="23"/>
      <c r="H227" s="23"/>
      <c r="I227" s="23"/>
      <c r="J227" s="23"/>
      <c r="K227" s="24"/>
      <c r="L227" s="24"/>
      <c r="M227" s="24"/>
      <c r="N227" s="70" t="s">
        <v>340</v>
      </c>
      <c r="P227" s="42">
        <f t="shared" si="3"/>
        <v>0</v>
      </c>
    </row>
    <row r="228" spans="1:17" x14ac:dyDescent="0.25">
      <c r="A228" s="5"/>
      <c r="B228" s="18" t="s">
        <v>196</v>
      </c>
      <c r="C228" s="43" t="s">
        <v>205</v>
      </c>
      <c r="D228" s="76">
        <f>COUNTIFS('TOTAL SUSPEK'!$F:$F,"Kalisari")</f>
        <v>0</v>
      </c>
      <c r="E228" s="22"/>
      <c r="F228" s="23"/>
      <c r="G228" s="23"/>
      <c r="H228" s="23"/>
      <c r="I228" s="23"/>
      <c r="J228" s="23"/>
      <c r="K228" s="24"/>
      <c r="L228" s="24"/>
      <c r="M228" s="24"/>
      <c r="P228" s="42">
        <f t="shared" si="3"/>
        <v>0</v>
      </c>
    </row>
    <row r="229" spans="1:17" x14ac:dyDescent="0.25">
      <c r="A229" s="5"/>
      <c r="B229" s="18" t="s">
        <v>196</v>
      </c>
      <c r="C229" s="43" t="s">
        <v>206</v>
      </c>
      <c r="D229" s="76">
        <f>COUNTIFS('TOTAL SUSPEK'!$F:$F,"Dombo")</f>
        <v>0</v>
      </c>
      <c r="E229" s="22"/>
      <c r="F229" s="23"/>
      <c r="G229" s="23"/>
      <c r="H229" s="23"/>
      <c r="I229" s="23"/>
      <c r="J229" s="23"/>
      <c r="K229" s="24"/>
      <c r="L229" s="24"/>
      <c r="M229" s="24"/>
      <c r="P229" s="42">
        <f t="shared" si="3"/>
        <v>0</v>
      </c>
    </row>
    <row r="230" spans="1:17" x14ac:dyDescent="0.25">
      <c r="A230" s="5"/>
      <c r="B230" s="18" t="s">
        <v>196</v>
      </c>
      <c r="C230" s="43" t="s">
        <v>207</v>
      </c>
      <c r="D230" s="76">
        <f>COUNTIFS('TOTAL SUSPEK'!$F:$F,"Bulusari")</f>
        <v>1</v>
      </c>
      <c r="E230" s="22"/>
      <c r="F230" s="23"/>
      <c r="G230" s="23"/>
      <c r="H230" s="23"/>
      <c r="I230" s="23"/>
      <c r="J230" s="23"/>
      <c r="K230" s="24"/>
      <c r="L230" s="24"/>
      <c r="M230" s="24"/>
      <c r="P230" s="42">
        <f t="shared" si="3"/>
        <v>1</v>
      </c>
    </row>
    <row r="231" spans="1:17" x14ac:dyDescent="0.25">
      <c r="A231" s="5"/>
      <c r="B231" s="18" t="s">
        <v>196</v>
      </c>
      <c r="C231" s="43" t="s">
        <v>208</v>
      </c>
      <c r="D231" s="76">
        <f>COUNTIFS('TOTAL SUSPEK'!$F:$F,"Jetaksari")</f>
        <v>0</v>
      </c>
      <c r="E231" s="22"/>
      <c r="F231" s="23"/>
      <c r="G231" s="23"/>
      <c r="H231" s="23"/>
      <c r="I231" s="23"/>
      <c r="J231" s="23"/>
      <c r="K231" s="24"/>
      <c r="L231" s="24"/>
      <c r="M231" s="24"/>
      <c r="P231" s="42">
        <f t="shared" si="3"/>
        <v>0</v>
      </c>
    </row>
    <row r="232" spans="1:17" x14ac:dyDescent="0.25">
      <c r="A232" s="5"/>
      <c r="B232" s="18" t="s">
        <v>196</v>
      </c>
      <c r="C232" s="43" t="s">
        <v>209</v>
      </c>
      <c r="D232" s="76">
        <f>COUNTIFS('TOTAL SUSPEK'!$F:$F,"Karangasem")</f>
        <v>1</v>
      </c>
      <c r="E232" s="22"/>
      <c r="F232" s="23"/>
      <c r="G232" s="23"/>
      <c r="H232" s="23"/>
      <c r="I232" s="23"/>
      <c r="J232" s="23"/>
      <c r="K232" s="24"/>
      <c r="L232" s="24"/>
      <c r="M232" s="24"/>
      <c r="P232" s="42">
        <f t="shared" si="3"/>
        <v>1</v>
      </c>
    </row>
    <row r="233" spans="1:17" x14ac:dyDescent="0.25">
      <c r="A233" s="5"/>
      <c r="B233" s="18" t="s">
        <v>196</v>
      </c>
      <c r="C233" s="43" t="s">
        <v>210</v>
      </c>
      <c r="D233" s="76">
        <f>COUNTIFS('TOTAL SUSPEK'!$F:$F,"Prampelan")</f>
        <v>0</v>
      </c>
      <c r="E233" s="22"/>
      <c r="F233" s="23"/>
      <c r="G233" s="23"/>
      <c r="H233" s="23"/>
      <c r="I233" s="23"/>
      <c r="J233" s="23"/>
      <c r="K233" s="24"/>
      <c r="L233" s="24"/>
      <c r="M233" s="24"/>
      <c r="P233" s="42">
        <f t="shared" si="3"/>
        <v>0</v>
      </c>
    </row>
    <row r="234" spans="1:17" x14ac:dyDescent="0.25">
      <c r="A234" s="5"/>
      <c r="B234" s="18" t="s">
        <v>196</v>
      </c>
      <c r="C234" s="43" t="s">
        <v>211</v>
      </c>
      <c r="D234" s="76">
        <f>COUNTIFS('TOTAL SUSPEK'!$F:$F,"Sayung")</f>
        <v>0</v>
      </c>
      <c r="E234" s="22"/>
      <c r="F234" s="23"/>
      <c r="G234" s="23"/>
      <c r="H234" s="23"/>
      <c r="I234" s="23"/>
      <c r="J234" s="23"/>
      <c r="K234" s="24"/>
      <c r="L234" s="24"/>
      <c r="M234" s="24"/>
      <c r="P234" s="42">
        <f t="shared" si="3"/>
        <v>0</v>
      </c>
    </row>
    <row r="235" spans="1:17" x14ac:dyDescent="0.25">
      <c r="A235" s="5"/>
      <c r="B235" s="18" t="s">
        <v>196</v>
      </c>
      <c r="C235" s="43" t="s">
        <v>212</v>
      </c>
      <c r="D235" s="76">
        <f>COUNTIFS('TOTAL SUSPEK'!$F:$F,"Pilangsari")</f>
        <v>1</v>
      </c>
      <c r="E235" s="22"/>
      <c r="F235" s="23"/>
      <c r="G235" s="23"/>
      <c r="H235" s="23"/>
      <c r="I235" s="23"/>
      <c r="J235" s="23"/>
      <c r="K235" s="24"/>
      <c r="L235" s="24"/>
      <c r="M235" s="24"/>
      <c r="P235" s="42">
        <f t="shared" si="3"/>
        <v>1</v>
      </c>
    </row>
    <row r="236" spans="1:17" x14ac:dyDescent="0.25">
      <c r="A236" s="5"/>
      <c r="B236" s="18" t="s">
        <v>196</v>
      </c>
      <c r="C236" s="43" t="s">
        <v>213</v>
      </c>
      <c r="D236" s="76">
        <f>COUNTIFS('TOTAL SUSPEK'!$F:$F,"loireng")</f>
        <v>0</v>
      </c>
      <c r="E236" s="22"/>
      <c r="F236" s="23"/>
      <c r="G236" s="23"/>
      <c r="H236" s="23"/>
      <c r="I236" s="23"/>
      <c r="J236" s="23"/>
      <c r="K236" s="24"/>
      <c r="L236" s="24"/>
      <c r="M236" s="24"/>
      <c r="P236" s="42">
        <f t="shared" si="3"/>
        <v>0</v>
      </c>
    </row>
    <row r="237" spans="1:17" x14ac:dyDescent="0.25">
      <c r="A237" s="5">
        <v>14</v>
      </c>
      <c r="B237" s="18" t="s">
        <v>214</v>
      </c>
      <c r="C237" s="43" t="s">
        <v>214</v>
      </c>
      <c r="D237" s="76">
        <f>COUNTIFS('TOTAL SUSPEK'!$F:$F,"Wedung")</f>
        <v>1</v>
      </c>
      <c r="E237" s="22" t="e">
        <f>SUM(#REF!)</f>
        <v>#REF!</v>
      </c>
      <c r="F237" s="22" t="e">
        <f>SUM(#REF!)</f>
        <v>#REF!</v>
      </c>
      <c r="G237" s="22" t="e">
        <f>SUM(#REF!)</f>
        <v>#REF!</v>
      </c>
      <c r="H237" s="22" t="e">
        <f>SUM(#REF!)</f>
        <v>#REF!</v>
      </c>
      <c r="I237" s="22" t="e">
        <f>SUM(#REF!)</f>
        <v>#REF!</v>
      </c>
      <c r="J237" s="22" t="e">
        <f>SUM(#REF!)</f>
        <v>#REF!</v>
      </c>
      <c r="K237" s="22" t="e">
        <f>SUM(#REF!)</f>
        <v>#REF!</v>
      </c>
      <c r="L237" s="22">
        <f>SUM(D237:D256)</f>
        <v>5</v>
      </c>
      <c r="M237" s="22" t="e">
        <f>SUM(#REF!)</f>
        <v>#REF!</v>
      </c>
      <c r="P237" s="42">
        <f t="shared" si="3"/>
        <v>1</v>
      </c>
      <c r="Q237" s="42">
        <f>SUM(P237:P256)</f>
        <v>5</v>
      </c>
    </row>
    <row r="238" spans="1:17" x14ac:dyDescent="0.25">
      <c r="A238" s="5"/>
      <c r="B238" s="18" t="s">
        <v>214</v>
      </c>
      <c r="C238" s="43" t="s">
        <v>215</v>
      </c>
      <c r="D238" s="76">
        <f>COUNTIFS('TOTAL SUSPEK'!$F:$F,"Ruwit")</f>
        <v>0</v>
      </c>
      <c r="E238" s="22"/>
      <c r="F238" s="23"/>
      <c r="G238" s="23"/>
      <c r="H238" s="23"/>
      <c r="I238" s="23"/>
      <c r="J238" s="23"/>
      <c r="K238" s="24"/>
      <c r="L238" s="24"/>
      <c r="M238" s="24"/>
      <c r="P238" s="42">
        <f t="shared" si="3"/>
        <v>0</v>
      </c>
    </row>
    <row r="239" spans="1:17" x14ac:dyDescent="0.25">
      <c r="A239" s="5"/>
      <c r="B239" s="18" t="s">
        <v>214</v>
      </c>
      <c r="C239" s="43" t="s">
        <v>216</v>
      </c>
      <c r="D239" s="76">
        <f>COUNTIFS('TOTAL SUSPEK'!$F:$F,"Bungo")</f>
        <v>0</v>
      </c>
      <c r="E239" s="22"/>
      <c r="F239" s="23"/>
      <c r="G239" s="23"/>
      <c r="H239" s="23"/>
      <c r="I239" s="23"/>
      <c r="J239" s="23"/>
      <c r="K239" s="24"/>
      <c r="L239" s="24"/>
      <c r="M239" s="24"/>
      <c r="P239" s="42">
        <f t="shared" si="3"/>
        <v>0</v>
      </c>
    </row>
    <row r="240" spans="1:17" x14ac:dyDescent="0.25">
      <c r="A240" s="5"/>
      <c r="B240" s="18" t="s">
        <v>214</v>
      </c>
      <c r="C240" s="43" t="s">
        <v>217</v>
      </c>
      <c r="D240" s="76">
        <f>COUNTIFS('TOTAL SUSPEK'!$F:$F,"Ngawen")</f>
        <v>1</v>
      </c>
      <c r="E240" s="22"/>
      <c r="F240" s="23"/>
      <c r="G240" s="23"/>
      <c r="H240" s="23"/>
      <c r="I240" s="23"/>
      <c r="J240" s="23"/>
      <c r="K240" s="24"/>
      <c r="L240" s="24"/>
      <c r="M240" s="24"/>
      <c r="P240" s="42">
        <f t="shared" si="3"/>
        <v>1</v>
      </c>
    </row>
    <row r="241" spans="1:16" x14ac:dyDescent="0.25">
      <c r="A241" s="5"/>
      <c r="B241" s="18" t="s">
        <v>214</v>
      </c>
      <c r="C241" s="43" t="s">
        <v>218</v>
      </c>
      <c r="D241" s="76">
        <f>COUNTIFS('TOTAL SUSPEK'!$F:$F,"Kenduren")</f>
        <v>0</v>
      </c>
      <c r="E241" s="22"/>
      <c r="F241" s="23"/>
      <c r="G241" s="23"/>
      <c r="H241" s="23"/>
      <c r="I241" s="23"/>
      <c r="J241" s="23"/>
      <c r="K241" s="24"/>
      <c r="L241" s="24"/>
      <c r="M241" s="24"/>
      <c r="P241" s="42">
        <f t="shared" si="3"/>
        <v>0</v>
      </c>
    </row>
    <row r="242" spans="1:16" x14ac:dyDescent="0.25">
      <c r="A242" s="5"/>
      <c r="B242" s="18" t="s">
        <v>214</v>
      </c>
      <c r="C242" s="43" t="s">
        <v>219</v>
      </c>
      <c r="D242" s="76">
        <f>COUNTIFS('TOTAL SUSPEK'!$F:$F,"Buko")</f>
        <v>0</v>
      </c>
      <c r="E242" s="22"/>
      <c r="F242" s="23"/>
      <c r="G242" s="23"/>
      <c r="H242" s="23"/>
      <c r="I242" s="23"/>
      <c r="J242" s="23"/>
      <c r="K242" s="24"/>
      <c r="L242" s="24"/>
      <c r="M242" s="24"/>
      <c r="P242" s="42">
        <f t="shared" si="3"/>
        <v>0</v>
      </c>
    </row>
    <row r="243" spans="1:16" x14ac:dyDescent="0.25">
      <c r="A243" s="5"/>
      <c r="B243" s="18" t="s">
        <v>214</v>
      </c>
      <c r="C243" s="43" t="s">
        <v>220</v>
      </c>
      <c r="D243" s="76">
        <f>COUNTIFS('TOTAL SUSPEK'!$F:$F,"Mandung")</f>
        <v>0</v>
      </c>
      <c r="E243" s="22"/>
      <c r="F243" s="23"/>
      <c r="G243" s="23"/>
      <c r="H243" s="23"/>
      <c r="I243" s="23"/>
      <c r="J243" s="23"/>
      <c r="K243" s="24"/>
      <c r="L243" s="24"/>
      <c r="M243" s="24"/>
      <c r="P243" s="42">
        <f t="shared" si="3"/>
        <v>0</v>
      </c>
    </row>
    <row r="244" spans="1:16" x14ac:dyDescent="0.25">
      <c r="A244" s="5"/>
      <c r="B244" s="18" t="s">
        <v>214</v>
      </c>
      <c r="C244" s="43" t="s">
        <v>221</v>
      </c>
      <c r="D244" s="76">
        <f>COUNTIFS('TOTAL SUSPEK'!$F:$F,"Berahan Wetan")</f>
        <v>1</v>
      </c>
      <c r="E244" s="22"/>
      <c r="F244" s="23"/>
      <c r="G244" s="23"/>
      <c r="H244" s="23"/>
      <c r="I244" s="23"/>
      <c r="J244" s="23"/>
      <c r="K244" s="24"/>
      <c r="L244" s="24"/>
      <c r="M244" s="24"/>
      <c r="P244" s="42">
        <f t="shared" si="3"/>
        <v>1</v>
      </c>
    </row>
    <row r="245" spans="1:16" x14ac:dyDescent="0.25">
      <c r="A245" s="5"/>
      <c r="B245" s="18" t="s">
        <v>214</v>
      </c>
      <c r="C245" s="43" t="s">
        <v>222</v>
      </c>
      <c r="D245" s="76">
        <f>COUNTIFS('TOTAL SUSPEK'!$F:$F,"Berahan Kulon")</f>
        <v>0</v>
      </c>
      <c r="E245" s="22"/>
      <c r="F245" s="23"/>
      <c r="G245" s="23"/>
      <c r="H245" s="23"/>
      <c r="I245" s="23"/>
      <c r="J245" s="23"/>
      <c r="K245" s="24"/>
      <c r="L245" s="24"/>
      <c r="M245" s="24"/>
      <c r="P245" s="42">
        <f t="shared" si="3"/>
        <v>0</v>
      </c>
    </row>
    <row r="246" spans="1:16" x14ac:dyDescent="0.25">
      <c r="A246" s="5"/>
      <c r="B246" s="18" t="s">
        <v>214</v>
      </c>
      <c r="C246" s="43" t="s">
        <v>223</v>
      </c>
      <c r="D246" s="76">
        <f>COUNTIFS('TOTAL SUSPEK'!$F:$F,"Tempel")</f>
        <v>0</v>
      </c>
      <c r="E246" s="22"/>
      <c r="F246" s="23"/>
      <c r="G246" s="23"/>
      <c r="H246" s="23"/>
      <c r="I246" s="23"/>
      <c r="J246" s="23"/>
      <c r="K246" s="24"/>
      <c r="L246" s="24"/>
      <c r="M246" s="24"/>
      <c r="P246" s="42">
        <f t="shared" si="3"/>
        <v>0</v>
      </c>
    </row>
    <row r="247" spans="1:16" x14ac:dyDescent="0.25">
      <c r="A247" s="5"/>
      <c r="B247" s="18" t="s">
        <v>214</v>
      </c>
      <c r="C247" s="43" t="s">
        <v>279</v>
      </c>
      <c r="D247" s="76">
        <f>COUNTIFS('TOTAL SUSPEK'!$F:$F,"Kedungkarang")</f>
        <v>0</v>
      </c>
      <c r="E247" s="22"/>
      <c r="F247" s="23"/>
      <c r="G247" s="23"/>
      <c r="H247" s="23"/>
      <c r="I247" s="23"/>
      <c r="J247" s="23"/>
      <c r="K247" s="24"/>
      <c r="L247" s="24"/>
      <c r="M247" s="24"/>
      <c r="P247" s="42">
        <f t="shared" si="3"/>
        <v>0</v>
      </c>
    </row>
    <row r="248" spans="1:16" x14ac:dyDescent="0.25">
      <c r="A248" s="5"/>
      <c r="B248" s="18" t="s">
        <v>214</v>
      </c>
      <c r="C248" s="43" t="s">
        <v>278</v>
      </c>
      <c r="D248" s="76">
        <f>COUNTIFS('TOTAL SUSPEK'!$F:$F,"Kedungmutih")</f>
        <v>0</v>
      </c>
      <c r="E248" s="22"/>
      <c r="F248" s="23"/>
      <c r="G248" s="23"/>
      <c r="H248" s="23"/>
      <c r="I248" s="23"/>
      <c r="J248" s="23"/>
      <c r="K248" s="24"/>
      <c r="L248" s="24"/>
      <c r="M248" s="24"/>
      <c r="P248" s="42">
        <f t="shared" si="3"/>
        <v>0</v>
      </c>
    </row>
    <row r="249" spans="1:16" x14ac:dyDescent="0.25">
      <c r="A249" s="5"/>
      <c r="B249" s="18" t="s">
        <v>214</v>
      </c>
      <c r="C249" s="43" t="s">
        <v>224</v>
      </c>
      <c r="D249" s="76">
        <f>COUNTIFS('TOTAL SUSPEK'!$F:$F,"Jungsemi")</f>
        <v>0</v>
      </c>
      <c r="E249" s="22"/>
      <c r="F249" s="23"/>
      <c r="G249" s="23"/>
      <c r="H249" s="23"/>
      <c r="I249" s="23"/>
      <c r="J249" s="23"/>
      <c r="K249" s="24"/>
      <c r="L249" s="24"/>
      <c r="M249" s="24"/>
      <c r="P249" s="42">
        <f t="shared" si="3"/>
        <v>0</v>
      </c>
    </row>
    <row r="250" spans="1:16" x14ac:dyDescent="0.25">
      <c r="A250" s="5"/>
      <c r="B250" s="18" t="s">
        <v>214</v>
      </c>
      <c r="C250" s="43" t="s">
        <v>225</v>
      </c>
      <c r="D250" s="76">
        <f>COUNTIFS('TOTAL SUSPEK'!$F:$F,"Jetak")</f>
        <v>0</v>
      </c>
      <c r="E250" s="22"/>
      <c r="F250" s="23"/>
      <c r="G250" s="23"/>
      <c r="H250" s="23"/>
      <c r="I250" s="23"/>
      <c r="J250" s="23"/>
      <c r="K250" s="24"/>
      <c r="L250" s="24"/>
      <c r="M250" s="24"/>
      <c r="P250" s="42">
        <f t="shared" si="3"/>
        <v>0</v>
      </c>
    </row>
    <row r="251" spans="1:16" x14ac:dyDescent="0.25">
      <c r="A251" s="5"/>
      <c r="B251" s="18" t="s">
        <v>214</v>
      </c>
      <c r="C251" s="43" t="s">
        <v>226</v>
      </c>
      <c r="D251" s="76">
        <f>COUNTIFS('TOTAL SUSPEK'!$F:$F,"Jungpasir")</f>
        <v>0</v>
      </c>
      <c r="E251" s="22"/>
      <c r="F251" s="23"/>
      <c r="G251" s="23"/>
      <c r="H251" s="23"/>
      <c r="I251" s="23"/>
      <c r="J251" s="23"/>
      <c r="K251" s="24"/>
      <c r="L251" s="24"/>
      <c r="M251" s="24"/>
      <c r="P251" s="42">
        <f t="shared" si="3"/>
        <v>0</v>
      </c>
    </row>
    <row r="252" spans="1:16" x14ac:dyDescent="0.25">
      <c r="A252" s="5"/>
      <c r="B252" s="18" t="s">
        <v>214</v>
      </c>
      <c r="C252" s="43" t="s">
        <v>227</v>
      </c>
      <c r="D252" s="76">
        <f>COUNTIFS('TOTAL SUSPEK'!$F:$F,"Mutih kulon")</f>
        <v>0</v>
      </c>
      <c r="E252" s="22"/>
      <c r="F252" s="23"/>
      <c r="G252" s="23"/>
      <c r="H252" s="23"/>
      <c r="I252" s="23"/>
      <c r="J252" s="23"/>
      <c r="K252" s="24"/>
      <c r="L252" s="24"/>
      <c r="M252" s="24"/>
      <c r="P252" s="42">
        <f t="shared" si="3"/>
        <v>0</v>
      </c>
    </row>
    <row r="253" spans="1:16" x14ac:dyDescent="0.25">
      <c r="A253" s="5"/>
      <c r="B253" s="18" t="s">
        <v>214</v>
      </c>
      <c r="C253" s="43" t="s">
        <v>228</v>
      </c>
      <c r="D253" s="76">
        <f>COUNTIFS('TOTAL SUSPEK'!$F:$F,"Mutih Wetan")</f>
        <v>0</v>
      </c>
      <c r="E253" s="22"/>
      <c r="F253" s="23"/>
      <c r="G253" s="23"/>
      <c r="H253" s="23"/>
      <c r="I253" s="23"/>
      <c r="J253" s="23"/>
      <c r="K253" s="24"/>
      <c r="L253" s="24"/>
      <c r="M253" s="24"/>
      <c r="P253" s="42">
        <f t="shared" si="3"/>
        <v>0</v>
      </c>
    </row>
    <row r="254" spans="1:16" x14ac:dyDescent="0.25">
      <c r="A254" s="5"/>
      <c r="B254" s="18" t="s">
        <v>214</v>
      </c>
      <c r="C254" s="43" t="s">
        <v>229</v>
      </c>
      <c r="D254" s="76">
        <f>COUNTIFS('TOTAL SUSPEK'!$F:$F,"Kendalasem")</f>
        <v>1</v>
      </c>
      <c r="E254" s="22"/>
      <c r="F254" s="23"/>
      <c r="G254" s="23"/>
      <c r="H254" s="23"/>
      <c r="I254" s="23"/>
      <c r="J254" s="23"/>
      <c r="K254" s="24"/>
      <c r="L254" s="24"/>
      <c r="M254" s="24"/>
      <c r="P254" s="42">
        <f t="shared" si="3"/>
        <v>1</v>
      </c>
    </row>
    <row r="255" spans="1:16" x14ac:dyDescent="0.25">
      <c r="A255" s="5"/>
      <c r="B255" s="18" t="s">
        <v>214</v>
      </c>
      <c r="C255" s="43" t="s">
        <v>230</v>
      </c>
      <c r="D255" s="76">
        <f>COUNTIFS('TOTAL SUSPEK'!$F:$F,"Babalan")</f>
        <v>0</v>
      </c>
      <c r="E255" s="22"/>
      <c r="F255" s="23"/>
      <c r="G255" s="23"/>
      <c r="H255" s="23"/>
      <c r="I255" s="23"/>
      <c r="J255" s="23"/>
      <c r="K255" s="24"/>
      <c r="L255" s="24"/>
      <c r="M255" s="24"/>
      <c r="P255" s="42">
        <f t="shared" si="3"/>
        <v>0</v>
      </c>
    </row>
    <row r="256" spans="1:16" x14ac:dyDescent="0.25">
      <c r="A256" s="5"/>
      <c r="B256" s="18" t="s">
        <v>214</v>
      </c>
      <c r="C256" s="43" t="s">
        <v>231</v>
      </c>
      <c r="D256" s="76">
        <f>COUNTIFS('TOTAL SUSPEK'!$F:$F,"Tedunan")</f>
        <v>1</v>
      </c>
      <c r="E256" s="22"/>
      <c r="F256" s="23"/>
      <c r="G256" s="23"/>
      <c r="H256" s="23"/>
      <c r="I256" s="23"/>
      <c r="J256" s="23"/>
      <c r="K256" s="24"/>
      <c r="L256" s="24"/>
      <c r="M256" s="24"/>
      <c r="P256" s="42">
        <f t="shared" si="3"/>
        <v>1</v>
      </c>
    </row>
    <row r="257" spans="1:17" x14ac:dyDescent="0.25">
      <c r="A257" s="17"/>
      <c r="B257" s="2" t="s">
        <v>294</v>
      </c>
      <c r="C257" s="60"/>
      <c r="D257" s="16">
        <v>0</v>
      </c>
      <c r="E257" s="27" t="e">
        <f>#REF!</f>
        <v>#REF!</v>
      </c>
      <c r="F257" s="27" t="e">
        <f>#REF!</f>
        <v>#REF!</v>
      </c>
      <c r="G257" s="27" t="e">
        <f>#REF!</f>
        <v>#REF!</v>
      </c>
      <c r="H257" s="27" t="e">
        <f>#REF!</f>
        <v>#REF!</v>
      </c>
      <c r="I257" s="27" t="e">
        <f>#REF!</f>
        <v>#REF!</v>
      </c>
      <c r="J257" s="27" t="e">
        <f>#REF!</f>
        <v>#REF!</v>
      </c>
      <c r="K257" s="27" t="e">
        <f>#REF!</f>
        <v>#REF!</v>
      </c>
      <c r="L257" s="27">
        <f>D257</f>
        <v>0</v>
      </c>
      <c r="M257" s="27" t="e">
        <f>#REF!</f>
        <v>#REF!</v>
      </c>
      <c r="P257" s="42">
        <f t="shared" si="3"/>
        <v>0</v>
      </c>
      <c r="Q257">
        <f>D257</f>
        <v>0</v>
      </c>
    </row>
    <row r="258" spans="1:17" ht="15" customHeight="1" x14ac:dyDescent="0.25">
      <c r="A258" s="94" t="s">
        <v>232</v>
      </c>
      <c r="B258" s="95"/>
      <c r="C258" s="44"/>
      <c r="D258" s="31">
        <f t="shared" ref="D258" si="4">SUM(D8:D257)</f>
        <v>42</v>
      </c>
      <c r="E258" s="25" t="e">
        <f t="shared" ref="E258:M258" si="5">SUM(E8:E257)</f>
        <v>#REF!</v>
      </c>
      <c r="F258" s="25" t="e">
        <f t="shared" si="5"/>
        <v>#REF!</v>
      </c>
      <c r="G258" s="25" t="e">
        <f t="shared" si="5"/>
        <v>#REF!</v>
      </c>
      <c r="H258" s="25" t="e">
        <f t="shared" si="5"/>
        <v>#REF!</v>
      </c>
      <c r="I258" s="25" t="e">
        <f t="shared" si="5"/>
        <v>#REF!</v>
      </c>
      <c r="J258" s="25" t="e">
        <f t="shared" si="5"/>
        <v>#REF!</v>
      </c>
      <c r="K258" s="25" t="e">
        <f t="shared" si="5"/>
        <v>#REF!</v>
      </c>
      <c r="L258" s="25">
        <f t="shared" si="5"/>
        <v>42</v>
      </c>
      <c r="M258" s="25" t="e">
        <f t="shared" si="5"/>
        <v>#REF!</v>
      </c>
      <c r="O258" s="26">
        <f>SUM(O8:O257)</f>
        <v>0</v>
      </c>
      <c r="P258" s="45">
        <f>SUM(P8:P257)</f>
        <v>42</v>
      </c>
      <c r="Q258" s="45">
        <f>SUM(Q8:Q257)</f>
        <v>42</v>
      </c>
    </row>
    <row r="259" spans="1:17" ht="15" customHeight="1" x14ac:dyDescent="0.25">
      <c r="A259" s="10"/>
      <c r="B259" s="3"/>
      <c r="C259" s="13"/>
      <c r="D259" s="13"/>
    </row>
    <row r="260" spans="1:17" ht="15" customHeight="1" x14ac:dyDescent="0.25">
      <c r="A260" s="4"/>
      <c r="B260" s="9"/>
    </row>
    <row r="261" spans="1:17" ht="15" customHeight="1" x14ac:dyDescent="0.25">
      <c r="A261" s="4"/>
    </row>
    <row r="262" spans="1:17" x14ac:dyDescent="0.25">
      <c r="A262" s="4"/>
    </row>
    <row r="263" spans="1:17" x14ac:dyDescent="0.25">
      <c r="A263" s="4"/>
    </row>
    <row r="264" spans="1:17" x14ac:dyDescent="0.25">
      <c r="A264" s="4"/>
    </row>
    <row r="265" spans="1:17" x14ac:dyDescent="0.25">
      <c r="A265" s="4"/>
    </row>
    <row r="266" spans="1:17" x14ac:dyDescent="0.25">
      <c r="A266" s="4"/>
      <c r="D266" s="13"/>
    </row>
    <row r="267" spans="1:17" x14ac:dyDescent="0.25">
      <c r="A267" s="4"/>
    </row>
    <row r="268" spans="1:17" x14ac:dyDescent="0.25">
      <c r="A268" s="4"/>
    </row>
    <row r="269" spans="1:17" x14ac:dyDescent="0.25">
      <c r="A269" s="4"/>
    </row>
    <row r="270" spans="1:17" x14ac:dyDescent="0.25">
      <c r="A270" s="4"/>
    </row>
    <row r="271" spans="1:17" x14ac:dyDescent="0.25">
      <c r="A271" s="4"/>
    </row>
    <row r="272" spans="1:17" x14ac:dyDescent="0.25">
      <c r="A272" s="4"/>
    </row>
    <row r="273" spans="1:1" x14ac:dyDescent="0.25">
      <c r="A273" s="4"/>
    </row>
    <row r="274" spans="1:1" x14ac:dyDescent="0.25">
      <c r="A274" s="4"/>
    </row>
    <row r="275" spans="1:1" x14ac:dyDescent="0.25">
      <c r="A275" s="4"/>
    </row>
    <row r="276" spans="1:1" x14ac:dyDescent="0.25">
      <c r="A276" s="4"/>
    </row>
    <row r="277" spans="1:1" x14ac:dyDescent="0.25">
      <c r="A277" s="4"/>
    </row>
    <row r="278" spans="1:1" x14ac:dyDescent="0.25">
      <c r="A278" s="4"/>
    </row>
    <row r="279" spans="1:1" x14ac:dyDescent="0.25">
      <c r="A279" s="4"/>
    </row>
    <row r="280" spans="1:1" x14ac:dyDescent="0.25">
      <c r="A280" s="4"/>
    </row>
    <row r="281" spans="1:1" x14ac:dyDescent="0.25">
      <c r="A281" s="4"/>
    </row>
    <row r="282" spans="1:1" x14ac:dyDescent="0.25">
      <c r="A282" s="4"/>
    </row>
    <row r="283" spans="1:1" x14ac:dyDescent="0.25">
      <c r="A283" s="4"/>
    </row>
    <row r="284" spans="1:1" x14ac:dyDescent="0.25">
      <c r="A284" s="4"/>
    </row>
    <row r="285" spans="1:1" x14ac:dyDescent="0.25">
      <c r="A285" s="4"/>
    </row>
    <row r="286" spans="1:1" x14ac:dyDescent="0.25">
      <c r="A286" s="4"/>
    </row>
    <row r="287" spans="1:1" x14ac:dyDescent="0.25">
      <c r="A287" s="4"/>
    </row>
    <row r="288" spans="1:1" x14ac:dyDescent="0.25">
      <c r="A288" s="4"/>
    </row>
    <row r="289" spans="1:1" x14ac:dyDescent="0.25">
      <c r="A289" s="4"/>
    </row>
    <row r="290" spans="1:1" x14ac:dyDescent="0.25">
      <c r="A290" s="4"/>
    </row>
    <row r="291" spans="1:1" x14ac:dyDescent="0.25">
      <c r="A291" s="4"/>
    </row>
    <row r="292" spans="1:1" x14ac:dyDescent="0.25">
      <c r="A292" s="4"/>
    </row>
    <row r="293" spans="1:1" x14ac:dyDescent="0.25">
      <c r="A293" s="4"/>
    </row>
    <row r="294" spans="1:1" x14ac:dyDescent="0.25">
      <c r="A294" s="4"/>
    </row>
    <row r="295" spans="1:1" x14ac:dyDescent="0.25">
      <c r="A295" s="4"/>
    </row>
    <row r="296" spans="1:1" x14ac:dyDescent="0.25">
      <c r="A296" s="4"/>
    </row>
    <row r="297" spans="1:1" x14ac:dyDescent="0.25">
      <c r="A297" s="4"/>
    </row>
    <row r="298" spans="1:1" x14ac:dyDescent="0.25">
      <c r="A298" s="4"/>
    </row>
    <row r="299" spans="1:1" x14ac:dyDescent="0.25">
      <c r="A299" s="4"/>
    </row>
    <row r="300" spans="1:1" x14ac:dyDescent="0.25">
      <c r="A300" s="4"/>
    </row>
    <row r="301" spans="1:1" x14ac:dyDescent="0.25">
      <c r="A301" s="4"/>
    </row>
    <row r="302" spans="1:1" x14ac:dyDescent="0.25">
      <c r="A302" s="4"/>
    </row>
    <row r="303" spans="1:1" x14ac:dyDescent="0.25">
      <c r="A303" s="4"/>
    </row>
    <row r="304" spans="1:1" x14ac:dyDescent="0.25">
      <c r="A304" s="4"/>
    </row>
    <row r="305" spans="1:2" x14ac:dyDescent="0.25">
      <c r="A305" s="4"/>
    </row>
    <row r="306" spans="1:2" x14ac:dyDescent="0.25">
      <c r="A306" s="4"/>
    </row>
    <row r="307" spans="1:2" x14ac:dyDescent="0.25">
      <c r="A307" s="4"/>
    </row>
    <row r="308" spans="1:2" x14ac:dyDescent="0.25">
      <c r="A308" s="4"/>
    </row>
    <row r="309" spans="1:2" x14ac:dyDescent="0.25">
      <c r="A309" s="4"/>
    </row>
    <row r="310" spans="1:2" x14ac:dyDescent="0.25">
      <c r="A310" s="4"/>
    </row>
    <row r="311" spans="1:2" x14ac:dyDescent="0.25">
      <c r="A311" s="4"/>
    </row>
    <row r="312" spans="1:2" x14ac:dyDescent="0.25">
      <c r="A312" s="4"/>
    </row>
    <row r="313" spans="1:2" x14ac:dyDescent="0.25">
      <c r="A313" s="4"/>
    </row>
    <row r="314" spans="1:2" x14ac:dyDescent="0.25">
      <c r="A314" s="4"/>
    </row>
    <row r="315" spans="1:2" x14ac:dyDescent="0.25">
      <c r="A315" s="4"/>
    </row>
    <row r="316" spans="1:2" x14ac:dyDescent="0.25">
      <c r="A316" s="4"/>
    </row>
    <row r="317" spans="1:2" x14ac:dyDescent="0.25">
      <c r="A317" s="4"/>
    </row>
    <row r="318" spans="1:2" x14ac:dyDescent="0.25">
      <c r="A318" s="4"/>
      <c r="B318" t="s">
        <v>233</v>
      </c>
    </row>
    <row r="319" spans="1:2" x14ac:dyDescent="0.25">
      <c r="A319" s="4"/>
    </row>
    <row r="320" spans="1:2" x14ac:dyDescent="0.25">
      <c r="A320" s="5" t="s">
        <v>1</v>
      </c>
      <c r="B320" s="6" t="s">
        <v>234</v>
      </c>
    </row>
    <row r="321" spans="1:2" x14ac:dyDescent="0.25">
      <c r="A321" s="7" t="s">
        <v>235</v>
      </c>
      <c r="B321" s="8" t="s">
        <v>236</v>
      </c>
    </row>
    <row r="322" spans="1:2" x14ac:dyDescent="0.25">
      <c r="A322" s="7" t="s">
        <v>237</v>
      </c>
      <c r="B322" s="8" t="s">
        <v>9</v>
      </c>
    </row>
    <row r="323" spans="1:2" x14ac:dyDescent="0.25">
      <c r="A323" s="7" t="s">
        <v>238</v>
      </c>
      <c r="B323" s="8" t="s">
        <v>21</v>
      </c>
    </row>
    <row r="324" spans="1:2" x14ac:dyDescent="0.25">
      <c r="A324" s="7" t="s">
        <v>239</v>
      </c>
      <c r="B324" s="8" t="s">
        <v>240</v>
      </c>
    </row>
    <row r="325" spans="1:2" x14ac:dyDescent="0.25">
      <c r="A325" s="7" t="s">
        <v>241</v>
      </c>
      <c r="B325" s="8" t="s">
        <v>242</v>
      </c>
    </row>
    <row r="326" spans="1:2" x14ac:dyDescent="0.25">
      <c r="A326" s="7" t="s">
        <v>243</v>
      </c>
      <c r="B326" s="8" t="s">
        <v>37</v>
      </c>
    </row>
    <row r="327" spans="1:2" x14ac:dyDescent="0.25">
      <c r="A327" s="7" t="s">
        <v>244</v>
      </c>
      <c r="B327" s="8" t="s">
        <v>41</v>
      </c>
    </row>
    <row r="328" spans="1:2" x14ac:dyDescent="0.25">
      <c r="A328" s="7" t="s">
        <v>245</v>
      </c>
      <c r="B328" s="8" t="s">
        <v>38</v>
      </c>
    </row>
    <row r="329" spans="1:2" x14ac:dyDescent="0.25">
      <c r="A329" s="7" t="s">
        <v>246</v>
      </c>
      <c r="B329" s="8" t="s">
        <v>57</v>
      </c>
    </row>
    <row r="330" spans="1:2" x14ac:dyDescent="0.25">
      <c r="A330" s="7" t="s">
        <v>247</v>
      </c>
      <c r="B330" s="8" t="s">
        <v>66</v>
      </c>
    </row>
    <row r="331" spans="1:2" x14ac:dyDescent="0.25">
      <c r="A331" s="7" t="s">
        <v>248</v>
      </c>
      <c r="B331" s="8" t="s">
        <v>55</v>
      </c>
    </row>
    <row r="332" spans="1:2" x14ac:dyDescent="0.25">
      <c r="A332" s="7" t="s">
        <v>249</v>
      </c>
      <c r="B332" s="8" t="s">
        <v>65</v>
      </c>
    </row>
    <row r="333" spans="1:2" x14ac:dyDescent="0.25">
      <c r="A333" s="7" t="s">
        <v>250</v>
      </c>
      <c r="B333" s="8" t="s">
        <v>77</v>
      </c>
    </row>
    <row r="334" spans="1:2" x14ac:dyDescent="0.25">
      <c r="A334" s="7" t="s">
        <v>251</v>
      </c>
      <c r="B334" s="8" t="s">
        <v>78</v>
      </c>
    </row>
    <row r="335" spans="1:2" x14ac:dyDescent="0.25">
      <c r="A335" s="7" t="s">
        <v>252</v>
      </c>
      <c r="B335" s="8" t="s">
        <v>253</v>
      </c>
    </row>
    <row r="336" spans="1:2" x14ac:dyDescent="0.25">
      <c r="A336" s="7" t="s">
        <v>254</v>
      </c>
      <c r="B336" s="8" t="s">
        <v>73</v>
      </c>
    </row>
    <row r="337" spans="1:2" x14ac:dyDescent="0.25">
      <c r="A337" s="7" t="s">
        <v>255</v>
      </c>
      <c r="B337" s="8" t="s">
        <v>81</v>
      </c>
    </row>
    <row r="338" spans="1:2" x14ac:dyDescent="0.25">
      <c r="A338" s="7" t="s">
        <v>256</v>
      </c>
      <c r="B338" s="8" t="s">
        <v>9</v>
      </c>
    </row>
    <row r="339" spans="1:2" x14ac:dyDescent="0.25">
      <c r="A339" s="7" t="s">
        <v>257</v>
      </c>
      <c r="B339" s="8" t="s">
        <v>108</v>
      </c>
    </row>
    <row r="340" spans="1:2" x14ac:dyDescent="0.25">
      <c r="A340" s="7" t="s">
        <v>258</v>
      </c>
      <c r="B340" s="8" t="s">
        <v>114</v>
      </c>
    </row>
    <row r="341" spans="1:2" x14ac:dyDescent="0.25">
      <c r="A341" s="7" t="s">
        <v>259</v>
      </c>
      <c r="B341" s="8" t="s">
        <v>115</v>
      </c>
    </row>
    <row r="342" spans="1:2" x14ac:dyDescent="0.25">
      <c r="A342" s="7" t="s">
        <v>260</v>
      </c>
      <c r="B342" s="8" t="s">
        <v>116</v>
      </c>
    </row>
    <row r="343" spans="1:2" x14ac:dyDescent="0.25">
      <c r="A343" s="7" t="s">
        <v>261</v>
      </c>
      <c r="B343" s="8" t="s">
        <v>8</v>
      </c>
    </row>
    <row r="344" spans="1:2" x14ac:dyDescent="0.25">
      <c r="A344" s="7" t="s">
        <v>262</v>
      </c>
      <c r="B344" s="8" t="s">
        <v>127</v>
      </c>
    </row>
    <row r="345" spans="1:2" x14ac:dyDescent="0.25">
      <c r="A345" s="7" t="s">
        <v>263</v>
      </c>
      <c r="B345" s="8" t="s">
        <v>142</v>
      </c>
    </row>
    <row r="346" spans="1:2" x14ac:dyDescent="0.25">
      <c r="A346" s="7" t="s">
        <v>264</v>
      </c>
      <c r="B346" s="8" t="s">
        <v>160</v>
      </c>
    </row>
    <row r="347" spans="1:2" x14ac:dyDescent="0.25">
      <c r="A347" s="7" t="s">
        <v>265</v>
      </c>
      <c r="B347" s="8" t="s">
        <v>180</v>
      </c>
    </row>
    <row r="348" spans="1:2" x14ac:dyDescent="0.25">
      <c r="A348" s="7" t="s">
        <v>266</v>
      </c>
      <c r="B348" s="8" t="s">
        <v>198</v>
      </c>
    </row>
    <row r="349" spans="1:2" x14ac:dyDescent="0.25">
      <c r="A349" s="7" t="s">
        <v>267</v>
      </c>
      <c r="B349" s="8" t="s">
        <v>214</v>
      </c>
    </row>
    <row r="350" spans="1:2" x14ac:dyDescent="0.25">
      <c r="A350" s="7" t="s">
        <v>268</v>
      </c>
      <c r="B350" s="8" t="s">
        <v>231</v>
      </c>
    </row>
    <row r="351" spans="1:2" x14ac:dyDescent="0.25">
      <c r="A351" s="7" t="s">
        <v>269</v>
      </c>
      <c r="B351" s="8" t="s">
        <v>224</v>
      </c>
    </row>
    <row r="354" spans="1:2" x14ac:dyDescent="0.25">
      <c r="A354" s="96" t="s">
        <v>270</v>
      </c>
      <c r="B354" s="96"/>
    </row>
    <row r="356" spans="1:2" x14ac:dyDescent="0.25">
      <c r="A356" s="5" t="s">
        <v>1</v>
      </c>
      <c r="B356" s="6" t="s">
        <v>234</v>
      </c>
    </row>
    <row r="357" spans="1:2" x14ac:dyDescent="0.25">
      <c r="A357" s="7" t="s">
        <v>235</v>
      </c>
      <c r="B357" s="8" t="s">
        <v>25</v>
      </c>
    </row>
    <row r="358" spans="1:2" x14ac:dyDescent="0.25">
      <c r="A358" s="7" t="s">
        <v>237</v>
      </c>
      <c r="B358" s="8" t="s">
        <v>30</v>
      </c>
    </row>
    <row r="359" spans="1:2" x14ac:dyDescent="0.25">
      <c r="A359" s="7" t="s">
        <v>238</v>
      </c>
      <c r="B359" s="8" t="s">
        <v>43</v>
      </c>
    </row>
    <row r="360" spans="1:2" x14ac:dyDescent="0.25">
      <c r="A360" s="7" t="s">
        <v>239</v>
      </c>
      <c r="B360" s="8" t="s">
        <v>44</v>
      </c>
    </row>
    <row r="361" spans="1:2" x14ac:dyDescent="0.25">
      <c r="A361" s="7" t="s">
        <v>241</v>
      </c>
      <c r="B361" s="8" t="s">
        <v>86</v>
      </c>
    </row>
    <row r="362" spans="1:2" x14ac:dyDescent="0.25">
      <c r="A362" s="7" t="s">
        <v>243</v>
      </c>
      <c r="B362" s="8" t="s">
        <v>103</v>
      </c>
    </row>
    <row r="363" spans="1:2" x14ac:dyDescent="0.25">
      <c r="A363" s="7" t="s">
        <v>244</v>
      </c>
      <c r="B363" s="8" t="s">
        <v>129</v>
      </c>
    </row>
    <row r="364" spans="1:2" x14ac:dyDescent="0.25">
      <c r="A364" s="7" t="s">
        <v>245</v>
      </c>
      <c r="B364" s="8" t="s">
        <v>271</v>
      </c>
    </row>
    <row r="365" spans="1:2" x14ac:dyDescent="0.25">
      <c r="A365" s="7" t="s">
        <v>246</v>
      </c>
      <c r="B365" s="8" t="s">
        <v>135</v>
      </c>
    </row>
    <row r="366" spans="1:2" x14ac:dyDescent="0.25">
      <c r="A366" s="7" t="s">
        <v>247</v>
      </c>
      <c r="B366" s="8" t="s">
        <v>165</v>
      </c>
    </row>
    <row r="367" spans="1:2" x14ac:dyDescent="0.25">
      <c r="A367" s="7" t="s">
        <v>248</v>
      </c>
      <c r="B367" s="8" t="s">
        <v>171</v>
      </c>
    </row>
    <row r="368" spans="1:2" x14ac:dyDescent="0.25">
      <c r="A368" s="7" t="s">
        <v>249</v>
      </c>
      <c r="B368" s="8" t="s">
        <v>53</v>
      </c>
    </row>
    <row r="369" spans="1:2" x14ac:dyDescent="0.25">
      <c r="A369" s="7" t="s">
        <v>250</v>
      </c>
      <c r="B369" s="8" t="s">
        <v>175</v>
      </c>
    </row>
    <row r="370" spans="1:2" x14ac:dyDescent="0.25">
      <c r="A370" s="7" t="s">
        <v>251</v>
      </c>
      <c r="B370" s="8" t="s">
        <v>57</v>
      </c>
    </row>
    <row r="371" spans="1:2" x14ac:dyDescent="0.25">
      <c r="A371" s="7" t="s">
        <v>252</v>
      </c>
      <c r="B371" s="8" t="s">
        <v>203</v>
      </c>
    </row>
  </sheetData>
  <mergeCells count="16">
    <mergeCell ref="Q5:Q7"/>
    <mergeCell ref="A258:B258"/>
    <mergeCell ref="A354:B354"/>
    <mergeCell ref="J5:J7"/>
    <mergeCell ref="K5:K7"/>
    <mergeCell ref="L5:L7"/>
    <mergeCell ref="E5:E7"/>
    <mergeCell ref="F5:F7"/>
    <mergeCell ref="G5:G7"/>
    <mergeCell ref="H5:H7"/>
    <mergeCell ref="I5:I7"/>
    <mergeCell ref="A5:A7"/>
    <mergeCell ref="B5:B7"/>
    <mergeCell ref="C5:C7"/>
    <mergeCell ref="D5:D7"/>
    <mergeCell ref="M5:M7"/>
  </mergeCells>
  <conditionalFormatting sqref="C1:C1048576">
    <cfRule type="duplicateValues" dxfId="33" priority="1"/>
  </conditionalFormatting>
  <pageMargins left="0.35433070866141736" right="0.19685039370078741" top="0.74803149606299213" bottom="0.74803149606299213" header="0.31496062992125984" footer="0.31496062992125984"/>
  <pageSetup paperSize="5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workbookViewId="0">
      <selection activeCell="B23" sqref="B23"/>
    </sheetView>
  </sheetViews>
  <sheetFormatPr defaultColWidth="9.140625" defaultRowHeight="15" x14ac:dyDescent="0.25"/>
  <cols>
    <col min="1" max="1" width="6.42578125" style="49" customWidth="1"/>
    <col min="2" max="2" width="37.42578125" style="48" customWidth="1"/>
    <col min="3" max="3" width="29.28515625" style="14" customWidth="1"/>
    <col min="4" max="4" width="18.28515625" style="48" customWidth="1"/>
    <col min="5" max="5" width="18.28515625" style="14" customWidth="1"/>
    <col min="6" max="10" width="18.28515625" style="48" customWidth="1"/>
    <col min="11" max="16384" width="9.140625" style="48"/>
  </cols>
  <sheetData>
    <row r="2" spans="1:5" x14ac:dyDescent="0.25">
      <c r="A2" s="108" t="s">
        <v>442</v>
      </c>
      <c r="B2" s="108"/>
      <c r="C2" s="108"/>
    </row>
    <row r="3" spans="1:5" x14ac:dyDescent="0.25">
      <c r="A3" s="109" t="str">
        <f>"TANGGAL "&amp;perdesa!B4</f>
        <v>TANGGAL 22 AGUSTUS 2021</v>
      </c>
      <c r="B3" s="109"/>
    </row>
    <row r="4" spans="1:5" s="52" customFormat="1" x14ac:dyDescent="0.25">
      <c r="A4" s="50" t="s">
        <v>1</v>
      </c>
      <c r="B4" s="51" t="s">
        <v>2</v>
      </c>
      <c r="C4" s="71" t="s">
        <v>459</v>
      </c>
      <c r="E4" s="53"/>
    </row>
    <row r="5" spans="1:5" x14ac:dyDescent="0.25">
      <c r="A5" s="55"/>
      <c r="B5" s="56"/>
      <c r="C5" s="88"/>
    </row>
    <row r="6" spans="1:5" s="14" customFormat="1" x14ac:dyDescent="0.25">
      <c r="A6" s="54">
        <v>1</v>
      </c>
      <c r="B6" s="43" t="s">
        <v>284</v>
      </c>
      <c r="C6" s="90">
        <f>perdesa!Q155</f>
        <v>3</v>
      </c>
    </row>
    <row r="7" spans="1:5" s="14" customFormat="1" x14ac:dyDescent="0.25">
      <c r="A7" s="54">
        <v>2</v>
      </c>
      <c r="B7" s="43" t="s">
        <v>282</v>
      </c>
      <c r="C7" s="90">
        <f>perdesa!Q175</f>
        <v>2</v>
      </c>
    </row>
    <row r="8" spans="1:5" s="14" customFormat="1" x14ac:dyDescent="0.25">
      <c r="A8" s="54">
        <v>3</v>
      </c>
      <c r="B8" s="43" t="s">
        <v>293</v>
      </c>
      <c r="C8" s="90">
        <f>perdesa!Q237</f>
        <v>5</v>
      </c>
    </row>
    <row r="9" spans="1:5" s="14" customFormat="1" x14ac:dyDescent="0.25">
      <c r="A9" s="54">
        <v>4</v>
      </c>
      <c r="B9" s="43" t="s">
        <v>291</v>
      </c>
      <c r="C9" s="90">
        <f>perdesa!Q83</f>
        <v>2</v>
      </c>
    </row>
    <row r="10" spans="1:5" s="14" customFormat="1" x14ac:dyDescent="0.25">
      <c r="A10" s="54">
        <v>5</v>
      </c>
      <c r="B10" s="43" t="s">
        <v>0</v>
      </c>
      <c r="C10" s="90">
        <f>perdesa!Q27</f>
        <v>0</v>
      </c>
    </row>
    <row r="11" spans="1:5" s="14" customFormat="1" x14ac:dyDescent="0.25">
      <c r="A11" s="54">
        <v>6</v>
      </c>
      <c r="B11" s="43" t="s">
        <v>283</v>
      </c>
      <c r="C11" s="90">
        <f>perdesa!Q115</f>
        <v>2</v>
      </c>
    </row>
    <row r="12" spans="1:5" s="14" customFormat="1" x14ac:dyDescent="0.25">
      <c r="A12" s="54">
        <v>7</v>
      </c>
      <c r="B12" s="43" t="s">
        <v>285</v>
      </c>
      <c r="C12" s="90">
        <f>perdesa!Q217</f>
        <v>5</v>
      </c>
    </row>
    <row r="13" spans="1:5" s="14" customFormat="1" x14ac:dyDescent="0.25">
      <c r="A13" s="54">
        <v>8</v>
      </c>
      <c r="B13" s="43" t="s">
        <v>286</v>
      </c>
      <c r="C13" s="90">
        <f>perdesa!Q44</f>
        <v>1</v>
      </c>
    </row>
    <row r="14" spans="1:5" s="14" customFormat="1" x14ac:dyDescent="0.25">
      <c r="A14" s="54">
        <v>9</v>
      </c>
      <c r="B14" s="43" t="s">
        <v>292</v>
      </c>
      <c r="C14" s="90">
        <f>perdesa!Q134</f>
        <v>2</v>
      </c>
    </row>
    <row r="15" spans="1:5" s="14" customFormat="1" x14ac:dyDescent="0.25">
      <c r="A15" s="54">
        <v>10</v>
      </c>
      <c r="B15" s="43" t="s">
        <v>400</v>
      </c>
      <c r="C15" s="90">
        <f>perdesa!Q8</f>
        <v>17</v>
      </c>
    </row>
    <row r="16" spans="1:5" s="14" customFormat="1" x14ac:dyDescent="0.25">
      <c r="A16" s="54">
        <v>11</v>
      </c>
      <c r="B16" s="43" t="s">
        <v>287</v>
      </c>
      <c r="C16" s="76">
        <f>perdesa!Q203</f>
        <v>1</v>
      </c>
      <c r="D16" s="26"/>
    </row>
    <row r="17" spans="1:3" s="14" customFormat="1" x14ac:dyDescent="0.25">
      <c r="A17" s="54">
        <v>12</v>
      </c>
      <c r="B17" s="43" t="s">
        <v>288</v>
      </c>
      <c r="C17" s="90">
        <f>perdesa!Q187</f>
        <v>1</v>
      </c>
    </row>
    <row r="18" spans="1:3" s="14" customFormat="1" x14ac:dyDescent="0.25">
      <c r="A18" s="54">
        <v>13</v>
      </c>
      <c r="B18" s="43" t="s">
        <v>289</v>
      </c>
      <c r="C18" s="90">
        <f>perdesa!Q65</f>
        <v>1</v>
      </c>
    </row>
    <row r="19" spans="1:3" s="14" customFormat="1" x14ac:dyDescent="0.25">
      <c r="A19" s="54">
        <v>14</v>
      </c>
      <c r="B19" s="43" t="s">
        <v>290</v>
      </c>
      <c r="C19" s="90">
        <f>perdesa!Q100</f>
        <v>0</v>
      </c>
    </row>
    <row r="20" spans="1:3" s="14" customFormat="1" x14ac:dyDescent="0.25">
      <c r="A20" s="54">
        <v>15</v>
      </c>
      <c r="B20" s="43" t="s">
        <v>294</v>
      </c>
      <c r="C20" s="76">
        <f>perdesa!Q257</f>
        <v>0</v>
      </c>
    </row>
    <row r="21" spans="1:3" x14ac:dyDescent="0.25">
      <c r="A21" s="57"/>
      <c r="B21" s="58" t="s">
        <v>401</v>
      </c>
      <c r="C21" s="89">
        <f t="shared" ref="C21" si="0">SUM(C6:C20)</f>
        <v>42</v>
      </c>
    </row>
    <row r="27" spans="1:3" x14ac:dyDescent="0.25">
      <c r="B27" s="48" t="s">
        <v>461</v>
      </c>
    </row>
  </sheetData>
  <mergeCells count="2">
    <mergeCell ref="A2:C2"/>
    <mergeCell ref="A3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G6"/>
  <sheetViews>
    <sheetView topLeftCell="C1" workbookViewId="0">
      <selection activeCell="C6" sqref="C6:AG6"/>
    </sheetView>
  </sheetViews>
  <sheetFormatPr defaultRowHeight="15" x14ac:dyDescent="0.25"/>
  <cols>
    <col min="6" max="6" width="25.5703125" customWidth="1"/>
    <col min="9" max="9" width="16.140625" customWidth="1"/>
  </cols>
  <sheetData>
    <row r="5" spans="1:33" s="32" customFormat="1" ht="18.75" customHeight="1" x14ac:dyDescent="0.25">
      <c r="A5" s="37"/>
      <c r="B5" s="37"/>
      <c r="C5" s="46">
        <v>44014</v>
      </c>
      <c r="D5" s="40" t="s">
        <v>352</v>
      </c>
      <c r="E5" s="40" t="s">
        <v>311</v>
      </c>
      <c r="F5" s="72" t="s">
        <v>402</v>
      </c>
      <c r="G5" s="73">
        <v>44008</v>
      </c>
      <c r="H5" s="71">
        <v>46</v>
      </c>
      <c r="I5" s="72" t="s">
        <v>405</v>
      </c>
      <c r="J5" s="71" t="s">
        <v>403</v>
      </c>
      <c r="K5" s="71">
        <v>1</v>
      </c>
      <c r="L5" s="71" t="s">
        <v>404</v>
      </c>
      <c r="M5" s="71" t="s">
        <v>405</v>
      </c>
      <c r="N5" s="71" t="s">
        <v>404</v>
      </c>
      <c r="O5" s="38" t="s">
        <v>294</v>
      </c>
      <c r="P5" s="38" t="s">
        <v>294</v>
      </c>
      <c r="Q5" s="37"/>
      <c r="R5" s="8" t="s">
        <v>350</v>
      </c>
      <c r="S5" s="37"/>
      <c r="T5" s="37"/>
      <c r="U5" s="37"/>
      <c r="V5" s="37"/>
      <c r="W5" s="37"/>
      <c r="X5" s="37"/>
      <c r="Y5" s="37"/>
      <c r="Z5" s="37" t="s">
        <v>318</v>
      </c>
      <c r="AA5" s="37"/>
      <c r="AB5" s="37"/>
      <c r="AC5" s="37"/>
      <c r="AD5" s="37" t="s">
        <v>310</v>
      </c>
      <c r="AF5" s="33" t="s">
        <v>294</v>
      </c>
      <c r="AG5" s="33" t="s">
        <v>294</v>
      </c>
    </row>
    <row r="6" spans="1:33" ht="90" x14ac:dyDescent="0.25">
      <c r="C6" s="39">
        <v>44017</v>
      </c>
      <c r="D6" s="74" t="s">
        <v>352</v>
      </c>
      <c r="E6" s="74" t="s">
        <v>311</v>
      </c>
      <c r="F6" s="34" t="s">
        <v>429</v>
      </c>
      <c r="G6" s="74" t="s">
        <v>307</v>
      </c>
      <c r="H6" s="74">
        <v>54</v>
      </c>
      <c r="I6" s="74"/>
      <c r="J6" s="74"/>
      <c r="K6" s="74"/>
      <c r="L6" s="74"/>
      <c r="M6" s="74"/>
      <c r="N6" s="34" t="s">
        <v>428</v>
      </c>
      <c r="O6" s="34" t="s">
        <v>395</v>
      </c>
      <c r="P6" s="34" t="s">
        <v>283</v>
      </c>
      <c r="Q6" s="74"/>
      <c r="R6" s="74" t="s">
        <v>430</v>
      </c>
      <c r="S6" s="74"/>
      <c r="T6" s="74" t="s">
        <v>326</v>
      </c>
      <c r="U6" s="74"/>
      <c r="V6" s="74"/>
      <c r="W6" s="74"/>
      <c r="X6" s="74"/>
      <c r="Y6" s="74"/>
      <c r="Z6" s="74"/>
      <c r="AA6" s="74"/>
      <c r="AB6" s="74"/>
      <c r="AC6" s="74"/>
      <c r="AD6" s="74" t="s">
        <v>355</v>
      </c>
      <c r="AE6" s="36"/>
      <c r="AF6" s="35" t="s">
        <v>395</v>
      </c>
      <c r="AG6" s="35" t="s">
        <v>283</v>
      </c>
    </row>
  </sheetData>
  <conditionalFormatting sqref="F5">
    <cfRule type="duplicateValues" dxfId="32" priority="20"/>
  </conditionalFormatting>
  <dataValidations count="2">
    <dataValidation type="list" allowBlank="1" showInputMessage="1" showErrorMessage="1" errorTitle="pilihan" sqref="AD5">
      <formula1>#REF!</formula1>
    </dataValidation>
    <dataValidation type="list" allowBlank="1" showInputMessage="1" showErrorMessage="1" errorTitle="pilihan" sqref="AD6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AG20"/>
  <sheetViews>
    <sheetView workbookViewId="0">
      <selection activeCell="A3" sqref="A3:XFD19"/>
    </sheetView>
  </sheetViews>
  <sheetFormatPr defaultRowHeight="15" x14ac:dyDescent="0.25"/>
  <cols>
    <col min="6" max="6" width="22.7109375" customWidth="1"/>
    <col min="18" max="18" width="17.28515625" customWidth="1"/>
    <col min="26" max="26" width="17.28515625" customWidth="1"/>
  </cols>
  <sheetData>
    <row r="3" spans="4:33" s="32" customFormat="1" ht="27" customHeight="1" x14ac:dyDescent="0.25">
      <c r="D3" s="37" t="s">
        <v>352</v>
      </c>
      <c r="E3" s="37" t="s">
        <v>311</v>
      </c>
      <c r="F3" s="38" t="s">
        <v>316</v>
      </c>
      <c r="G3" s="37" t="s">
        <v>305</v>
      </c>
      <c r="H3" s="37">
        <v>52</v>
      </c>
      <c r="I3" s="37" t="s">
        <v>426</v>
      </c>
      <c r="J3" s="37"/>
      <c r="K3" s="37"/>
      <c r="L3" s="37"/>
      <c r="M3" s="37"/>
      <c r="N3" s="38" t="s">
        <v>317</v>
      </c>
      <c r="O3" s="38" t="s">
        <v>345</v>
      </c>
      <c r="P3" s="38" t="s">
        <v>282</v>
      </c>
      <c r="Q3" s="37"/>
      <c r="R3" s="37" t="s">
        <v>312</v>
      </c>
      <c r="S3" s="37" t="s">
        <v>399</v>
      </c>
      <c r="T3" s="37"/>
      <c r="U3" s="37"/>
      <c r="V3" s="37"/>
      <c r="W3" s="37"/>
      <c r="X3" s="37"/>
      <c r="Y3" s="37"/>
      <c r="Z3" s="37" t="s">
        <v>393</v>
      </c>
      <c r="AA3" s="37" t="s">
        <v>427</v>
      </c>
      <c r="AB3" s="37" t="s">
        <v>308</v>
      </c>
    </row>
    <row r="4" spans="4:33" s="32" customFormat="1" ht="27" customHeight="1" x14ac:dyDescent="0.25">
      <c r="D4" s="37" t="s">
        <v>352</v>
      </c>
      <c r="E4" s="37" t="s">
        <v>311</v>
      </c>
      <c r="F4" s="38" t="s">
        <v>356</v>
      </c>
      <c r="G4" s="37" t="s">
        <v>305</v>
      </c>
      <c r="H4" s="37">
        <v>56</v>
      </c>
      <c r="I4" s="37" t="s">
        <v>357</v>
      </c>
      <c r="J4" s="37"/>
      <c r="K4" s="37"/>
      <c r="L4" s="37"/>
      <c r="M4" s="37"/>
      <c r="N4" s="38" t="s">
        <v>423</v>
      </c>
      <c r="O4" s="38" t="s">
        <v>346</v>
      </c>
      <c r="P4" s="38" t="s">
        <v>309</v>
      </c>
      <c r="Q4" s="37"/>
      <c r="R4" s="37" t="s">
        <v>312</v>
      </c>
      <c r="S4" s="37" t="s">
        <v>424</v>
      </c>
      <c r="T4" s="37"/>
      <c r="U4" s="37"/>
      <c r="V4" s="37"/>
      <c r="W4" s="37"/>
      <c r="X4" s="37"/>
      <c r="Y4" s="37"/>
      <c r="Z4" s="37" t="s">
        <v>393</v>
      </c>
      <c r="AA4" s="37" t="s">
        <v>425</v>
      </c>
      <c r="AB4" s="37" t="s">
        <v>308</v>
      </c>
    </row>
    <row r="5" spans="4:33" s="32" customFormat="1" ht="27" customHeight="1" x14ac:dyDescent="0.25">
      <c r="D5" s="37" t="s">
        <v>352</v>
      </c>
      <c r="E5" s="37" t="s">
        <v>311</v>
      </c>
      <c r="F5" s="38" t="s">
        <v>314</v>
      </c>
      <c r="G5" s="37" t="s">
        <v>305</v>
      </c>
      <c r="H5" s="37">
        <v>52</v>
      </c>
      <c r="I5" s="37" t="s">
        <v>315</v>
      </c>
      <c r="J5" s="37"/>
      <c r="K5" s="37"/>
      <c r="L5" s="37"/>
      <c r="M5" s="37"/>
      <c r="N5" s="38" t="s">
        <v>420</v>
      </c>
      <c r="O5" s="38" t="s">
        <v>344</v>
      </c>
      <c r="P5" s="38" t="s">
        <v>0</v>
      </c>
      <c r="Q5" s="37"/>
      <c r="R5" s="37" t="s">
        <v>312</v>
      </c>
      <c r="S5" s="37" t="s">
        <v>421</v>
      </c>
      <c r="T5" s="37"/>
      <c r="U5" s="37"/>
      <c r="V5" s="37"/>
      <c r="W5" s="37"/>
      <c r="X5" s="37"/>
      <c r="Y5" s="37"/>
      <c r="Z5" s="37" t="s">
        <v>393</v>
      </c>
      <c r="AA5" s="37" t="s">
        <v>422</v>
      </c>
      <c r="AB5" s="37" t="s">
        <v>308</v>
      </c>
    </row>
    <row r="6" spans="4:33" s="32" customFormat="1" ht="27" customHeight="1" x14ac:dyDescent="0.25">
      <c r="D6" s="37" t="s">
        <v>352</v>
      </c>
      <c r="E6" s="37" t="s">
        <v>311</v>
      </c>
      <c r="F6" s="38" t="s">
        <v>331</v>
      </c>
      <c r="G6" s="37" t="s">
        <v>305</v>
      </c>
      <c r="H6" s="37">
        <v>63</v>
      </c>
      <c r="I6" s="37" t="s">
        <v>324</v>
      </c>
      <c r="J6" s="37"/>
      <c r="K6" s="37"/>
      <c r="L6" s="37"/>
      <c r="M6" s="37"/>
      <c r="N6" s="38" t="s">
        <v>323</v>
      </c>
      <c r="O6" s="38" t="s">
        <v>354</v>
      </c>
      <c r="P6" s="38" t="s">
        <v>293</v>
      </c>
      <c r="Q6" s="37"/>
      <c r="R6" s="37" t="s">
        <v>306</v>
      </c>
      <c r="S6" s="37" t="s">
        <v>409</v>
      </c>
      <c r="T6" s="37"/>
      <c r="U6" s="37"/>
      <c r="V6" s="37"/>
      <c r="W6" s="37"/>
      <c r="X6" s="37"/>
      <c r="Y6" s="37"/>
      <c r="Z6" s="37" t="s">
        <v>393</v>
      </c>
      <c r="AA6" s="37" t="s">
        <v>419</v>
      </c>
      <c r="AB6" s="37" t="s">
        <v>308</v>
      </c>
    </row>
    <row r="7" spans="4:33" s="32" customFormat="1" ht="27" customHeight="1" x14ac:dyDescent="0.25">
      <c r="D7" s="37" t="s">
        <v>352</v>
      </c>
      <c r="E7" s="37" t="s">
        <v>311</v>
      </c>
      <c r="F7" s="38" t="s">
        <v>372</v>
      </c>
      <c r="G7" s="37" t="s">
        <v>305</v>
      </c>
      <c r="H7" s="37">
        <v>17</v>
      </c>
      <c r="I7" s="37" t="s">
        <v>374</v>
      </c>
      <c r="J7" s="37"/>
      <c r="K7" s="37"/>
      <c r="L7" s="37"/>
      <c r="M7" s="37"/>
      <c r="N7" s="38" t="s">
        <v>373</v>
      </c>
      <c r="O7" s="38" t="s">
        <v>351</v>
      </c>
      <c r="P7" s="38" t="s">
        <v>309</v>
      </c>
      <c r="Q7" s="37"/>
      <c r="R7" s="37" t="s">
        <v>312</v>
      </c>
      <c r="S7" s="37" t="s">
        <v>377</v>
      </c>
      <c r="T7" s="37"/>
      <c r="U7" s="37"/>
      <c r="V7" s="37"/>
      <c r="W7" s="37"/>
      <c r="X7" s="37"/>
      <c r="Y7" s="37"/>
      <c r="Z7" s="37" t="s">
        <v>393</v>
      </c>
      <c r="AA7" s="37" t="s">
        <v>325</v>
      </c>
      <c r="AB7" s="37" t="s">
        <v>308</v>
      </c>
    </row>
    <row r="8" spans="4:33" s="32" customFormat="1" ht="27" customHeight="1" x14ac:dyDescent="0.25">
      <c r="D8" s="37" t="s">
        <v>352</v>
      </c>
      <c r="E8" s="37" t="s">
        <v>311</v>
      </c>
      <c r="F8" s="38" t="s">
        <v>332</v>
      </c>
      <c r="G8" s="37" t="s">
        <v>305</v>
      </c>
      <c r="H8" s="37">
        <v>75</v>
      </c>
      <c r="I8" s="37" t="s">
        <v>333</v>
      </c>
      <c r="J8" s="37"/>
      <c r="K8" s="37"/>
      <c r="L8" s="37"/>
      <c r="M8" s="37"/>
      <c r="N8" s="38" t="s">
        <v>418</v>
      </c>
      <c r="O8" s="38" t="s">
        <v>347</v>
      </c>
      <c r="P8" s="38" t="s">
        <v>309</v>
      </c>
      <c r="Q8" s="37"/>
      <c r="R8" s="37" t="s">
        <v>312</v>
      </c>
      <c r="S8" s="37" t="s">
        <v>411</v>
      </c>
      <c r="T8" s="37"/>
      <c r="U8" s="37"/>
      <c r="V8" s="37"/>
      <c r="W8" s="37"/>
      <c r="X8" s="37"/>
      <c r="Y8" s="37"/>
      <c r="Z8" s="37" t="s">
        <v>393</v>
      </c>
      <c r="AA8" s="37" t="s">
        <v>334</v>
      </c>
      <c r="AB8" s="37" t="s">
        <v>308</v>
      </c>
    </row>
    <row r="9" spans="4:33" s="32" customFormat="1" ht="27" customHeight="1" x14ac:dyDescent="0.25">
      <c r="D9" s="37" t="s">
        <v>352</v>
      </c>
      <c r="E9" s="37" t="s">
        <v>311</v>
      </c>
      <c r="F9" s="38" t="s">
        <v>362</v>
      </c>
      <c r="G9" s="37" t="s">
        <v>307</v>
      </c>
      <c r="H9" s="37">
        <v>28</v>
      </c>
      <c r="I9" s="37" t="s">
        <v>368</v>
      </c>
      <c r="J9" s="37"/>
      <c r="K9" s="37"/>
      <c r="L9" s="37"/>
      <c r="M9" s="37"/>
      <c r="N9" s="38" t="s">
        <v>367</v>
      </c>
      <c r="O9" s="38" t="s">
        <v>343</v>
      </c>
      <c r="P9" s="38" t="s">
        <v>285</v>
      </c>
      <c r="Q9" s="37"/>
      <c r="R9" s="37" t="s">
        <v>312</v>
      </c>
      <c r="S9" s="37" t="s">
        <v>377</v>
      </c>
      <c r="T9" s="37"/>
      <c r="U9" s="37"/>
      <c r="V9" s="37"/>
      <c r="W9" s="37"/>
      <c r="X9" s="37"/>
      <c r="Y9" s="37"/>
      <c r="Z9" s="37" t="s">
        <v>393</v>
      </c>
      <c r="AA9" s="37" t="s">
        <v>369</v>
      </c>
      <c r="AB9" s="37" t="s">
        <v>308</v>
      </c>
    </row>
    <row r="10" spans="4:33" s="32" customFormat="1" ht="27" customHeight="1" x14ac:dyDescent="0.25">
      <c r="D10" s="37" t="s">
        <v>352</v>
      </c>
      <c r="E10" s="37" t="s">
        <v>311</v>
      </c>
      <c r="F10" s="38" t="s">
        <v>386</v>
      </c>
      <c r="G10" s="37" t="s">
        <v>307</v>
      </c>
      <c r="H10" s="37">
        <v>76</v>
      </c>
      <c r="I10" s="37" t="s">
        <v>388</v>
      </c>
      <c r="J10" s="37"/>
      <c r="K10" s="37"/>
      <c r="L10" s="37"/>
      <c r="M10" s="37"/>
      <c r="N10" s="38" t="s">
        <v>387</v>
      </c>
      <c r="O10" s="38" t="s">
        <v>349</v>
      </c>
      <c r="P10" s="38" t="s">
        <v>282</v>
      </c>
      <c r="Q10" s="37"/>
      <c r="R10" s="37" t="s">
        <v>312</v>
      </c>
      <c r="S10" s="37" t="s">
        <v>376</v>
      </c>
      <c r="T10" s="37"/>
      <c r="U10" s="37"/>
      <c r="V10" s="37"/>
      <c r="W10" s="37"/>
      <c r="X10" s="37"/>
      <c r="Y10" s="37"/>
      <c r="Z10" s="37" t="s">
        <v>393</v>
      </c>
      <c r="AA10" s="37" t="s">
        <v>322</v>
      </c>
      <c r="AB10" s="37" t="s">
        <v>308</v>
      </c>
    </row>
    <row r="11" spans="4:33" s="32" customFormat="1" ht="27" customHeight="1" x14ac:dyDescent="0.25">
      <c r="D11" s="37" t="s">
        <v>352</v>
      </c>
      <c r="E11" s="37" t="s">
        <v>311</v>
      </c>
      <c r="F11" s="38" t="s">
        <v>390</v>
      </c>
      <c r="G11" s="37" t="s">
        <v>305</v>
      </c>
      <c r="H11" s="37">
        <v>20</v>
      </c>
      <c r="I11" s="37" t="s">
        <v>308</v>
      </c>
      <c r="J11" s="37"/>
      <c r="K11" s="37"/>
      <c r="L11" s="37"/>
      <c r="M11" s="37"/>
      <c r="N11" s="38" t="s">
        <v>391</v>
      </c>
      <c r="O11" s="38" t="s">
        <v>309</v>
      </c>
      <c r="P11" s="38" t="s">
        <v>309</v>
      </c>
      <c r="Q11" s="37"/>
      <c r="R11" s="37" t="s">
        <v>312</v>
      </c>
      <c r="S11" s="37" t="s">
        <v>392</v>
      </c>
      <c r="T11" s="37"/>
      <c r="U11" s="37"/>
      <c r="V11" s="37"/>
      <c r="W11" s="37"/>
      <c r="X11" s="37"/>
      <c r="Y11" s="37"/>
      <c r="Z11" s="37" t="s">
        <v>393</v>
      </c>
      <c r="AA11" s="37" t="s">
        <v>417</v>
      </c>
      <c r="AB11" s="37" t="s">
        <v>308</v>
      </c>
      <c r="AG11" s="33"/>
    </row>
    <row r="12" spans="4:33" s="32" customFormat="1" ht="27" customHeight="1" x14ac:dyDescent="0.25">
      <c r="D12" s="37" t="s">
        <v>352</v>
      </c>
      <c r="E12" s="37" t="s">
        <v>311</v>
      </c>
      <c r="F12" s="38" t="s">
        <v>359</v>
      </c>
      <c r="G12" s="37" t="s">
        <v>305</v>
      </c>
      <c r="H12" s="37">
        <v>72</v>
      </c>
      <c r="I12" s="37" t="s">
        <v>308</v>
      </c>
      <c r="J12" s="37"/>
      <c r="K12" s="37"/>
      <c r="L12" s="37"/>
      <c r="M12" s="37"/>
      <c r="N12" s="38" t="s">
        <v>360</v>
      </c>
      <c r="O12" s="38" t="s">
        <v>370</v>
      </c>
      <c r="P12" s="38" t="s">
        <v>282</v>
      </c>
      <c r="Q12" s="37"/>
      <c r="R12" s="37" t="s">
        <v>312</v>
      </c>
      <c r="S12" s="37" t="s">
        <v>389</v>
      </c>
      <c r="T12" s="37"/>
      <c r="U12" s="37"/>
      <c r="V12" s="37"/>
      <c r="W12" s="37"/>
      <c r="X12" s="37"/>
      <c r="Y12" s="37"/>
      <c r="Z12" s="37" t="s">
        <v>393</v>
      </c>
      <c r="AA12" s="37" t="s">
        <v>361</v>
      </c>
      <c r="AB12" s="37" t="s">
        <v>308</v>
      </c>
      <c r="AG12" s="33"/>
    </row>
    <row r="13" spans="4:33" s="32" customFormat="1" ht="27" customHeight="1" x14ac:dyDescent="0.25">
      <c r="D13" s="37" t="s">
        <v>352</v>
      </c>
      <c r="E13" s="37" t="s">
        <v>311</v>
      </c>
      <c r="F13" s="38" t="s">
        <v>337</v>
      </c>
      <c r="G13" s="37" t="s">
        <v>307</v>
      </c>
      <c r="H13" s="37">
        <v>48</v>
      </c>
      <c r="I13" s="37" t="s">
        <v>414</v>
      </c>
      <c r="J13" s="37"/>
      <c r="K13" s="37"/>
      <c r="L13" s="37"/>
      <c r="M13" s="37"/>
      <c r="N13" s="37" t="s">
        <v>415</v>
      </c>
      <c r="O13" s="37" t="s">
        <v>346</v>
      </c>
      <c r="P13" s="37" t="s">
        <v>309</v>
      </c>
      <c r="Q13" s="37"/>
      <c r="R13" s="37" t="s">
        <v>312</v>
      </c>
      <c r="S13" s="37" t="s">
        <v>380</v>
      </c>
      <c r="T13" s="37"/>
      <c r="U13" s="37"/>
      <c r="V13" s="37"/>
      <c r="W13" s="37"/>
      <c r="X13" s="37"/>
      <c r="Y13" s="37"/>
      <c r="Z13" s="37" t="s">
        <v>393</v>
      </c>
      <c r="AA13" s="37" t="s">
        <v>416</v>
      </c>
      <c r="AB13" s="37" t="s">
        <v>308</v>
      </c>
      <c r="AG13" s="33"/>
    </row>
    <row r="14" spans="4:33" s="32" customFormat="1" ht="27" customHeight="1" x14ac:dyDescent="0.25">
      <c r="D14" s="37" t="s">
        <v>352</v>
      </c>
      <c r="E14" s="37" t="s">
        <v>311</v>
      </c>
      <c r="F14" s="38" t="s">
        <v>378</v>
      </c>
      <c r="G14" s="37" t="s">
        <v>307</v>
      </c>
      <c r="H14" s="37">
        <v>36</v>
      </c>
      <c r="I14" s="37" t="s">
        <v>379</v>
      </c>
      <c r="J14" s="37"/>
      <c r="K14" s="37"/>
      <c r="L14" s="37"/>
      <c r="M14" s="37"/>
      <c r="N14" s="37" t="s">
        <v>412</v>
      </c>
      <c r="O14" s="37" t="s">
        <v>358</v>
      </c>
      <c r="P14" s="37" t="s">
        <v>309</v>
      </c>
      <c r="Q14" s="37"/>
      <c r="R14" s="37" t="s">
        <v>312</v>
      </c>
      <c r="S14" s="37" t="s">
        <v>375</v>
      </c>
      <c r="T14" s="37"/>
      <c r="U14" s="37"/>
      <c r="V14" s="37"/>
      <c r="W14" s="37"/>
      <c r="X14" s="37"/>
      <c r="Y14" s="37"/>
      <c r="Z14" s="37" t="s">
        <v>393</v>
      </c>
      <c r="AA14" s="37" t="s">
        <v>413</v>
      </c>
      <c r="AB14" s="37" t="s">
        <v>308</v>
      </c>
      <c r="AG14" s="33"/>
    </row>
    <row r="15" spans="4:33" s="32" customFormat="1" ht="27" customHeight="1" x14ac:dyDescent="0.25">
      <c r="D15" s="37" t="s">
        <v>352</v>
      </c>
      <c r="E15" s="37" t="s">
        <v>311</v>
      </c>
      <c r="F15" s="38" t="s">
        <v>313</v>
      </c>
      <c r="G15" s="37" t="s">
        <v>307</v>
      </c>
      <c r="H15" s="37">
        <v>47</v>
      </c>
      <c r="I15" s="37" t="s">
        <v>383</v>
      </c>
      <c r="J15" s="37"/>
      <c r="K15" s="37"/>
      <c r="L15" s="37"/>
      <c r="M15" s="37"/>
      <c r="N15" s="37" t="s">
        <v>382</v>
      </c>
      <c r="O15" s="37" t="s">
        <v>381</v>
      </c>
      <c r="P15" s="37" t="s">
        <v>282</v>
      </c>
      <c r="Q15" s="37"/>
      <c r="R15" s="37" t="s">
        <v>312</v>
      </c>
      <c r="S15" s="37" t="s">
        <v>385</v>
      </c>
      <c r="T15" s="37"/>
      <c r="U15" s="37"/>
      <c r="V15" s="37"/>
      <c r="W15" s="37"/>
      <c r="X15" s="37"/>
      <c r="Y15" s="37"/>
      <c r="Z15" s="37" t="s">
        <v>393</v>
      </c>
      <c r="AA15" s="37" t="s">
        <v>384</v>
      </c>
      <c r="AB15" s="37" t="s">
        <v>308</v>
      </c>
      <c r="AG15" s="33"/>
    </row>
    <row r="16" spans="4:33" s="32" customFormat="1" ht="27" customHeight="1" x14ac:dyDescent="0.25">
      <c r="D16" s="37" t="s">
        <v>352</v>
      </c>
      <c r="E16" s="37" t="s">
        <v>311</v>
      </c>
      <c r="F16" s="38" t="s">
        <v>335</v>
      </c>
      <c r="G16" s="37" t="s">
        <v>305</v>
      </c>
      <c r="H16" s="37">
        <v>53</v>
      </c>
      <c r="I16" s="37" t="s">
        <v>336</v>
      </c>
      <c r="J16" s="37"/>
      <c r="K16" s="37"/>
      <c r="L16" s="37"/>
      <c r="M16" s="37"/>
      <c r="N16" s="37" t="s">
        <v>410</v>
      </c>
      <c r="O16" s="37" t="s">
        <v>397</v>
      </c>
      <c r="P16" s="37" t="s">
        <v>286</v>
      </c>
      <c r="Q16" s="37"/>
      <c r="R16" s="37" t="s">
        <v>306</v>
      </c>
      <c r="S16" s="37" t="s">
        <v>411</v>
      </c>
      <c r="T16" s="37"/>
      <c r="U16" s="37"/>
      <c r="V16" s="37"/>
      <c r="W16" s="37"/>
      <c r="X16" s="37"/>
      <c r="Y16" s="37"/>
      <c r="Z16" s="37" t="s">
        <v>393</v>
      </c>
      <c r="AA16" s="37" t="s">
        <v>328</v>
      </c>
      <c r="AB16" s="37" t="s">
        <v>308</v>
      </c>
      <c r="AG16" s="33"/>
    </row>
    <row r="17" spans="4:33" s="32" customFormat="1" ht="27" customHeight="1" x14ac:dyDescent="0.25">
      <c r="D17" s="37" t="s">
        <v>352</v>
      </c>
      <c r="E17" s="37" t="s">
        <v>311</v>
      </c>
      <c r="F17" s="38" t="s">
        <v>319</v>
      </c>
      <c r="G17" s="37" t="s">
        <v>307</v>
      </c>
      <c r="H17" s="37">
        <v>48</v>
      </c>
      <c r="I17" s="37" t="s">
        <v>408</v>
      </c>
      <c r="J17" s="37"/>
      <c r="K17" s="37"/>
      <c r="L17" s="37"/>
      <c r="M17" s="37"/>
      <c r="N17" s="37" t="s">
        <v>321</v>
      </c>
      <c r="O17" s="37" t="s">
        <v>348</v>
      </c>
      <c r="P17" s="37" t="s">
        <v>309</v>
      </c>
      <c r="Q17" s="37"/>
      <c r="R17" s="37" t="s">
        <v>320</v>
      </c>
      <c r="S17" s="37" t="s">
        <v>409</v>
      </c>
      <c r="T17" s="37"/>
      <c r="U17" s="37"/>
      <c r="V17" s="37"/>
      <c r="W17" s="37"/>
      <c r="X17" s="37"/>
      <c r="Y17" s="37"/>
      <c r="Z17" s="37" t="s">
        <v>393</v>
      </c>
      <c r="AA17" s="37">
        <v>0</v>
      </c>
      <c r="AB17" s="37" t="s">
        <v>308</v>
      </c>
      <c r="AG17" s="33"/>
    </row>
    <row r="18" spans="4:33" s="32" customFormat="1" ht="27" customHeight="1" x14ac:dyDescent="0.25">
      <c r="D18" s="37" t="s">
        <v>352</v>
      </c>
      <c r="E18" s="37" t="s">
        <v>311</v>
      </c>
      <c r="F18" s="38" t="s">
        <v>363</v>
      </c>
      <c r="G18" s="37" t="s">
        <v>305</v>
      </c>
      <c r="H18" s="37">
        <v>45</v>
      </c>
      <c r="I18" s="37" t="s">
        <v>365</v>
      </c>
      <c r="J18" s="37"/>
      <c r="K18" s="37"/>
      <c r="L18" s="37"/>
      <c r="M18" s="37"/>
      <c r="N18" s="37" t="s">
        <v>364</v>
      </c>
      <c r="O18" s="37" t="s">
        <v>339</v>
      </c>
      <c r="P18" s="37" t="s">
        <v>309</v>
      </c>
      <c r="Q18" s="37"/>
      <c r="R18" s="37" t="s">
        <v>312</v>
      </c>
      <c r="S18" s="37" t="s">
        <v>385</v>
      </c>
      <c r="T18" s="37"/>
      <c r="U18" s="37"/>
      <c r="V18" s="37"/>
      <c r="W18" s="37"/>
      <c r="X18" s="37"/>
      <c r="Y18" s="37"/>
      <c r="Z18" s="37" t="s">
        <v>393</v>
      </c>
      <c r="AA18" s="37" t="s">
        <v>366</v>
      </c>
      <c r="AB18" s="37" t="s">
        <v>308</v>
      </c>
      <c r="AG18" s="33"/>
    </row>
    <row r="19" spans="4:33" s="32" customFormat="1" ht="27" customHeight="1" x14ac:dyDescent="0.25">
      <c r="D19" s="37" t="s">
        <v>352</v>
      </c>
      <c r="E19" s="37" t="s">
        <v>311</v>
      </c>
      <c r="F19" s="38" t="s">
        <v>327</v>
      </c>
      <c r="G19" s="37" t="s">
        <v>307</v>
      </c>
      <c r="H19" s="37">
        <v>24</v>
      </c>
      <c r="I19" s="37" t="s">
        <v>329</v>
      </c>
      <c r="J19" s="37"/>
      <c r="K19" s="37"/>
      <c r="L19" s="37"/>
      <c r="M19" s="37"/>
      <c r="N19" s="37" t="s">
        <v>406</v>
      </c>
      <c r="O19" s="37" t="s">
        <v>284</v>
      </c>
      <c r="P19" s="37" t="s">
        <v>284</v>
      </c>
      <c r="Q19" s="37"/>
      <c r="R19" s="37" t="s">
        <v>312</v>
      </c>
      <c r="S19" s="37" t="s">
        <v>407</v>
      </c>
      <c r="T19" s="37"/>
      <c r="U19" s="37"/>
      <c r="V19" s="37"/>
      <c r="W19" s="37"/>
      <c r="X19" s="37"/>
      <c r="Y19" s="37"/>
      <c r="Z19" s="37" t="s">
        <v>393</v>
      </c>
      <c r="AA19" s="37" t="s">
        <v>330</v>
      </c>
      <c r="AB19" s="37" t="s">
        <v>308</v>
      </c>
      <c r="AG19" s="33"/>
    </row>
    <row r="20" spans="4:33" s="32" customFormat="1" x14ac:dyDescent="0.25">
      <c r="F20" s="33"/>
      <c r="N20" s="33"/>
      <c r="O20" s="33"/>
      <c r="P20" s="33"/>
      <c r="AA20" s="37"/>
      <c r="AG20" s="33"/>
    </row>
  </sheetData>
  <conditionalFormatting sqref="F3:F19">
    <cfRule type="duplicateValues" dxfId="31" priority="1"/>
  </conditionalFormatting>
  <dataValidations count="1">
    <dataValidation type="list" allowBlank="1" showInputMessage="1" showErrorMessage="1" errorTitle="pilihan" sqref="AD3:AD20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8"/>
  <sheetViews>
    <sheetView zoomScaleNormal="100" workbookViewId="0">
      <selection activeCell="A5" sqref="A5:E5"/>
    </sheetView>
  </sheetViews>
  <sheetFormatPr defaultColWidth="9.140625" defaultRowHeight="12" x14ac:dyDescent="0.25"/>
  <cols>
    <col min="1" max="1" width="4.85546875" style="77" customWidth="1"/>
    <col min="2" max="2" width="20.140625" style="77" customWidth="1"/>
    <col min="3" max="4" width="29.5703125" style="77" customWidth="1"/>
    <col min="5" max="5" width="16.140625" style="77" customWidth="1"/>
    <col min="6" max="6" width="16.85546875" style="77" customWidth="1"/>
    <col min="7" max="7" width="16.7109375" style="77" customWidth="1"/>
    <col min="8" max="8" width="6.28515625" style="77" customWidth="1"/>
    <col min="9" max="9" width="6.85546875" style="77" customWidth="1"/>
    <col min="10" max="10" width="18.42578125" style="78" customWidth="1"/>
    <col min="11" max="11" width="26.140625" style="77" customWidth="1"/>
    <col min="12" max="12" width="22.28515625" style="77" customWidth="1"/>
    <col min="13" max="13" width="44.5703125" style="77" customWidth="1"/>
    <col min="14" max="14" width="22.42578125" style="77" customWidth="1"/>
    <col min="15" max="15" width="22.7109375" style="77" customWidth="1"/>
    <col min="16" max="16" width="27.5703125" style="77" customWidth="1"/>
    <col min="17" max="17" width="3" style="77" hidden="1" customWidth="1"/>
    <col min="18" max="18" width="13.28515625" style="77" customWidth="1"/>
    <col min="19" max="19" width="9.140625" style="77"/>
    <col min="20" max="20" width="27.42578125" style="77" customWidth="1"/>
    <col min="21" max="21" width="18.140625" style="77" customWidth="1"/>
    <col min="22" max="22" width="33.85546875" style="77" customWidth="1"/>
    <col min="23" max="23" width="18" style="77" customWidth="1"/>
    <col min="24" max="24" width="10.5703125" style="77" customWidth="1"/>
    <col min="25" max="25" width="24.5703125" style="77" customWidth="1"/>
    <col min="26" max="26" width="23.7109375" style="77" customWidth="1"/>
    <col min="27" max="27" width="13.28515625" style="77" customWidth="1"/>
    <col min="28" max="28" width="16.5703125" style="77" customWidth="1"/>
    <col min="29" max="29" width="9.140625" style="77"/>
    <col min="30" max="30" width="13.5703125" style="77" customWidth="1"/>
    <col min="31" max="31" width="15.28515625" style="77" customWidth="1"/>
    <col min="32" max="16384" width="9.140625" style="77"/>
  </cols>
  <sheetData>
    <row r="1" spans="1:31" ht="21" customHeight="1" x14ac:dyDescent="0.25">
      <c r="A1" s="110" t="s">
        <v>443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31" x14ac:dyDescent="0.25">
      <c r="A2" s="110" t="s">
        <v>578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4" spans="1:31" x14ac:dyDescent="0.25">
      <c r="A4" s="110" t="s">
        <v>444</v>
      </c>
      <c r="B4" s="110"/>
      <c r="C4" s="79"/>
      <c r="D4" s="83"/>
      <c r="E4" s="79"/>
    </row>
    <row r="5" spans="1:31" x14ac:dyDescent="0.25">
      <c r="A5" s="111" t="s">
        <v>723</v>
      </c>
      <c r="B5" s="111"/>
      <c r="C5" s="111"/>
      <c r="D5" s="111"/>
      <c r="E5" s="111"/>
    </row>
    <row r="6" spans="1:31" customFormat="1" ht="15" x14ac:dyDescent="0.25">
      <c r="A6" t="s">
        <v>1</v>
      </c>
      <c r="B6" s="82" t="s">
        <v>445</v>
      </c>
      <c r="C6" t="s">
        <v>431</v>
      </c>
      <c r="D6" t="s">
        <v>504</v>
      </c>
      <c r="E6" t="s">
        <v>432</v>
      </c>
      <c r="F6" t="s">
        <v>2</v>
      </c>
      <c r="G6" t="s">
        <v>433</v>
      </c>
      <c r="H6" t="s">
        <v>505</v>
      </c>
      <c r="I6" t="s">
        <v>506</v>
      </c>
      <c r="J6" t="s">
        <v>434</v>
      </c>
      <c r="K6" t="s">
        <v>435</v>
      </c>
      <c r="L6" t="s">
        <v>436</v>
      </c>
      <c r="M6" t="s">
        <v>437</v>
      </c>
      <c r="N6" t="s">
        <v>446</v>
      </c>
      <c r="O6" t="s">
        <v>447</v>
      </c>
      <c r="P6" t="s">
        <v>448</v>
      </c>
      <c r="Q6" t="s">
        <v>449</v>
      </c>
      <c r="R6" t="s">
        <v>450</v>
      </c>
      <c r="S6" t="s">
        <v>451</v>
      </c>
      <c r="T6" t="s">
        <v>452</v>
      </c>
      <c r="U6" s="85" t="s">
        <v>453</v>
      </c>
      <c r="V6" t="s">
        <v>441</v>
      </c>
      <c r="W6" s="85" t="s">
        <v>454</v>
      </c>
      <c r="X6" s="85" t="s">
        <v>455</v>
      </c>
      <c r="Y6" t="s">
        <v>438</v>
      </c>
      <c r="Z6" t="s">
        <v>519</v>
      </c>
      <c r="AA6" t="s">
        <v>520</v>
      </c>
      <c r="AB6" s="85" t="s">
        <v>521</v>
      </c>
      <c r="AC6" t="s">
        <v>456</v>
      </c>
      <c r="AD6" s="84" t="s">
        <v>457</v>
      </c>
      <c r="AE6" s="84" t="s">
        <v>458</v>
      </c>
    </row>
    <row r="7" spans="1:31" ht="15" x14ac:dyDescent="0.25">
      <c r="A7">
        <v>1</v>
      </c>
      <c r="B7" s="82" t="s">
        <v>686</v>
      </c>
      <c r="C7" t="s">
        <v>687</v>
      </c>
      <c r="D7" t="s">
        <v>475</v>
      </c>
      <c r="E7" t="s">
        <v>283</v>
      </c>
      <c r="F7" t="s">
        <v>283</v>
      </c>
      <c r="G7" t="s">
        <v>688</v>
      </c>
      <c r="H7">
        <v>2</v>
      </c>
      <c r="I7">
        <v>3</v>
      </c>
      <c r="J7" t="s">
        <v>689</v>
      </c>
      <c r="K7">
        <v>40</v>
      </c>
      <c r="L7" t="s">
        <v>307</v>
      </c>
      <c r="M7" t="s">
        <v>690</v>
      </c>
      <c r="N7" t="s">
        <v>470</v>
      </c>
      <c r="O7" t="s">
        <v>691</v>
      </c>
      <c r="P7" t="s">
        <v>692</v>
      </c>
      <c r="Q7"/>
      <c r="R7"/>
      <c r="S7"/>
      <c r="T7"/>
      <c r="U7" s="85"/>
      <c r="V7" t="s">
        <v>586</v>
      </c>
      <c r="W7" s="85">
        <v>44359</v>
      </c>
      <c r="X7" s="85"/>
      <c r="Y7" t="s">
        <v>440</v>
      </c>
      <c r="Z7"/>
      <c r="AA7"/>
      <c r="AB7" s="85"/>
      <c r="AC7">
        <v>0</v>
      </c>
      <c r="AD7" s="84">
        <v>44429.790775463</v>
      </c>
      <c r="AE7" s="84">
        <v>44424.480115740997</v>
      </c>
    </row>
    <row r="8" spans="1:31" ht="15" x14ac:dyDescent="0.25">
      <c r="A8">
        <v>2</v>
      </c>
      <c r="B8" s="82" t="s">
        <v>671</v>
      </c>
      <c r="C8" t="s">
        <v>672</v>
      </c>
      <c r="D8" t="s">
        <v>475</v>
      </c>
      <c r="E8" t="s">
        <v>283</v>
      </c>
      <c r="F8" t="s">
        <v>284</v>
      </c>
      <c r="G8" t="s">
        <v>673</v>
      </c>
      <c r="H8">
        <v>9</v>
      </c>
      <c r="I8">
        <v>3</v>
      </c>
      <c r="J8" t="s">
        <v>673</v>
      </c>
      <c r="K8">
        <v>74</v>
      </c>
      <c r="L8" t="s">
        <v>305</v>
      </c>
      <c r="M8" t="s">
        <v>674</v>
      </c>
      <c r="N8" t="s">
        <v>471</v>
      </c>
      <c r="O8" t="s">
        <v>472</v>
      </c>
      <c r="P8"/>
      <c r="Q8"/>
      <c r="R8"/>
      <c r="S8"/>
      <c r="T8"/>
      <c r="U8" s="85"/>
      <c r="V8" t="s">
        <v>478</v>
      </c>
      <c r="W8" s="85">
        <v>44427</v>
      </c>
      <c r="X8" s="85"/>
      <c r="Y8" t="s">
        <v>440</v>
      </c>
      <c r="Z8"/>
      <c r="AA8"/>
      <c r="AB8" s="85"/>
      <c r="AC8">
        <v>0</v>
      </c>
      <c r="AD8" s="84">
        <v>44429.317939815002</v>
      </c>
      <c r="AE8" s="84">
        <v>44427.811226851998</v>
      </c>
    </row>
    <row r="9" spans="1:31" ht="15" x14ac:dyDescent="0.25">
      <c r="A9">
        <v>3</v>
      </c>
      <c r="B9" s="82" t="s">
        <v>675</v>
      </c>
      <c r="C9" t="s">
        <v>676</v>
      </c>
      <c r="D9" t="s">
        <v>475</v>
      </c>
      <c r="E9" t="s">
        <v>283</v>
      </c>
      <c r="F9" t="s">
        <v>309</v>
      </c>
      <c r="G9" t="s">
        <v>346</v>
      </c>
      <c r="H9">
        <v>3</v>
      </c>
      <c r="I9">
        <v>15</v>
      </c>
      <c r="J9" t="s">
        <v>677</v>
      </c>
      <c r="K9">
        <v>23</v>
      </c>
      <c r="L9" t="s">
        <v>307</v>
      </c>
      <c r="M9" t="s">
        <v>308</v>
      </c>
      <c r="N9" t="s">
        <v>471</v>
      </c>
      <c r="O9" t="s">
        <v>472</v>
      </c>
      <c r="P9" t="s">
        <v>678</v>
      </c>
      <c r="Q9"/>
      <c r="R9"/>
      <c r="S9"/>
      <c r="T9"/>
      <c r="U9" s="85"/>
      <c r="V9" t="s">
        <v>679</v>
      </c>
      <c r="W9" s="85">
        <v>44427</v>
      </c>
      <c r="X9" s="85"/>
      <c r="Y9" t="s">
        <v>440</v>
      </c>
      <c r="Z9" t="s">
        <v>680</v>
      </c>
      <c r="AA9" t="s">
        <v>579</v>
      </c>
      <c r="AB9" s="85">
        <v>44427</v>
      </c>
      <c r="AC9">
        <v>0</v>
      </c>
      <c r="AD9" s="84">
        <v>44428.390567130002</v>
      </c>
      <c r="AE9" s="84">
        <v>44428.390567130002</v>
      </c>
    </row>
    <row r="10" spans="1:31" ht="15" x14ac:dyDescent="0.25">
      <c r="A10">
        <v>4</v>
      </c>
      <c r="B10" s="82" t="s">
        <v>681</v>
      </c>
      <c r="C10" t="s">
        <v>682</v>
      </c>
      <c r="D10" t="s">
        <v>475</v>
      </c>
      <c r="E10" t="s">
        <v>283</v>
      </c>
      <c r="F10" t="s">
        <v>309</v>
      </c>
      <c r="G10" t="s">
        <v>346</v>
      </c>
      <c r="H10">
        <v>4</v>
      </c>
      <c r="I10">
        <v>22</v>
      </c>
      <c r="J10" t="s">
        <v>683</v>
      </c>
      <c r="K10">
        <v>48</v>
      </c>
      <c r="L10" t="s">
        <v>305</v>
      </c>
      <c r="M10" t="s">
        <v>684</v>
      </c>
      <c r="N10" t="s">
        <v>471</v>
      </c>
      <c r="O10" t="s">
        <v>472</v>
      </c>
      <c r="P10"/>
      <c r="Q10"/>
      <c r="R10"/>
      <c r="S10"/>
      <c r="T10"/>
      <c r="U10" s="85"/>
      <c r="V10" t="s">
        <v>478</v>
      </c>
      <c r="W10" s="85">
        <v>44428</v>
      </c>
      <c r="X10" s="85"/>
      <c r="Y10" t="s">
        <v>440</v>
      </c>
      <c r="Z10"/>
      <c r="AA10"/>
      <c r="AB10" s="85"/>
      <c r="AC10">
        <v>0</v>
      </c>
      <c r="AD10" s="84">
        <v>44429.324131943999</v>
      </c>
      <c r="AE10" s="84">
        <v>44428.598622685</v>
      </c>
    </row>
    <row r="11" spans="1:31" ht="15" x14ac:dyDescent="0.25">
      <c r="A11">
        <v>5</v>
      </c>
      <c r="B11" s="82" t="s">
        <v>693</v>
      </c>
      <c r="C11" t="s">
        <v>694</v>
      </c>
      <c r="D11" t="s">
        <v>475</v>
      </c>
      <c r="E11" t="s">
        <v>283</v>
      </c>
      <c r="F11" t="s">
        <v>291</v>
      </c>
      <c r="G11" t="s">
        <v>485</v>
      </c>
      <c r="H11">
        <v>8</v>
      </c>
      <c r="I11">
        <v>3</v>
      </c>
      <c r="J11" t="s">
        <v>485</v>
      </c>
      <c r="K11">
        <v>4</v>
      </c>
      <c r="L11" t="s">
        <v>307</v>
      </c>
      <c r="M11" t="s">
        <v>695</v>
      </c>
      <c r="N11" t="s">
        <v>666</v>
      </c>
      <c r="O11" t="s">
        <v>472</v>
      </c>
      <c r="P11" t="s">
        <v>482</v>
      </c>
      <c r="Q11"/>
      <c r="R11"/>
      <c r="S11"/>
      <c r="T11"/>
      <c r="U11" s="85"/>
      <c r="V11" t="s">
        <v>609</v>
      </c>
      <c r="W11" s="85">
        <v>44429</v>
      </c>
      <c r="X11" s="85"/>
      <c r="Y11" t="s">
        <v>440</v>
      </c>
      <c r="Z11">
        <v>21058224</v>
      </c>
      <c r="AA11" t="s">
        <v>579</v>
      </c>
      <c r="AB11" s="85">
        <v>44429</v>
      </c>
      <c r="AC11">
        <v>0</v>
      </c>
      <c r="AD11" s="84">
        <v>44429.596273148003</v>
      </c>
      <c r="AE11" s="84">
        <v>44429.596273148003</v>
      </c>
    </row>
    <row r="12" spans="1:31" ht="15" x14ac:dyDescent="0.25">
      <c r="A12">
        <v>6</v>
      </c>
      <c r="B12" s="82" t="s">
        <v>696</v>
      </c>
      <c r="C12" t="s">
        <v>697</v>
      </c>
      <c r="D12" t="s">
        <v>475</v>
      </c>
      <c r="E12" t="s">
        <v>283</v>
      </c>
      <c r="F12" t="s">
        <v>293</v>
      </c>
      <c r="G12" t="s">
        <v>698</v>
      </c>
      <c r="H12">
        <v>6</v>
      </c>
      <c r="I12">
        <v>4</v>
      </c>
      <c r="J12" t="s">
        <v>698</v>
      </c>
      <c r="K12">
        <v>1</v>
      </c>
      <c r="L12" t="s">
        <v>305</v>
      </c>
      <c r="M12" t="s">
        <v>699</v>
      </c>
      <c r="N12" t="s">
        <v>666</v>
      </c>
      <c r="O12" t="s">
        <v>472</v>
      </c>
      <c r="P12" t="s">
        <v>700</v>
      </c>
      <c r="Q12"/>
      <c r="R12"/>
      <c r="S12"/>
      <c r="T12"/>
      <c r="U12" s="85"/>
      <c r="V12" t="s">
        <v>616</v>
      </c>
      <c r="W12" s="85">
        <v>44428</v>
      </c>
      <c r="X12" s="85"/>
      <c r="Y12" t="s">
        <v>440</v>
      </c>
      <c r="Z12"/>
      <c r="AA12"/>
      <c r="AB12" s="85"/>
      <c r="AC12">
        <v>0</v>
      </c>
      <c r="AD12" s="84">
        <v>44429.758888889002</v>
      </c>
      <c r="AE12" s="84">
        <v>44429.758888889002</v>
      </c>
    </row>
    <row r="13" spans="1:31" ht="15" x14ac:dyDescent="0.25">
      <c r="A13">
        <v>7</v>
      </c>
      <c r="B13" s="82" t="s">
        <v>701</v>
      </c>
      <c r="C13" t="s">
        <v>702</v>
      </c>
      <c r="D13" t="s">
        <v>475</v>
      </c>
      <c r="E13" t="s">
        <v>283</v>
      </c>
      <c r="F13" t="s">
        <v>284</v>
      </c>
      <c r="G13" t="s">
        <v>703</v>
      </c>
      <c r="H13">
        <v>2</v>
      </c>
      <c r="I13">
        <v>2</v>
      </c>
      <c r="J13" t="s">
        <v>703</v>
      </c>
      <c r="K13">
        <v>58</v>
      </c>
      <c r="L13" t="s">
        <v>305</v>
      </c>
      <c r="M13" t="s">
        <v>704</v>
      </c>
      <c r="N13" t="s">
        <v>469</v>
      </c>
      <c r="O13" t="s">
        <v>705</v>
      </c>
      <c r="P13" t="s">
        <v>706</v>
      </c>
      <c r="Q13"/>
      <c r="R13"/>
      <c r="S13"/>
      <c r="T13"/>
      <c r="U13" s="85"/>
      <c r="V13" t="s">
        <v>586</v>
      </c>
      <c r="W13" s="85">
        <v>44429</v>
      </c>
      <c r="X13" s="85"/>
      <c r="Y13" t="s">
        <v>440</v>
      </c>
      <c r="Z13"/>
      <c r="AA13"/>
      <c r="AB13" s="85"/>
      <c r="AC13">
        <v>0</v>
      </c>
      <c r="AD13" s="84">
        <v>44429.807268518998</v>
      </c>
      <c r="AE13" s="84">
        <v>44429.807268518998</v>
      </c>
    </row>
    <row r="14" spans="1:31" ht="15" x14ac:dyDescent="0.25">
      <c r="A14">
        <v>8</v>
      </c>
      <c r="B14" s="82" t="s">
        <v>707</v>
      </c>
      <c r="C14" t="s">
        <v>708</v>
      </c>
      <c r="D14" t="s">
        <v>475</v>
      </c>
      <c r="E14" t="s">
        <v>283</v>
      </c>
      <c r="F14" t="s">
        <v>282</v>
      </c>
      <c r="G14" t="s">
        <v>709</v>
      </c>
      <c r="H14">
        <v>1</v>
      </c>
      <c r="I14">
        <v>9</v>
      </c>
      <c r="J14" t="s">
        <v>709</v>
      </c>
      <c r="K14">
        <v>45</v>
      </c>
      <c r="L14" t="s">
        <v>305</v>
      </c>
      <c r="M14" t="s">
        <v>308</v>
      </c>
      <c r="N14" t="s">
        <v>462</v>
      </c>
      <c r="O14" t="s">
        <v>472</v>
      </c>
      <c r="P14" t="s">
        <v>334</v>
      </c>
      <c r="Q14"/>
      <c r="R14"/>
      <c r="S14"/>
      <c r="T14"/>
      <c r="U14" s="85"/>
      <c r="V14" t="s">
        <v>558</v>
      </c>
      <c r="W14" s="85">
        <v>44429</v>
      </c>
      <c r="X14" s="85"/>
      <c r="Y14" t="s">
        <v>440</v>
      </c>
      <c r="Z14" t="s">
        <v>710</v>
      </c>
      <c r="AA14" t="s">
        <v>579</v>
      </c>
      <c r="AB14" s="85">
        <v>44429</v>
      </c>
      <c r="AC14">
        <v>0</v>
      </c>
      <c r="AD14" s="84">
        <v>44430.324247684999</v>
      </c>
      <c r="AE14" s="84">
        <v>44430.324247684999</v>
      </c>
    </row>
    <row r="15" spans="1:31" ht="15" x14ac:dyDescent="0.25">
      <c r="A15">
        <v>9</v>
      </c>
      <c r="B15" s="82" t="s">
        <v>711</v>
      </c>
      <c r="C15" t="s">
        <v>712</v>
      </c>
      <c r="D15" t="s">
        <v>475</v>
      </c>
      <c r="E15" t="s">
        <v>283</v>
      </c>
      <c r="F15" t="s">
        <v>309</v>
      </c>
      <c r="G15" t="s">
        <v>346</v>
      </c>
      <c r="H15">
        <v>1</v>
      </c>
      <c r="I15">
        <v>30</v>
      </c>
      <c r="J15" t="s">
        <v>713</v>
      </c>
      <c r="K15">
        <v>62</v>
      </c>
      <c r="L15" t="s">
        <v>307</v>
      </c>
      <c r="M15" t="s">
        <v>308</v>
      </c>
      <c r="N15" t="s">
        <v>474</v>
      </c>
      <c r="O15" t="s">
        <v>472</v>
      </c>
      <c r="P15" t="s">
        <v>334</v>
      </c>
      <c r="Q15"/>
      <c r="R15"/>
      <c r="S15"/>
      <c r="T15"/>
      <c r="U15" s="85"/>
      <c r="V15" t="s">
        <v>558</v>
      </c>
      <c r="W15" s="85">
        <v>44429</v>
      </c>
      <c r="X15" s="85"/>
      <c r="Y15" t="s">
        <v>440</v>
      </c>
      <c r="Z15" t="s">
        <v>714</v>
      </c>
      <c r="AA15" t="s">
        <v>579</v>
      </c>
      <c r="AB15" s="85">
        <v>44429</v>
      </c>
      <c r="AC15">
        <v>0</v>
      </c>
      <c r="AD15" s="84">
        <v>44430.327858796001</v>
      </c>
      <c r="AE15" s="84">
        <v>44430.327858796001</v>
      </c>
    </row>
    <row r="16" spans="1:31" ht="15" x14ac:dyDescent="0.25">
      <c r="A16">
        <v>10</v>
      </c>
      <c r="B16" s="82" t="s">
        <v>715</v>
      </c>
      <c r="C16" t="s">
        <v>716</v>
      </c>
      <c r="D16" t="s">
        <v>475</v>
      </c>
      <c r="E16" t="s">
        <v>283</v>
      </c>
      <c r="F16" t="s">
        <v>309</v>
      </c>
      <c r="G16" t="s">
        <v>643</v>
      </c>
      <c r="H16">
        <v>2</v>
      </c>
      <c r="I16">
        <v>4</v>
      </c>
      <c r="J16" t="s">
        <v>644</v>
      </c>
      <c r="K16">
        <v>60</v>
      </c>
      <c r="L16" t="s">
        <v>307</v>
      </c>
      <c r="M16" t="s">
        <v>717</v>
      </c>
      <c r="N16" t="s">
        <v>639</v>
      </c>
      <c r="O16" t="s">
        <v>472</v>
      </c>
      <c r="P16" t="s">
        <v>334</v>
      </c>
      <c r="Q16"/>
      <c r="R16"/>
      <c r="S16"/>
      <c r="T16"/>
      <c r="U16" s="85"/>
      <c r="V16" t="s">
        <v>558</v>
      </c>
      <c r="W16" s="85">
        <v>44429</v>
      </c>
      <c r="X16" s="85"/>
      <c r="Y16" t="s">
        <v>440</v>
      </c>
      <c r="Z16" t="s">
        <v>718</v>
      </c>
      <c r="AA16" t="s">
        <v>579</v>
      </c>
      <c r="AB16" s="85">
        <v>44429</v>
      </c>
      <c r="AC16">
        <v>0</v>
      </c>
      <c r="AD16" s="84">
        <v>44430.335891203998</v>
      </c>
      <c r="AE16" s="84">
        <v>44430.335891203998</v>
      </c>
    </row>
    <row r="17" spans="1:31" ht="15" x14ac:dyDescent="0.25">
      <c r="A17">
        <v>11</v>
      </c>
      <c r="B17" s="82" t="s">
        <v>719</v>
      </c>
      <c r="C17" t="s">
        <v>720</v>
      </c>
      <c r="D17" t="s">
        <v>475</v>
      </c>
      <c r="E17" t="s">
        <v>283</v>
      </c>
      <c r="F17" t="s">
        <v>309</v>
      </c>
      <c r="G17" t="s">
        <v>643</v>
      </c>
      <c r="H17">
        <v>2</v>
      </c>
      <c r="I17">
        <v>4</v>
      </c>
      <c r="J17" t="s">
        <v>644</v>
      </c>
      <c r="K17">
        <v>21</v>
      </c>
      <c r="L17" t="s">
        <v>307</v>
      </c>
      <c r="M17" t="s">
        <v>308</v>
      </c>
      <c r="N17" t="s">
        <v>480</v>
      </c>
      <c r="O17" t="s">
        <v>472</v>
      </c>
      <c r="P17" t="s">
        <v>334</v>
      </c>
      <c r="Q17"/>
      <c r="R17"/>
      <c r="S17"/>
      <c r="T17"/>
      <c r="U17" s="85"/>
      <c r="V17" t="s">
        <v>558</v>
      </c>
      <c r="W17" s="85">
        <v>44429</v>
      </c>
      <c r="X17" s="85"/>
      <c r="Y17" t="s">
        <v>440</v>
      </c>
      <c r="Z17" t="s">
        <v>721</v>
      </c>
      <c r="AA17" t="s">
        <v>579</v>
      </c>
      <c r="AB17" s="85">
        <v>44429</v>
      </c>
      <c r="AC17">
        <v>0</v>
      </c>
      <c r="AD17" s="84">
        <v>44430.337534721999</v>
      </c>
      <c r="AE17" s="84">
        <v>44430.337534721999</v>
      </c>
    </row>
    <row r="18" spans="1:31" ht="15" x14ac:dyDescent="0.25">
      <c r="A18">
        <v>12</v>
      </c>
      <c r="B18" s="82" t="s">
        <v>488</v>
      </c>
      <c r="C18" t="s">
        <v>489</v>
      </c>
      <c r="D18" t="s">
        <v>475</v>
      </c>
      <c r="E18" t="s">
        <v>283</v>
      </c>
      <c r="F18" t="s">
        <v>289</v>
      </c>
      <c r="G18" t="s">
        <v>490</v>
      </c>
      <c r="H18">
        <v>3</v>
      </c>
      <c r="I18">
        <v>3</v>
      </c>
      <c r="J18" t="s">
        <v>490</v>
      </c>
      <c r="K18">
        <v>19</v>
      </c>
      <c r="L18" t="s">
        <v>307</v>
      </c>
      <c r="M18" t="s">
        <v>491</v>
      </c>
      <c r="N18" t="s">
        <v>480</v>
      </c>
      <c r="O18" t="s">
        <v>472</v>
      </c>
      <c r="P18" t="s">
        <v>487</v>
      </c>
      <c r="Q18"/>
      <c r="R18"/>
      <c r="S18"/>
      <c r="T18"/>
      <c r="U18" s="85"/>
      <c r="V18" t="s">
        <v>530</v>
      </c>
      <c r="W18" s="85">
        <v>44357</v>
      </c>
      <c r="X18" s="85"/>
      <c r="Y18" t="s">
        <v>440</v>
      </c>
      <c r="Z18"/>
      <c r="AA18"/>
      <c r="AB18" s="85"/>
      <c r="AC18">
        <v>0</v>
      </c>
      <c r="AD18" s="84">
        <v>44359.813113425997</v>
      </c>
      <c r="AE18" s="84">
        <v>44359.813113425997</v>
      </c>
    </row>
    <row r="19" spans="1:31" ht="15" x14ac:dyDescent="0.25">
      <c r="A19">
        <v>13</v>
      </c>
      <c r="B19" s="82" t="s">
        <v>494</v>
      </c>
      <c r="C19" t="s">
        <v>495</v>
      </c>
      <c r="D19" t="s">
        <v>475</v>
      </c>
      <c r="E19" t="s">
        <v>283</v>
      </c>
      <c r="F19" t="s">
        <v>285</v>
      </c>
      <c r="G19" t="s">
        <v>341</v>
      </c>
      <c r="H19">
        <v>5</v>
      </c>
      <c r="I19">
        <v>4</v>
      </c>
      <c r="J19" t="s">
        <v>496</v>
      </c>
      <c r="K19">
        <v>52</v>
      </c>
      <c r="L19" t="s">
        <v>305</v>
      </c>
      <c r="M19" t="s">
        <v>497</v>
      </c>
      <c r="N19" t="s">
        <v>462</v>
      </c>
      <c r="O19" t="s">
        <v>498</v>
      </c>
      <c r="P19" t="s">
        <v>479</v>
      </c>
      <c r="Q19"/>
      <c r="R19"/>
      <c r="S19"/>
      <c r="T19" t="s">
        <v>685</v>
      </c>
      <c r="U19" s="85"/>
      <c r="V19" t="s">
        <v>499</v>
      </c>
      <c r="W19" s="85">
        <v>44359</v>
      </c>
      <c r="X19" s="85"/>
      <c r="Y19" t="s">
        <v>440</v>
      </c>
      <c r="Z19"/>
      <c r="AA19"/>
      <c r="AB19" s="85"/>
      <c r="AC19">
        <v>0</v>
      </c>
      <c r="AD19" s="84">
        <v>44361.344733796002</v>
      </c>
      <c r="AE19" s="84">
        <v>44361.344733796002</v>
      </c>
    </row>
    <row r="20" spans="1:31" ht="15" x14ac:dyDescent="0.25">
      <c r="A20">
        <v>14</v>
      </c>
      <c r="B20" s="82" t="s">
        <v>501</v>
      </c>
      <c r="C20" t="s">
        <v>502</v>
      </c>
      <c r="D20" t="s">
        <v>475</v>
      </c>
      <c r="E20" t="s">
        <v>283</v>
      </c>
      <c r="F20" t="s">
        <v>291</v>
      </c>
      <c r="G20" t="s">
        <v>485</v>
      </c>
      <c r="H20">
        <v>7</v>
      </c>
      <c r="I20">
        <v>3</v>
      </c>
      <c r="J20" t="s">
        <v>485</v>
      </c>
      <c r="K20">
        <v>49</v>
      </c>
      <c r="L20" t="s">
        <v>307</v>
      </c>
      <c r="M20" t="s">
        <v>503</v>
      </c>
      <c r="N20" t="s">
        <v>471</v>
      </c>
      <c r="O20" t="s">
        <v>472</v>
      </c>
      <c r="P20" t="s">
        <v>483</v>
      </c>
      <c r="Q20"/>
      <c r="R20"/>
      <c r="S20"/>
      <c r="T20"/>
      <c r="U20" s="85"/>
      <c r="V20" t="s">
        <v>484</v>
      </c>
      <c r="W20" s="85">
        <v>44362</v>
      </c>
      <c r="X20" s="85"/>
      <c r="Y20" t="s">
        <v>440</v>
      </c>
      <c r="Z20"/>
      <c r="AA20"/>
      <c r="AB20" s="85"/>
      <c r="AC20">
        <v>0</v>
      </c>
      <c r="AD20" s="84">
        <v>44362.310740740999</v>
      </c>
      <c r="AE20" s="84">
        <v>44362.310740740999</v>
      </c>
    </row>
    <row r="21" spans="1:31" ht="15" x14ac:dyDescent="0.25">
      <c r="A21">
        <v>15</v>
      </c>
      <c r="B21" s="82" t="s">
        <v>507</v>
      </c>
      <c r="C21" t="s">
        <v>508</v>
      </c>
      <c r="D21" t="s">
        <v>475</v>
      </c>
      <c r="E21" t="s">
        <v>283</v>
      </c>
      <c r="F21" t="s">
        <v>292</v>
      </c>
      <c r="G21" t="s">
        <v>486</v>
      </c>
      <c r="H21">
        <v>3</v>
      </c>
      <c r="I21">
        <v>2</v>
      </c>
      <c r="J21" t="s">
        <v>486</v>
      </c>
      <c r="K21">
        <v>55</v>
      </c>
      <c r="L21" t="s">
        <v>305</v>
      </c>
      <c r="M21" t="s">
        <v>509</v>
      </c>
      <c r="N21" t="s">
        <v>510</v>
      </c>
      <c r="O21" t="s">
        <v>511</v>
      </c>
      <c r="P21" t="s">
        <v>482</v>
      </c>
      <c r="Q21"/>
      <c r="R21"/>
      <c r="S21"/>
      <c r="T21"/>
      <c r="U21" s="85"/>
      <c r="V21" t="s">
        <v>512</v>
      </c>
      <c r="W21" s="85">
        <v>44362</v>
      </c>
      <c r="X21" s="85"/>
      <c r="Y21" t="s">
        <v>440</v>
      </c>
      <c r="Z21"/>
      <c r="AA21"/>
      <c r="AB21" s="85"/>
      <c r="AC21">
        <v>1</v>
      </c>
      <c r="AD21" s="84">
        <v>44363.290347221999</v>
      </c>
      <c r="AE21" s="84">
        <v>44363.290347221999</v>
      </c>
    </row>
    <row r="22" spans="1:31" ht="15" x14ac:dyDescent="0.25">
      <c r="A22">
        <v>16</v>
      </c>
      <c r="B22" s="82" t="s">
        <v>514</v>
      </c>
      <c r="C22" t="s">
        <v>515</v>
      </c>
      <c r="D22" t="s">
        <v>475</v>
      </c>
      <c r="E22" t="s">
        <v>283</v>
      </c>
      <c r="F22" t="s">
        <v>309</v>
      </c>
      <c r="G22" t="s">
        <v>346</v>
      </c>
      <c r="H22">
        <v>3</v>
      </c>
      <c r="I22">
        <v>24</v>
      </c>
      <c r="J22" t="s">
        <v>516</v>
      </c>
      <c r="K22">
        <v>58</v>
      </c>
      <c r="L22" t="s">
        <v>305</v>
      </c>
      <c r="M22" t="s">
        <v>517</v>
      </c>
      <c r="N22" t="s">
        <v>471</v>
      </c>
      <c r="O22" t="s">
        <v>472</v>
      </c>
      <c r="P22" t="s">
        <v>473</v>
      </c>
      <c r="Q22"/>
      <c r="R22"/>
      <c r="S22"/>
      <c r="T22"/>
      <c r="U22" s="85"/>
      <c r="V22" t="s">
        <v>478</v>
      </c>
      <c r="W22" s="85">
        <v>44369</v>
      </c>
      <c r="X22" s="85"/>
      <c r="Y22" t="s">
        <v>440</v>
      </c>
      <c r="Z22"/>
      <c r="AA22"/>
      <c r="AB22" s="85"/>
      <c r="AC22">
        <v>2</v>
      </c>
      <c r="AD22" s="84">
        <v>44370.563344907001</v>
      </c>
      <c r="AE22" s="84">
        <v>44370.563344907001</v>
      </c>
    </row>
    <row r="23" spans="1:31" ht="15" x14ac:dyDescent="0.25">
      <c r="A23">
        <v>17</v>
      </c>
      <c r="B23" s="82" t="s">
        <v>523</v>
      </c>
      <c r="C23" t="s">
        <v>524</v>
      </c>
      <c r="D23" t="s">
        <v>475</v>
      </c>
      <c r="E23" t="s">
        <v>283</v>
      </c>
      <c r="F23" t="s">
        <v>309</v>
      </c>
      <c r="G23" t="s">
        <v>309</v>
      </c>
      <c r="H23">
        <v>7</v>
      </c>
      <c r="I23">
        <v>3</v>
      </c>
      <c r="J23" t="s">
        <v>525</v>
      </c>
      <c r="K23">
        <v>46</v>
      </c>
      <c r="L23" t="s">
        <v>305</v>
      </c>
      <c r="M23" t="s">
        <v>308</v>
      </c>
      <c r="N23" t="s">
        <v>471</v>
      </c>
      <c r="O23" t="s">
        <v>472</v>
      </c>
      <c r="P23" t="s">
        <v>513</v>
      </c>
      <c r="Q23"/>
      <c r="R23"/>
      <c r="S23"/>
      <c r="T23"/>
      <c r="U23" s="85"/>
      <c r="V23" t="s">
        <v>478</v>
      </c>
      <c r="W23" s="85">
        <v>44372</v>
      </c>
      <c r="X23" s="85"/>
      <c r="Y23" t="s">
        <v>440</v>
      </c>
      <c r="Z23"/>
      <c r="AA23"/>
      <c r="AB23" s="85"/>
      <c r="AC23">
        <v>0</v>
      </c>
      <c r="AD23" s="84">
        <v>44373.484652778003</v>
      </c>
      <c r="AE23" s="84">
        <v>44373.484652778003</v>
      </c>
    </row>
    <row r="24" spans="1:31" ht="15" x14ac:dyDescent="0.25">
      <c r="A24">
        <v>18</v>
      </c>
      <c r="B24" s="82" t="s">
        <v>526</v>
      </c>
      <c r="C24" t="s">
        <v>527</v>
      </c>
      <c r="D24" t="s">
        <v>475</v>
      </c>
      <c r="E24" t="s">
        <v>283</v>
      </c>
      <c r="F24" t="s">
        <v>309</v>
      </c>
      <c r="G24" t="s">
        <v>476</v>
      </c>
      <c r="H24">
        <v>7</v>
      </c>
      <c r="I24">
        <v>21</v>
      </c>
      <c r="J24" t="s">
        <v>528</v>
      </c>
      <c r="K24">
        <v>69</v>
      </c>
      <c r="L24" t="s">
        <v>305</v>
      </c>
      <c r="M24" t="s">
        <v>500</v>
      </c>
      <c r="N24" t="s">
        <v>471</v>
      </c>
      <c r="O24" t="s">
        <v>472</v>
      </c>
      <c r="P24" t="s">
        <v>513</v>
      </c>
      <c r="Q24"/>
      <c r="R24"/>
      <c r="S24"/>
      <c r="T24"/>
      <c r="U24" s="85"/>
      <c r="V24" t="s">
        <v>478</v>
      </c>
      <c r="W24" s="85">
        <v>44374</v>
      </c>
      <c r="X24" s="85"/>
      <c r="Y24" t="s">
        <v>440</v>
      </c>
      <c r="Z24"/>
      <c r="AA24"/>
      <c r="AB24" s="85"/>
      <c r="AC24">
        <v>0</v>
      </c>
      <c r="AD24" s="84">
        <v>44376.326423610997</v>
      </c>
      <c r="AE24" s="84">
        <v>44374.932384259002</v>
      </c>
    </row>
    <row r="25" spans="1:31" ht="15" x14ac:dyDescent="0.25">
      <c r="A25">
        <v>19</v>
      </c>
      <c r="B25" s="82" t="s">
        <v>532</v>
      </c>
      <c r="C25" t="s">
        <v>533</v>
      </c>
      <c r="D25" t="s">
        <v>475</v>
      </c>
      <c r="E25" t="s">
        <v>283</v>
      </c>
      <c r="F25" t="s">
        <v>309</v>
      </c>
      <c r="G25" t="s">
        <v>309</v>
      </c>
      <c r="H25">
        <v>10</v>
      </c>
      <c r="I25">
        <v>7</v>
      </c>
      <c r="J25" t="s">
        <v>534</v>
      </c>
      <c r="K25">
        <v>30</v>
      </c>
      <c r="L25" t="s">
        <v>307</v>
      </c>
      <c r="M25" t="s">
        <v>535</v>
      </c>
      <c r="N25" t="s">
        <v>462</v>
      </c>
      <c r="O25" t="s">
        <v>472</v>
      </c>
      <c r="P25" t="s">
        <v>536</v>
      </c>
      <c r="Q25"/>
      <c r="R25"/>
      <c r="S25"/>
      <c r="T25"/>
      <c r="U25" s="85"/>
      <c r="V25" t="s">
        <v>537</v>
      </c>
      <c r="W25" s="85">
        <v>44379</v>
      </c>
      <c r="X25" s="85"/>
      <c r="Y25" t="s">
        <v>440</v>
      </c>
      <c r="Z25"/>
      <c r="AA25"/>
      <c r="AB25" s="85"/>
      <c r="AC25">
        <v>0</v>
      </c>
      <c r="AD25" s="84">
        <v>44380.488125000003</v>
      </c>
      <c r="AE25" s="84">
        <v>44380.488125000003</v>
      </c>
    </row>
    <row r="26" spans="1:31" ht="15" x14ac:dyDescent="0.25">
      <c r="A26">
        <v>20</v>
      </c>
      <c r="B26" s="82" t="s">
        <v>538</v>
      </c>
      <c r="C26" t="s">
        <v>539</v>
      </c>
      <c r="D26" t="s">
        <v>475</v>
      </c>
      <c r="E26" t="s">
        <v>283</v>
      </c>
      <c r="F26" t="s">
        <v>285</v>
      </c>
      <c r="G26" t="s">
        <v>540</v>
      </c>
      <c r="H26">
        <v>3</v>
      </c>
      <c r="I26">
        <v>3</v>
      </c>
      <c r="J26" t="s">
        <v>540</v>
      </c>
      <c r="K26">
        <v>47</v>
      </c>
      <c r="L26" t="s">
        <v>307</v>
      </c>
      <c r="M26" t="s">
        <v>541</v>
      </c>
      <c r="N26" t="s">
        <v>471</v>
      </c>
      <c r="O26" t="s">
        <v>472</v>
      </c>
      <c r="P26" t="s">
        <v>473</v>
      </c>
      <c r="Q26"/>
      <c r="R26"/>
      <c r="S26"/>
      <c r="T26"/>
      <c r="U26" s="85"/>
      <c r="V26" t="s">
        <v>478</v>
      </c>
      <c r="W26" s="85">
        <v>44377</v>
      </c>
      <c r="X26" s="85"/>
      <c r="Y26" t="s">
        <v>440</v>
      </c>
      <c r="Z26"/>
      <c r="AA26"/>
      <c r="AB26" s="85"/>
      <c r="AC26">
        <v>0</v>
      </c>
      <c r="AD26" s="84">
        <v>44382.622627315002</v>
      </c>
      <c r="AE26" s="84">
        <v>44382.622627315002</v>
      </c>
    </row>
    <row r="27" spans="1:31" ht="15" x14ac:dyDescent="0.25">
      <c r="A27">
        <v>21</v>
      </c>
      <c r="B27" s="82" t="s">
        <v>547</v>
      </c>
      <c r="C27" t="s">
        <v>548</v>
      </c>
      <c r="D27" t="s">
        <v>475</v>
      </c>
      <c r="E27" t="s">
        <v>283</v>
      </c>
      <c r="F27" t="s">
        <v>309</v>
      </c>
      <c r="G27" t="s">
        <v>481</v>
      </c>
      <c r="H27">
        <v>1</v>
      </c>
      <c r="I27">
        <v>1</v>
      </c>
      <c r="J27" t="s">
        <v>481</v>
      </c>
      <c r="K27">
        <v>69</v>
      </c>
      <c r="L27" t="s">
        <v>305</v>
      </c>
      <c r="M27" t="s">
        <v>549</v>
      </c>
      <c r="N27" t="s">
        <v>474</v>
      </c>
      <c r="O27" t="s">
        <v>472</v>
      </c>
      <c r="P27" t="s">
        <v>513</v>
      </c>
      <c r="Q27"/>
      <c r="R27"/>
      <c r="S27"/>
      <c r="T27"/>
      <c r="U27" s="85"/>
      <c r="V27" t="s">
        <v>478</v>
      </c>
      <c r="W27" s="85">
        <v>44384</v>
      </c>
      <c r="X27" s="85"/>
      <c r="Y27" t="s">
        <v>440</v>
      </c>
      <c r="Z27"/>
      <c r="AA27"/>
      <c r="AB27" s="85"/>
      <c r="AC27">
        <v>0</v>
      </c>
      <c r="AD27" s="84">
        <v>44384.898194444002</v>
      </c>
      <c r="AE27" s="84">
        <v>44384.898194444002</v>
      </c>
    </row>
    <row r="28" spans="1:31" ht="15" x14ac:dyDescent="0.25">
      <c r="A28">
        <v>22</v>
      </c>
      <c r="B28" s="82" t="s">
        <v>554</v>
      </c>
      <c r="C28" t="s">
        <v>555</v>
      </c>
      <c r="D28" t="s">
        <v>475</v>
      </c>
      <c r="E28" t="s">
        <v>283</v>
      </c>
      <c r="F28" t="s">
        <v>309</v>
      </c>
      <c r="G28" t="s">
        <v>346</v>
      </c>
      <c r="H28">
        <v>21</v>
      </c>
      <c r="I28">
        <v>30</v>
      </c>
      <c r="J28" t="s">
        <v>556</v>
      </c>
      <c r="K28">
        <v>48</v>
      </c>
      <c r="L28" t="s">
        <v>307</v>
      </c>
      <c r="M28" t="s">
        <v>557</v>
      </c>
      <c r="N28" t="s">
        <v>471</v>
      </c>
      <c r="O28" t="s">
        <v>472</v>
      </c>
      <c r="P28" t="s">
        <v>513</v>
      </c>
      <c r="Q28"/>
      <c r="R28"/>
      <c r="S28"/>
      <c r="T28"/>
      <c r="U28" s="85"/>
      <c r="V28" t="s">
        <v>478</v>
      </c>
      <c r="W28" s="85">
        <v>44384</v>
      </c>
      <c r="X28" s="85"/>
      <c r="Y28" t="s">
        <v>440</v>
      </c>
      <c r="Z28"/>
      <c r="AA28"/>
      <c r="AB28" s="85"/>
      <c r="AC28">
        <v>0</v>
      </c>
      <c r="AD28" s="84">
        <v>44384.901585647996</v>
      </c>
      <c r="AE28" s="84">
        <v>44384.901585647996</v>
      </c>
    </row>
    <row r="29" spans="1:31" ht="15" x14ac:dyDescent="0.25">
      <c r="A29">
        <v>23</v>
      </c>
      <c r="B29" s="82" t="s">
        <v>550</v>
      </c>
      <c r="C29" t="s">
        <v>551</v>
      </c>
      <c r="D29" t="s">
        <v>475</v>
      </c>
      <c r="E29" t="s">
        <v>283</v>
      </c>
      <c r="F29" t="s">
        <v>309</v>
      </c>
      <c r="G29" t="s">
        <v>476</v>
      </c>
      <c r="H29">
        <v>3</v>
      </c>
      <c r="I29">
        <v>20</v>
      </c>
      <c r="J29" t="s">
        <v>552</v>
      </c>
      <c r="K29">
        <v>56</v>
      </c>
      <c r="L29" t="s">
        <v>305</v>
      </c>
      <c r="M29" t="s">
        <v>553</v>
      </c>
      <c r="N29" t="s">
        <v>477</v>
      </c>
      <c r="O29" t="s">
        <v>472</v>
      </c>
      <c r="P29" t="s">
        <v>492</v>
      </c>
      <c r="Q29"/>
      <c r="R29"/>
      <c r="S29"/>
      <c r="T29"/>
      <c r="U29" s="85"/>
      <c r="V29" t="s">
        <v>493</v>
      </c>
      <c r="W29" s="85">
        <v>44384</v>
      </c>
      <c r="X29" s="85"/>
      <c r="Y29" t="s">
        <v>440</v>
      </c>
      <c r="Z29"/>
      <c r="AA29"/>
      <c r="AB29" s="85"/>
      <c r="AC29">
        <v>0</v>
      </c>
      <c r="AD29" s="84">
        <v>44385.406284721998</v>
      </c>
      <c r="AE29" s="84">
        <v>44385.406284721998</v>
      </c>
    </row>
    <row r="30" spans="1:31" ht="15" x14ac:dyDescent="0.25">
      <c r="A30">
        <v>24</v>
      </c>
      <c r="B30" s="82" t="s">
        <v>542</v>
      </c>
      <c r="C30" t="s">
        <v>543</v>
      </c>
      <c r="D30" t="s">
        <v>475</v>
      </c>
      <c r="E30" t="s">
        <v>283</v>
      </c>
      <c r="F30" t="s">
        <v>285</v>
      </c>
      <c r="G30" t="s">
        <v>531</v>
      </c>
      <c r="H30">
        <v>3</v>
      </c>
      <c r="I30">
        <v>5</v>
      </c>
      <c r="J30" t="s">
        <v>544</v>
      </c>
      <c r="K30">
        <v>49</v>
      </c>
      <c r="L30" t="s">
        <v>307</v>
      </c>
      <c r="M30" t="s">
        <v>545</v>
      </c>
      <c r="N30" t="s">
        <v>474</v>
      </c>
      <c r="O30" t="s">
        <v>472</v>
      </c>
      <c r="P30" t="s">
        <v>546</v>
      </c>
      <c r="Q30"/>
      <c r="R30"/>
      <c r="S30"/>
      <c r="T30"/>
      <c r="U30" s="85"/>
      <c r="V30" t="s">
        <v>493</v>
      </c>
      <c r="W30" s="85">
        <v>44383</v>
      </c>
      <c r="X30" s="85"/>
      <c r="Y30" t="s">
        <v>440</v>
      </c>
      <c r="Z30"/>
      <c r="AA30"/>
      <c r="AB30" s="85"/>
      <c r="AC30">
        <v>0</v>
      </c>
      <c r="AD30" s="84">
        <v>44385.415798611</v>
      </c>
      <c r="AE30" s="84">
        <v>44385.415798611</v>
      </c>
    </row>
    <row r="31" spans="1:31" ht="15" x14ac:dyDescent="0.25">
      <c r="A31">
        <v>25</v>
      </c>
      <c r="B31" s="82" t="s">
        <v>560</v>
      </c>
      <c r="C31" t="s">
        <v>561</v>
      </c>
      <c r="D31" t="s">
        <v>475</v>
      </c>
      <c r="E31" t="s">
        <v>283</v>
      </c>
      <c r="F31" t="s">
        <v>309</v>
      </c>
      <c r="G31" t="s">
        <v>562</v>
      </c>
      <c r="H31">
        <v>19</v>
      </c>
      <c r="I31">
        <v>1</v>
      </c>
      <c r="J31" t="s">
        <v>563</v>
      </c>
      <c r="K31">
        <v>24</v>
      </c>
      <c r="L31" t="s">
        <v>307</v>
      </c>
      <c r="M31" t="s">
        <v>564</v>
      </c>
      <c r="N31" t="s">
        <v>471</v>
      </c>
      <c r="O31" t="s">
        <v>472</v>
      </c>
      <c r="P31" t="s">
        <v>513</v>
      </c>
      <c r="Q31"/>
      <c r="R31"/>
      <c r="S31"/>
      <c r="T31"/>
      <c r="U31" s="85"/>
      <c r="V31" t="s">
        <v>478</v>
      </c>
      <c r="W31" s="85">
        <v>44388</v>
      </c>
      <c r="X31" s="85"/>
      <c r="Y31" t="s">
        <v>440</v>
      </c>
      <c r="Z31"/>
      <c r="AA31"/>
      <c r="AB31" s="85"/>
      <c r="AC31">
        <v>0</v>
      </c>
      <c r="AD31" s="84">
        <v>44389.688125000001</v>
      </c>
      <c r="AE31" s="84">
        <v>44389.688125000001</v>
      </c>
    </row>
    <row r="32" spans="1:31" ht="15" x14ac:dyDescent="0.25">
      <c r="A32">
        <v>26</v>
      </c>
      <c r="B32" s="82" t="s">
        <v>559</v>
      </c>
      <c r="C32" t="s">
        <v>566</v>
      </c>
      <c r="D32" t="s">
        <v>475</v>
      </c>
      <c r="E32" t="s">
        <v>283</v>
      </c>
      <c r="F32" t="s">
        <v>285</v>
      </c>
      <c r="G32" t="s">
        <v>529</v>
      </c>
      <c r="H32">
        <v>3</v>
      </c>
      <c r="I32">
        <v>2</v>
      </c>
      <c r="J32" t="s">
        <v>567</v>
      </c>
      <c r="K32">
        <v>69</v>
      </c>
      <c r="L32" t="s">
        <v>305</v>
      </c>
      <c r="M32" t="s">
        <v>568</v>
      </c>
      <c r="N32"/>
      <c r="O32"/>
      <c r="P32" t="s">
        <v>513</v>
      </c>
      <c r="Q32"/>
      <c r="R32"/>
      <c r="S32"/>
      <c r="T32"/>
      <c r="U32" s="85"/>
      <c r="V32" t="s">
        <v>478</v>
      </c>
      <c r="W32" s="85">
        <v>44382</v>
      </c>
      <c r="X32" s="85"/>
      <c r="Y32" t="s">
        <v>440</v>
      </c>
      <c r="Z32"/>
      <c r="AA32"/>
      <c r="AB32" s="85"/>
      <c r="AC32">
        <v>0</v>
      </c>
      <c r="AD32" s="84">
        <v>44396.500775462999</v>
      </c>
      <c r="AE32" s="84">
        <v>44395.468495369998</v>
      </c>
    </row>
    <row r="33" spans="1:31" ht="15" x14ac:dyDescent="0.25">
      <c r="A33">
        <v>27</v>
      </c>
      <c r="B33" s="82" t="s">
        <v>580</v>
      </c>
      <c r="C33" t="s">
        <v>581</v>
      </c>
      <c r="D33" t="s">
        <v>475</v>
      </c>
      <c r="E33" t="s">
        <v>283</v>
      </c>
      <c r="F33" t="s">
        <v>309</v>
      </c>
      <c r="G33" t="s">
        <v>582</v>
      </c>
      <c r="H33">
        <v>1</v>
      </c>
      <c r="I33">
        <v>5</v>
      </c>
      <c r="J33" t="s">
        <v>583</v>
      </c>
      <c r="K33">
        <v>76</v>
      </c>
      <c r="L33" t="s">
        <v>305</v>
      </c>
      <c r="M33" t="s">
        <v>584</v>
      </c>
      <c r="N33"/>
      <c r="O33"/>
      <c r="P33" t="s">
        <v>513</v>
      </c>
      <c r="Q33"/>
      <c r="R33"/>
      <c r="S33"/>
      <c r="T33"/>
      <c r="U33" s="85"/>
      <c r="V33" t="s">
        <v>478</v>
      </c>
      <c r="W33" s="85">
        <v>44391</v>
      </c>
      <c r="X33" s="85"/>
      <c r="Y33" t="s">
        <v>440</v>
      </c>
      <c r="Z33"/>
      <c r="AA33"/>
      <c r="AB33" s="85"/>
      <c r="AC33">
        <v>0</v>
      </c>
      <c r="AD33" s="84">
        <v>44412.695428241001</v>
      </c>
      <c r="AE33" s="84">
        <v>44396.719884259001</v>
      </c>
    </row>
    <row r="34" spans="1:31" ht="15" x14ac:dyDescent="0.25">
      <c r="A34">
        <v>28</v>
      </c>
      <c r="B34" s="82" t="s">
        <v>569</v>
      </c>
      <c r="C34" t="s">
        <v>570</v>
      </c>
      <c r="D34" t="s">
        <v>475</v>
      </c>
      <c r="E34" t="s">
        <v>283</v>
      </c>
      <c r="F34" t="s">
        <v>293</v>
      </c>
      <c r="G34" t="s">
        <v>571</v>
      </c>
      <c r="H34">
        <v>3</v>
      </c>
      <c r="I34">
        <v>2</v>
      </c>
      <c r="J34" t="s">
        <v>571</v>
      </c>
      <c r="K34">
        <v>6</v>
      </c>
      <c r="L34" t="s">
        <v>305</v>
      </c>
      <c r="M34" t="s">
        <v>572</v>
      </c>
      <c r="N34" t="s">
        <v>471</v>
      </c>
      <c r="O34" t="s">
        <v>472</v>
      </c>
      <c r="P34" t="s">
        <v>573</v>
      </c>
      <c r="Q34"/>
      <c r="R34"/>
      <c r="S34"/>
      <c r="T34"/>
      <c r="U34" s="85"/>
      <c r="V34" t="s">
        <v>565</v>
      </c>
      <c r="W34" s="85">
        <v>44390</v>
      </c>
      <c r="X34" s="85"/>
      <c r="Y34" t="s">
        <v>440</v>
      </c>
      <c r="Z34"/>
      <c r="AA34"/>
      <c r="AB34" s="85"/>
      <c r="AC34">
        <v>2</v>
      </c>
      <c r="AD34" s="84">
        <v>44401.377314814999</v>
      </c>
      <c r="AE34" s="84">
        <v>44401.377314814999</v>
      </c>
    </row>
    <row r="35" spans="1:31" ht="15" x14ac:dyDescent="0.25">
      <c r="A35">
        <v>29</v>
      </c>
      <c r="B35" s="82" t="s">
        <v>574</v>
      </c>
      <c r="C35" t="s">
        <v>575</v>
      </c>
      <c r="D35" t="s">
        <v>475</v>
      </c>
      <c r="E35" t="s">
        <v>283</v>
      </c>
      <c r="F35" t="s">
        <v>293</v>
      </c>
      <c r="G35" t="s">
        <v>576</v>
      </c>
      <c r="H35">
        <v>4</v>
      </c>
      <c r="I35">
        <v>2</v>
      </c>
      <c r="J35" t="s">
        <v>576</v>
      </c>
      <c r="K35">
        <v>56</v>
      </c>
      <c r="L35" t="s">
        <v>305</v>
      </c>
      <c r="M35" t="s">
        <v>577</v>
      </c>
      <c r="N35" t="s">
        <v>471</v>
      </c>
      <c r="O35" t="s">
        <v>472</v>
      </c>
      <c r="P35"/>
      <c r="Q35"/>
      <c r="R35"/>
      <c r="S35"/>
      <c r="T35"/>
      <c r="U35" s="85"/>
      <c r="V35" t="s">
        <v>565</v>
      </c>
      <c r="W35" s="85">
        <v>44382</v>
      </c>
      <c r="X35" s="85"/>
      <c r="Y35" t="s">
        <v>440</v>
      </c>
      <c r="Z35"/>
      <c r="AA35"/>
      <c r="AB35" s="85"/>
      <c r="AC35">
        <v>2</v>
      </c>
      <c r="AD35" s="84">
        <v>44401.411851851997</v>
      </c>
      <c r="AE35" s="84">
        <v>44401.387129629999</v>
      </c>
    </row>
    <row r="36" spans="1:31" ht="15" x14ac:dyDescent="0.25">
      <c r="A36">
        <v>30</v>
      </c>
      <c r="B36" s="82" t="s">
        <v>588</v>
      </c>
      <c r="C36" t="s">
        <v>589</v>
      </c>
      <c r="D36" t="s">
        <v>475</v>
      </c>
      <c r="E36" t="s">
        <v>283</v>
      </c>
      <c r="F36" t="s">
        <v>283</v>
      </c>
      <c r="G36" t="s">
        <v>590</v>
      </c>
      <c r="H36">
        <v>6</v>
      </c>
      <c r="I36">
        <v>2</v>
      </c>
      <c r="J36" t="s">
        <v>591</v>
      </c>
      <c r="K36">
        <v>53</v>
      </c>
      <c r="L36" t="s">
        <v>305</v>
      </c>
      <c r="M36" t="s">
        <v>592</v>
      </c>
      <c r="N36" t="s">
        <v>471</v>
      </c>
      <c r="O36" t="s">
        <v>472</v>
      </c>
      <c r="P36" t="s">
        <v>513</v>
      </c>
      <c r="Q36"/>
      <c r="R36"/>
      <c r="S36"/>
      <c r="T36"/>
      <c r="U36" s="85"/>
      <c r="V36" t="s">
        <v>593</v>
      </c>
      <c r="W36" s="85">
        <v>44423</v>
      </c>
      <c r="X36" s="85"/>
      <c r="Y36" t="s">
        <v>440</v>
      </c>
      <c r="Z36"/>
      <c r="AA36"/>
      <c r="AB36" s="85"/>
      <c r="AC36">
        <v>0</v>
      </c>
      <c r="AD36" s="84">
        <v>44423.288946758999</v>
      </c>
      <c r="AE36" s="84">
        <v>44423.288946758999</v>
      </c>
    </row>
    <row r="37" spans="1:31" ht="15" x14ac:dyDescent="0.25">
      <c r="A37">
        <v>31</v>
      </c>
      <c r="B37" s="82" t="s">
        <v>594</v>
      </c>
      <c r="C37" t="s">
        <v>595</v>
      </c>
      <c r="D37" t="s">
        <v>475</v>
      </c>
      <c r="E37" t="s">
        <v>283</v>
      </c>
      <c r="F37" t="s">
        <v>309</v>
      </c>
      <c r="G37" t="s">
        <v>481</v>
      </c>
      <c r="H37">
        <v>9</v>
      </c>
      <c r="I37">
        <v>6</v>
      </c>
      <c r="J37" t="s">
        <v>481</v>
      </c>
      <c r="K37">
        <v>41</v>
      </c>
      <c r="L37" t="s">
        <v>307</v>
      </c>
      <c r="M37" t="s">
        <v>596</v>
      </c>
      <c r="N37" t="s">
        <v>470</v>
      </c>
      <c r="O37" t="s">
        <v>472</v>
      </c>
      <c r="P37" t="s">
        <v>597</v>
      </c>
      <c r="Q37"/>
      <c r="R37"/>
      <c r="S37"/>
      <c r="T37"/>
      <c r="U37" s="85"/>
      <c r="V37" t="s">
        <v>587</v>
      </c>
      <c r="W37" s="85">
        <v>44424</v>
      </c>
      <c r="X37" s="85"/>
      <c r="Y37" t="s">
        <v>440</v>
      </c>
      <c r="Z37"/>
      <c r="AA37"/>
      <c r="AB37" s="85"/>
      <c r="AC37">
        <v>0</v>
      </c>
      <c r="AD37" s="84">
        <v>44424.601793980997</v>
      </c>
      <c r="AE37" s="84">
        <v>44424.601793980997</v>
      </c>
    </row>
    <row r="38" spans="1:31" ht="15" x14ac:dyDescent="0.25">
      <c r="A38">
        <v>32</v>
      </c>
      <c r="B38" s="82" t="s">
        <v>598</v>
      </c>
      <c r="C38" t="s">
        <v>599</v>
      </c>
      <c r="D38" t="s">
        <v>475</v>
      </c>
      <c r="E38" t="s">
        <v>283</v>
      </c>
      <c r="F38" t="s">
        <v>286</v>
      </c>
      <c r="G38" t="s">
        <v>600</v>
      </c>
      <c r="H38">
        <v>5</v>
      </c>
      <c r="I38">
        <v>7</v>
      </c>
      <c r="J38" t="s">
        <v>601</v>
      </c>
      <c r="K38">
        <v>53</v>
      </c>
      <c r="L38" t="s">
        <v>305</v>
      </c>
      <c r="M38" t="s">
        <v>602</v>
      </c>
      <c r="N38" t="s">
        <v>474</v>
      </c>
      <c r="O38" t="s">
        <v>472</v>
      </c>
      <c r="P38" t="s">
        <v>603</v>
      </c>
      <c r="Q38"/>
      <c r="R38"/>
      <c r="S38"/>
      <c r="T38"/>
      <c r="U38" s="85"/>
      <c r="V38" t="s">
        <v>586</v>
      </c>
      <c r="W38" s="85">
        <v>44422</v>
      </c>
      <c r="X38" s="85"/>
      <c r="Y38" t="s">
        <v>440</v>
      </c>
      <c r="Z38" t="s">
        <v>604</v>
      </c>
      <c r="AA38" t="s">
        <v>579</v>
      </c>
      <c r="AB38" s="85">
        <v>44422</v>
      </c>
      <c r="AC38">
        <v>0</v>
      </c>
      <c r="AD38" s="84">
        <v>44425.512928240998</v>
      </c>
      <c r="AE38" s="84">
        <v>44425.512928240998</v>
      </c>
    </row>
    <row r="39" spans="1:31" ht="15" x14ac:dyDescent="0.25">
      <c r="A39">
        <v>33</v>
      </c>
      <c r="B39" s="82" t="s">
        <v>611</v>
      </c>
      <c r="C39" t="s">
        <v>612</v>
      </c>
      <c r="D39" t="s">
        <v>475</v>
      </c>
      <c r="E39" t="s">
        <v>283</v>
      </c>
      <c r="F39" t="s">
        <v>293</v>
      </c>
      <c r="G39" t="s">
        <v>613</v>
      </c>
      <c r="H39">
        <v>2</v>
      </c>
      <c r="I39">
        <v>3</v>
      </c>
      <c r="J39" t="s">
        <v>613</v>
      </c>
      <c r="K39">
        <v>54</v>
      </c>
      <c r="L39" t="s">
        <v>307</v>
      </c>
      <c r="M39" t="s">
        <v>614</v>
      </c>
      <c r="N39" t="s">
        <v>470</v>
      </c>
      <c r="O39" t="s">
        <v>472</v>
      </c>
      <c r="P39" t="s">
        <v>615</v>
      </c>
      <c r="Q39"/>
      <c r="R39"/>
      <c r="S39"/>
      <c r="T39"/>
      <c r="U39" s="85"/>
      <c r="V39" t="s">
        <v>616</v>
      </c>
      <c r="W39" s="85">
        <v>44425</v>
      </c>
      <c r="X39" s="85"/>
      <c r="Y39" t="s">
        <v>440</v>
      </c>
      <c r="Z39"/>
      <c r="AA39"/>
      <c r="AB39" s="85"/>
      <c r="AC39">
        <v>0</v>
      </c>
      <c r="AD39" s="84">
        <v>44426.592777778002</v>
      </c>
      <c r="AE39" s="84">
        <v>44426.592777778002</v>
      </c>
    </row>
    <row r="40" spans="1:31" ht="15" x14ac:dyDescent="0.25">
      <c r="A40">
        <v>34</v>
      </c>
      <c r="B40" s="82" t="s">
        <v>617</v>
      </c>
      <c r="C40" t="s">
        <v>618</v>
      </c>
      <c r="D40" t="s">
        <v>475</v>
      </c>
      <c r="E40" t="s">
        <v>283</v>
      </c>
      <c r="F40" t="s">
        <v>293</v>
      </c>
      <c r="G40" t="s">
        <v>293</v>
      </c>
      <c r="H40">
        <v>1</v>
      </c>
      <c r="I40">
        <v>11</v>
      </c>
      <c r="J40" t="s">
        <v>619</v>
      </c>
      <c r="K40">
        <v>34</v>
      </c>
      <c r="L40" t="s">
        <v>307</v>
      </c>
      <c r="M40" t="s">
        <v>620</v>
      </c>
      <c r="N40" t="s">
        <v>470</v>
      </c>
      <c r="O40" t="s">
        <v>472</v>
      </c>
      <c r="P40" t="s">
        <v>621</v>
      </c>
      <c r="Q40"/>
      <c r="R40"/>
      <c r="S40"/>
      <c r="T40"/>
      <c r="U40" s="85"/>
      <c r="V40" t="s">
        <v>616</v>
      </c>
      <c r="W40" s="85">
        <v>44425</v>
      </c>
      <c r="X40" s="85"/>
      <c r="Y40" t="s">
        <v>440</v>
      </c>
      <c r="Z40"/>
      <c r="AA40"/>
      <c r="AB40" s="85"/>
      <c r="AC40">
        <v>0</v>
      </c>
      <c r="AD40" s="84">
        <v>44426.593796296002</v>
      </c>
      <c r="AE40" s="84">
        <v>44426.593796296002</v>
      </c>
    </row>
    <row r="41" spans="1:31" ht="15" x14ac:dyDescent="0.25">
      <c r="A41">
        <v>35</v>
      </c>
      <c r="B41" s="82" t="s">
        <v>622</v>
      </c>
      <c r="C41" t="s">
        <v>623</v>
      </c>
      <c r="D41" t="s">
        <v>475</v>
      </c>
      <c r="E41" t="s">
        <v>283</v>
      </c>
      <c r="F41" t="s">
        <v>285</v>
      </c>
      <c r="G41" t="s">
        <v>624</v>
      </c>
      <c r="H41">
        <v>4</v>
      </c>
      <c r="I41">
        <v>1</v>
      </c>
      <c r="J41" t="s">
        <v>624</v>
      </c>
      <c r="K41">
        <v>38</v>
      </c>
      <c r="L41" t="s">
        <v>305</v>
      </c>
      <c r="M41" t="s">
        <v>625</v>
      </c>
      <c r="N41" t="s">
        <v>462</v>
      </c>
      <c r="O41" t="s">
        <v>472</v>
      </c>
      <c r="P41" t="s">
        <v>626</v>
      </c>
      <c r="Q41"/>
      <c r="R41"/>
      <c r="S41"/>
      <c r="T41"/>
      <c r="U41" s="85"/>
      <c r="V41" t="s">
        <v>586</v>
      </c>
      <c r="W41" s="85">
        <v>44426</v>
      </c>
      <c r="X41" s="85"/>
      <c r="Y41" t="s">
        <v>440</v>
      </c>
      <c r="Z41"/>
      <c r="AA41"/>
      <c r="AB41" s="85"/>
      <c r="AC41">
        <v>0</v>
      </c>
      <c r="AD41" s="84">
        <v>44426.596828704001</v>
      </c>
      <c r="AE41" s="84">
        <v>44426.596828704001</v>
      </c>
    </row>
    <row r="42" spans="1:31" ht="15" x14ac:dyDescent="0.25">
      <c r="A42">
        <v>36</v>
      </c>
      <c r="B42" s="82" t="s">
        <v>627</v>
      </c>
      <c r="C42" t="s">
        <v>628</v>
      </c>
      <c r="D42" t="s">
        <v>475</v>
      </c>
      <c r="E42" t="s">
        <v>283</v>
      </c>
      <c r="F42" t="s">
        <v>292</v>
      </c>
      <c r="G42" t="s">
        <v>629</v>
      </c>
      <c r="H42">
        <v>6</v>
      </c>
      <c r="I42">
        <v>3</v>
      </c>
      <c r="J42" t="s">
        <v>630</v>
      </c>
      <c r="K42">
        <v>66</v>
      </c>
      <c r="L42" t="s">
        <v>307</v>
      </c>
      <c r="M42" t="s">
        <v>631</v>
      </c>
      <c r="N42" t="s">
        <v>470</v>
      </c>
      <c r="O42" t="s">
        <v>632</v>
      </c>
      <c r="P42" t="s">
        <v>610</v>
      </c>
      <c r="Q42"/>
      <c r="R42"/>
      <c r="S42"/>
      <c r="T42"/>
      <c r="U42" s="85"/>
      <c r="V42" t="s">
        <v>633</v>
      </c>
      <c r="W42" s="85">
        <v>44424</v>
      </c>
      <c r="X42" s="85"/>
      <c r="Y42" t="s">
        <v>440</v>
      </c>
      <c r="Z42"/>
      <c r="AA42"/>
      <c r="AB42" s="85"/>
      <c r="AC42">
        <v>0</v>
      </c>
      <c r="AD42" s="84">
        <v>44426.621064815001</v>
      </c>
      <c r="AE42" s="84">
        <v>44426.621064815001</v>
      </c>
    </row>
    <row r="43" spans="1:31" ht="15" x14ac:dyDescent="0.25">
      <c r="A43">
        <v>37</v>
      </c>
      <c r="B43" s="82" t="s">
        <v>634</v>
      </c>
      <c r="C43" t="s">
        <v>635</v>
      </c>
      <c r="D43" t="s">
        <v>475</v>
      </c>
      <c r="E43" t="s">
        <v>283</v>
      </c>
      <c r="F43" t="s">
        <v>284</v>
      </c>
      <c r="G43" t="s">
        <v>636</v>
      </c>
      <c r="H43">
        <v>4</v>
      </c>
      <c r="I43">
        <v>1</v>
      </c>
      <c r="J43" t="s">
        <v>637</v>
      </c>
      <c r="K43">
        <v>80</v>
      </c>
      <c r="L43" t="s">
        <v>305</v>
      </c>
      <c r="M43" t="s">
        <v>638</v>
      </c>
      <c r="N43" t="s">
        <v>639</v>
      </c>
      <c r="O43" t="s">
        <v>472</v>
      </c>
      <c r="P43" t="s">
        <v>479</v>
      </c>
      <c r="Q43"/>
      <c r="R43"/>
      <c r="S43"/>
      <c r="T43"/>
      <c r="U43" s="85"/>
      <c r="V43" t="s">
        <v>558</v>
      </c>
      <c r="W43" s="85">
        <v>44426</v>
      </c>
      <c r="X43" s="85"/>
      <c r="Y43" t="s">
        <v>440</v>
      </c>
      <c r="Z43" t="s">
        <v>640</v>
      </c>
      <c r="AA43" t="s">
        <v>579</v>
      </c>
      <c r="AB43" s="85">
        <v>44426</v>
      </c>
      <c r="AC43">
        <v>0</v>
      </c>
      <c r="AD43" s="84">
        <v>44427.301956019</v>
      </c>
      <c r="AE43" s="84">
        <v>44427.301956019</v>
      </c>
    </row>
    <row r="44" spans="1:31" ht="15" x14ac:dyDescent="0.25">
      <c r="A44">
        <v>38</v>
      </c>
      <c r="B44" s="82" t="s">
        <v>641</v>
      </c>
      <c r="C44" t="s">
        <v>642</v>
      </c>
      <c r="D44" t="s">
        <v>475</v>
      </c>
      <c r="E44" t="s">
        <v>283</v>
      </c>
      <c r="F44" t="s">
        <v>309</v>
      </c>
      <c r="G44" t="s">
        <v>643</v>
      </c>
      <c r="H44">
        <v>2</v>
      </c>
      <c r="I44">
        <v>4</v>
      </c>
      <c r="J44" t="s">
        <v>644</v>
      </c>
      <c r="K44">
        <v>61</v>
      </c>
      <c r="L44" t="s">
        <v>305</v>
      </c>
      <c r="M44" t="s">
        <v>645</v>
      </c>
      <c r="N44" t="s">
        <v>639</v>
      </c>
      <c r="O44" t="s">
        <v>472</v>
      </c>
      <c r="P44" t="s">
        <v>479</v>
      </c>
      <c r="Q44"/>
      <c r="R44"/>
      <c r="S44"/>
      <c r="T44"/>
      <c r="U44" s="85"/>
      <c r="V44" t="s">
        <v>558</v>
      </c>
      <c r="W44" s="85">
        <v>44426</v>
      </c>
      <c r="X44" s="85"/>
      <c r="Y44" t="s">
        <v>440</v>
      </c>
      <c r="Z44" t="s">
        <v>646</v>
      </c>
      <c r="AA44" t="s">
        <v>585</v>
      </c>
      <c r="AB44" s="85">
        <v>44426</v>
      </c>
      <c r="AC44">
        <v>0</v>
      </c>
      <c r="AD44" s="84">
        <v>44427.304386573996</v>
      </c>
      <c r="AE44" s="84">
        <v>44427.304386573996</v>
      </c>
    </row>
    <row r="45" spans="1:31" ht="15" x14ac:dyDescent="0.25">
      <c r="A45">
        <v>39</v>
      </c>
      <c r="B45" s="82" t="s">
        <v>651</v>
      </c>
      <c r="C45" t="s">
        <v>652</v>
      </c>
      <c r="D45" t="s">
        <v>475</v>
      </c>
      <c r="E45" t="s">
        <v>283</v>
      </c>
      <c r="F45" t="s">
        <v>288</v>
      </c>
      <c r="G45" t="s">
        <v>653</v>
      </c>
      <c r="H45">
        <v>5</v>
      </c>
      <c r="I45">
        <v>4</v>
      </c>
      <c r="J45" t="s">
        <v>654</v>
      </c>
      <c r="K45">
        <v>43</v>
      </c>
      <c r="L45" t="s">
        <v>307</v>
      </c>
      <c r="M45" t="s">
        <v>655</v>
      </c>
      <c r="N45" t="s">
        <v>462</v>
      </c>
      <c r="O45" t="s">
        <v>472</v>
      </c>
      <c r="P45"/>
      <c r="Q45"/>
      <c r="R45"/>
      <c r="S45"/>
      <c r="T45"/>
      <c r="U45" s="85"/>
      <c r="V45" t="s">
        <v>593</v>
      </c>
      <c r="W45" s="85">
        <v>44426</v>
      </c>
      <c r="X45" s="85"/>
      <c r="Y45" t="s">
        <v>440</v>
      </c>
      <c r="Z45"/>
      <c r="AA45"/>
      <c r="AB45" s="85"/>
      <c r="AC45">
        <v>0</v>
      </c>
      <c r="AD45" s="84">
        <v>44428.34212963</v>
      </c>
      <c r="AE45" s="84">
        <v>44427.467731481003</v>
      </c>
    </row>
    <row r="46" spans="1:31" ht="15" x14ac:dyDescent="0.25">
      <c r="A46">
        <v>40</v>
      </c>
      <c r="B46" s="82" t="s">
        <v>656</v>
      </c>
      <c r="C46" t="s">
        <v>657</v>
      </c>
      <c r="D46" t="s">
        <v>475</v>
      </c>
      <c r="E46" t="s">
        <v>283</v>
      </c>
      <c r="F46" t="s">
        <v>287</v>
      </c>
      <c r="G46" t="s">
        <v>287</v>
      </c>
      <c r="H46">
        <v>4</v>
      </c>
      <c r="I46">
        <v>3</v>
      </c>
      <c r="J46" t="s">
        <v>658</v>
      </c>
      <c r="K46">
        <v>27</v>
      </c>
      <c r="L46" t="s">
        <v>305</v>
      </c>
      <c r="M46" t="s">
        <v>659</v>
      </c>
      <c r="N46" t="s">
        <v>660</v>
      </c>
      <c r="O46" t="s">
        <v>472</v>
      </c>
      <c r="P46" t="s">
        <v>661</v>
      </c>
      <c r="Q46"/>
      <c r="R46"/>
      <c r="S46"/>
      <c r="T46"/>
      <c r="U46" s="85"/>
      <c r="V46" t="s">
        <v>478</v>
      </c>
      <c r="W46" s="85">
        <v>44428</v>
      </c>
      <c r="X46" s="85"/>
      <c r="Y46" t="s">
        <v>440</v>
      </c>
      <c r="Z46"/>
      <c r="AA46"/>
      <c r="AB46" s="85"/>
      <c r="AC46">
        <v>0</v>
      </c>
      <c r="AD46" s="84">
        <v>44428.308611111002</v>
      </c>
      <c r="AE46" s="84">
        <v>44428.308611111002</v>
      </c>
    </row>
    <row r="47" spans="1:31" ht="15" x14ac:dyDescent="0.25">
      <c r="A47">
        <v>41</v>
      </c>
      <c r="B47" s="82" t="s">
        <v>662</v>
      </c>
      <c r="C47" t="s">
        <v>663</v>
      </c>
      <c r="D47" t="s">
        <v>475</v>
      </c>
      <c r="E47" t="s">
        <v>283</v>
      </c>
      <c r="F47" t="s">
        <v>309</v>
      </c>
      <c r="G47" t="s">
        <v>346</v>
      </c>
      <c r="H47">
        <v>8</v>
      </c>
      <c r="I47">
        <v>12</v>
      </c>
      <c r="J47" t="s">
        <v>664</v>
      </c>
      <c r="K47">
        <v>73</v>
      </c>
      <c r="L47" t="s">
        <v>307</v>
      </c>
      <c r="M47" t="s">
        <v>665</v>
      </c>
      <c r="N47" t="s">
        <v>666</v>
      </c>
      <c r="O47" t="s">
        <v>472</v>
      </c>
      <c r="P47" t="s">
        <v>667</v>
      </c>
      <c r="Q47"/>
      <c r="R47"/>
      <c r="S47"/>
      <c r="T47"/>
      <c r="U47" s="85"/>
      <c r="V47" t="s">
        <v>668</v>
      </c>
      <c r="W47" s="85">
        <v>44427</v>
      </c>
      <c r="X47" s="85"/>
      <c r="Y47" t="s">
        <v>440</v>
      </c>
      <c r="Z47"/>
      <c r="AA47"/>
      <c r="AB47" s="85"/>
      <c r="AC47">
        <v>0</v>
      </c>
      <c r="AD47" s="84">
        <v>44428.316180556001</v>
      </c>
      <c r="AE47" s="84">
        <v>44428.316180556001</v>
      </c>
    </row>
    <row r="48" spans="1:31" ht="15" x14ac:dyDescent="0.25">
      <c r="A48">
        <v>42</v>
      </c>
      <c r="B48" s="82" t="s">
        <v>669</v>
      </c>
      <c r="C48" t="s">
        <v>670</v>
      </c>
      <c r="D48" t="s">
        <v>475</v>
      </c>
      <c r="E48" t="s">
        <v>283</v>
      </c>
      <c r="F48" t="s">
        <v>282</v>
      </c>
      <c r="G48" t="s">
        <v>345</v>
      </c>
      <c r="H48">
        <v>2</v>
      </c>
      <c r="I48">
        <v>4</v>
      </c>
      <c r="J48" t="s">
        <v>345</v>
      </c>
      <c r="K48">
        <v>70</v>
      </c>
      <c r="L48" t="s">
        <v>307</v>
      </c>
      <c r="M48" t="s">
        <v>655</v>
      </c>
      <c r="N48" t="s">
        <v>462</v>
      </c>
      <c r="O48" t="s">
        <v>472</v>
      </c>
      <c r="P48"/>
      <c r="Q48"/>
      <c r="R48"/>
      <c r="S48"/>
      <c r="T48"/>
      <c r="U48" s="85"/>
      <c r="V48" t="s">
        <v>593</v>
      </c>
      <c r="W48" s="85">
        <v>44427</v>
      </c>
      <c r="X48" s="85"/>
      <c r="Y48" t="s">
        <v>440</v>
      </c>
      <c r="Z48"/>
      <c r="AA48"/>
      <c r="AB48" s="85"/>
      <c r="AC48">
        <v>0</v>
      </c>
      <c r="AD48" s="84">
        <v>44428.341840278001</v>
      </c>
      <c r="AE48" s="84">
        <v>44428.327013889</v>
      </c>
    </row>
  </sheetData>
  <mergeCells count="4">
    <mergeCell ref="A1:O1"/>
    <mergeCell ref="A2:O2"/>
    <mergeCell ref="A4:B4"/>
    <mergeCell ref="A5:E5"/>
  </mergeCells>
  <phoneticPr fontId="17" type="noConversion"/>
  <conditionalFormatting sqref="B1:B1048576">
    <cfRule type="duplicateValues" dxfId="30" priority="138"/>
    <cfRule type="duplicateValues" dxfId="29" priority="139"/>
  </conditionalFormatting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0"/>
  <sheetViews>
    <sheetView workbookViewId="0">
      <selection activeCell="A2" sqref="A2:A12"/>
    </sheetView>
  </sheetViews>
  <sheetFormatPr defaultColWidth="9.140625" defaultRowHeight="15" x14ac:dyDescent="0.25"/>
  <cols>
    <col min="1" max="1" width="4.28515625" style="14" customWidth="1"/>
    <col min="2" max="2" width="20.7109375" style="14" customWidth="1"/>
    <col min="3" max="4" width="25.7109375" style="14" customWidth="1"/>
    <col min="5" max="5" width="12.85546875" style="14" customWidth="1"/>
    <col min="6" max="6" width="14.140625" style="14" customWidth="1"/>
    <col min="7" max="7" width="17.42578125" style="14" customWidth="1"/>
    <col min="8" max="8" width="39.42578125" style="14" customWidth="1"/>
    <col min="9" max="9" width="7.5703125" style="14" customWidth="1"/>
    <col min="10" max="10" width="12" style="14" customWidth="1"/>
    <col min="11" max="11" width="18.140625" style="14" customWidth="1"/>
    <col min="12" max="12" width="18.28515625" style="14" customWidth="1"/>
    <col min="13" max="13" width="19.42578125" style="14" customWidth="1"/>
    <col min="14" max="14" width="19.140625" style="14" customWidth="1"/>
    <col min="15" max="15" width="18.42578125" style="14" customWidth="1"/>
    <col min="16" max="19" width="9.140625" style="14"/>
    <col min="20" max="20" width="27.28515625" style="14" customWidth="1"/>
    <col min="21" max="21" width="19.5703125" style="14" customWidth="1"/>
    <col min="22" max="22" width="14.140625" style="14" customWidth="1"/>
    <col min="23" max="23" width="17.140625" style="14" customWidth="1"/>
    <col min="24" max="24" width="9.140625" style="14"/>
    <col min="25" max="25" width="22.5703125" style="14" customWidth="1"/>
    <col min="26" max="26" width="23.140625" style="14" customWidth="1"/>
    <col min="27" max="29" width="9.140625" style="14"/>
    <col min="30" max="30" width="13.28515625" style="14" customWidth="1"/>
    <col min="31" max="31" width="13" style="14" customWidth="1"/>
    <col min="32" max="16384" width="9.140625" style="14"/>
  </cols>
  <sheetData>
    <row r="1" spans="1:32" customFormat="1" x14ac:dyDescent="0.25">
      <c r="A1" t="s">
        <v>518</v>
      </c>
      <c r="B1" s="82" t="s">
        <v>445</v>
      </c>
      <c r="C1" t="s">
        <v>431</v>
      </c>
      <c r="D1" t="s">
        <v>504</v>
      </c>
      <c r="E1" t="s">
        <v>432</v>
      </c>
      <c r="F1" t="s">
        <v>2</v>
      </c>
      <c r="G1" t="s">
        <v>433</v>
      </c>
      <c r="H1" t="s">
        <v>505</v>
      </c>
      <c r="I1" t="s">
        <v>506</v>
      </c>
      <c r="J1" t="s">
        <v>434</v>
      </c>
      <c r="K1" t="s">
        <v>435</v>
      </c>
      <c r="L1" t="s">
        <v>436</v>
      </c>
      <c r="M1" t="s">
        <v>437</v>
      </c>
      <c r="N1" t="s">
        <v>446</v>
      </c>
      <c r="O1" t="s">
        <v>447</v>
      </c>
      <c r="P1" t="s">
        <v>448</v>
      </c>
      <c r="Q1" t="s">
        <v>449</v>
      </c>
      <c r="R1" t="s">
        <v>450</v>
      </c>
      <c r="S1" t="s">
        <v>451</v>
      </c>
      <c r="T1" t="s">
        <v>452</v>
      </c>
      <c r="U1" s="85" t="s">
        <v>453</v>
      </c>
      <c r="V1" t="s">
        <v>441</v>
      </c>
      <c r="W1" s="85" t="s">
        <v>454</v>
      </c>
      <c r="X1" s="85" t="s">
        <v>455</v>
      </c>
      <c r="Y1" t="s">
        <v>438</v>
      </c>
      <c r="Z1" t="s">
        <v>519</v>
      </c>
      <c r="AA1" t="s">
        <v>520</v>
      </c>
      <c r="AB1" s="85" t="s">
        <v>521</v>
      </c>
      <c r="AC1" t="s">
        <v>456</v>
      </c>
      <c r="AD1" s="84" t="s">
        <v>457</v>
      </c>
      <c r="AE1" s="84" t="s">
        <v>458</v>
      </c>
    </row>
    <row r="2" spans="1:32" s="77" customFormat="1" x14ac:dyDescent="0.25">
      <c r="A2">
        <v>1</v>
      </c>
      <c r="B2" s="82" t="s">
        <v>686</v>
      </c>
      <c r="C2" t="s">
        <v>687</v>
      </c>
      <c r="D2" t="s">
        <v>475</v>
      </c>
      <c r="E2" t="s">
        <v>283</v>
      </c>
      <c r="F2" t="s">
        <v>283</v>
      </c>
      <c r="G2" t="s">
        <v>688</v>
      </c>
      <c r="H2">
        <v>2</v>
      </c>
      <c r="I2">
        <v>3</v>
      </c>
      <c r="J2" t="s">
        <v>689</v>
      </c>
      <c r="K2">
        <v>40</v>
      </c>
      <c r="L2" t="s">
        <v>307</v>
      </c>
      <c r="M2" t="s">
        <v>690</v>
      </c>
      <c r="N2" t="s">
        <v>470</v>
      </c>
      <c r="O2" t="s">
        <v>691</v>
      </c>
      <c r="P2" t="s">
        <v>692</v>
      </c>
      <c r="Q2"/>
      <c r="R2"/>
      <c r="S2"/>
      <c r="T2"/>
      <c r="U2" s="85"/>
      <c r="V2" t="s">
        <v>586</v>
      </c>
      <c r="W2" s="85">
        <v>44359</v>
      </c>
      <c r="X2" s="85"/>
      <c r="Y2" t="s">
        <v>440</v>
      </c>
      <c r="Z2"/>
      <c r="AA2"/>
      <c r="AB2" s="85"/>
      <c r="AC2">
        <v>0</v>
      </c>
      <c r="AD2" s="84">
        <v>44429.790775463</v>
      </c>
      <c r="AE2" s="84">
        <v>44424.480115740997</v>
      </c>
    </row>
    <row r="3" spans="1:32" s="77" customFormat="1" x14ac:dyDescent="0.25">
      <c r="A3">
        <v>2</v>
      </c>
      <c r="B3" s="82" t="s">
        <v>671</v>
      </c>
      <c r="C3" t="s">
        <v>672</v>
      </c>
      <c r="D3" t="s">
        <v>475</v>
      </c>
      <c r="E3" t="s">
        <v>283</v>
      </c>
      <c r="F3" t="s">
        <v>284</v>
      </c>
      <c r="G3" t="s">
        <v>673</v>
      </c>
      <c r="H3">
        <v>9</v>
      </c>
      <c r="I3">
        <v>3</v>
      </c>
      <c r="J3" t="s">
        <v>673</v>
      </c>
      <c r="K3">
        <v>74</v>
      </c>
      <c r="L3" t="s">
        <v>305</v>
      </c>
      <c r="M3" t="s">
        <v>674</v>
      </c>
      <c r="N3" t="s">
        <v>471</v>
      </c>
      <c r="O3" t="s">
        <v>472</v>
      </c>
      <c r="P3"/>
      <c r="Q3"/>
      <c r="R3"/>
      <c r="S3"/>
      <c r="T3"/>
      <c r="U3" s="85"/>
      <c r="V3" t="s">
        <v>478</v>
      </c>
      <c r="W3" s="85">
        <v>44427</v>
      </c>
      <c r="X3" s="85"/>
      <c r="Y3" t="s">
        <v>440</v>
      </c>
      <c r="Z3"/>
      <c r="AA3"/>
      <c r="AB3" s="85"/>
      <c r="AC3">
        <v>0</v>
      </c>
      <c r="AD3" s="84">
        <v>44429.317939815002</v>
      </c>
      <c r="AE3" s="84">
        <v>44427.811226851998</v>
      </c>
    </row>
    <row r="4" spans="1:32" s="77" customFormat="1" x14ac:dyDescent="0.25">
      <c r="A4">
        <v>3</v>
      </c>
      <c r="B4" s="82" t="s">
        <v>675</v>
      </c>
      <c r="C4" t="s">
        <v>676</v>
      </c>
      <c r="D4" t="s">
        <v>475</v>
      </c>
      <c r="E4" t="s">
        <v>283</v>
      </c>
      <c r="F4" t="s">
        <v>309</v>
      </c>
      <c r="G4" t="s">
        <v>346</v>
      </c>
      <c r="H4">
        <v>3</v>
      </c>
      <c r="I4">
        <v>15</v>
      </c>
      <c r="J4" t="s">
        <v>677</v>
      </c>
      <c r="K4">
        <v>23</v>
      </c>
      <c r="L4" t="s">
        <v>307</v>
      </c>
      <c r="M4" t="s">
        <v>308</v>
      </c>
      <c r="N4" t="s">
        <v>471</v>
      </c>
      <c r="O4" t="s">
        <v>472</v>
      </c>
      <c r="P4" t="s">
        <v>678</v>
      </c>
      <c r="Q4"/>
      <c r="R4"/>
      <c r="S4"/>
      <c r="T4"/>
      <c r="U4" s="85"/>
      <c r="V4" t="s">
        <v>679</v>
      </c>
      <c r="W4" s="85">
        <v>44427</v>
      </c>
      <c r="X4" s="85"/>
      <c r="Y4" t="s">
        <v>440</v>
      </c>
      <c r="Z4" t="s">
        <v>680</v>
      </c>
      <c r="AA4" t="s">
        <v>579</v>
      </c>
      <c r="AB4" s="85">
        <v>44427</v>
      </c>
      <c r="AC4">
        <v>0</v>
      </c>
      <c r="AD4" s="84">
        <v>44428.390567130002</v>
      </c>
      <c r="AE4" s="84">
        <v>44428.390567130002</v>
      </c>
    </row>
    <row r="5" spans="1:32" s="77" customFormat="1" x14ac:dyDescent="0.25">
      <c r="A5">
        <v>4</v>
      </c>
      <c r="B5" s="82" t="s">
        <v>681</v>
      </c>
      <c r="C5" t="s">
        <v>682</v>
      </c>
      <c r="D5" t="s">
        <v>475</v>
      </c>
      <c r="E5" t="s">
        <v>283</v>
      </c>
      <c r="F5" t="s">
        <v>309</v>
      </c>
      <c r="G5" t="s">
        <v>346</v>
      </c>
      <c r="H5">
        <v>4</v>
      </c>
      <c r="I5">
        <v>22</v>
      </c>
      <c r="J5" t="s">
        <v>683</v>
      </c>
      <c r="K5">
        <v>48</v>
      </c>
      <c r="L5" t="s">
        <v>305</v>
      </c>
      <c r="M5" t="s">
        <v>684</v>
      </c>
      <c r="N5" t="s">
        <v>471</v>
      </c>
      <c r="O5" t="s">
        <v>472</v>
      </c>
      <c r="P5"/>
      <c r="Q5"/>
      <c r="R5"/>
      <c r="S5"/>
      <c r="T5"/>
      <c r="U5" s="85"/>
      <c r="V5" t="s">
        <v>478</v>
      </c>
      <c r="W5" s="85">
        <v>44428</v>
      </c>
      <c r="X5" s="85"/>
      <c r="Y5" t="s">
        <v>440</v>
      </c>
      <c r="Z5"/>
      <c r="AA5"/>
      <c r="AB5" s="85"/>
      <c r="AC5">
        <v>0</v>
      </c>
      <c r="AD5" s="84">
        <v>44429.324131943999</v>
      </c>
      <c r="AE5" s="84">
        <v>44428.598622685</v>
      </c>
    </row>
    <row r="6" spans="1:32" s="77" customFormat="1" x14ac:dyDescent="0.25">
      <c r="A6">
        <v>5</v>
      </c>
      <c r="B6" s="82" t="s">
        <v>693</v>
      </c>
      <c r="C6" t="s">
        <v>694</v>
      </c>
      <c r="D6" t="s">
        <v>475</v>
      </c>
      <c r="E6" t="s">
        <v>283</v>
      </c>
      <c r="F6" t="s">
        <v>291</v>
      </c>
      <c r="G6" t="s">
        <v>485</v>
      </c>
      <c r="H6">
        <v>8</v>
      </c>
      <c r="I6">
        <v>3</v>
      </c>
      <c r="J6" t="s">
        <v>485</v>
      </c>
      <c r="K6">
        <v>4</v>
      </c>
      <c r="L6" t="s">
        <v>307</v>
      </c>
      <c r="M6" t="s">
        <v>695</v>
      </c>
      <c r="N6" t="s">
        <v>666</v>
      </c>
      <c r="O6" t="s">
        <v>472</v>
      </c>
      <c r="P6" t="s">
        <v>482</v>
      </c>
      <c r="Q6"/>
      <c r="R6"/>
      <c r="S6"/>
      <c r="T6"/>
      <c r="U6" s="85"/>
      <c r="V6" t="s">
        <v>609</v>
      </c>
      <c r="W6" s="85">
        <v>44429</v>
      </c>
      <c r="X6" s="85"/>
      <c r="Y6" t="s">
        <v>440</v>
      </c>
      <c r="Z6">
        <v>21058224</v>
      </c>
      <c r="AA6" t="s">
        <v>579</v>
      </c>
      <c r="AB6" s="85">
        <v>44429</v>
      </c>
      <c r="AC6">
        <v>0</v>
      </c>
      <c r="AD6" s="84">
        <v>44429.596273148003</v>
      </c>
      <c r="AE6" s="84">
        <v>44429.596273148003</v>
      </c>
    </row>
    <row r="7" spans="1:32" s="77" customFormat="1" x14ac:dyDescent="0.25">
      <c r="A7">
        <v>6</v>
      </c>
      <c r="B7" s="82" t="s">
        <v>696</v>
      </c>
      <c r="C7" t="s">
        <v>697</v>
      </c>
      <c r="D7" t="s">
        <v>475</v>
      </c>
      <c r="E7" t="s">
        <v>283</v>
      </c>
      <c r="F7" t="s">
        <v>293</v>
      </c>
      <c r="G7" t="s">
        <v>698</v>
      </c>
      <c r="H7">
        <v>6</v>
      </c>
      <c r="I7">
        <v>4</v>
      </c>
      <c r="J7" t="s">
        <v>698</v>
      </c>
      <c r="K7">
        <v>1</v>
      </c>
      <c r="L7" t="s">
        <v>305</v>
      </c>
      <c r="M7" t="s">
        <v>699</v>
      </c>
      <c r="N7" t="s">
        <v>666</v>
      </c>
      <c r="O7" t="s">
        <v>472</v>
      </c>
      <c r="P7" t="s">
        <v>700</v>
      </c>
      <c r="Q7"/>
      <c r="R7"/>
      <c r="S7"/>
      <c r="T7"/>
      <c r="U7" s="85"/>
      <c r="V7" t="s">
        <v>616</v>
      </c>
      <c r="W7" s="85">
        <v>44428</v>
      </c>
      <c r="X7" s="85"/>
      <c r="Y7" t="s">
        <v>440</v>
      </c>
      <c r="Z7"/>
      <c r="AA7"/>
      <c r="AB7" s="85"/>
      <c r="AC7">
        <v>0</v>
      </c>
      <c r="AD7" s="84">
        <v>44429.758888889002</v>
      </c>
      <c r="AE7" s="84">
        <v>44429.758888889002</v>
      </c>
    </row>
    <row r="8" spans="1:32" s="77" customFormat="1" x14ac:dyDescent="0.25">
      <c r="A8">
        <v>7</v>
      </c>
      <c r="B8" s="82" t="s">
        <v>701</v>
      </c>
      <c r="C8" t="s">
        <v>702</v>
      </c>
      <c r="D8" t="s">
        <v>475</v>
      </c>
      <c r="E8" t="s">
        <v>283</v>
      </c>
      <c r="F8" t="s">
        <v>284</v>
      </c>
      <c r="G8" t="s">
        <v>703</v>
      </c>
      <c r="H8">
        <v>2</v>
      </c>
      <c r="I8">
        <v>2</v>
      </c>
      <c r="J8" t="s">
        <v>703</v>
      </c>
      <c r="K8">
        <v>58</v>
      </c>
      <c r="L8" t="s">
        <v>305</v>
      </c>
      <c r="M8" t="s">
        <v>704</v>
      </c>
      <c r="N8" t="s">
        <v>469</v>
      </c>
      <c r="O8" t="s">
        <v>705</v>
      </c>
      <c r="P8" t="s">
        <v>706</v>
      </c>
      <c r="Q8"/>
      <c r="R8"/>
      <c r="S8"/>
      <c r="T8"/>
      <c r="U8" s="85"/>
      <c r="V8" t="s">
        <v>586</v>
      </c>
      <c r="W8" s="85">
        <v>44429</v>
      </c>
      <c r="X8" s="85"/>
      <c r="Y8" t="s">
        <v>440</v>
      </c>
      <c r="Z8"/>
      <c r="AA8"/>
      <c r="AB8" s="85"/>
      <c r="AC8">
        <v>0</v>
      </c>
      <c r="AD8" s="84">
        <v>44429.807268518998</v>
      </c>
      <c r="AE8" s="84">
        <v>44429.807268518998</v>
      </c>
    </row>
    <row r="9" spans="1:32" s="77" customFormat="1" x14ac:dyDescent="0.25">
      <c r="A9">
        <v>8</v>
      </c>
      <c r="B9" s="82" t="s">
        <v>707</v>
      </c>
      <c r="C9" t="s">
        <v>708</v>
      </c>
      <c r="D9" t="s">
        <v>475</v>
      </c>
      <c r="E9" t="s">
        <v>283</v>
      </c>
      <c r="F9" t="s">
        <v>282</v>
      </c>
      <c r="G9" t="s">
        <v>709</v>
      </c>
      <c r="H9">
        <v>1</v>
      </c>
      <c r="I9">
        <v>9</v>
      </c>
      <c r="J9" t="s">
        <v>709</v>
      </c>
      <c r="K9">
        <v>45</v>
      </c>
      <c r="L9" t="s">
        <v>305</v>
      </c>
      <c r="M9" t="s">
        <v>308</v>
      </c>
      <c r="N9" t="s">
        <v>462</v>
      </c>
      <c r="O9" t="s">
        <v>472</v>
      </c>
      <c r="P9" t="s">
        <v>334</v>
      </c>
      <c r="Q9"/>
      <c r="R9"/>
      <c r="S9"/>
      <c r="T9"/>
      <c r="U9" s="85"/>
      <c r="V9" t="s">
        <v>558</v>
      </c>
      <c r="W9" s="85">
        <v>44429</v>
      </c>
      <c r="X9" s="85"/>
      <c r="Y9" t="s">
        <v>440</v>
      </c>
      <c r="Z9" t="s">
        <v>710</v>
      </c>
      <c r="AA9" t="s">
        <v>579</v>
      </c>
      <c r="AB9" s="85">
        <v>44429</v>
      </c>
      <c r="AC9">
        <v>0</v>
      </c>
      <c r="AD9" s="84">
        <v>44430.324247684999</v>
      </c>
      <c r="AE9" s="84">
        <v>44430.324247684999</v>
      </c>
      <c r="AF9" s="84"/>
    </row>
    <row r="10" spans="1:32" s="77" customFormat="1" x14ac:dyDescent="0.25">
      <c r="A10">
        <v>9</v>
      </c>
      <c r="B10" s="82" t="s">
        <v>711</v>
      </c>
      <c r="C10" t="s">
        <v>712</v>
      </c>
      <c r="D10" t="s">
        <v>475</v>
      </c>
      <c r="E10" t="s">
        <v>283</v>
      </c>
      <c r="F10" t="s">
        <v>309</v>
      </c>
      <c r="G10" t="s">
        <v>346</v>
      </c>
      <c r="H10">
        <v>1</v>
      </c>
      <c r="I10">
        <v>30</v>
      </c>
      <c r="J10" t="s">
        <v>713</v>
      </c>
      <c r="K10">
        <v>62</v>
      </c>
      <c r="L10" t="s">
        <v>307</v>
      </c>
      <c r="M10" t="s">
        <v>308</v>
      </c>
      <c r="N10" t="s">
        <v>474</v>
      </c>
      <c r="O10" t="s">
        <v>472</v>
      </c>
      <c r="P10" t="s">
        <v>334</v>
      </c>
      <c r="Q10"/>
      <c r="R10"/>
      <c r="S10"/>
      <c r="T10"/>
      <c r="U10" s="85"/>
      <c r="V10" t="s">
        <v>558</v>
      </c>
      <c r="W10" s="85">
        <v>44429</v>
      </c>
      <c r="X10" s="85"/>
      <c r="Y10" t="s">
        <v>440</v>
      </c>
      <c r="Z10" t="s">
        <v>714</v>
      </c>
      <c r="AA10" t="s">
        <v>579</v>
      </c>
      <c r="AB10" s="85">
        <v>44429</v>
      </c>
      <c r="AC10">
        <v>0</v>
      </c>
      <c r="AD10" s="84">
        <v>44430.327858796001</v>
      </c>
      <c r="AE10" s="84">
        <v>44430.327858796001</v>
      </c>
    </row>
    <row r="11" spans="1:32" s="77" customFormat="1" x14ac:dyDescent="0.25">
      <c r="A11">
        <v>10</v>
      </c>
      <c r="B11" s="82" t="s">
        <v>715</v>
      </c>
      <c r="C11" t="s">
        <v>716</v>
      </c>
      <c r="D11" t="s">
        <v>475</v>
      </c>
      <c r="E11" t="s">
        <v>283</v>
      </c>
      <c r="F11" t="s">
        <v>309</v>
      </c>
      <c r="G11" t="s">
        <v>643</v>
      </c>
      <c r="H11">
        <v>2</v>
      </c>
      <c r="I11">
        <v>4</v>
      </c>
      <c r="J11" t="s">
        <v>644</v>
      </c>
      <c r="K11">
        <v>60</v>
      </c>
      <c r="L11" t="s">
        <v>307</v>
      </c>
      <c r="M11" t="s">
        <v>717</v>
      </c>
      <c r="N11" t="s">
        <v>639</v>
      </c>
      <c r="O11" t="s">
        <v>472</v>
      </c>
      <c r="P11" t="s">
        <v>334</v>
      </c>
      <c r="Q11"/>
      <c r="R11"/>
      <c r="S11"/>
      <c r="T11"/>
      <c r="U11" s="85"/>
      <c r="V11" t="s">
        <v>558</v>
      </c>
      <c r="W11" s="85">
        <v>44429</v>
      </c>
      <c r="X11" s="85"/>
      <c r="Y11" t="s">
        <v>440</v>
      </c>
      <c r="Z11" t="s">
        <v>718</v>
      </c>
      <c r="AA11" t="s">
        <v>579</v>
      </c>
      <c r="AB11" s="85">
        <v>44429</v>
      </c>
      <c r="AC11">
        <v>0</v>
      </c>
      <c r="AD11" s="84">
        <v>44430.335891203998</v>
      </c>
      <c r="AE11" s="84">
        <v>44430.335891203998</v>
      </c>
    </row>
    <row r="12" spans="1:32" s="77" customFormat="1" x14ac:dyDescent="0.25">
      <c r="A12">
        <v>11</v>
      </c>
      <c r="B12" s="82" t="s">
        <v>719</v>
      </c>
      <c r="C12" t="s">
        <v>720</v>
      </c>
      <c r="D12" t="s">
        <v>475</v>
      </c>
      <c r="E12" t="s">
        <v>283</v>
      </c>
      <c r="F12" t="s">
        <v>309</v>
      </c>
      <c r="G12" t="s">
        <v>643</v>
      </c>
      <c r="H12">
        <v>2</v>
      </c>
      <c r="I12">
        <v>4</v>
      </c>
      <c r="J12" t="s">
        <v>644</v>
      </c>
      <c r="K12">
        <v>21</v>
      </c>
      <c r="L12" t="s">
        <v>307</v>
      </c>
      <c r="M12" t="s">
        <v>308</v>
      </c>
      <c r="N12" t="s">
        <v>480</v>
      </c>
      <c r="O12" t="s">
        <v>472</v>
      </c>
      <c r="P12" t="s">
        <v>334</v>
      </c>
      <c r="Q12"/>
      <c r="R12"/>
      <c r="S12"/>
      <c r="T12"/>
      <c r="U12" s="85"/>
      <c r="V12" t="s">
        <v>558</v>
      </c>
      <c r="W12" s="85">
        <v>44429</v>
      </c>
      <c r="X12" s="85"/>
      <c r="Y12" t="s">
        <v>440</v>
      </c>
      <c r="Z12" t="s">
        <v>721</v>
      </c>
      <c r="AA12" t="s">
        <v>579</v>
      </c>
      <c r="AB12" s="85">
        <v>44429</v>
      </c>
      <c r="AC12">
        <v>0</v>
      </c>
      <c r="AD12" s="84">
        <v>44430.337534721999</v>
      </c>
      <c r="AE12" s="84">
        <v>44430.337534721999</v>
      </c>
    </row>
    <row r="13" spans="1:32" s="77" customFormat="1" x14ac:dyDescent="0.25">
      <c r="A13"/>
      <c r="B13" s="82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85"/>
      <c r="V13"/>
      <c r="W13" s="85"/>
      <c r="X13" s="85"/>
      <c r="Y13"/>
      <c r="Z13"/>
      <c r="AA13"/>
      <c r="AB13" s="85"/>
      <c r="AC13"/>
      <c r="AD13" s="84"/>
      <c r="AE13" s="84"/>
    </row>
    <row r="14" spans="1:32" s="77" customFormat="1" x14ac:dyDescent="0.25">
      <c r="A14"/>
      <c r="B14" s="82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5"/>
      <c r="V14"/>
      <c r="W14" s="85"/>
      <c r="X14" s="85"/>
      <c r="Y14"/>
      <c r="Z14"/>
      <c r="AA14"/>
      <c r="AB14" s="85"/>
      <c r="AC14"/>
      <c r="AD14" s="84"/>
      <c r="AE14" s="84"/>
    </row>
    <row r="15" spans="1:32" s="77" customFormat="1" x14ac:dyDescent="0.25">
      <c r="A15"/>
      <c r="B15" s="82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5"/>
      <c r="V15"/>
      <c r="W15" s="85"/>
      <c r="X15" s="85"/>
      <c r="Y15"/>
      <c r="Z15"/>
      <c r="AA15"/>
      <c r="AB15" s="85"/>
      <c r="AC15"/>
      <c r="AD15" s="84"/>
      <c r="AE15" s="84"/>
    </row>
    <row r="16" spans="1:32" s="77" customFormat="1" x14ac:dyDescent="0.25">
      <c r="A16"/>
      <c r="B16" s="8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5"/>
      <c r="V16"/>
      <c r="W16" s="85"/>
      <c r="X16" s="85"/>
      <c r="Y16"/>
      <c r="Z16"/>
      <c r="AA16"/>
      <c r="AB16" s="85"/>
      <c r="AC16"/>
      <c r="AD16" s="84"/>
      <c r="AE16" s="84"/>
    </row>
    <row r="17" spans="1:31" s="77" customFormat="1" x14ac:dyDescent="0.25">
      <c r="A17"/>
      <c r="B17" s="8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5"/>
      <c r="V17"/>
      <c r="W17" s="85"/>
      <c r="X17" s="85"/>
      <c r="Y17"/>
      <c r="Z17"/>
      <c r="AA17"/>
      <c r="AB17" s="85"/>
      <c r="AC17"/>
      <c r="AD17" s="84"/>
      <c r="AE17" s="84"/>
    </row>
    <row r="18" spans="1:31" s="77" customFormat="1" x14ac:dyDescent="0.25">
      <c r="A18"/>
      <c r="B18" s="8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5"/>
      <c r="V18"/>
      <c r="W18" s="85"/>
      <c r="X18" s="85"/>
      <c r="Y18"/>
      <c r="Z18"/>
      <c r="AA18"/>
      <c r="AB18" s="85"/>
      <c r="AC18"/>
      <c r="AD18" s="84"/>
      <c r="AE18" s="84"/>
    </row>
    <row r="19" spans="1:31" customFormat="1" x14ac:dyDescent="0.25">
      <c r="B19" s="82"/>
      <c r="U19" s="85"/>
      <c r="W19" s="85"/>
      <c r="X19" s="85"/>
      <c r="AB19" s="85"/>
      <c r="AD19" s="84"/>
      <c r="AE19" s="84"/>
    </row>
    <row r="20" spans="1:31" customFormat="1" x14ac:dyDescent="0.25">
      <c r="B20" s="82"/>
      <c r="U20" s="85"/>
      <c r="W20" s="85"/>
      <c r="X20" s="85"/>
      <c r="AB20" s="85"/>
      <c r="AD20" s="84"/>
      <c r="AE20" s="84"/>
    </row>
    <row r="21" spans="1:31" customFormat="1" x14ac:dyDescent="0.25">
      <c r="B21" s="82"/>
      <c r="U21" s="85"/>
      <c r="W21" s="85"/>
      <c r="X21" s="85"/>
      <c r="AB21" s="85"/>
      <c r="AD21" s="84"/>
      <c r="AE21" s="84"/>
    </row>
    <row r="22" spans="1:31" customFormat="1" x14ac:dyDescent="0.25">
      <c r="B22" s="82"/>
      <c r="U22" s="85"/>
      <c r="W22" s="85"/>
      <c r="X22" s="85"/>
      <c r="AB22" s="85"/>
      <c r="AD22" s="84"/>
      <c r="AE22" s="84"/>
    </row>
    <row r="23" spans="1:31" customFormat="1" x14ac:dyDescent="0.25">
      <c r="B23" s="82"/>
      <c r="U23" s="85"/>
      <c r="W23" s="85"/>
      <c r="X23" s="85"/>
      <c r="AB23" s="85"/>
      <c r="AD23" s="84"/>
      <c r="AE23" s="84"/>
    </row>
    <row r="24" spans="1:31" customFormat="1" x14ac:dyDescent="0.25">
      <c r="B24" s="82"/>
      <c r="U24" s="85"/>
      <c r="W24" s="85"/>
      <c r="X24" s="85"/>
      <c r="AB24" s="85"/>
      <c r="AD24" s="84"/>
      <c r="AE24" s="84"/>
    </row>
    <row r="25" spans="1:31" customFormat="1" x14ac:dyDescent="0.25">
      <c r="B25" s="82"/>
      <c r="U25" s="85"/>
      <c r="W25" s="85"/>
      <c r="X25" s="85"/>
      <c r="AB25" s="85"/>
      <c r="AD25" s="84"/>
      <c r="AE25" s="84"/>
    </row>
    <row r="26" spans="1:31" customFormat="1" x14ac:dyDescent="0.25">
      <c r="B26" s="82"/>
      <c r="U26" s="85"/>
      <c r="W26" s="85"/>
      <c r="X26" s="85"/>
      <c r="AB26" s="85"/>
      <c r="AD26" s="84"/>
      <c r="AE26" s="84"/>
    </row>
    <row r="27" spans="1:31" customFormat="1" x14ac:dyDescent="0.25">
      <c r="B27" s="82"/>
      <c r="U27" s="85"/>
      <c r="W27" s="85"/>
      <c r="X27" s="85"/>
      <c r="AB27" s="85"/>
      <c r="AD27" s="84"/>
      <c r="AE27" s="84"/>
    </row>
    <row r="28" spans="1:31" customFormat="1" x14ac:dyDescent="0.25">
      <c r="B28" s="82"/>
      <c r="U28" s="85"/>
      <c r="W28" s="85"/>
      <c r="X28" s="85"/>
      <c r="AB28" s="85"/>
      <c r="AD28" s="84"/>
      <c r="AE28" s="84"/>
    </row>
    <row r="29" spans="1:31" customFormat="1" x14ac:dyDescent="0.25">
      <c r="B29" s="82"/>
      <c r="U29" s="85"/>
      <c r="W29" s="85"/>
      <c r="X29" s="85"/>
      <c r="AB29" s="85"/>
      <c r="AD29" s="84"/>
      <c r="AE29" s="84"/>
    </row>
    <row r="30" spans="1:31" customFormat="1" x14ac:dyDescent="0.25">
      <c r="B30" s="82"/>
      <c r="U30" s="85"/>
      <c r="W30" s="85"/>
      <c r="X30" s="85"/>
      <c r="AB30" s="85"/>
      <c r="AD30" s="84"/>
      <c r="AE30" s="84"/>
    </row>
    <row r="31" spans="1:31" customFormat="1" x14ac:dyDescent="0.25">
      <c r="B31" s="82"/>
      <c r="U31" s="85"/>
      <c r="W31" s="85"/>
      <c r="X31" s="85"/>
      <c r="AB31" s="85"/>
      <c r="AD31" s="84"/>
      <c r="AE31" s="84"/>
    </row>
    <row r="32" spans="1:31" customFormat="1" x14ac:dyDescent="0.25">
      <c r="B32" s="82"/>
      <c r="U32" s="85"/>
      <c r="W32" s="85"/>
      <c r="X32" s="85"/>
      <c r="AB32" s="85"/>
      <c r="AD32" s="84"/>
      <c r="AE32" s="84"/>
    </row>
    <row r="33" spans="2:31" customFormat="1" x14ac:dyDescent="0.25">
      <c r="B33" s="82"/>
      <c r="U33" s="85"/>
      <c r="W33" s="85"/>
      <c r="X33" s="85"/>
      <c r="AB33" s="85"/>
      <c r="AD33" s="84"/>
      <c r="AE33" s="84"/>
    </row>
    <row r="34" spans="2:31" customFormat="1" x14ac:dyDescent="0.25">
      <c r="B34" s="82"/>
      <c r="U34" s="85"/>
      <c r="W34" s="85"/>
      <c r="X34" s="85"/>
      <c r="AB34" s="85"/>
      <c r="AD34" s="84"/>
      <c r="AE34" s="84"/>
    </row>
    <row r="35" spans="2:31" customFormat="1" x14ac:dyDescent="0.25">
      <c r="B35" s="82"/>
      <c r="U35" s="85"/>
      <c r="W35" s="85"/>
      <c r="X35" s="85"/>
      <c r="AB35" s="85"/>
      <c r="AD35" s="84"/>
      <c r="AE35" s="84"/>
    </row>
    <row r="36" spans="2:31" customFormat="1" x14ac:dyDescent="0.25">
      <c r="B36" s="82"/>
      <c r="U36" s="85"/>
      <c r="W36" s="85"/>
      <c r="X36" s="85"/>
      <c r="AB36" s="85"/>
      <c r="AD36" s="84"/>
      <c r="AE36" s="84"/>
    </row>
    <row r="37" spans="2:31" customFormat="1" x14ac:dyDescent="0.25">
      <c r="B37" s="82"/>
      <c r="U37" s="85"/>
      <c r="W37" s="85"/>
      <c r="X37" s="85"/>
      <c r="AB37" s="85"/>
      <c r="AD37" s="84"/>
      <c r="AE37" s="84"/>
    </row>
    <row r="38" spans="2:31" customFormat="1" x14ac:dyDescent="0.25">
      <c r="B38" s="82"/>
      <c r="U38" s="85"/>
      <c r="W38" s="85"/>
      <c r="X38" s="85"/>
      <c r="AB38" s="85"/>
      <c r="AD38" s="84"/>
      <c r="AE38" s="84"/>
    </row>
    <row r="39" spans="2:31" customFormat="1" x14ac:dyDescent="0.25">
      <c r="B39" s="82"/>
      <c r="U39" s="85"/>
      <c r="W39" s="85"/>
      <c r="X39" s="85"/>
      <c r="AB39" s="85"/>
      <c r="AD39" s="84"/>
      <c r="AE39" s="84"/>
    </row>
    <row r="40" spans="2:31" customFormat="1" x14ac:dyDescent="0.25">
      <c r="B40" s="82"/>
      <c r="U40" s="85"/>
      <c r="W40" s="85"/>
      <c r="X40" s="85"/>
      <c r="AB40" s="85"/>
      <c r="AD40" s="84"/>
      <c r="AE40" s="84"/>
    </row>
    <row r="41" spans="2:31" customFormat="1" x14ac:dyDescent="0.25">
      <c r="B41" s="82"/>
      <c r="U41" s="85"/>
      <c r="W41" s="85"/>
      <c r="X41" s="85"/>
      <c r="AB41" s="85"/>
      <c r="AD41" s="84"/>
      <c r="AE41" s="84"/>
    </row>
    <row r="42" spans="2:31" customFormat="1" x14ac:dyDescent="0.25">
      <c r="B42" s="82"/>
      <c r="U42" s="85"/>
      <c r="W42" s="85"/>
      <c r="X42" s="85"/>
      <c r="AB42" s="85"/>
      <c r="AD42" s="84"/>
      <c r="AE42" s="84"/>
    </row>
    <row r="43" spans="2:31" customFormat="1" x14ac:dyDescent="0.25">
      <c r="B43" s="82"/>
      <c r="U43" s="85"/>
      <c r="W43" s="85"/>
      <c r="X43" s="85"/>
      <c r="AB43" s="85"/>
      <c r="AD43" s="84"/>
      <c r="AE43" s="84"/>
    </row>
    <row r="44" spans="2:31" customFormat="1" x14ac:dyDescent="0.25">
      <c r="B44" s="82"/>
      <c r="U44" s="85"/>
      <c r="W44" s="85"/>
      <c r="X44" s="85"/>
      <c r="AB44" s="85"/>
      <c r="AD44" s="84"/>
      <c r="AE44" s="84"/>
    </row>
    <row r="45" spans="2:31" customFormat="1" x14ac:dyDescent="0.25">
      <c r="B45" s="82"/>
      <c r="U45" s="85"/>
      <c r="W45" s="85"/>
      <c r="X45" s="85"/>
      <c r="AB45" s="85"/>
      <c r="AD45" s="84"/>
      <c r="AE45" s="84"/>
    </row>
    <row r="46" spans="2:31" customFormat="1" x14ac:dyDescent="0.25">
      <c r="B46" s="82"/>
      <c r="U46" s="85"/>
      <c r="W46" s="85"/>
      <c r="X46" s="85"/>
      <c r="AB46" s="85"/>
      <c r="AD46" s="84"/>
      <c r="AE46" s="84"/>
    </row>
    <row r="47" spans="2:31" customFormat="1" x14ac:dyDescent="0.25">
      <c r="B47" s="82"/>
      <c r="U47" s="85"/>
      <c r="W47" s="85"/>
      <c r="X47" s="85"/>
      <c r="AB47" s="85"/>
      <c r="AD47" s="84"/>
      <c r="AE47" s="84"/>
    </row>
    <row r="48" spans="2:31" customFormat="1" x14ac:dyDescent="0.25">
      <c r="B48" s="82"/>
      <c r="U48" s="85"/>
      <c r="W48" s="85"/>
      <c r="X48" s="85"/>
      <c r="AB48" s="85"/>
      <c r="AD48" s="84"/>
      <c r="AE48" s="84"/>
    </row>
    <row r="49" spans="1:31" customFormat="1" x14ac:dyDescent="0.25">
      <c r="B49" s="82"/>
      <c r="U49" s="85"/>
      <c r="W49" s="85"/>
      <c r="X49" s="85"/>
      <c r="AB49" s="85"/>
      <c r="AD49" s="84"/>
      <c r="AE49" s="84"/>
    </row>
    <row r="50" spans="1:31" customFormat="1" x14ac:dyDescent="0.25">
      <c r="B50" s="82"/>
      <c r="U50" s="85"/>
      <c r="W50" s="85"/>
      <c r="X50" s="85"/>
      <c r="AB50" s="85"/>
      <c r="AD50" s="84"/>
      <c r="AE50" s="84"/>
    </row>
    <row r="51" spans="1:31" customFormat="1" x14ac:dyDescent="0.25">
      <c r="B51" s="82"/>
      <c r="U51" s="85"/>
      <c r="W51" s="85"/>
      <c r="X51" s="85"/>
      <c r="AB51" s="85"/>
      <c r="AD51" s="84"/>
      <c r="AE51" s="84"/>
    </row>
    <row r="52" spans="1:31" customFormat="1" x14ac:dyDescent="0.25">
      <c r="B52" s="82"/>
      <c r="U52" s="85"/>
      <c r="W52" s="85"/>
      <c r="X52" s="85"/>
      <c r="AB52" s="85"/>
      <c r="AD52" s="84"/>
      <c r="AE52" s="84"/>
    </row>
    <row r="53" spans="1:31" customFormat="1" x14ac:dyDescent="0.25">
      <c r="B53" s="82"/>
      <c r="U53" s="85"/>
      <c r="W53" s="85"/>
      <c r="X53" s="85"/>
      <c r="AB53" s="85"/>
      <c r="AD53" s="84"/>
      <c r="AE53" s="84"/>
    </row>
    <row r="54" spans="1:31" x14ac:dyDescent="0.25">
      <c r="A54"/>
      <c r="B54" s="82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5"/>
      <c r="V54"/>
      <c r="W54" s="85"/>
      <c r="X54" s="85"/>
      <c r="Y54"/>
      <c r="Z54"/>
      <c r="AA54"/>
      <c r="AB54" s="85"/>
      <c r="AC54"/>
      <c r="AD54" s="84"/>
      <c r="AE54" s="84"/>
    </row>
    <row r="55" spans="1:31" x14ac:dyDescent="0.25">
      <c r="A55"/>
      <c r="B55" s="82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5"/>
      <c r="V55"/>
      <c r="W55" s="85"/>
      <c r="X55" s="85"/>
      <c r="Y55"/>
      <c r="Z55"/>
      <c r="AA55"/>
      <c r="AB55" s="85"/>
      <c r="AC55"/>
      <c r="AD55" s="84"/>
      <c r="AE55" s="84"/>
    </row>
    <row r="56" spans="1:31" x14ac:dyDescent="0.25">
      <c r="A56"/>
      <c r="B56" s="82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5"/>
      <c r="V56"/>
      <c r="W56" s="85"/>
      <c r="X56" s="85"/>
      <c r="Y56"/>
      <c r="Z56"/>
      <c r="AA56"/>
      <c r="AB56" s="85"/>
      <c r="AC56"/>
      <c r="AD56" s="84"/>
      <c r="AE56" s="84"/>
    </row>
    <row r="57" spans="1:31" x14ac:dyDescent="0.25">
      <c r="A57"/>
      <c r="B57" s="82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5"/>
      <c r="V57"/>
      <c r="W57" s="85"/>
      <c r="X57" s="85"/>
      <c r="Y57"/>
      <c r="Z57"/>
      <c r="AA57"/>
      <c r="AB57" s="85"/>
      <c r="AC57"/>
      <c r="AD57" s="84"/>
      <c r="AE57" s="84"/>
    </row>
    <row r="58" spans="1:31" x14ac:dyDescent="0.25">
      <c r="A58"/>
      <c r="B58" s="82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5"/>
      <c r="V58"/>
      <c r="W58" s="85"/>
      <c r="X58" s="85"/>
      <c r="Y58"/>
      <c r="Z58"/>
      <c r="AA58"/>
      <c r="AB58" s="85"/>
      <c r="AC58"/>
      <c r="AD58" s="84"/>
      <c r="AE58" s="84"/>
    </row>
    <row r="59" spans="1:31" x14ac:dyDescent="0.25">
      <c r="A59"/>
      <c r="B59" s="8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5"/>
      <c r="V59"/>
      <c r="W59" s="85"/>
      <c r="X59" s="85"/>
      <c r="Y59"/>
      <c r="Z59"/>
      <c r="AA59"/>
      <c r="AB59" s="85"/>
      <c r="AC59"/>
      <c r="AD59" s="84"/>
      <c r="AE59" s="84"/>
    </row>
    <row r="60" spans="1:31" x14ac:dyDescent="0.25">
      <c r="A60"/>
      <c r="B60" s="82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5"/>
      <c r="V60"/>
      <c r="W60" s="85"/>
      <c r="X60" s="85"/>
      <c r="Y60"/>
      <c r="Z60"/>
      <c r="AA60"/>
      <c r="AB60" s="85"/>
      <c r="AC60"/>
      <c r="AD60" s="84"/>
      <c r="AE60" s="84"/>
    </row>
    <row r="61" spans="1:31" x14ac:dyDescent="0.25">
      <c r="A61"/>
      <c r="B61" s="82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5"/>
      <c r="V61"/>
      <c r="W61" s="85"/>
      <c r="X61" s="85"/>
      <c r="Y61"/>
      <c r="Z61"/>
      <c r="AA61"/>
      <c r="AB61" s="85"/>
      <c r="AC61"/>
      <c r="AD61" s="84"/>
      <c r="AE61" s="84"/>
    </row>
    <row r="62" spans="1:31" x14ac:dyDescent="0.25">
      <c r="A62"/>
      <c r="B62" s="8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5"/>
      <c r="V62"/>
      <c r="W62" s="85"/>
      <c r="X62" s="85"/>
      <c r="Y62"/>
      <c r="Z62"/>
      <c r="AA62"/>
      <c r="AB62" s="85"/>
      <c r="AC62"/>
      <c r="AD62" s="84"/>
      <c r="AE62" s="84"/>
    </row>
    <row r="63" spans="1:31" x14ac:dyDescent="0.25">
      <c r="A63"/>
      <c r="B63" s="82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5"/>
      <c r="V63"/>
      <c r="W63" s="85"/>
      <c r="X63" s="85"/>
      <c r="Y63"/>
      <c r="Z63"/>
      <c r="AA63"/>
      <c r="AB63" s="85"/>
      <c r="AC63"/>
      <c r="AD63" s="84"/>
      <c r="AE63" s="84"/>
    </row>
    <row r="64" spans="1:31" x14ac:dyDescent="0.25">
      <c r="A64"/>
      <c r="B64" s="82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5"/>
      <c r="V64"/>
      <c r="W64" s="85"/>
      <c r="X64" s="85"/>
      <c r="Y64"/>
      <c r="Z64"/>
      <c r="AA64"/>
      <c r="AB64" s="85"/>
      <c r="AC64"/>
      <c r="AD64" s="84"/>
      <c r="AE64" s="84"/>
    </row>
    <row r="65" spans="1:31" x14ac:dyDescent="0.25">
      <c r="A65"/>
      <c r="B65" s="82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5"/>
      <c r="V65"/>
      <c r="W65" s="85"/>
      <c r="X65" s="85"/>
      <c r="Y65"/>
      <c r="Z65"/>
      <c r="AA65"/>
      <c r="AB65" s="85"/>
      <c r="AC65"/>
      <c r="AD65" s="84"/>
      <c r="AE65" s="84"/>
    </row>
    <row r="66" spans="1:31" x14ac:dyDescent="0.25">
      <c r="A66"/>
      <c r="B66" s="82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5"/>
      <c r="V66"/>
      <c r="W66" s="85"/>
      <c r="X66" s="85"/>
      <c r="Y66"/>
      <c r="Z66"/>
      <c r="AA66"/>
      <c r="AB66" s="85"/>
      <c r="AC66"/>
      <c r="AD66" s="84"/>
      <c r="AE66" s="84"/>
    </row>
    <row r="67" spans="1:31" x14ac:dyDescent="0.25">
      <c r="A67"/>
      <c r="B67" s="82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5"/>
      <c r="V67"/>
      <c r="W67" s="85"/>
      <c r="X67" s="85"/>
      <c r="Y67"/>
      <c r="Z67"/>
      <c r="AA67"/>
      <c r="AB67" s="85"/>
      <c r="AC67"/>
      <c r="AD67" s="84"/>
      <c r="AE67" s="84"/>
    </row>
    <row r="68" spans="1:31" x14ac:dyDescent="0.25">
      <c r="A68"/>
      <c r="B68" s="82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5"/>
      <c r="V68"/>
      <c r="W68" s="85"/>
      <c r="X68" s="85"/>
      <c r="Y68"/>
      <c r="Z68"/>
      <c r="AA68"/>
      <c r="AB68" s="85"/>
      <c r="AC68"/>
      <c r="AD68" s="84"/>
      <c r="AE68" s="84"/>
    </row>
    <row r="69" spans="1:31" x14ac:dyDescent="0.25">
      <c r="A69"/>
      <c r="B69" s="82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5"/>
      <c r="V69"/>
      <c r="W69" s="85"/>
      <c r="X69" s="85"/>
      <c r="Y69"/>
      <c r="Z69"/>
      <c r="AA69"/>
      <c r="AB69" s="85"/>
      <c r="AC69"/>
      <c r="AD69" s="84"/>
      <c r="AE69" s="84"/>
    </row>
    <row r="70" spans="1:31" x14ac:dyDescent="0.25">
      <c r="A70"/>
      <c r="B70" s="82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5"/>
      <c r="V70"/>
      <c r="W70" s="85"/>
      <c r="X70" s="85"/>
      <c r="Y70"/>
      <c r="Z70"/>
      <c r="AA70"/>
      <c r="AB70" s="85"/>
      <c r="AC70"/>
      <c r="AD70" s="84"/>
      <c r="AE70" s="84"/>
    </row>
    <row r="71" spans="1:31" x14ac:dyDescent="0.25">
      <c r="A71"/>
      <c r="B71" s="8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5"/>
      <c r="V71"/>
      <c r="W71" s="85"/>
      <c r="X71" s="85"/>
      <c r="Y71"/>
      <c r="Z71"/>
      <c r="AA71"/>
      <c r="AB71" s="85"/>
      <c r="AC71"/>
      <c r="AD71" s="84"/>
      <c r="AE71" s="84"/>
    </row>
    <row r="72" spans="1:31" x14ac:dyDescent="0.25">
      <c r="A72"/>
      <c r="B72" s="8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5"/>
      <c r="V72"/>
      <c r="W72" s="85"/>
      <c r="X72" s="85"/>
      <c r="Y72"/>
      <c r="Z72"/>
      <c r="AA72"/>
      <c r="AB72" s="85"/>
      <c r="AC72"/>
      <c r="AD72" s="84"/>
      <c r="AE72" s="84"/>
    </row>
    <row r="73" spans="1:31" x14ac:dyDescent="0.25">
      <c r="A73"/>
      <c r="B73" s="8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5"/>
      <c r="V73"/>
      <c r="W73" s="85"/>
      <c r="X73" s="85"/>
      <c r="Y73"/>
      <c r="Z73"/>
      <c r="AA73"/>
      <c r="AB73" s="85"/>
      <c r="AC73"/>
      <c r="AD73" s="84"/>
      <c r="AE73" s="84"/>
    </row>
    <row r="74" spans="1:31" x14ac:dyDescent="0.25">
      <c r="A74"/>
      <c r="B74" s="8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5"/>
      <c r="V74"/>
      <c r="W74" s="85"/>
      <c r="X74" s="85"/>
      <c r="Y74"/>
      <c r="Z74"/>
      <c r="AA74"/>
      <c r="AB74" s="85"/>
      <c r="AC74"/>
      <c r="AD74" s="84"/>
      <c r="AE74" s="84"/>
    </row>
    <row r="75" spans="1:31" x14ac:dyDescent="0.25">
      <c r="A75"/>
      <c r="B75" s="8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5"/>
      <c r="V75"/>
      <c r="W75" s="85"/>
      <c r="X75" s="85"/>
      <c r="Y75"/>
      <c r="Z75"/>
      <c r="AA75"/>
      <c r="AB75" s="85"/>
      <c r="AC75"/>
      <c r="AD75" s="84"/>
      <c r="AE75" s="84"/>
    </row>
    <row r="76" spans="1:31" x14ac:dyDescent="0.25">
      <c r="A76"/>
      <c r="B76" s="8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5"/>
      <c r="V76"/>
      <c r="W76" s="85"/>
      <c r="X76" s="85"/>
      <c r="Y76"/>
      <c r="Z76"/>
      <c r="AA76"/>
      <c r="AB76" s="85"/>
      <c r="AC76"/>
      <c r="AD76" s="84"/>
      <c r="AE76" s="84"/>
    </row>
    <row r="77" spans="1:31" x14ac:dyDescent="0.25">
      <c r="A77"/>
      <c r="B77" s="8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5"/>
      <c r="V77"/>
      <c r="W77" s="85"/>
      <c r="X77" s="85"/>
      <c r="Y77"/>
      <c r="Z77"/>
      <c r="AA77"/>
      <c r="AB77" s="85"/>
      <c r="AC77"/>
      <c r="AD77" s="84"/>
      <c r="AE77" s="84"/>
    </row>
    <row r="78" spans="1:31" x14ac:dyDescent="0.25">
      <c r="A78"/>
      <c r="B78" s="82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5"/>
      <c r="V78"/>
      <c r="W78" s="85"/>
      <c r="X78" s="85"/>
      <c r="Y78"/>
      <c r="Z78"/>
      <c r="AA78"/>
      <c r="AB78" s="85"/>
      <c r="AC78"/>
      <c r="AD78" s="84"/>
      <c r="AE78" s="84"/>
    </row>
    <row r="79" spans="1:31" x14ac:dyDescent="0.25">
      <c r="A79"/>
      <c r="B79" s="8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5"/>
      <c r="V79"/>
      <c r="W79" s="85"/>
      <c r="X79" s="85"/>
      <c r="Y79"/>
      <c r="Z79"/>
      <c r="AA79"/>
      <c r="AB79" s="85"/>
      <c r="AC79"/>
      <c r="AD79" s="84"/>
      <c r="AE79" s="84"/>
    </row>
    <row r="80" spans="1:31" x14ac:dyDescent="0.25">
      <c r="A80"/>
      <c r="B80" s="8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5"/>
      <c r="V80"/>
      <c r="W80" s="85"/>
      <c r="X80" s="85"/>
      <c r="Y80"/>
      <c r="Z80"/>
      <c r="AA80"/>
      <c r="AB80" s="85"/>
      <c r="AC80"/>
      <c r="AD80" s="84"/>
      <c r="AE80" s="84"/>
    </row>
  </sheetData>
  <conditionalFormatting sqref="B75:B80">
    <cfRule type="duplicateValues" dxfId="28" priority="82"/>
  </conditionalFormatting>
  <conditionalFormatting sqref="B57:B74">
    <cfRule type="duplicateValues" dxfId="27" priority="75"/>
  </conditionalFormatting>
  <conditionalFormatting sqref="B38:B56">
    <cfRule type="duplicateValues" dxfId="26" priority="70"/>
  </conditionalFormatting>
  <conditionalFormatting sqref="B36:B37">
    <cfRule type="duplicateValues" dxfId="25" priority="67"/>
  </conditionalFormatting>
  <conditionalFormatting sqref="B21:B35">
    <cfRule type="duplicateValues" dxfId="24" priority="63"/>
  </conditionalFormatting>
  <conditionalFormatting sqref="B17:B20">
    <cfRule type="duplicateValues" dxfId="23" priority="57"/>
  </conditionalFormatting>
  <conditionalFormatting sqref="B14:B16">
    <cfRule type="duplicateValues" dxfId="22" priority="53"/>
  </conditionalFormatting>
  <conditionalFormatting sqref="B13">
    <cfRule type="duplicateValues" dxfId="21" priority="51"/>
  </conditionalFormatting>
  <conditionalFormatting sqref="B2:B12">
    <cfRule type="duplicateValues" dxfId="20" priority="1"/>
    <cfRule type="duplicateValues" dxfId="19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zoomScale="90" zoomScaleNormal="90" workbookViewId="0">
      <selection activeCell="A6" sqref="A6"/>
    </sheetView>
  </sheetViews>
  <sheetFormatPr defaultColWidth="9.140625" defaultRowHeight="15" x14ac:dyDescent="0.25"/>
  <cols>
    <col min="1" max="1" width="5.7109375" style="14" customWidth="1"/>
    <col min="2" max="2" width="20.7109375" style="14" customWidth="1"/>
    <col min="3" max="4" width="29.85546875" style="14" customWidth="1"/>
    <col min="5" max="5" width="12.85546875" style="14" customWidth="1"/>
    <col min="6" max="6" width="14.28515625" style="14" customWidth="1"/>
    <col min="7" max="7" width="13.42578125" style="14" customWidth="1"/>
    <col min="8" max="8" width="24.5703125" style="14" customWidth="1"/>
    <col min="9" max="9" width="8" style="14" customWidth="1"/>
    <col min="10" max="10" width="12.7109375" style="14" customWidth="1"/>
    <col min="11" max="11" width="19.28515625" style="14" customWidth="1"/>
    <col min="12" max="12" width="20.140625" style="14" customWidth="1"/>
    <col min="13" max="13" width="12.5703125" style="14" customWidth="1"/>
    <col min="14" max="14" width="13.140625" style="14" customWidth="1"/>
    <col min="15" max="17" width="9.140625" style="14"/>
    <col min="18" max="18" width="15.5703125" style="14" customWidth="1"/>
    <col min="19" max="19" width="17.28515625" style="14" customWidth="1"/>
    <col min="20" max="20" width="28.140625" style="14" customWidth="1"/>
    <col min="21" max="21" width="14.42578125" style="14" customWidth="1"/>
    <col min="22" max="22" width="9.140625" style="14"/>
    <col min="23" max="23" width="17.5703125" style="14" customWidth="1"/>
    <col min="24" max="24" width="9.140625" style="14"/>
    <col min="25" max="25" width="20.42578125" style="14" customWidth="1"/>
    <col min="26" max="26" width="22.7109375" style="14" customWidth="1"/>
    <col min="27" max="16384" width="9.140625" style="14"/>
  </cols>
  <sheetData>
    <row r="1" spans="1:32" customFormat="1" x14ac:dyDescent="0.25">
      <c r="A1" t="s">
        <v>518</v>
      </c>
      <c r="B1" s="82" t="s">
        <v>445</v>
      </c>
      <c r="C1" t="s">
        <v>431</v>
      </c>
      <c r="D1" t="s">
        <v>504</v>
      </c>
      <c r="E1" t="s">
        <v>432</v>
      </c>
      <c r="F1" t="s">
        <v>2</v>
      </c>
      <c r="G1" t="s">
        <v>433</v>
      </c>
      <c r="H1" t="s">
        <v>505</v>
      </c>
      <c r="I1" t="s">
        <v>506</v>
      </c>
      <c r="J1" t="s">
        <v>434</v>
      </c>
      <c r="K1" t="s">
        <v>435</v>
      </c>
      <c r="L1" t="s">
        <v>436</v>
      </c>
      <c r="M1" t="s">
        <v>437</v>
      </c>
      <c r="N1" t="s">
        <v>446</v>
      </c>
      <c r="O1" t="s">
        <v>447</v>
      </c>
      <c r="P1" t="s">
        <v>448</v>
      </c>
      <c r="Q1" t="s">
        <v>449</v>
      </c>
      <c r="R1" t="s">
        <v>450</v>
      </c>
      <c r="S1" t="s">
        <v>451</v>
      </c>
      <c r="T1" t="s">
        <v>452</v>
      </c>
      <c r="U1" s="85" t="s">
        <v>453</v>
      </c>
      <c r="V1" t="s">
        <v>441</v>
      </c>
      <c r="W1" s="85" t="s">
        <v>454</v>
      </c>
      <c r="X1" s="85" t="s">
        <v>455</v>
      </c>
      <c r="Y1" t="s">
        <v>438</v>
      </c>
      <c r="Z1" t="s">
        <v>519</v>
      </c>
      <c r="AA1" t="s">
        <v>520</v>
      </c>
      <c r="AB1" s="85" t="s">
        <v>521</v>
      </c>
      <c r="AC1" t="s">
        <v>456</v>
      </c>
      <c r="AD1" s="84" t="s">
        <v>457</v>
      </c>
      <c r="AE1" s="84" t="s">
        <v>458</v>
      </c>
    </row>
    <row r="2" spans="1:32" s="77" customFormat="1" x14ac:dyDescent="0.25">
      <c r="A2">
        <v>1</v>
      </c>
      <c r="B2" s="82" t="s">
        <v>647</v>
      </c>
      <c r="C2" t="s">
        <v>648</v>
      </c>
      <c r="D2" t="s">
        <v>475</v>
      </c>
      <c r="E2" t="s">
        <v>283</v>
      </c>
      <c r="F2" t="s">
        <v>289</v>
      </c>
      <c r="G2" t="s">
        <v>649</v>
      </c>
      <c r="H2">
        <v>6</v>
      </c>
      <c r="I2">
        <v>3</v>
      </c>
      <c r="J2" t="s">
        <v>649</v>
      </c>
      <c r="K2">
        <v>23</v>
      </c>
      <c r="L2" t="s">
        <v>307</v>
      </c>
      <c r="M2" t="s">
        <v>650</v>
      </c>
      <c r="N2" t="s">
        <v>462</v>
      </c>
      <c r="O2" t="s">
        <v>472</v>
      </c>
      <c r="P2"/>
      <c r="Q2"/>
      <c r="R2"/>
      <c r="S2"/>
      <c r="T2"/>
      <c r="U2" s="85"/>
      <c r="V2" t="s">
        <v>609</v>
      </c>
      <c r="W2" s="85">
        <v>44424</v>
      </c>
      <c r="X2" s="85"/>
      <c r="Y2" t="s">
        <v>440</v>
      </c>
      <c r="Z2"/>
      <c r="AA2"/>
      <c r="AB2" s="85"/>
      <c r="AC2">
        <v>0</v>
      </c>
      <c r="AD2" s="84">
        <v>44427.514189815003</v>
      </c>
      <c r="AE2" s="84">
        <v>44424.978912036997</v>
      </c>
    </row>
    <row r="3" spans="1:32" s="77" customFormat="1" x14ac:dyDescent="0.25">
      <c r="A3">
        <v>2</v>
      </c>
      <c r="B3" s="82" t="s">
        <v>605</v>
      </c>
      <c r="C3" t="s">
        <v>606</v>
      </c>
      <c r="D3" t="s">
        <v>475</v>
      </c>
      <c r="E3" t="s">
        <v>283</v>
      </c>
      <c r="F3" t="s">
        <v>291</v>
      </c>
      <c r="G3" t="s">
        <v>485</v>
      </c>
      <c r="H3">
        <v>9</v>
      </c>
      <c r="I3">
        <v>3</v>
      </c>
      <c r="J3" t="s">
        <v>485</v>
      </c>
      <c r="K3">
        <v>9</v>
      </c>
      <c r="L3" t="s">
        <v>305</v>
      </c>
      <c r="M3" t="s">
        <v>607</v>
      </c>
      <c r="N3" t="s">
        <v>480</v>
      </c>
      <c r="O3" t="s">
        <v>472</v>
      </c>
      <c r="P3" t="s">
        <v>608</v>
      </c>
      <c r="Q3"/>
      <c r="R3"/>
      <c r="S3"/>
      <c r="T3"/>
      <c r="U3" s="85"/>
      <c r="V3" t="s">
        <v>609</v>
      </c>
      <c r="W3" s="85">
        <v>44426</v>
      </c>
      <c r="X3" s="85"/>
      <c r="Y3" t="s">
        <v>440</v>
      </c>
      <c r="Z3">
        <v>21057459</v>
      </c>
      <c r="AA3" t="s">
        <v>579</v>
      </c>
      <c r="AB3" s="85">
        <v>44426</v>
      </c>
      <c r="AC3">
        <v>0</v>
      </c>
      <c r="AD3" s="84">
        <v>44426.187962962998</v>
      </c>
      <c r="AE3" s="84">
        <v>44426.187962962998</v>
      </c>
    </row>
    <row r="4" spans="1:32" s="77" customFormat="1" x14ac:dyDescent="0.25">
      <c r="A4">
        <v>3</v>
      </c>
      <c r="B4" s="82" t="s">
        <v>656</v>
      </c>
      <c r="C4" t="s">
        <v>657</v>
      </c>
      <c r="D4" t="s">
        <v>475</v>
      </c>
      <c r="E4" t="s">
        <v>283</v>
      </c>
      <c r="F4" t="s">
        <v>287</v>
      </c>
      <c r="G4" t="s">
        <v>287</v>
      </c>
      <c r="H4">
        <v>4</v>
      </c>
      <c r="I4">
        <v>3</v>
      </c>
      <c r="J4" t="s">
        <v>658</v>
      </c>
      <c r="K4">
        <v>27</v>
      </c>
      <c r="L4" t="s">
        <v>305</v>
      </c>
      <c r="M4" t="s">
        <v>659</v>
      </c>
      <c r="N4" t="s">
        <v>660</v>
      </c>
      <c r="O4" t="s">
        <v>472</v>
      </c>
      <c r="P4" t="s">
        <v>661</v>
      </c>
      <c r="Q4"/>
      <c r="R4"/>
      <c r="S4"/>
      <c r="T4"/>
      <c r="U4" s="85"/>
      <c r="V4" t="s">
        <v>478</v>
      </c>
      <c r="W4" s="85">
        <v>44428</v>
      </c>
      <c r="X4" s="85"/>
      <c r="Y4" t="s">
        <v>440</v>
      </c>
      <c r="Z4"/>
      <c r="AA4"/>
      <c r="AB4" s="85"/>
      <c r="AC4">
        <v>0</v>
      </c>
      <c r="AD4" s="84">
        <v>44428.308611111002</v>
      </c>
      <c r="AE4" s="84">
        <v>44428.308611111002</v>
      </c>
    </row>
    <row r="5" spans="1:32" s="77" customFormat="1" x14ac:dyDescent="0.25">
      <c r="A5">
        <v>4</v>
      </c>
      <c r="B5" s="82" t="s">
        <v>662</v>
      </c>
      <c r="C5" t="s">
        <v>663</v>
      </c>
      <c r="D5" t="s">
        <v>475</v>
      </c>
      <c r="E5" t="s">
        <v>283</v>
      </c>
      <c r="F5" t="s">
        <v>309</v>
      </c>
      <c r="G5" t="s">
        <v>346</v>
      </c>
      <c r="H5">
        <v>8</v>
      </c>
      <c r="I5">
        <v>12</v>
      </c>
      <c r="J5" t="s">
        <v>664</v>
      </c>
      <c r="K5">
        <v>73</v>
      </c>
      <c r="L5" t="s">
        <v>307</v>
      </c>
      <c r="M5" t="s">
        <v>665</v>
      </c>
      <c r="N5" t="s">
        <v>666</v>
      </c>
      <c r="O5" t="s">
        <v>472</v>
      </c>
      <c r="P5" t="s">
        <v>667</v>
      </c>
      <c r="Q5"/>
      <c r="R5"/>
      <c r="S5"/>
      <c r="T5"/>
      <c r="U5" s="85"/>
      <c r="V5" t="s">
        <v>668</v>
      </c>
      <c r="W5" s="85">
        <v>44427</v>
      </c>
      <c r="X5" s="85"/>
      <c r="Y5" t="s">
        <v>440</v>
      </c>
      <c r="Z5"/>
      <c r="AA5"/>
      <c r="AB5" s="85"/>
      <c r="AC5">
        <v>0</v>
      </c>
      <c r="AD5" s="84">
        <v>44428.316180556001</v>
      </c>
      <c r="AE5" s="84">
        <v>44428.316180556001</v>
      </c>
    </row>
    <row r="6" spans="1:32" s="77" customFormat="1" x14ac:dyDescent="0.25">
      <c r="A6">
        <v>5</v>
      </c>
      <c r="B6" s="82" t="s">
        <v>669</v>
      </c>
      <c r="C6" t="s">
        <v>670</v>
      </c>
      <c r="D6" t="s">
        <v>475</v>
      </c>
      <c r="E6" t="s">
        <v>283</v>
      </c>
      <c r="F6" t="s">
        <v>282</v>
      </c>
      <c r="G6" t="s">
        <v>345</v>
      </c>
      <c r="H6">
        <v>2</v>
      </c>
      <c r="I6">
        <v>4</v>
      </c>
      <c r="J6" t="s">
        <v>345</v>
      </c>
      <c r="K6">
        <v>70</v>
      </c>
      <c r="L6" t="s">
        <v>307</v>
      </c>
      <c r="M6" t="s">
        <v>655</v>
      </c>
      <c r="N6" t="s">
        <v>462</v>
      </c>
      <c r="O6" t="s">
        <v>472</v>
      </c>
      <c r="P6"/>
      <c r="Q6"/>
      <c r="R6"/>
      <c r="S6"/>
      <c r="T6"/>
      <c r="U6" s="85"/>
      <c r="V6" t="s">
        <v>593</v>
      </c>
      <c r="W6" s="85">
        <v>44427</v>
      </c>
      <c r="X6" s="85"/>
      <c r="Y6" t="s">
        <v>440</v>
      </c>
      <c r="Z6"/>
      <c r="AA6"/>
      <c r="AB6" s="85"/>
      <c r="AC6">
        <v>0</v>
      </c>
      <c r="AD6" s="84">
        <v>44428.341840278001</v>
      </c>
      <c r="AE6" s="84">
        <v>44428.327013889</v>
      </c>
    </row>
    <row r="7" spans="1:32" s="77" customFormat="1" x14ac:dyDescent="0.25">
      <c r="A7"/>
      <c r="B7" s="82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85"/>
      <c r="V7"/>
      <c r="W7" s="85"/>
      <c r="X7" s="85"/>
      <c r="Y7"/>
      <c r="Z7"/>
      <c r="AA7"/>
      <c r="AB7" s="85"/>
      <c r="AC7"/>
      <c r="AD7" s="84"/>
      <c r="AE7" s="84"/>
    </row>
    <row r="8" spans="1:32" s="77" customFormat="1" x14ac:dyDescent="0.25">
      <c r="A8"/>
      <c r="B8" s="82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 s="85"/>
      <c r="V8"/>
      <c r="W8" s="85"/>
      <c r="X8" s="85"/>
      <c r="Y8"/>
      <c r="Z8"/>
      <c r="AA8"/>
      <c r="AB8" s="85"/>
      <c r="AC8"/>
      <c r="AD8" s="84"/>
      <c r="AE8" s="84"/>
      <c r="AF8" s="84"/>
    </row>
    <row r="9" spans="1:32" s="77" customFormat="1" x14ac:dyDescent="0.25">
      <c r="A9"/>
      <c r="B9" s="82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 s="85"/>
      <c r="V9"/>
      <c r="W9" s="85"/>
      <c r="X9" s="85"/>
      <c r="Y9"/>
      <c r="Z9"/>
      <c r="AA9"/>
      <c r="AB9" s="85"/>
      <c r="AC9"/>
      <c r="AD9" s="84"/>
      <c r="AE9" s="84"/>
      <c r="AF9" s="84"/>
    </row>
    <row r="10" spans="1:32" s="77" customFormat="1" x14ac:dyDescent="0.25">
      <c r="A10"/>
      <c r="B10" s="82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 s="85"/>
      <c r="V10"/>
      <c r="W10" s="85"/>
      <c r="X10" s="85"/>
      <c r="Y10"/>
      <c r="Z10"/>
      <c r="AA10"/>
      <c r="AB10" s="85"/>
      <c r="AC10"/>
      <c r="AD10" s="84"/>
      <c r="AE10" s="84"/>
      <c r="AF10" s="84"/>
    </row>
    <row r="11" spans="1:32" s="77" customFormat="1" x14ac:dyDescent="0.25">
      <c r="A11"/>
      <c r="B11" s="82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 s="85"/>
      <c r="V11"/>
      <c r="W11" s="85"/>
      <c r="X11" s="85"/>
      <c r="Y11"/>
      <c r="Z11"/>
      <c r="AA11"/>
      <c r="AB11" s="85"/>
      <c r="AC11"/>
      <c r="AD11" s="84"/>
      <c r="AE11" s="84"/>
      <c r="AF11" s="84"/>
    </row>
    <row r="12" spans="1:32" s="77" customFormat="1" x14ac:dyDescent="0.25">
      <c r="A12"/>
      <c r="B12" s="8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 s="85"/>
      <c r="V12"/>
      <c r="W12" s="85"/>
      <c r="X12" s="85"/>
      <c r="Y12"/>
      <c r="Z12"/>
      <c r="AA12"/>
      <c r="AB12" s="85"/>
      <c r="AC12"/>
      <c r="AD12" s="84"/>
      <c r="AE12" s="84"/>
      <c r="AF12" s="84"/>
    </row>
    <row r="13" spans="1:32" s="77" customFormat="1" x14ac:dyDescent="0.25">
      <c r="A13"/>
      <c r="B13" s="82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 s="85"/>
      <c r="V13"/>
      <c r="W13" s="85"/>
      <c r="X13" s="85"/>
      <c r="Y13"/>
      <c r="Z13"/>
      <c r="AA13"/>
      <c r="AB13" s="85"/>
      <c r="AC13"/>
      <c r="AD13" s="84"/>
      <c r="AE13" s="84"/>
      <c r="AF13" s="84"/>
    </row>
    <row r="14" spans="1:32" s="77" customFormat="1" x14ac:dyDescent="0.25">
      <c r="A14"/>
      <c r="B14" s="82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 s="85"/>
      <c r="V14"/>
      <c r="W14" s="85"/>
      <c r="X14" s="85"/>
      <c r="Y14"/>
      <c r="Z14"/>
      <c r="AA14"/>
      <c r="AB14" s="85"/>
      <c r="AC14"/>
      <c r="AD14" s="84"/>
      <c r="AE14" s="84"/>
      <c r="AF14" s="84"/>
    </row>
    <row r="15" spans="1:32" s="77" customFormat="1" x14ac:dyDescent="0.25">
      <c r="A15"/>
      <c r="B15" s="82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 s="85"/>
      <c r="V15"/>
      <c r="W15" s="85"/>
      <c r="X15" s="85"/>
      <c r="Y15"/>
      <c r="Z15"/>
      <c r="AA15"/>
      <c r="AB15" s="85"/>
      <c r="AC15"/>
      <c r="AD15" s="84"/>
      <c r="AE15" s="84"/>
      <c r="AF15" s="84"/>
    </row>
    <row r="16" spans="1:32" s="77" customFormat="1" x14ac:dyDescent="0.25">
      <c r="A16"/>
      <c r="B16" s="82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 s="85"/>
      <c r="V16"/>
      <c r="W16" s="85"/>
      <c r="X16" s="85"/>
      <c r="Y16"/>
      <c r="Z16"/>
      <c r="AA16"/>
      <c r="AB16" s="85"/>
      <c r="AC16"/>
      <c r="AD16" s="84"/>
      <c r="AE16" s="84"/>
      <c r="AF16" s="84"/>
    </row>
    <row r="17" spans="1:32" s="77" customFormat="1" x14ac:dyDescent="0.25">
      <c r="A17"/>
      <c r="B17" s="8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85"/>
      <c r="V17"/>
      <c r="W17" s="85"/>
      <c r="X17" s="85"/>
      <c r="Y17"/>
      <c r="Z17"/>
      <c r="AA17"/>
      <c r="AB17" s="85"/>
      <c r="AC17"/>
      <c r="AD17" s="84"/>
      <c r="AE17" s="84"/>
      <c r="AF17" s="84"/>
    </row>
    <row r="18" spans="1:32" s="77" customFormat="1" x14ac:dyDescent="0.25">
      <c r="A18"/>
      <c r="B18" s="82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 s="85"/>
      <c r="V18"/>
      <c r="W18" s="85"/>
      <c r="X18" s="85"/>
      <c r="Y18"/>
      <c r="Z18"/>
      <c r="AA18"/>
      <c r="AB18" s="85"/>
      <c r="AC18"/>
      <c r="AD18" s="84"/>
      <c r="AE18" s="84"/>
      <c r="AF18" s="84"/>
    </row>
    <row r="19" spans="1:32" s="77" customFormat="1" x14ac:dyDescent="0.25">
      <c r="A19"/>
      <c r="B19" s="8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 s="85"/>
      <c r="V19"/>
      <c r="W19" s="85"/>
      <c r="X19" s="85"/>
      <c r="Y19"/>
      <c r="Z19"/>
      <c r="AA19"/>
      <c r="AB19" s="85"/>
      <c r="AC19"/>
      <c r="AD19" s="84"/>
      <c r="AE19" s="84"/>
      <c r="AF19" s="84"/>
    </row>
    <row r="20" spans="1:32" s="77" customFormat="1" x14ac:dyDescent="0.25">
      <c r="A20"/>
      <c r="B20" s="82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 s="85"/>
      <c r="V20"/>
      <c r="W20" s="85"/>
      <c r="X20" s="85"/>
      <c r="Y20"/>
      <c r="Z20"/>
      <c r="AA20"/>
      <c r="AB20" s="85"/>
      <c r="AC20"/>
      <c r="AD20" s="84"/>
      <c r="AE20" s="84"/>
      <c r="AF20" s="84"/>
    </row>
    <row r="21" spans="1:32" s="77" customFormat="1" x14ac:dyDescent="0.25">
      <c r="A21"/>
      <c r="B21" s="8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 s="85"/>
      <c r="V21"/>
      <c r="W21" s="85"/>
      <c r="X21" s="85"/>
      <c r="Y21"/>
      <c r="Z21"/>
      <c r="AA21"/>
      <c r="AB21" s="85"/>
      <c r="AC21"/>
      <c r="AD21" s="84"/>
      <c r="AE21" s="84"/>
      <c r="AF21" s="84"/>
    </row>
    <row r="22" spans="1:32" s="77" customFormat="1" x14ac:dyDescent="0.25">
      <c r="A22"/>
      <c r="B22" s="8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 s="85"/>
      <c r="V22"/>
      <c r="W22" s="85"/>
      <c r="X22" s="85"/>
      <c r="Y22"/>
      <c r="Z22"/>
      <c r="AA22"/>
      <c r="AB22" s="85"/>
      <c r="AC22"/>
      <c r="AD22" s="84"/>
      <c r="AE22" s="84"/>
      <c r="AF22" s="84"/>
    </row>
    <row r="23" spans="1:32" s="77" customFormat="1" x14ac:dyDescent="0.25">
      <c r="A23"/>
      <c r="B23" s="8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 s="85"/>
      <c r="V23"/>
      <c r="W23" s="85"/>
      <c r="X23" s="85"/>
      <c r="Y23"/>
      <c r="Z23"/>
      <c r="AA23"/>
      <c r="AB23" s="85"/>
      <c r="AC23"/>
      <c r="AD23" s="84"/>
      <c r="AE23" s="84"/>
    </row>
    <row r="24" spans="1:32" s="77" customFormat="1" x14ac:dyDescent="0.25">
      <c r="A24"/>
      <c r="B24" s="82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 s="85"/>
      <c r="V24"/>
      <c r="W24" s="85"/>
      <c r="X24" s="85"/>
      <c r="Y24"/>
      <c r="Z24"/>
      <c r="AA24"/>
      <c r="AB24" s="85"/>
      <c r="AC24"/>
      <c r="AD24" s="84"/>
      <c r="AE24" s="84"/>
    </row>
    <row r="25" spans="1:32" s="77" customFormat="1" x14ac:dyDescent="0.25">
      <c r="A25"/>
      <c r="B25" s="82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 s="85"/>
      <c r="V25"/>
      <c r="W25" s="85"/>
      <c r="X25" s="85"/>
      <c r="Y25"/>
      <c r="Z25"/>
      <c r="AA25"/>
      <c r="AB25" s="85"/>
      <c r="AC25"/>
      <c r="AD25" s="84"/>
      <c r="AE25" s="84"/>
    </row>
    <row r="26" spans="1:32" x14ac:dyDescent="0.25">
      <c r="A26"/>
      <c r="B26" s="82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 s="85"/>
      <c r="V26"/>
      <c r="W26" s="85"/>
      <c r="X26" s="85"/>
      <c r="Y26"/>
      <c r="Z26"/>
      <c r="AA26"/>
      <c r="AB26" s="85"/>
      <c r="AC26"/>
      <c r="AD26" s="84"/>
      <c r="AE26" s="84"/>
    </row>
    <row r="27" spans="1:32" x14ac:dyDescent="0.25">
      <c r="A27"/>
      <c r="B27" s="82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 s="85"/>
      <c r="V27"/>
      <c r="W27" s="85"/>
      <c r="X27" s="85"/>
      <c r="Y27"/>
      <c r="Z27"/>
      <c r="AA27"/>
      <c r="AB27" s="85"/>
      <c r="AC27"/>
      <c r="AD27" s="84"/>
      <c r="AE27" s="84"/>
    </row>
    <row r="28" spans="1:32" x14ac:dyDescent="0.25">
      <c r="A28"/>
      <c r="B28" s="82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 s="85"/>
      <c r="V28"/>
      <c r="W28" s="85"/>
      <c r="X28" s="85"/>
      <c r="Y28"/>
      <c r="Z28"/>
      <c r="AA28"/>
      <c r="AB28" s="85"/>
      <c r="AC28"/>
      <c r="AD28" s="84"/>
      <c r="AE28" s="84"/>
    </row>
    <row r="29" spans="1:32" x14ac:dyDescent="0.25">
      <c r="A29"/>
      <c r="B29" s="82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 s="85"/>
      <c r="V29"/>
      <c r="W29" s="85"/>
      <c r="X29" s="85"/>
      <c r="Y29"/>
      <c r="Z29"/>
      <c r="AA29"/>
      <c r="AB29" s="85"/>
      <c r="AC29"/>
      <c r="AD29" s="84"/>
      <c r="AE29" s="84"/>
    </row>
    <row r="30" spans="1:32" x14ac:dyDescent="0.25">
      <c r="A30"/>
      <c r="B30" s="82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 s="85"/>
      <c r="V30"/>
      <c r="W30" s="85"/>
      <c r="X30" s="85"/>
      <c r="Y30"/>
      <c r="Z30"/>
      <c r="AA30"/>
      <c r="AB30" s="85"/>
      <c r="AC30"/>
      <c r="AD30" s="84"/>
      <c r="AE30" s="84"/>
    </row>
    <row r="31" spans="1:32" x14ac:dyDescent="0.25">
      <c r="A31"/>
      <c r="B31" s="82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 s="85"/>
      <c r="V31"/>
      <c r="W31" s="85"/>
      <c r="X31" s="85"/>
      <c r="Y31"/>
      <c r="Z31"/>
      <c r="AA31"/>
      <c r="AB31" s="85"/>
      <c r="AC31"/>
      <c r="AD31" s="84"/>
      <c r="AE31" s="84"/>
    </row>
    <row r="32" spans="1:32" x14ac:dyDescent="0.25">
      <c r="A32"/>
      <c r="B32" s="8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 s="85"/>
      <c r="V32"/>
      <c r="W32" s="85"/>
      <c r="X32" s="85"/>
      <c r="Y32"/>
      <c r="Z32"/>
      <c r="AA32"/>
      <c r="AB32" s="85"/>
      <c r="AC32"/>
      <c r="AD32" s="84"/>
      <c r="AE32" s="84"/>
    </row>
    <row r="33" spans="1:31" x14ac:dyDescent="0.25">
      <c r="A33"/>
      <c r="B33" s="82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 s="85"/>
      <c r="V33"/>
      <c r="W33" s="85"/>
      <c r="X33" s="85"/>
      <c r="Y33"/>
      <c r="Z33"/>
      <c r="AA33"/>
      <c r="AB33" s="85"/>
      <c r="AC33"/>
      <c r="AD33" s="84"/>
      <c r="AE33" s="84"/>
    </row>
    <row r="34" spans="1:31" x14ac:dyDescent="0.25">
      <c r="A34"/>
      <c r="B34" s="82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85"/>
      <c r="V34"/>
      <c r="W34" s="85"/>
      <c r="X34" s="85"/>
      <c r="Y34"/>
      <c r="Z34"/>
      <c r="AA34"/>
      <c r="AB34" s="85"/>
      <c r="AC34"/>
      <c r="AD34" s="84"/>
      <c r="AE34" s="84"/>
    </row>
    <row r="35" spans="1:31" x14ac:dyDescent="0.25">
      <c r="A35"/>
      <c r="B35" s="82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85"/>
      <c r="V35"/>
      <c r="W35" s="85"/>
      <c r="X35" s="85"/>
      <c r="Y35"/>
      <c r="Z35"/>
      <c r="AA35"/>
      <c r="AB35" s="85"/>
      <c r="AC35"/>
      <c r="AD35" s="84"/>
      <c r="AE35" s="84"/>
    </row>
    <row r="36" spans="1:31" x14ac:dyDescent="0.25">
      <c r="A36"/>
      <c r="B36" s="82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 s="85"/>
      <c r="V36"/>
      <c r="W36" s="85"/>
      <c r="X36" s="85"/>
      <c r="Y36"/>
      <c r="Z36"/>
      <c r="AA36"/>
      <c r="AB36" s="85"/>
      <c r="AC36"/>
      <c r="AD36" s="84"/>
      <c r="AE36" s="84"/>
    </row>
    <row r="37" spans="1:31" x14ac:dyDescent="0.25">
      <c r="A37"/>
      <c r="B37" s="82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 s="85"/>
      <c r="V37"/>
      <c r="W37" s="85"/>
      <c r="X37" s="85"/>
      <c r="Y37"/>
      <c r="Z37"/>
      <c r="AA37"/>
      <c r="AB37" s="85"/>
      <c r="AC37"/>
      <c r="AD37" s="84"/>
      <c r="AE37" s="84"/>
    </row>
    <row r="38" spans="1:31" x14ac:dyDescent="0.25">
      <c r="A38"/>
      <c r="B38" s="82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 s="85"/>
      <c r="V38"/>
      <c r="W38" s="85"/>
      <c r="X38" s="85"/>
      <c r="Y38"/>
      <c r="Z38"/>
      <c r="AA38"/>
      <c r="AB38" s="85"/>
      <c r="AC38"/>
      <c r="AD38" s="84"/>
      <c r="AE38" s="84"/>
    </row>
    <row r="39" spans="1:31" x14ac:dyDescent="0.25">
      <c r="A39"/>
      <c r="B39" s="82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85"/>
      <c r="V39"/>
      <c r="W39" s="85"/>
      <c r="X39" s="85"/>
      <c r="Y39"/>
      <c r="Z39"/>
      <c r="AA39"/>
      <c r="AB39" s="85"/>
      <c r="AC39"/>
      <c r="AD39" s="84"/>
      <c r="AE39" s="84"/>
    </row>
    <row r="40" spans="1:31" x14ac:dyDescent="0.25">
      <c r="A40"/>
      <c r="B40" s="82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85"/>
      <c r="V40"/>
      <c r="W40" s="85"/>
      <c r="X40" s="85"/>
      <c r="Y40"/>
      <c r="Z40"/>
      <c r="AA40"/>
      <c r="AB40" s="85"/>
      <c r="AC40"/>
      <c r="AD40" s="84"/>
      <c r="AE40" s="84"/>
    </row>
    <row r="41" spans="1:31" x14ac:dyDescent="0.25">
      <c r="A41"/>
      <c r="B41" s="82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85"/>
      <c r="V41"/>
      <c r="W41" s="85"/>
      <c r="X41" s="85"/>
      <c r="Y41"/>
      <c r="Z41"/>
      <c r="AA41"/>
      <c r="AB41" s="85"/>
      <c r="AC41"/>
      <c r="AD41" s="84"/>
      <c r="AE41" s="84"/>
    </row>
    <row r="42" spans="1:31" x14ac:dyDescent="0.25">
      <c r="A42"/>
      <c r="B42" s="8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85"/>
      <c r="V42"/>
      <c r="W42" s="85"/>
      <c r="X42" s="85"/>
      <c r="Y42"/>
      <c r="Z42"/>
      <c r="AA42"/>
      <c r="AB42" s="85"/>
      <c r="AC42"/>
      <c r="AD42" s="84"/>
      <c r="AE42" s="84"/>
    </row>
    <row r="43" spans="1:31" x14ac:dyDescent="0.25">
      <c r="A43"/>
      <c r="B43" s="82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85"/>
      <c r="V43"/>
      <c r="W43" s="85"/>
      <c r="X43" s="85"/>
      <c r="Y43"/>
      <c r="Z43"/>
      <c r="AA43"/>
      <c r="AB43" s="85"/>
      <c r="AC43"/>
      <c r="AD43" s="84"/>
      <c r="AE43" s="84"/>
    </row>
    <row r="44" spans="1:31" x14ac:dyDescent="0.25">
      <c r="A44"/>
      <c r="B44" s="82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85"/>
      <c r="V44"/>
      <c r="W44" s="85"/>
      <c r="X44" s="85"/>
      <c r="Y44"/>
      <c r="Z44"/>
      <c r="AA44"/>
      <c r="AB44" s="85"/>
      <c r="AC44"/>
      <c r="AD44" s="84"/>
      <c r="AE44" s="84"/>
    </row>
    <row r="45" spans="1:31" x14ac:dyDescent="0.25">
      <c r="A45"/>
      <c r="B45" s="82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85"/>
      <c r="V45"/>
      <c r="W45" s="85"/>
      <c r="X45" s="85"/>
      <c r="Y45"/>
      <c r="Z45"/>
      <c r="AA45"/>
      <c r="AB45" s="85"/>
      <c r="AC45"/>
      <c r="AD45" s="84"/>
      <c r="AE45" s="84"/>
    </row>
    <row r="46" spans="1:31" x14ac:dyDescent="0.25">
      <c r="A46"/>
      <c r="B46" s="82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 s="85"/>
      <c r="V46"/>
      <c r="W46" s="85"/>
      <c r="X46" s="85"/>
      <c r="Y46"/>
      <c r="Z46"/>
      <c r="AA46"/>
      <c r="AB46" s="85"/>
      <c r="AC46"/>
      <c r="AD46" s="84"/>
      <c r="AE46" s="84"/>
    </row>
    <row r="47" spans="1:31" x14ac:dyDescent="0.25">
      <c r="A47"/>
      <c r="B47" s="82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 s="85"/>
      <c r="V47"/>
      <c r="W47" s="85"/>
      <c r="X47" s="85"/>
      <c r="Y47"/>
      <c r="Z47"/>
      <c r="AA47"/>
      <c r="AB47" s="85"/>
      <c r="AC47"/>
      <c r="AD47" s="84"/>
      <c r="AE47" s="84"/>
    </row>
    <row r="48" spans="1:31" x14ac:dyDescent="0.25">
      <c r="A48"/>
      <c r="B48" s="82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 s="85"/>
      <c r="V48"/>
      <c r="W48" s="85"/>
      <c r="X48" s="85"/>
      <c r="Y48"/>
      <c r="Z48"/>
      <c r="AA48"/>
      <c r="AB48" s="85"/>
      <c r="AC48"/>
      <c r="AD48" s="84"/>
      <c r="AE48" s="84"/>
    </row>
    <row r="49" spans="1:31" x14ac:dyDescent="0.25">
      <c r="A49"/>
      <c r="B49" s="82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 s="85"/>
      <c r="V49"/>
      <c r="W49" s="85"/>
      <c r="X49" s="85"/>
      <c r="Y49"/>
      <c r="Z49"/>
      <c r="AA49"/>
      <c r="AB49" s="85"/>
      <c r="AC49"/>
      <c r="AD49" s="84"/>
      <c r="AE49" s="84"/>
    </row>
    <row r="50" spans="1:31" x14ac:dyDescent="0.25">
      <c r="A50"/>
      <c r="B50" s="82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 s="85"/>
      <c r="V50"/>
      <c r="W50" s="85"/>
      <c r="X50" s="85"/>
      <c r="Y50"/>
      <c r="Z50"/>
      <c r="AA50"/>
      <c r="AB50" s="85"/>
      <c r="AC50"/>
      <c r="AD50" s="84"/>
      <c r="AE50" s="84"/>
    </row>
    <row r="51" spans="1:31" x14ac:dyDescent="0.25">
      <c r="A51"/>
      <c r="B51" s="82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 s="85"/>
      <c r="V51"/>
      <c r="W51" s="85"/>
      <c r="X51" s="85"/>
      <c r="Y51"/>
      <c r="Z51"/>
      <c r="AA51"/>
      <c r="AB51" s="85"/>
      <c r="AC51"/>
      <c r="AD51" s="84"/>
      <c r="AE51" s="84"/>
    </row>
    <row r="52" spans="1:31" x14ac:dyDescent="0.25">
      <c r="A52"/>
      <c r="B52" s="8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 s="85"/>
      <c r="V52"/>
      <c r="W52" s="85"/>
      <c r="X52" s="85"/>
      <c r="Y52"/>
      <c r="Z52"/>
      <c r="AA52"/>
      <c r="AB52" s="85"/>
      <c r="AC52"/>
      <c r="AD52" s="84"/>
      <c r="AE52" s="84"/>
    </row>
    <row r="53" spans="1:31" x14ac:dyDescent="0.25">
      <c r="A53"/>
      <c r="B53" s="82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 s="85"/>
      <c r="V53"/>
      <c r="W53" s="85"/>
      <c r="X53" s="85"/>
      <c r="Y53"/>
      <c r="Z53"/>
      <c r="AA53"/>
      <c r="AB53" s="85"/>
      <c r="AC53"/>
      <c r="AD53" s="84"/>
      <c r="AE53" s="84"/>
    </row>
    <row r="54" spans="1:31" x14ac:dyDescent="0.25">
      <c r="A54"/>
      <c r="B54" s="82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 s="85"/>
      <c r="V54"/>
      <c r="W54" s="85"/>
      <c r="X54" s="85"/>
      <c r="Y54"/>
      <c r="Z54"/>
      <c r="AA54"/>
      <c r="AB54" s="85"/>
      <c r="AC54"/>
      <c r="AD54" s="84"/>
      <c r="AE54" s="84"/>
    </row>
    <row r="55" spans="1:31" x14ac:dyDescent="0.25">
      <c r="A55"/>
      <c r="B55" s="82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 s="85"/>
      <c r="V55"/>
      <c r="W55" s="85"/>
      <c r="X55" s="85"/>
      <c r="Y55"/>
      <c r="Z55"/>
      <c r="AA55"/>
      <c r="AB55" s="85"/>
      <c r="AC55"/>
      <c r="AD55" s="84"/>
      <c r="AE55" s="84"/>
    </row>
    <row r="56" spans="1:31" x14ac:dyDescent="0.25">
      <c r="A56"/>
      <c r="B56" s="82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 s="85"/>
      <c r="V56"/>
      <c r="W56" s="85"/>
      <c r="X56" s="85"/>
      <c r="Y56"/>
      <c r="Z56"/>
      <c r="AA56"/>
      <c r="AB56" s="85"/>
      <c r="AC56"/>
      <c r="AD56" s="84"/>
      <c r="AE56" s="84"/>
    </row>
    <row r="57" spans="1:31" x14ac:dyDescent="0.25">
      <c r="A57"/>
      <c r="B57" s="82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 s="85"/>
      <c r="V57"/>
      <c r="W57" s="85"/>
      <c r="X57" s="85"/>
      <c r="Y57"/>
      <c r="Z57"/>
      <c r="AA57"/>
      <c r="AB57" s="85"/>
      <c r="AC57"/>
      <c r="AD57" s="84"/>
      <c r="AE57" s="84"/>
    </row>
    <row r="58" spans="1:31" x14ac:dyDescent="0.25">
      <c r="A58"/>
      <c r="B58" s="82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s="85"/>
      <c r="V58"/>
      <c r="W58" s="85"/>
      <c r="X58" s="85"/>
      <c r="Y58"/>
      <c r="Z58"/>
      <c r="AA58"/>
      <c r="AB58" s="85"/>
      <c r="AC58"/>
      <c r="AD58" s="84"/>
      <c r="AE58" s="84"/>
    </row>
    <row r="59" spans="1:31" x14ac:dyDescent="0.25">
      <c r="A59"/>
      <c r="B59" s="82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 s="85"/>
      <c r="V59"/>
      <c r="W59" s="85"/>
      <c r="X59" s="85"/>
      <c r="Y59"/>
      <c r="Z59"/>
      <c r="AA59"/>
      <c r="AB59" s="85"/>
      <c r="AC59"/>
      <c r="AD59" s="84"/>
      <c r="AE59" s="84"/>
    </row>
    <row r="60" spans="1:31" x14ac:dyDescent="0.25">
      <c r="A60"/>
      <c r="B60" s="82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 s="85"/>
      <c r="V60"/>
      <c r="W60" s="85"/>
      <c r="X60" s="85"/>
      <c r="Y60"/>
      <c r="Z60"/>
      <c r="AA60"/>
      <c r="AB60" s="85"/>
      <c r="AC60"/>
      <c r="AD60" s="84"/>
      <c r="AE60" s="84"/>
    </row>
    <row r="61" spans="1:31" x14ac:dyDescent="0.25">
      <c r="A61"/>
      <c r="B61" s="82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85"/>
      <c r="V61"/>
      <c r="W61" s="85"/>
      <c r="X61" s="85"/>
      <c r="Y61"/>
      <c r="Z61"/>
      <c r="AA61"/>
      <c r="AB61" s="85"/>
      <c r="AC61"/>
      <c r="AD61" s="84"/>
      <c r="AE61" s="84"/>
    </row>
    <row r="62" spans="1:31" x14ac:dyDescent="0.25">
      <c r="A62"/>
      <c r="B62" s="8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 s="85"/>
      <c r="V62"/>
      <c r="W62" s="85"/>
      <c r="X62" s="85"/>
      <c r="Y62"/>
      <c r="Z62"/>
      <c r="AA62"/>
      <c r="AB62" s="85"/>
      <c r="AC62"/>
      <c r="AD62" s="84"/>
      <c r="AE62" s="84"/>
    </row>
    <row r="63" spans="1:31" x14ac:dyDescent="0.25">
      <c r="A63"/>
      <c r="B63" s="82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 s="85"/>
      <c r="V63"/>
      <c r="W63" s="85"/>
      <c r="X63" s="85"/>
      <c r="Y63"/>
      <c r="Z63"/>
      <c r="AA63"/>
      <c r="AB63" s="85"/>
      <c r="AC63"/>
      <c r="AD63" s="84"/>
      <c r="AE63" s="84"/>
    </row>
    <row r="64" spans="1:31" x14ac:dyDescent="0.25">
      <c r="A64"/>
      <c r="B64" s="82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s="85"/>
      <c r="V64"/>
      <c r="W64" s="85"/>
      <c r="X64" s="85"/>
      <c r="Y64"/>
      <c r="Z64"/>
      <c r="AA64"/>
      <c r="AB64" s="85"/>
      <c r="AC64"/>
      <c r="AD64" s="84"/>
      <c r="AE64" s="84"/>
    </row>
    <row r="65" spans="1:31" x14ac:dyDescent="0.25">
      <c r="A65"/>
      <c r="B65" s="82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 s="85"/>
      <c r="V65"/>
      <c r="W65" s="85"/>
      <c r="X65" s="85"/>
      <c r="Y65"/>
      <c r="Z65"/>
      <c r="AA65"/>
      <c r="AB65" s="85"/>
      <c r="AC65"/>
      <c r="AD65" s="84"/>
      <c r="AE65" s="84"/>
    </row>
    <row r="66" spans="1:31" x14ac:dyDescent="0.25">
      <c r="A66"/>
      <c r="B66" s="82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 s="85"/>
      <c r="V66"/>
      <c r="W66" s="85"/>
      <c r="X66" s="85"/>
      <c r="Y66"/>
      <c r="Z66"/>
      <c r="AA66"/>
      <c r="AB66" s="85"/>
      <c r="AC66"/>
      <c r="AD66" s="84"/>
      <c r="AE66" s="84"/>
    </row>
    <row r="67" spans="1:31" x14ac:dyDescent="0.25">
      <c r="A67"/>
      <c r="B67" s="82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 s="85"/>
      <c r="V67"/>
      <c r="W67" s="85"/>
      <c r="X67" s="85"/>
      <c r="Y67"/>
      <c r="Z67"/>
      <c r="AA67"/>
      <c r="AB67" s="85"/>
      <c r="AC67"/>
      <c r="AD67" s="84"/>
      <c r="AE67" s="84"/>
    </row>
    <row r="68" spans="1:31" x14ac:dyDescent="0.25">
      <c r="A68"/>
      <c r="B68" s="82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 s="85"/>
      <c r="V68"/>
      <c r="W68" s="85"/>
      <c r="X68" s="85"/>
      <c r="Y68"/>
      <c r="Z68"/>
      <c r="AA68"/>
      <c r="AB68" s="85"/>
      <c r="AC68"/>
      <c r="AD68" s="84"/>
      <c r="AE68" s="84"/>
    </row>
    <row r="69" spans="1:31" x14ac:dyDescent="0.25">
      <c r="A69"/>
      <c r="B69" s="82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 s="85"/>
      <c r="V69"/>
      <c r="W69" s="85"/>
      <c r="X69" s="85"/>
      <c r="Y69"/>
      <c r="Z69"/>
      <c r="AA69"/>
      <c r="AB69" s="85"/>
      <c r="AC69"/>
      <c r="AD69" s="84"/>
      <c r="AE69" s="84"/>
    </row>
    <row r="70" spans="1:31" x14ac:dyDescent="0.25">
      <c r="A70"/>
      <c r="B70" s="82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 s="85"/>
      <c r="V70"/>
      <c r="W70" s="85"/>
      <c r="X70" s="85"/>
      <c r="Y70"/>
      <c r="Z70"/>
      <c r="AA70"/>
      <c r="AB70" s="85"/>
      <c r="AC70"/>
      <c r="AD70" s="84"/>
      <c r="AE70" s="84"/>
    </row>
    <row r="71" spans="1:31" x14ac:dyDescent="0.25">
      <c r="A71"/>
      <c r="B71" s="82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 s="85"/>
      <c r="V71"/>
      <c r="W71" s="85"/>
      <c r="X71" s="85"/>
      <c r="Y71"/>
      <c r="Z71"/>
      <c r="AA71"/>
      <c r="AB71" s="85"/>
      <c r="AC71"/>
      <c r="AD71" s="84"/>
      <c r="AE71" s="84"/>
    </row>
    <row r="72" spans="1:31" x14ac:dyDescent="0.25">
      <c r="A72"/>
      <c r="B72" s="8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 s="85"/>
      <c r="V72"/>
      <c r="W72" s="85"/>
      <c r="X72" s="85"/>
      <c r="Y72"/>
      <c r="Z72"/>
      <c r="AA72"/>
      <c r="AB72" s="85"/>
      <c r="AC72"/>
      <c r="AD72" s="84"/>
      <c r="AE72" s="84"/>
    </row>
    <row r="73" spans="1:31" x14ac:dyDescent="0.25">
      <c r="A73"/>
      <c r="B73" s="82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 s="85"/>
      <c r="V73"/>
      <c r="W73" s="85"/>
      <c r="X73" s="85"/>
      <c r="Y73"/>
      <c r="Z73"/>
      <c r="AA73"/>
      <c r="AB73" s="85"/>
      <c r="AC73"/>
      <c r="AD73" s="84"/>
      <c r="AE73" s="84"/>
    </row>
    <row r="74" spans="1:31" x14ac:dyDescent="0.25">
      <c r="A74"/>
      <c r="B74" s="82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 s="85"/>
      <c r="V74"/>
      <c r="W74" s="85"/>
      <c r="X74" s="85"/>
      <c r="Y74"/>
      <c r="Z74"/>
      <c r="AA74"/>
      <c r="AB74" s="85"/>
      <c r="AC74"/>
      <c r="AD74" s="84"/>
      <c r="AE74" s="84"/>
    </row>
    <row r="75" spans="1:31" x14ac:dyDescent="0.25">
      <c r="A75"/>
      <c r="B75" s="82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85"/>
      <c r="V75"/>
      <c r="W75" s="85"/>
      <c r="X75" s="85"/>
      <c r="Y75"/>
      <c r="Z75"/>
      <c r="AA75"/>
      <c r="AB75" s="85"/>
      <c r="AC75"/>
      <c r="AD75" s="84"/>
      <c r="AE75" s="84"/>
    </row>
    <row r="76" spans="1:31" x14ac:dyDescent="0.25">
      <c r="A76"/>
      <c r="B76" s="82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s="85"/>
      <c r="V76"/>
      <c r="W76" s="85"/>
      <c r="X76" s="85"/>
      <c r="Y76"/>
      <c r="Z76"/>
      <c r="AA76"/>
      <c r="AB76" s="85"/>
      <c r="AC76"/>
      <c r="AD76" s="84"/>
      <c r="AE76" s="84"/>
    </row>
    <row r="77" spans="1:31" x14ac:dyDescent="0.25">
      <c r="A77"/>
      <c r="B77" s="82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s="85"/>
      <c r="V77"/>
      <c r="W77" s="85"/>
      <c r="X77" s="85"/>
      <c r="Y77"/>
      <c r="Z77"/>
      <c r="AA77"/>
      <c r="AB77" s="85"/>
      <c r="AC77"/>
      <c r="AD77" s="84"/>
      <c r="AE77" s="84"/>
    </row>
    <row r="78" spans="1:31" x14ac:dyDescent="0.25">
      <c r="A78"/>
      <c r="B78" s="82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 s="85"/>
      <c r="V78"/>
      <c r="W78" s="85"/>
      <c r="X78" s="85"/>
      <c r="Y78"/>
      <c r="Z78"/>
      <c r="AA78"/>
      <c r="AB78" s="85"/>
      <c r="AC78"/>
      <c r="AD78" s="84"/>
      <c r="AE78" s="84"/>
    </row>
    <row r="79" spans="1:31" x14ac:dyDescent="0.25">
      <c r="A79"/>
      <c r="B79" s="82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s="85"/>
      <c r="V79"/>
      <c r="W79" s="85"/>
      <c r="X79" s="85"/>
      <c r="Y79"/>
      <c r="Z79"/>
      <c r="AA79" s="84"/>
      <c r="AB79" s="84"/>
    </row>
    <row r="80" spans="1:31" x14ac:dyDescent="0.25">
      <c r="A80"/>
      <c r="B80" s="82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 s="85"/>
      <c r="V80"/>
      <c r="W80" s="85"/>
      <c r="X80" s="85"/>
      <c r="Y80"/>
      <c r="Z80"/>
      <c r="AA80" s="84"/>
      <c r="AB80" s="84"/>
    </row>
    <row r="81" spans="1:28" x14ac:dyDescent="0.25">
      <c r="A81"/>
      <c r="B81" s="82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 s="85"/>
      <c r="V81"/>
      <c r="W81" s="85"/>
      <c r="X81" s="85"/>
      <c r="Y81"/>
      <c r="Z81"/>
      <c r="AA81" s="84"/>
      <c r="AB81" s="84"/>
    </row>
    <row r="82" spans="1:28" x14ac:dyDescent="0.25">
      <c r="A82"/>
      <c r="B82" s="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s="85"/>
      <c r="V82"/>
      <c r="W82" s="85"/>
      <c r="X82" s="85"/>
      <c r="Y82"/>
      <c r="Z82"/>
      <c r="AA82" s="84"/>
      <c r="AB82" s="84"/>
    </row>
    <row r="83" spans="1:28" x14ac:dyDescent="0.25">
      <c r="A83"/>
      <c r="B83" s="82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 s="85"/>
      <c r="V83"/>
      <c r="W83" s="85"/>
      <c r="X83" s="85"/>
      <c r="Y83"/>
      <c r="Z83"/>
      <c r="AA83" s="84"/>
      <c r="AB83" s="84"/>
    </row>
    <row r="84" spans="1:28" x14ac:dyDescent="0.25">
      <c r="A84"/>
      <c r="B84" s="82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 s="85"/>
      <c r="V84"/>
      <c r="W84" s="85"/>
      <c r="X84" s="85"/>
      <c r="Y84"/>
      <c r="Z84"/>
      <c r="AA84" s="84"/>
      <c r="AB84" s="84"/>
    </row>
    <row r="85" spans="1:28" x14ac:dyDescent="0.25">
      <c r="A85"/>
      <c r="B85" s="82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 s="85"/>
      <c r="V85"/>
      <c r="W85" s="85"/>
      <c r="X85" s="85"/>
      <c r="Y85"/>
      <c r="Z85"/>
      <c r="AA85" s="84"/>
      <c r="AB85" s="84"/>
    </row>
    <row r="86" spans="1:28" x14ac:dyDescent="0.25">
      <c r="A86"/>
      <c r="B86" s="82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 s="85"/>
      <c r="V86"/>
      <c r="W86" s="85"/>
      <c r="X86" s="85"/>
      <c r="Y86"/>
      <c r="Z86"/>
      <c r="AA86" s="84"/>
      <c r="AB86" s="84"/>
    </row>
    <row r="87" spans="1:28" x14ac:dyDescent="0.25">
      <c r="A87"/>
      <c r="B87" s="82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 s="85"/>
      <c r="V87"/>
      <c r="W87" s="85"/>
      <c r="X87" s="85"/>
      <c r="Y87"/>
      <c r="Z87"/>
      <c r="AA87" s="84"/>
      <c r="AB87" s="84"/>
    </row>
    <row r="88" spans="1:28" x14ac:dyDescent="0.25">
      <c r="A88"/>
      <c r="B88" s="82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 s="85"/>
      <c r="V88"/>
      <c r="W88" s="85"/>
      <c r="X88" s="85"/>
      <c r="Y88"/>
      <c r="Z88"/>
      <c r="AA88" s="84"/>
      <c r="AB88" s="84"/>
    </row>
    <row r="89" spans="1:28" x14ac:dyDescent="0.25">
      <c r="A89"/>
      <c r="B89" s="82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 s="85"/>
      <c r="V89"/>
      <c r="W89" s="85"/>
      <c r="X89" s="85"/>
      <c r="Y89"/>
      <c r="Z89"/>
      <c r="AA89" s="84"/>
      <c r="AB89" s="84"/>
    </row>
    <row r="90" spans="1:28" x14ac:dyDescent="0.25">
      <c r="A90"/>
      <c r="B90" s="82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 s="85"/>
      <c r="V90"/>
      <c r="W90" s="85"/>
      <c r="X90" s="85"/>
      <c r="Y90"/>
      <c r="Z90"/>
      <c r="AA90" s="84"/>
      <c r="AB90" s="84"/>
    </row>
    <row r="91" spans="1:28" x14ac:dyDescent="0.25">
      <c r="A91"/>
      <c r="B91" s="82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 s="85"/>
      <c r="V91"/>
      <c r="W91" s="85"/>
      <c r="X91" s="85"/>
      <c r="Y91"/>
      <c r="Z91"/>
      <c r="AA91" s="84"/>
      <c r="AB91" s="84"/>
    </row>
    <row r="92" spans="1:28" x14ac:dyDescent="0.25">
      <c r="A92"/>
      <c r="B92" s="8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 s="85"/>
      <c r="V92"/>
      <c r="W92" s="85"/>
      <c r="X92" s="85"/>
      <c r="Y92"/>
      <c r="Z92"/>
      <c r="AA92" s="84"/>
      <c r="AB92" s="84"/>
    </row>
    <row r="93" spans="1:28" x14ac:dyDescent="0.25">
      <c r="A93"/>
      <c r="B93" s="82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 s="85"/>
      <c r="V93"/>
      <c r="W93" s="85"/>
      <c r="X93" s="85"/>
      <c r="Y93"/>
      <c r="Z93"/>
      <c r="AA93" s="84"/>
      <c r="AB93" s="84"/>
    </row>
  </sheetData>
  <conditionalFormatting sqref="B79:B93">
    <cfRule type="duplicateValues" dxfId="18" priority="113"/>
  </conditionalFormatting>
  <conditionalFormatting sqref="B79:B93">
    <cfRule type="duplicateValues" dxfId="17" priority="112"/>
  </conditionalFormatting>
  <conditionalFormatting sqref="B66:B78">
    <cfRule type="duplicateValues" dxfId="16" priority="109"/>
  </conditionalFormatting>
  <conditionalFormatting sqref="B66:B78">
    <cfRule type="duplicateValues" dxfId="15" priority="108"/>
  </conditionalFormatting>
  <conditionalFormatting sqref="B61:B65">
    <cfRule type="duplicateValues" dxfId="14" priority="94"/>
  </conditionalFormatting>
  <conditionalFormatting sqref="B55:B60">
    <cfRule type="duplicateValues" dxfId="13" priority="93"/>
  </conditionalFormatting>
  <conditionalFormatting sqref="B38:B54">
    <cfRule type="duplicateValues" dxfId="12" priority="86"/>
  </conditionalFormatting>
  <conditionalFormatting sqref="B23:B37">
    <cfRule type="duplicateValues" dxfId="11" priority="85"/>
  </conditionalFormatting>
  <conditionalFormatting sqref="B15:B22">
    <cfRule type="duplicateValues" dxfId="10" priority="64"/>
  </conditionalFormatting>
  <conditionalFormatting sqref="B11:B14">
    <cfRule type="duplicateValues" dxfId="9" priority="57"/>
  </conditionalFormatting>
  <conditionalFormatting sqref="B8:B10">
    <cfRule type="duplicateValues" dxfId="8" priority="52"/>
  </conditionalFormatting>
  <conditionalFormatting sqref="B7">
    <cfRule type="duplicateValues" dxfId="7" priority="19"/>
    <cfRule type="duplicateValues" dxfId="6" priority="20"/>
  </conditionalFormatting>
  <conditionalFormatting sqref="B4">
    <cfRule type="duplicateValues" dxfId="5" priority="3"/>
    <cfRule type="duplicateValues" dxfId="4" priority="4"/>
  </conditionalFormatting>
  <conditionalFormatting sqref="B2:B3">
    <cfRule type="duplicateValues" dxfId="3" priority="5"/>
    <cfRule type="duplicateValues" dxfId="2" priority="6"/>
  </conditionalFormatting>
  <conditionalFormatting sqref="B5:B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6"/>
  <sheetViews>
    <sheetView tabSelected="1" workbookViewId="0">
      <pane ySplit="3" topLeftCell="A194" activePane="bottomLeft" state="frozen"/>
      <selection pane="bottomLeft"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</cols>
  <sheetData>
    <row r="3" spans="1:6" x14ac:dyDescent="0.25">
      <c r="A3" s="6" t="s">
        <v>466</v>
      </c>
      <c r="B3" s="6" t="s">
        <v>467</v>
      </c>
      <c r="C3" s="6" t="s">
        <v>465</v>
      </c>
      <c r="D3" s="6" t="s">
        <v>468</v>
      </c>
      <c r="E3" s="6" t="s">
        <v>464</v>
      </c>
      <c r="F3" s="6" t="s">
        <v>463</v>
      </c>
    </row>
    <row r="4" spans="1:6" x14ac:dyDescent="0.25">
      <c r="A4" s="81">
        <v>44228</v>
      </c>
      <c r="B4" s="6"/>
      <c r="C4" s="6"/>
      <c r="D4" s="6"/>
      <c r="E4" s="6"/>
      <c r="F4" s="6"/>
    </row>
    <row r="5" spans="1:6" x14ac:dyDescent="0.25">
      <c r="A5" s="81">
        <v>44229</v>
      </c>
      <c r="B5" s="6"/>
      <c r="C5" s="6"/>
      <c r="D5" s="6"/>
      <c r="E5" s="6"/>
      <c r="F5" s="6"/>
    </row>
    <row r="6" spans="1:6" x14ac:dyDescent="0.25">
      <c r="A6" s="81">
        <v>44230</v>
      </c>
      <c r="B6" s="6"/>
      <c r="C6" s="6"/>
      <c r="D6" s="6"/>
      <c r="E6" s="6"/>
      <c r="F6" s="6"/>
    </row>
    <row r="7" spans="1:6" x14ac:dyDescent="0.25">
      <c r="A7" s="81">
        <v>44231</v>
      </c>
      <c r="B7" s="6"/>
      <c r="C7" s="6"/>
      <c r="D7" s="6"/>
      <c r="E7" s="6"/>
      <c r="F7" s="6"/>
    </row>
    <row r="8" spans="1:6" x14ac:dyDescent="0.25">
      <c r="A8" s="81">
        <v>44232</v>
      </c>
      <c r="B8" s="6"/>
      <c r="C8" s="6"/>
      <c r="D8" s="6"/>
      <c r="E8" s="6"/>
      <c r="F8" s="6"/>
    </row>
    <row r="9" spans="1:6" x14ac:dyDescent="0.25">
      <c r="A9" s="81">
        <v>44233</v>
      </c>
      <c r="B9" s="6">
        <v>8</v>
      </c>
      <c r="C9" s="6">
        <v>69</v>
      </c>
      <c r="D9" s="6">
        <v>6</v>
      </c>
      <c r="E9" s="6">
        <v>2175</v>
      </c>
      <c r="F9" s="6">
        <v>2528</v>
      </c>
    </row>
    <row r="10" spans="1:6" x14ac:dyDescent="0.25">
      <c r="A10" s="81">
        <v>44234</v>
      </c>
      <c r="B10" s="6">
        <v>7</v>
      </c>
      <c r="C10" s="6">
        <v>70</v>
      </c>
      <c r="D10" s="6">
        <v>5</v>
      </c>
      <c r="E10" s="6">
        <v>2180</v>
      </c>
      <c r="F10" s="6">
        <v>2535</v>
      </c>
    </row>
    <row r="11" spans="1:6" x14ac:dyDescent="0.25">
      <c r="A11" s="81">
        <v>44235</v>
      </c>
      <c r="B11" s="6">
        <v>22</v>
      </c>
      <c r="C11" s="6">
        <v>74</v>
      </c>
      <c r="D11" s="6">
        <v>18</v>
      </c>
      <c r="E11" s="6">
        <f t="shared" ref="E11:E16" si="0">E10+D11</f>
        <v>2198</v>
      </c>
      <c r="F11" s="6">
        <f t="shared" ref="F11:F16" si="1">F10+B11</f>
        <v>2557</v>
      </c>
    </row>
    <row r="12" spans="1:6" x14ac:dyDescent="0.25">
      <c r="A12" s="81">
        <v>44236</v>
      </c>
      <c r="B12" s="6">
        <v>16</v>
      </c>
      <c r="C12" s="6">
        <v>53</v>
      </c>
      <c r="D12" s="6">
        <v>37</v>
      </c>
      <c r="E12" s="6">
        <f t="shared" si="0"/>
        <v>2235</v>
      </c>
      <c r="F12" s="6">
        <f t="shared" si="1"/>
        <v>2573</v>
      </c>
    </row>
    <row r="13" spans="1:6" x14ac:dyDescent="0.25">
      <c r="A13" s="81">
        <v>44237</v>
      </c>
      <c r="B13" s="6">
        <v>14</v>
      </c>
      <c r="C13" s="6">
        <v>47</v>
      </c>
      <c r="D13" s="6">
        <v>20</v>
      </c>
      <c r="E13" s="6">
        <f t="shared" si="0"/>
        <v>2255</v>
      </c>
      <c r="F13" s="6">
        <f t="shared" si="1"/>
        <v>2587</v>
      </c>
    </row>
    <row r="14" spans="1:6" x14ac:dyDescent="0.25">
      <c r="A14" s="81">
        <v>44238</v>
      </c>
      <c r="B14" s="6">
        <v>9</v>
      </c>
      <c r="C14" s="6">
        <v>34</v>
      </c>
      <c r="D14" s="6">
        <v>22</v>
      </c>
      <c r="E14" s="6">
        <f t="shared" si="0"/>
        <v>2277</v>
      </c>
      <c r="F14" s="6">
        <f t="shared" si="1"/>
        <v>2596</v>
      </c>
    </row>
    <row r="15" spans="1:6" x14ac:dyDescent="0.25">
      <c r="A15" s="81">
        <v>44239</v>
      </c>
      <c r="B15" s="6">
        <v>8</v>
      </c>
      <c r="C15" s="6">
        <v>35</v>
      </c>
      <c r="D15" s="6">
        <v>7</v>
      </c>
      <c r="E15" s="6">
        <f t="shared" si="0"/>
        <v>2284</v>
      </c>
      <c r="F15" s="6">
        <f t="shared" si="1"/>
        <v>2604</v>
      </c>
    </row>
    <row r="16" spans="1:6" x14ac:dyDescent="0.25">
      <c r="A16" s="81">
        <v>44240</v>
      </c>
      <c r="B16" s="6">
        <v>11</v>
      </c>
      <c r="C16" s="6">
        <v>38</v>
      </c>
      <c r="D16" s="6">
        <v>8</v>
      </c>
      <c r="E16" s="6">
        <f t="shared" si="0"/>
        <v>2292</v>
      </c>
      <c r="F16" s="6">
        <f t="shared" si="1"/>
        <v>2615</v>
      </c>
    </row>
    <row r="17" spans="1:8" x14ac:dyDescent="0.25">
      <c r="A17" s="81">
        <v>44241</v>
      </c>
      <c r="B17" s="6">
        <v>4</v>
      </c>
      <c r="C17" s="6">
        <v>35</v>
      </c>
      <c r="D17" s="6">
        <v>7</v>
      </c>
      <c r="E17" s="6">
        <f t="shared" ref="E17" si="2">E16+D17</f>
        <v>2299</v>
      </c>
      <c r="F17" s="6">
        <f t="shared" ref="F17" si="3">F16+B17</f>
        <v>2619</v>
      </c>
      <c r="G17" s="80"/>
      <c r="H17" s="80"/>
    </row>
    <row r="18" spans="1:8" x14ac:dyDescent="0.25">
      <c r="A18" s="81">
        <v>44242</v>
      </c>
      <c r="B18" s="6">
        <v>32</v>
      </c>
      <c r="C18" s="6">
        <v>46</v>
      </c>
      <c r="D18" s="6">
        <v>21</v>
      </c>
      <c r="E18" s="6">
        <f t="shared" ref="E18:E21" si="4">E17+D18</f>
        <v>2320</v>
      </c>
      <c r="F18" s="6">
        <f t="shared" ref="F18:F21" si="5">F17+B18</f>
        <v>2651</v>
      </c>
    </row>
    <row r="19" spans="1:8" x14ac:dyDescent="0.25">
      <c r="A19" s="81">
        <v>44243</v>
      </c>
      <c r="B19" s="6">
        <v>11</v>
      </c>
      <c r="C19" s="6">
        <f>C18-D19+B19</f>
        <v>42</v>
      </c>
      <c r="D19" s="6">
        <v>15</v>
      </c>
      <c r="E19" s="6">
        <f t="shared" si="4"/>
        <v>2335</v>
      </c>
      <c r="F19" s="6">
        <f t="shared" si="5"/>
        <v>2662</v>
      </c>
    </row>
    <row r="20" spans="1:8" x14ac:dyDescent="0.25">
      <c r="A20" s="81">
        <v>44244</v>
      </c>
      <c r="B20" s="6">
        <v>11</v>
      </c>
      <c r="C20" s="6">
        <f t="shared" ref="C20:C23" si="6">C19-D20+B20</f>
        <v>40</v>
      </c>
      <c r="D20" s="6">
        <v>13</v>
      </c>
      <c r="E20" s="6">
        <f t="shared" si="4"/>
        <v>2348</v>
      </c>
      <c r="F20" s="6">
        <f t="shared" si="5"/>
        <v>2673</v>
      </c>
    </row>
    <row r="21" spans="1:8" x14ac:dyDescent="0.25">
      <c r="A21" s="81">
        <v>44245</v>
      </c>
      <c r="B21" s="6">
        <v>17</v>
      </c>
      <c r="C21" s="6">
        <f t="shared" si="6"/>
        <v>41</v>
      </c>
      <c r="D21" s="6">
        <v>16</v>
      </c>
      <c r="E21" s="6">
        <f t="shared" si="4"/>
        <v>2364</v>
      </c>
      <c r="F21" s="6">
        <f t="shared" si="5"/>
        <v>2690</v>
      </c>
    </row>
    <row r="22" spans="1:8" x14ac:dyDescent="0.25">
      <c r="A22" s="81">
        <v>44246</v>
      </c>
      <c r="B22" s="6">
        <v>11</v>
      </c>
      <c r="C22" s="6">
        <f t="shared" ref="C22" si="7">C21-D22+B22</f>
        <v>39</v>
      </c>
      <c r="D22" s="6">
        <v>13</v>
      </c>
      <c r="E22" s="6">
        <f t="shared" ref="E22:E23" si="8">E21+D22</f>
        <v>2377</v>
      </c>
      <c r="F22" s="6">
        <f t="shared" ref="F22:F23" si="9">F21+B22</f>
        <v>2701</v>
      </c>
    </row>
    <row r="23" spans="1:8" x14ac:dyDescent="0.25">
      <c r="A23" s="81">
        <v>44247</v>
      </c>
      <c r="B23" s="6">
        <v>5</v>
      </c>
      <c r="C23" s="6">
        <f t="shared" si="6"/>
        <v>38</v>
      </c>
      <c r="D23" s="6">
        <v>6</v>
      </c>
      <c r="E23" s="6">
        <f t="shared" si="8"/>
        <v>2383</v>
      </c>
      <c r="F23" s="6">
        <f t="shared" si="9"/>
        <v>2706</v>
      </c>
    </row>
    <row r="24" spans="1:8" x14ac:dyDescent="0.25">
      <c r="A24" s="81">
        <v>44248</v>
      </c>
      <c r="B24" s="6">
        <v>6</v>
      </c>
      <c r="C24" s="6">
        <f t="shared" ref="C24" si="10">C23-D24+B24</f>
        <v>36</v>
      </c>
      <c r="D24" s="6">
        <v>8</v>
      </c>
      <c r="E24" s="6">
        <f t="shared" ref="E24" si="11">E23+D24</f>
        <v>2391</v>
      </c>
      <c r="F24" s="6">
        <f t="shared" ref="F24" si="12">F23+B24</f>
        <v>2712</v>
      </c>
    </row>
    <row r="25" spans="1:8" x14ac:dyDescent="0.25">
      <c r="A25" s="81">
        <v>44249</v>
      </c>
      <c r="B25" s="6">
        <v>15</v>
      </c>
      <c r="C25" s="6">
        <f t="shared" ref="C25" si="13">C24-D25+B25</f>
        <v>28</v>
      </c>
      <c r="D25" s="6">
        <v>23</v>
      </c>
      <c r="E25" s="6">
        <f t="shared" ref="E25" si="14">E24+D25</f>
        <v>2414</v>
      </c>
      <c r="F25" s="6">
        <f t="shared" ref="F25" si="15">F24+B25</f>
        <v>2727</v>
      </c>
    </row>
    <row r="26" spans="1:8" x14ac:dyDescent="0.25">
      <c r="A26" s="81">
        <v>44250</v>
      </c>
      <c r="B26" s="6">
        <v>13</v>
      </c>
      <c r="C26" s="6">
        <f t="shared" ref="C26" si="16">C25-D26+B26</f>
        <v>31</v>
      </c>
      <c r="D26" s="6">
        <v>10</v>
      </c>
      <c r="E26" s="6">
        <f t="shared" ref="E26" si="17">E25+D26</f>
        <v>2424</v>
      </c>
      <c r="F26" s="6">
        <f t="shared" ref="F26" si="18">F25+B26</f>
        <v>2740</v>
      </c>
    </row>
    <row r="27" spans="1:8" x14ac:dyDescent="0.25">
      <c r="A27" s="81">
        <v>44251</v>
      </c>
      <c r="B27" s="6">
        <v>9</v>
      </c>
      <c r="C27" s="6">
        <f t="shared" ref="C27" si="19">C26-D27+B27</f>
        <v>30</v>
      </c>
      <c r="D27" s="6">
        <v>10</v>
      </c>
      <c r="E27" s="6">
        <f t="shared" ref="E27" si="20">E26+D27</f>
        <v>2434</v>
      </c>
      <c r="F27" s="6">
        <f t="shared" ref="F27" si="21">F26+B27</f>
        <v>2749</v>
      </c>
    </row>
    <row r="28" spans="1:8" x14ac:dyDescent="0.25">
      <c r="A28" s="81">
        <v>44252</v>
      </c>
      <c r="B28" s="6">
        <v>7</v>
      </c>
      <c r="C28" s="6">
        <f t="shared" ref="C28" si="22">C27-D28+B28</f>
        <v>30</v>
      </c>
      <c r="D28" s="6">
        <v>7</v>
      </c>
      <c r="E28" s="6">
        <f t="shared" ref="E28" si="23">E27+D28</f>
        <v>2441</v>
      </c>
      <c r="F28" s="6">
        <f t="shared" ref="F28" si="24">F27+B28</f>
        <v>2756</v>
      </c>
    </row>
    <row r="29" spans="1:8" x14ac:dyDescent="0.25">
      <c r="A29" s="81">
        <v>44253</v>
      </c>
      <c r="B29" s="6">
        <v>10</v>
      </c>
      <c r="C29" s="6">
        <f t="shared" ref="C29" si="25">C28-D29+B29</f>
        <v>29</v>
      </c>
      <c r="D29" s="6">
        <v>11</v>
      </c>
      <c r="E29" s="6">
        <f t="shared" ref="E29" si="26">E28+D29</f>
        <v>2452</v>
      </c>
      <c r="F29" s="6">
        <f t="shared" ref="F29" si="27">F28+B29</f>
        <v>2766</v>
      </c>
    </row>
    <row r="30" spans="1:8" x14ac:dyDescent="0.25">
      <c r="A30" s="81">
        <v>44254</v>
      </c>
      <c r="B30" s="6">
        <v>7</v>
      </c>
      <c r="C30" s="6">
        <f t="shared" ref="C30" si="28">C29-D30+B30</f>
        <v>30</v>
      </c>
      <c r="D30" s="6">
        <v>6</v>
      </c>
      <c r="E30" s="6">
        <f t="shared" ref="E30" si="29">E29+D30</f>
        <v>2458</v>
      </c>
      <c r="F30" s="6">
        <f t="shared" ref="F30" si="30">F29+B30</f>
        <v>2773</v>
      </c>
    </row>
    <row r="31" spans="1:8" x14ac:dyDescent="0.25">
      <c r="A31" s="81">
        <v>44255</v>
      </c>
      <c r="B31" s="6">
        <v>1</v>
      </c>
      <c r="C31" s="6">
        <f t="shared" ref="C31" si="31">C30-D31+B31</f>
        <v>30</v>
      </c>
      <c r="D31" s="6">
        <v>1</v>
      </c>
      <c r="E31" s="6">
        <f t="shared" ref="E31" si="32">E30+D31</f>
        <v>2459</v>
      </c>
      <c r="F31" s="6">
        <f t="shared" ref="F31" si="33">F30+B31</f>
        <v>2774</v>
      </c>
    </row>
    <row r="32" spans="1:8" x14ac:dyDescent="0.25">
      <c r="A32" s="81">
        <v>44256</v>
      </c>
      <c r="B32" s="6">
        <v>14</v>
      </c>
      <c r="C32" s="6">
        <f t="shared" ref="C32" si="34">C31-D32+B32</f>
        <v>34</v>
      </c>
      <c r="D32" s="6">
        <v>10</v>
      </c>
      <c r="E32" s="6">
        <f t="shared" ref="E32" si="35">E31+D32</f>
        <v>2469</v>
      </c>
      <c r="F32" s="6">
        <f t="shared" ref="F32" si="36">F31+B32</f>
        <v>2788</v>
      </c>
    </row>
    <row r="33" spans="1:6" x14ac:dyDescent="0.25">
      <c r="A33" s="81">
        <v>44257</v>
      </c>
      <c r="B33" s="6">
        <v>13</v>
      </c>
      <c r="C33" s="6">
        <f t="shared" ref="C33" si="37">C32-D33+B33</f>
        <v>36</v>
      </c>
      <c r="D33" s="6">
        <v>11</v>
      </c>
      <c r="E33" s="6">
        <f t="shared" ref="E33" si="38">E32+D33</f>
        <v>2480</v>
      </c>
      <c r="F33" s="6">
        <f t="shared" ref="F33" si="39">F32+B33</f>
        <v>2801</v>
      </c>
    </row>
    <row r="34" spans="1:6" x14ac:dyDescent="0.25">
      <c r="A34" s="81">
        <v>44258</v>
      </c>
      <c r="B34" s="6">
        <v>5</v>
      </c>
      <c r="C34" s="6">
        <f t="shared" ref="C34" si="40">C33-D34+B34</f>
        <v>32</v>
      </c>
      <c r="D34" s="6">
        <v>9</v>
      </c>
      <c r="E34" s="6">
        <f t="shared" ref="E34" si="41">E33+D34</f>
        <v>2489</v>
      </c>
      <c r="F34" s="6">
        <f t="shared" ref="F34" si="42">F33+B34</f>
        <v>2806</v>
      </c>
    </row>
    <row r="35" spans="1:6" x14ac:dyDescent="0.25">
      <c r="A35" s="81">
        <v>44259</v>
      </c>
      <c r="B35" s="6">
        <v>18</v>
      </c>
      <c r="C35" s="6">
        <f t="shared" ref="C35" si="43">C34-D35+B35</f>
        <v>34</v>
      </c>
      <c r="D35" s="6">
        <v>16</v>
      </c>
      <c r="E35" s="6">
        <f t="shared" ref="E35" si="44">E34+D35</f>
        <v>2505</v>
      </c>
      <c r="F35" s="6">
        <f t="shared" ref="F35" si="45">F34+B35</f>
        <v>2824</v>
      </c>
    </row>
    <row r="36" spans="1:6" x14ac:dyDescent="0.25">
      <c r="A36" s="81">
        <v>44260</v>
      </c>
      <c r="B36" s="6">
        <v>8</v>
      </c>
      <c r="C36" s="6">
        <f t="shared" ref="C36" si="46">C35-D36+B36</f>
        <v>35</v>
      </c>
      <c r="D36" s="6">
        <v>7</v>
      </c>
      <c r="E36" s="6">
        <f t="shared" ref="E36" si="47">E35+D36</f>
        <v>2512</v>
      </c>
      <c r="F36" s="6">
        <f t="shared" ref="F36" si="48">F35+B36</f>
        <v>2832</v>
      </c>
    </row>
    <row r="37" spans="1:6" x14ac:dyDescent="0.25">
      <c r="A37" s="81">
        <v>44261</v>
      </c>
      <c r="B37" s="6">
        <v>9</v>
      </c>
      <c r="C37" s="6">
        <f t="shared" ref="C37" si="49">C36-D37+B37</f>
        <v>33</v>
      </c>
      <c r="D37" s="6">
        <v>11</v>
      </c>
      <c r="E37" s="6">
        <f t="shared" ref="E37" si="50">E36+D37</f>
        <v>2523</v>
      </c>
      <c r="F37" s="6">
        <f t="shared" ref="F37" si="51">F36+B37</f>
        <v>2841</v>
      </c>
    </row>
    <row r="38" spans="1:6" x14ac:dyDescent="0.25">
      <c r="A38" s="81">
        <v>44262</v>
      </c>
      <c r="B38" s="6">
        <v>2</v>
      </c>
      <c r="C38" s="6">
        <f t="shared" ref="C38" si="52">C37-D38+B38</f>
        <v>34</v>
      </c>
      <c r="D38" s="6">
        <v>1</v>
      </c>
      <c r="E38" s="6">
        <f t="shared" ref="E38" si="53">E37+D38</f>
        <v>2524</v>
      </c>
      <c r="F38" s="6">
        <f t="shared" ref="F38" si="54">F37+B38</f>
        <v>2843</v>
      </c>
    </row>
    <row r="39" spans="1:6" x14ac:dyDescent="0.25">
      <c r="A39" s="81">
        <v>44263</v>
      </c>
      <c r="B39" s="6">
        <v>8</v>
      </c>
      <c r="C39" s="6">
        <f t="shared" ref="C39" si="55">C38-D39+B39</f>
        <v>28</v>
      </c>
      <c r="D39" s="6">
        <v>14</v>
      </c>
      <c r="E39" s="6">
        <f t="shared" ref="E39" si="56">E38+D39</f>
        <v>2538</v>
      </c>
      <c r="F39" s="6">
        <f t="shared" ref="F39" si="57">F38+B39</f>
        <v>2851</v>
      </c>
    </row>
    <row r="40" spans="1:6" x14ac:dyDescent="0.25">
      <c r="A40" s="81">
        <v>44264</v>
      </c>
      <c r="B40" s="6">
        <v>9</v>
      </c>
      <c r="C40" s="6">
        <f t="shared" ref="C40" si="58">C39-D40+B40</f>
        <v>22</v>
      </c>
      <c r="D40" s="6">
        <v>15</v>
      </c>
      <c r="E40" s="6">
        <f t="shared" ref="E40" si="59">E39+D40</f>
        <v>2553</v>
      </c>
      <c r="F40" s="6">
        <f t="shared" ref="F40" si="60">F39+B40</f>
        <v>2860</v>
      </c>
    </row>
    <row r="41" spans="1:6" x14ac:dyDescent="0.25">
      <c r="A41" s="81">
        <v>44265</v>
      </c>
      <c r="B41" s="6">
        <v>15</v>
      </c>
      <c r="C41" s="6">
        <f t="shared" ref="C41:C46" si="61">C40-D41+B41</f>
        <v>25</v>
      </c>
      <c r="D41" s="6">
        <v>12</v>
      </c>
      <c r="E41" s="6">
        <f t="shared" ref="E41:E46" si="62">E40+D41</f>
        <v>2565</v>
      </c>
      <c r="F41" s="6">
        <f t="shared" ref="F41:F46" si="63">F40+B41</f>
        <v>2875</v>
      </c>
    </row>
    <row r="42" spans="1:6" x14ac:dyDescent="0.25">
      <c r="A42" s="81">
        <v>44266</v>
      </c>
      <c r="B42" s="6">
        <v>2</v>
      </c>
      <c r="C42" s="6">
        <f t="shared" si="61"/>
        <v>25</v>
      </c>
      <c r="D42" s="6">
        <v>2</v>
      </c>
      <c r="E42" s="6">
        <f t="shared" si="62"/>
        <v>2567</v>
      </c>
      <c r="F42" s="6">
        <f t="shared" si="63"/>
        <v>2877</v>
      </c>
    </row>
    <row r="43" spans="1:6" x14ac:dyDescent="0.25">
      <c r="A43" s="81">
        <v>44267</v>
      </c>
      <c r="B43" s="6">
        <v>9</v>
      </c>
      <c r="C43" s="6">
        <f t="shared" si="61"/>
        <v>20</v>
      </c>
      <c r="D43" s="6">
        <v>14</v>
      </c>
      <c r="E43" s="6">
        <f t="shared" si="62"/>
        <v>2581</v>
      </c>
      <c r="F43" s="6">
        <f t="shared" si="63"/>
        <v>2886</v>
      </c>
    </row>
    <row r="44" spans="1:6" x14ac:dyDescent="0.25">
      <c r="A44" s="81">
        <v>44268</v>
      </c>
      <c r="B44" s="6">
        <v>8</v>
      </c>
      <c r="C44" s="6">
        <f t="shared" si="61"/>
        <v>23</v>
      </c>
      <c r="D44" s="6">
        <v>5</v>
      </c>
      <c r="E44" s="6">
        <f t="shared" si="62"/>
        <v>2586</v>
      </c>
      <c r="F44" s="6">
        <f t="shared" si="63"/>
        <v>2894</v>
      </c>
    </row>
    <row r="45" spans="1:6" x14ac:dyDescent="0.25">
      <c r="A45" s="81">
        <v>44269</v>
      </c>
      <c r="B45" s="6">
        <v>3</v>
      </c>
      <c r="C45" s="6">
        <f t="shared" si="61"/>
        <v>24</v>
      </c>
      <c r="D45" s="6">
        <v>2</v>
      </c>
      <c r="E45" s="6">
        <f t="shared" si="62"/>
        <v>2588</v>
      </c>
      <c r="F45" s="6">
        <f t="shared" si="63"/>
        <v>2897</v>
      </c>
    </row>
    <row r="46" spans="1:6" x14ac:dyDescent="0.25">
      <c r="A46" s="81">
        <v>44270</v>
      </c>
      <c r="B46" s="6">
        <v>8</v>
      </c>
      <c r="C46" s="6">
        <f t="shared" si="61"/>
        <v>15</v>
      </c>
      <c r="D46" s="6">
        <v>17</v>
      </c>
      <c r="E46" s="6">
        <f t="shared" si="62"/>
        <v>2605</v>
      </c>
      <c r="F46" s="6">
        <f t="shared" si="63"/>
        <v>2905</v>
      </c>
    </row>
    <row r="47" spans="1:6" x14ac:dyDescent="0.25">
      <c r="A47" s="81">
        <v>44271</v>
      </c>
      <c r="B47" s="6">
        <v>15</v>
      </c>
      <c r="C47" s="6">
        <f t="shared" ref="C47" si="64">C46-D47+B47</f>
        <v>21</v>
      </c>
      <c r="D47" s="6">
        <v>9</v>
      </c>
      <c r="E47" s="6">
        <f t="shared" ref="E47" si="65">E46+D47</f>
        <v>2614</v>
      </c>
      <c r="F47" s="6">
        <f t="shared" ref="F47" si="66">F46+B47</f>
        <v>2920</v>
      </c>
    </row>
    <row r="48" spans="1:6" x14ac:dyDescent="0.25">
      <c r="A48" s="81">
        <v>44272</v>
      </c>
      <c r="B48" s="6">
        <v>7</v>
      </c>
      <c r="C48" s="6">
        <f t="shared" ref="C48" si="67">C47-D48+B48</f>
        <v>19</v>
      </c>
      <c r="D48" s="6">
        <v>9</v>
      </c>
      <c r="E48" s="6">
        <f t="shared" ref="E48" si="68">E47+D48</f>
        <v>2623</v>
      </c>
      <c r="F48" s="6">
        <f t="shared" ref="F48" si="69">F47+B48</f>
        <v>2927</v>
      </c>
    </row>
    <row r="49" spans="1:6" x14ac:dyDescent="0.25">
      <c r="A49" s="81">
        <v>44273</v>
      </c>
      <c r="B49" s="6">
        <v>6</v>
      </c>
      <c r="C49" s="6">
        <f t="shared" ref="C49" si="70">C48-D49+B49</f>
        <v>13</v>
      </c>
      <c r="D49" s="6">
        <v>12</v>
      </c>
      <c r="E49" s="6">
        <f t="shared" ref="E49" si="71">E48+D49</f>
        <v>2635</v>
      </c>
      <c r="F49" s="6">
        <f t="shared" ref="F49" si="72">F48+B49</f>
        <v>2933</v>
      </c>
    </row>
    <row r="50" spans="1:6" x14ac:dyDescent="0.25">
      <c r="A50" s="81">
        <v>44274</v>
      </c>
      <c r="B50" s="6">
        <v>8</v>
      </c>
      <c r="C50" s="6">
        <f t="shared" ref="C50" si="73">C49-D50+B50</f>
        <v>17</v>
      </c>
      <c r="D50" s="6">
        <v>4</v>
      </c>
      <c r="E50" s="6">
        <f t="shared" ref="E50" si="74">E49+D50</f>
        <v>2639</v>
      </c>
      <c r="F50" s="6">
        <f t="shared" ref="F50" si="75">F49+B50</f>
        <v>2941</v>
      </c>
    </row>
    <row r="51" spans="1:6" x14ac:dyDescent="0.25">
      <c r="A51" s="81">
        <v>44275</v>
      </c>
      <c r="B51" s="6">
        <v>5</v>
      </c>
      <c r="C51" s="6">
        <f t="shared" ref="C51" si="76">C50-D51+B51</f>
        <v>18</v>
      </c>
      <c r="D51" s="6">
        <v>4</v>
      </c>
      <c r="E51" s="6">
        <f t="shared" ref="E51" si="77">E50+D51</f>
        <v>2643</v>
      </c>
      <c r="F51" s="6">
        <f t="shared" ref="F51" si="78">F50+B51</f>
        <v>2946</v>
      </c>
    </row>
    <row r="52" spans="1:6" x14ac:dyDescent="0.25">
      <c r="A52" s="81">
        <v>44276</v>
      </c>
      <c r="B52" s="6">
        <v>7</v>
      </c>
      <c r="C52" s="6">
        <f t="shared" ref="C52" si="79">C51-D52+B52</f>
        <v>22</v>
      </c>
      <c r="D52" s="6">
        <v>3</v>
      </c>
      <c r="E52" s="6">
        <f t="shared" ref="E52" si="80">E51+D52</f>
        <v>2646</v>
      </c>
      <c r="F52" s="6">
        <f t="shared" ref="F52" si="81">F51+B52</f>
        <v>2953</v>
      </c>
    </row>
    <row r="53" spans="1:6" x14ac:dyDescent="0.25">
      <c r="A53" s="81">
        <v>44277</v>
      </c>
      <c r="B53" s="6">
        <v>10</v>
      </c>
      <c r="C53" s="6">
        <f t="shared" ref="C53" si="82">C52-D53+B53</f>
        <v>20</v>
      </c>
      <c r="D53" s="6">
        <v>12</v>
      </c>
      <c r="E53" s="6">
        <f t="shared" ref="E53" si="83">E52+D53</f>
        <v>2658</v>
      </c>
      <c r="F53" s="6">
        <f t="shared" ref="F53" si="84">F52+B53</f>
        <v>2963</v>
      </c>
    </row>
    <row r="54" spans="1:6" x14ac:dyDescent="0.25">
      <c r="A54" s="81">
        <v>44278</v>
      </c>
      <c r="B54" s="6">
        <v>11</v>
      </c>
      <c r="C54" s="6">
        <f t="shared" ref="C54" si="85">C53-D54+B54</f>
        <v>18</v>
      </c>
      <c r="D54" s="6">
        <v>13</v>
      </c>
      <c r="E54" s="6">
        <f t="shared" ref="E54" si="86">E53+D54</f>
        <v>2671</v>
      </c>
      <c r="F54" s="6">
        <f t="shared" ref="F54" si="87">F53+B54</f>
        <v>2974</v>
      </c>
    </row>
    <row r="55" spans="1:6" x14ac:dyDescent="0.25">
      <c r="A55" s="81">
        <v>44279</v>
      </c>
      <c r="B55" s="6">
        <v>6</v>
      </c>
      <c r="C55" s="6">
        <f t="shared" ref="C55" si="88">C54-D55+B55</f>
        <v>19</v>
      </c>
      <c r="D55" s="6">
        <v>5</v>
      </c>
      <c r="E55" s="6">
        <f t="shared" ref="E55" si="89">E54+D55</f>
        <v>2676</v>
      </c>
      <c r="F55" s="6">
        <f t="shared" ref="F55" si="90">F54+B55</f>
        <v>2980</v>
      </c>
    </row>
    <row r="56" spans="1:6" x14ac:dyDescent="0.25">
      <c r="A56" s="81">
        <v>44280</v>
      </c>
      <c r="B56" s="6">
        <v>13</v>
      </c>
      <c r="C56" s="6">
        <f t="shared" ref="C56" si="91">C55-D56+B56</f>
        <v>26</v>
      </c>
      <c r="D56" s="6">
        <v>6</v>
      </c>
      <c r="E56" s="6">
        <f t="shared" ref="E56" si="92">E55+D56</f>
        <v>2682</v>
      </c>
      <c r="F56" s="6">
        <f t="shared" ref="F56" si="93">F55+B56</f>
        <v>2993</v>
      </c>
    </row>
    <row r="57" spans="1:6" x14ac:dyDescent="0.25">
      <c r="A57" s="81">
        <v>44281</v>
      </c>
      <c r="B57" s="6">
        <v>5</v>
      </c>
      <c r="C57" s="6">
        <f t="shared" ref="C57" si="94">C56-D57+B57</f>
        <v>28</v>
      </c>
      <c r="D57" s="6">
        <v>3</v>
      </c>
      <c r="E57" s="6">
        <f t="shared" ref="E57" si="95">E56+D57</f>
        <v>2685</v>
      </c>
      <c r="F57" s="6">
        <f t="shared" ref="F57" si="96">F56+B57</f>
        <v>2998</v>
      </c>
    </row>
    <row r="58" spans="1:6" x14ac:dyDescent="0.25">
      <c r="A58" s="81">
        <v>44282</v>
      </c>
      <c r="B58" s="6">
        <v>5</v>
      </c>
      <c r="C58" s="6">
        <f t="shared" ref="C58" si="97">C57-D58+B58</f>
        <v>20</v>
      </c>
      <c r="D58" s="6">
        <v>13</v>
      </c>
      <c r="E58" s="6">
        <f t="shared" ref="E58" si="98">E57+D58</f>
        <v>2698</v>
      </c>
      <c r="F58" s="6">
        <f t="shared" ref="F58" si="99">F57+B58</f>
        <v>3003</v>
      </c>
    </row>
    <row r="59" spans="1:6" x14ac:dyDescent="0.25">
      <c r="A59" s="81">
        <v>44283</v>
      </c>
      <c r="B59" s="6">
        <v>3</v>
      </c>
      <c r="C59" s="6">
        <f t="shared" ref="C59" si="100">C58-D59+B59</f>
        <v>22</v>
      </c>
      <c r="D59" s="6">
        <v>1</v>
      </c>
      <c r="E59" s="6">
        <f t="shared" ref="E59" si="101">E58+D59</f>
        <v>2699</v>
      </c>
      <c r="F59" s="6">
        <f t="shared" ref="F59" si="102">F58+B59</f>
        <v>3006</v>
      </c>
    </row>
    <row r="60" spans="1:6" x14ac:dyDescent="0.25">
      <c r="A60" s="81">
        <v>44284</v>
      </c>
      <c r="B60" s="6">
        <v>12</v>
      </c>
      <c r="C60" s="6">
        <f t="shared" ref="C60" si="103">C59-D60+B60</f>
        <v>18</v>
      </c>
      <c r="D60" s="6">
        <v>16</v>
      </c>
      <c r="E60" s="6">
        <f t="shared" ref="E60" si="104">E59+D60</f>
        <v>2715</v>
      </c>
      <c r="F60" s="6">
        <f t="shared" ref="F60" si="105">F59+B60</f>
        <v>3018</v>
      </c>
    </row>
    <row r="61" spans="1:6" x14ac:dyDescent="0.25">
      <c r="A61" s="81">
        <v>44285</v>
      </c>
      <c r="B61" s="6">
        <v>5</v>
      </c>
      <c r="C61" s="6">
        <f t="shared" ref="C61" si="106">C60-D61+B61</f>
        <v>19</v>
      </c>
      <c r="D61" s="6">
        <v>4</v>
      </c>
      <c r="E61" s="6">
        <f t="shared" ref="E61" si="107">E60+D61</f>
        <v>2719</v>
      </c>
      <c r="F61" s="6">
        <f t="shared" ref="F61" si="108">F60+B61</f>
        <v>3023</v>
      </c>
    </row>
    <row r="62" spans="1:6" x14ac:dyDescent="0.25">
      <c r="A62" s="81">
        <v>44286</v>
      </c>
      <c r="B62" s="6">
        <v>10</v>
      </c>
      <c r="C62" s="6">
        <f t="shared" ref="C62" si="109">C61-D62+B62</f>
        <v>21</v>
      </c>
      <c r="D62" s="6">
        <v>8</v>
      </c>
      <c r="E62" s="6">
        <f t="shared" ref="E62" si="110">E61+D62</f>
        <v>2727</v>
      </c>
      <c r="F62" s="6">
        <f t="shared" ref="F62" si="111">F61+B62</f>
        <v>3033</v>
      </c>
    </row>
    <row r="63" spans="1:6" x14ac:dyDescent="0.25">
      <c r="A63" s="81">
        <v>44287</v>
      </c>
      <c r="B63" s="6">
        <v>10</v>
      </c>
      <c r="C63" s="6">
        <f t="shared" ref="C63" si="112">C62-D63+B63</f>
        <v>25</v>
      </c>
      <c r="D63" s="6">
        <v>6</v>
      </c>
      <c r="E63" s="6">
        <f t="shared" ref="E63" si="113">E62+D63</f>
        <v>2733</v>
      </c>
      <c r="F63" s="6">
        <f t="shared" ref="F63" si="114">F62+B63</f>
        <v>3043</v>
      </c>
    </row>
    <row r="64" spans="1:6" x14ac:dyDescent="0.25">
      <c r="A64" s="81">
        <v>44288</v>
      </c>
      <c r="B64" s="6">
        <v>3</v>
      </c>
      <c r="C64" s="6">
        <f t="shared" ref="C64" si="115">C63-D64+B64</f>
        <v>24</v>
      </c>
      <c r="D64" s="6">
        <v>4</v>
      </c>
      <c r="E64" s="6">
        <f t="shared" ref="E64" si="116">E63+D64</f>
        <v>2737</v>
      </c>
      <c r="F64" s="6">
        <f t="shared" ref="F64" si="117">F63+B64</f>
        <v>3046</v>
      </c>
    </row>
    <row r="65" spans="1:6" x14ac:dyDescent="0.25">
      <c r="A65" s="81">
        <v>44289</v>
      </c>
      <c r="B65" s="6">
        <v>7</v>
      </c>
      <c r="C65" s="6">
        <f t="shared" ref="C65" si="118">C64-D65+B65</f>
        <v>25</v>
      </c>
      <c r="D65" s="6">
        <v>6</v>
      </c>
      <c r="E65" s="6">
        <f t="shared" ref="E65" si="119">E64+D65</f>
        <v>2743</v>
      </c>
      <c r="F65" s="6">
        <f t="shared" ref="F65" si="120">F64+B65</f>
        <v>3053</v>
      </c>
    </row>
    <row r="66" spans="1:6" x14ac:dyDescent="0.25">
      <c r="A66" s="81">
        <v>44290</v>
      </c>
      <c r="B66" s="6">
        <v>5</v>
      </c>
      <c r="C66" s="6">
        <f t="shared" ref="C66" si="121">C65-D66+B66</f>
        <v>28</v>
      </c>
      <c r="D66" s="6">
        <v>2</v>
      </c>
      <c r="E66" s="6">
        <f t="shared" ref="E66" si="122">E65+D66</f>
        <v>2745</v>
      </c>
      <c r="F66" s="6">
        <f t="shared" ref="F66" si="123">F65+B66</f>
        <v>3058</v>
      </c>
    </row>
    <row r="67" spans="1:6" x14ac:dyDescent="0.25">
      <c r="A67" s="81">
        <v>44291</v>
      </c>
      <c r="B67" s="6">
        <v>11</v>
      </c>
      <c r="C67" s="6">
        <f t="shared" ref="C67" si="124">C66-D67+B67</f>
        <v>29</v>
      </c>
      <c r="D67" s="6">
        <v>10</v>
      </c>
      <c r="E67" s="6">
        <f t="shared" ref="E67" si="125">E66+D67</f>
        <v>2755</v>
      </c>
      <c r="F67" s="6">
        <f t="shared" ref="F67" si="126">F66+B67</f>
        <v>3069</v>
      </c>
    </row>
    <row r="68" spans="1:6" x14ac:dyDescent="0.25">
      <c r="A68" s="81">
        <v>44292</v>
      </c>
      <c r="B68" s="6">
        <v>8</v>
      </c>
      <c r="C68" s="6">
        <f t="shared" ref="C68" si="127">C67-D68+B68</f>
        <v>26</v>
      </c>
      <c r="D68" s="6">
        <v>11</v>
      </c>
      <c r="E68" s="6">
        <f t="shared" ref="E68" si="128">E67+D68</f>
        <v>2766</v>
      </c>
      <c r="F68" s="6">
        <f t="shared" ref="F68" si="129">F67+B68</f>
        <v>3077</v>
      </c>
    </row>
    <row r="69" spans="1:6" x14ac:dyDescent="0.25">
      <c r="A69" s="81">
        <v>44293</v>
      </c>
      <c r="B69" s="6">
        <v>8</v>
      </c>
      <c r="C69" s="6">
        <f t="shared" ref="C69" si="130">C68-D69+B69</f>
        <v>24</v>
      </c>
      <c r="D69" s="6">
        <v>10</v>
      </c>
      <c r="E69" s="6">
        <f t="shared" ref="E69" si="131">E68+D69</f>
        <v>2776</v>
      </c>
      <c r="F69" s="6">
        <f t="shared" ref="F69" si="132">F68+B69</f>
        <v>3085</v>
      </c>
    </row>
    <row r="70" spans="1:6" x14ac:dyDescent="0.25">
      <c r="A70" s="81">
        <v>44294</v>
      </c>
      <c r="B70" s="6">
        <v>6</v>
      </c>
      <c r="C70" s="6">
        <f t="shared" ref="C70" si="133">C69-D70+B70</f>
        <v>21</v>
      </c>
      <c r="D70" s="6">
        <v>9</v>
      </c>
      <c r="E70" s="6">
        <f t="shared" ref="E70" si="134">E69+D70</f>
        <v>2785</v>
      </c>
      <c r="F70" s="6">
        <f t="shared" ref="F70" si="135">F69+B70</f>
        <v>3091</v>
      </c>
    </row>
    <row r="71" spans="1:6" x14ac:dyDescent="0.25">
      <c r="A71" s="81">
        <v>44295</v>
      </c>
      <c r="B71" s="6">
        <v>3</v>
      </c>
      <c r="C71" s="6">
        <f t="shared" ref="C71" si="136">C70-D71+B71</f>
        <v>17</v>
      </c>
      <c r="D71" s="6">
        <v>7</v>
      </c>
      <c r="E71" s="6">
        <f t="shared" ref="E71" si="137">E70+D71</f>
        <v>2792</v>
      </c>
      <c r="F71" s="6">
        <f t="shared" ref="F71" si="138">F70+B71</f>
        <v>3094</v>
      </c>
    </row>
    <row r="72" spans="1:6" x14ac:dyDescent="0.25">
      <c r="A72" s="81">
        <v>44296</v>
      </c>
      <c r="B72" s="6">
        <v>6</v>
      </c>
      <c r="C72" s="6">
        <f t="shared" ref="C72" si="139">C71-D72+B72</f>
        <v>13</v>
      </c>
      <c r="D72" s="6">
        <v>10</v>
      </c>
      <c r="E72" s="6">
        <f t="shared" ref="E72" si="140">E71+D72</f>
        <v>2802</v>
      </c>
      <c r="F72" s="6">
        <f t="shared" ref="F72" si="141">F71+B72</f>
        <v>3100</v>
      </c>
    </row>
    <row r="73" spans="1:6" x14ac:dyDescent="0.25">
      <c r="A73" s="81">
        <v>44297</v>
      </c>
      <c r="B73" s="6">
        <v>1</v>
      </c>
      <c r="C73" s="6">
        <f t="shared" ref="C73" si="142">C72-D73+B73</f>
        <v>13</v>
      </c>
      <c r="D73" s="6">
        <v>1</v>
      </c>
      <c r="E73" s="6">
        <f t="shared" ref="E73" si="143">E72+D73</f>
        <v>2803</v>
      </c>
      <c r="F73" s="6">
        <f t="shared" ref="F73" si="144">F72+B73</f>
        <v>3101</v>
      </c>
    </row>
    <row r="74" spans="1:6" x14ac:dyDescent="0.25">
      <c r="A74" s="81">
        <v>44298</v>
      </c>
      <c r="B74" s="6">
        <v>7</v>
      </c>
      <c r="C74" s="6">
        <f t="shared" ref="C74" si="145">C73-D74+B74</f>
        <v>15</v>
      </c>
      <c r="D74" s="6">
        <v>5</v>
      </c>
      <c r="E74" s="6">
        <f t="shared" ref="E74" si="146">E73+D74</f>
        <v>2808</v>
      </c>
      <c r="F74" s="6">
        <f t="shared" ref="F74" si="147">F73+B74</f>
        <v>3108</v>
      </c>
    </row>
    <row r="75" spans="1:6" x14ac:dyDescent="0.25">
      <c r="A75" s="81">
        <v>44299</v>
      </c>
      <c r="B75" s="6">
        <v>6</v>
      </c>
      <c r="C75" s="6">
        <f t="shared" ref="C75" si="148">C74-D75+B75</f>
        <v>14</v>
      </c>
      <c r="D75" s="6">
        <v>7</v>
      </c>
      <c r="E75" s="6">
        <f t="shared" ref="E75" si="149">E74+D75</f>
        <v>2815</v>
      </c>
      <c r="F75" s="6">
        <f t="shared" ref="F75" si="150">F74+B75</f>
        <v>3114</v>
      </c>
    </row>
    <row r="76" spans="1:6" x14ac:dyDescent="0.25">
      <c r="A76" s="81">
        <v>44300</v>
      </c>
      <c r="B76" s="6">
        <v>6</v>
      </c>
      <c r="C76" s="6">
        <f t="shared" ref="C76" si="151">C75-D76+B76</f>
        <v>14</v>
      </c>
      <c r="D76" s="6">
        <v>6</v>
      </c>
      <c r="E76" s="6">
        <f t="shared" ref="E76" si="152">E75+D76</f>
        <v>2821</v>
      </c>
      <c r="F76" s="6">
        <f t="shared" ref="F76" si="153">F75+B76</f>
        <v>3120</v>
      </c>
    </row>
    <row r="77" spans="1:6" x14ac:dyDescent="0.25">
      <c r="A77" s="81">
        <v>44301</v>
      </c>
      <c r="B77" s="6">
        <v>8</v>
      </c>
      <c r="C77" s="6">
        <f t="shared" ref="C77" si="154">C76-D77+B77</f>
        <v>15</v>
      </c>
      <c r="D77" s="6">
        <v>7</v>
      </c>
      <c r="E77" s="6">
        <f t="shared" ref="E77" si="155">E76+D77</f>
        <v>2828</v>
      </c>
      <c r="F77" s="6">
        <f t="shared" ref="F77" si="156">F76+B77</f>
        <v>3128</v>
      </c>
    </row>
    <row r="78" spans="1:6" x14ac:dyDescent="0.25">
      <c r="A78" s="81">
        <v>44302</v>
      </c>
      <c r="B78" s="6">
        <v>4</v>
      </c>
      <c r="C78" s="6">
        <f t="shared" ref="C78" si="157">C77-D78+B78</f>
        <v>10</v>
      </c>
      <c r="D78" s="6">
        <v>9</v>
      </c>
      <c r="E78" s="6">
        <f t="shared" ref="E78" si="158">E77+D78</f>
        <v>2837</v>
      </c>
      <c r="F78" s="6">
        <f t="shared" ref="F78" si="159">F77+B78</f>
        <v>3132</v>
      </c>
    </row>
    <row r="79" spans="1:6" x14ac:dyDescent="0.25">
      <c r="A79" s="81">
        <v>44303</v>
      </c>
      <c r="B79" s="6">
        <v>4</v>
      </c>
      <c r="C79" s="6">
        <f t="shared" ref="C79" si="160">C78-D79+B79</f>
        <v>7</v>
      </c>
      <c r="D79" s="6">
        <v>7</v>
      </c>
      <c r="E79" s="6">
        <f t="shared" ref="E79" si="161">E78+D79</f>
        <v>2844</v>
      </c>
      <c r="F79" s="6">
        <f t="shared" ref="F79" si="162">F78+B79</f>
        <v>3136</v>
      </c>
    </row>
    <row r="80" spans="1:6" x14ac:dyDescent="0.25">
      <c r="A80" s="81">
        <v>44304</v>
      </c>
      <c r="B80" s="6">
        <v>2</v>
      </c>
      <c r="C80" s="6">
        <f t="shared" ref="C80" si="163">C79-D80+B80</f>
        <v>7</v>
      </c>
      <c r="D80" s="6">
        <v>2</v>
      </c>
      <c r="E80" s="6">
        <f t="shared" ref="E80" si="164">E79+D80</f>
        <v>2846</v>
      </c>
      <c r="F80" s="6">
        <f t="shared" ref="F80" si="165">F79+B80</f>
        <v>3138</v>
      </c>
    </row>
    <row r="81" spans="1:6" x14ac:dyDescent="0.25">
      <c r="A81" s="81">
        <v>44305</v>
      </c>
      <c r="B81" s="6">
        <v>10</v>
      </c>
      <c r="C81" s="6">
        <f t="shared" ref="C81" si="166">C80-D81+B81</f>
        <v>16</v>
      </c>
      <c r="D81" s="6">
        <v>1</v>
      </c>
      <c r="E81" s="6">
        <f t="shared" ref="E81" si="167">E80+D81</f>
        <v>2847</v>
      </c>
      <c r="F81" s="6">
        <f t="shared" ref="F81" si="168">F80+B81</f>
        <v>3148</v>
      </c>
    </row>
    <row r="82" spans="1:6" x14ac:dyDescent="0.25">
      <c r="A82" s="81">
        <v>44306</v>
      </c>
      <c r="B82" s="6">
        <v>8</v>
      </c>
      <c r="C82" s="6">
        <f t="shared" ref="C82" si="169">C81-D82+B82</f>
        <v>15</v>
      </c>
      <c r="D82" s="6">
        <v>9</v>
      </c>
      <c r="E82" s="6">
        <f t="shared" ref="E82" si="170">E81+D82</f>
        <v>2856</v>
      </c>
      <c r="F82" s="6">
        <f t="shared" ref="F82" si="171">F81+B82</f>
        <v>3156</v>
      </c>
    </row>
    <row r="83" spans="1:6" x14ac:dyDescent="0.25">
      <c r="A83" s="81">
        <v>44307</v>
      </c>
      <c r="B83" s="6">
        <v>7</v>
      </c>
      <c r="C83" s="6">
        <f t="shared" ref="C83" si="172">C82-D83+B83</f>
        <v>18</v>
      </c>
      <c r="D83" s="6">
        <v>4</v>
      </c>
      <c r="E83" s="6">
        <f t="shared" ref="E83" si="173">E82+D83</f>
        <v>2860</v>
      </c>
      <c r="F83" s="6">
        <f t="shared" ref="F83" si="174">F82+B83</f>
        <v>3163</v>
      </c>
    </row>
    <row r="84" spans="1:6" x14ac:dyDescent="0.25">
      <c r="A84" s="81">
        <v>44308</v>
      </c>
      <c r="B84" s="6">
        <v>5</v>
      </c>
      <c r="C84" s="6">
        <f t="shared" ref="C84" si="175">C83-D84+B84</f>
        <v>17</v>
      </c>
      <c r="D84" s="6">
        <v>6</v>
      </c>
      <c r="E84" s="6">
        <f t="shared" ref="E84" si="176">E83+D84</f>
        <v>2866</v>
      </c>
      <c r="F84" s="6">
        <f t="shared" ref="F84" si="177">F83+B84</f>
        <v>3168</v>
      </c>
    </row>
    <row r="85" spans="1:6" x14ac:dyDescent="0.25">
      <c r="A85" s="81">
        <v>44309</v>
      </c>
      <c r="B85" s="6">
        <v>8</v>
      </c>
      <c r="C85" s="6">
        <f t="shared" ref="C85" si="178">C84-D85+B85</f>
        <v>17</v>
      </c>
      <c r="D85" s="6">
        <v>8</v>
      </c>
      <c r="E85" s="6">
        <f t="shared" ref="E85" si="179">E84+D85</f>
        <v>2874</v>
      </c>
      <c r="F85" s="6">
        <f t="shared" ref="F85" si="180">F84+B85</f>
        <v>3176</v>
      </c>
    </row>
    <row r="86" spans="1:6" x14ac:dyDescent="0.25">
      <c r="A86" s="81">
        <v>44310</v>
      </c>
      <c r="B86" s="6">
        <v>5</v>
      </c>
      <c r="C86" s="6">
        <f t="shared" ref="C86" si="181">C85-D86+B86</f>
        <v>15</v>
      </c>
      <c r="D86" s="6">
        <v>7</v>
      </c>
      <c r="E86" s="6">
        <f t="shared" ref="E86" si="182">E85+D86</f>
        <v>2881</v>
      </c>
      <c r="F86" s="6">
        <f t="shared" ref="F86" si="183">F85+B86</f>
        <v>3181</v>
      </c>
    </row>
    <row r="87" spans="1:6" x14ac:dyDescent="0.25">
      <c r="A87" s="81">
        <v>44311</v>
      </c>
      <c r="B87" s="6">
        <v>0</v>
      </c>
      <c r="C87" s="6">
        <f t="shared" ref="C87" si="184">C86-D87+B87</f>
        <v>12</v>
      </c>
      <c r="D87" s="6">
        <v>3</v>
      </c>
      <c r="E87" s="6">
        <f t="shared" ref="E87" si="185">E86+D87</f>
        <v>2884</v>
      </c>
      <c r="F87" s="6">
        <f t="shared" ref="F87" si="186">F86+B87</f>
        <v>3181</v>
      </c>
    </row>
    <row r="88" spans="1:6" x14ac:dyDescent="0.25">
      <c r="A88" s="81">
        <v>44312</v>
      </c>
      <c r="B88" s="6">
        <v>6</v>
      </c>
      <c r="C88" s="6">
        <f t="shared" ref="C88" si="187">C87-D88+B88</f>
        <v>12</v>
      </c>
      <c r="D88" s="6">
        <v>6</v>
      </c>
      <c r="E88" s="6">
        <f t="shared" ref="E88" si="188">E87+D88</f>
        <v>2890</v>
      </c>
      <c r="F88" s="6">
        <f t="shared" ref="F88" si="189">F87+B88</f>
        <v>3187</v>
      </c>
    </row>
    <row r="89" spans="1:6" x14ac:dyDescent="0.25">
      <c r="A89" s="81">
        <v>44313</v>
      </c>
      <c r="B89" s="6">
        <v>5</v>
      </c>
      <c r="C89" s="6">
        <f t="shared" ref="C89" si="190">C88-D89+B89</f>
        <v>15</v>
      </c>
      <c r="D89" s="6">
        <v>2</v>
      </c>
      <c r="E89" s="6">
        <f t="shared" ref="E89" si="191">E88+D89</f>
        <v>2892</v>
      </c>
      <c r="F89" s="6">
        <f t="shared" ref="F89" si="192">F88+B89</f>
        <v>3192</v>
      </c>
    </row>
    <row r="90" spans="1:6" x14ac:dyDescent="0.25">
      <c r="A90" s="81">
        <v>44314</v>
      </c>
      <c r="B90" s="6">
        <v>0</v>
      </c>
      <c r="C90" s="6">
        <f t="shared" ref="C90" si="193">C89-D90+B90</f>
        <v>15</v>
      </c>
      <c r="D90" s="6">
        <v>0</v>
      </c>
      <c r="E90" s="6">
        <f t="shared" ref="E90" si="194">E89+D90</f>
        <v>2892</v>
      </c>
      <c r="F90" s="6">
        <f t="shared" ref="F90" si="195">F89+B90</f>
        <v>3192</v>
      </c>
    </row>
    <row r="91" spans="1:6" x14ac:dyDescent="0.25">
      <c r="A91" s="81">
        <v>44315</v>
      </c>
      <c r="B91" s="6">
        <v>8</v>
      </c>
      <c r="C91" s="6">
        <f t="shared" ref="C91" si="196">C90-D91+B91</f>
        <v>13</v>
      </c>
      <c r="D91" s="6">
        <v>10</v>
      </c>
      <c r="E91" s="6">
        <f t="shared" ref="E91" si="197">E90+D91</f>
        <v>2902</v>
      </c>
      <c r="F91" s="6">
        <f t="shared" ref="F91" si="198">F90+B91</f>
        <v>3200</v>
      </c>
    </row>
    <row r="92" spans="1:6" x14ac:dyDescent="0.25">
      <c r="A92" s="81">
        <v>44316</v>
      </c>
      <c r="B92" s="6">
        <v>9</v>
      </c>
      <c r="C92" s="6">
        <f t="shared" ref="C92" si="199">C91-D92+B92</f>
        <v>20</v>
      </c>
      <c r="D92" s="6">
        <v>2</v>
      </c>
      <c r="E92" s="6">
        <f t="shared" ref="E92" si="200">E91+D92</f>
        <v>2904</v>
      </c>
      <c r="F92" s="6">
        <f t="shared" ref="F92" si="201">F91+B92</f>
        <v>3209</v>
      </c>
    </row>
    <row r="93" spans="1:6" x14ac:dyDescent="0.25">
      <c r="A93" s="81">
        <v>44317</v>
      </c>
      <c r="B93" s="6">
        <v>1</v>
      </c>
      <c r="C93" s="6">
        <f t="shared" ref="C93" si="202">C92-D93+B93</f>
        <v>16</v>
      </c>
      <c r="D93" s="6">
        <v>5</v>
      </c>
      <c r="E93" s="6">
        <f t="shared" ref="E93" si="203">E92+D93</f>
        <v>2909</v>
      </c>
      <c r="F93" s="6">
        <f t="shared" ref="F93" si="204">F92+B93</f>
        <v>3210</v>
      </c>
    </row>
    <row r="94" spans="1:6" x14ac:dyDescent="0.25">
      <c r="A94" s="81">
        <v>44318</v>
      </c>
      <c r="B94" s="6">
        <v>3</v>
      </c>
      <c r="C94" s="6">
        <f t="shared" ref="C94" si="205">C93-D94+B94</f>
        <v>18</v>
      </c>
      <c r="D94" s="6">
        <v>1</v>
      </c>
      <c r="E94" s="6">
        <f t="shared" ref="E94" si="206">E93+D94</f>
        <v>2910</v>
      </c>
      <c r="F94" s="6">
        <f t="shared" ref="F94" si="207">F93+B94</f>
        <v>3213</v>
      </c>
    </row>
    <row r="95" spans="1:6" x14ac:dyDescent="0.25">
      <c r="A95" s="81">
        <v>44319</v>
      </c>
      <c r="B95" s="6">
        <v>17</v>
      </c>
      <c r="C95" s="6">
        <f t="shared" ref="C95" si="208">C94-D95+B95</f>
        <v>30</v>
      </c>
      <c r="D95" s="6">
        <v>5</v>
      </c>
      <c r="E95" s="6">
        <f t="shared" ref="E95" si="209">E94+D95</f>
        <v>2915</v>
      </c>
      <c r="F95" s="6">
        <f t="shared" ref="F95" si="210">F94+B95</f>
        <v>3230</v>
      </c>
    </row>
    <row r="96" spans="1:6" x14ac:dyDescent="0.25">
      <c r="A96" s="81">
        <v>44320</v>
      </c>
      <c r="B96" s="6">
        <v>9</v>
      </c>
      <c r="C96" s="6">
        <f t="shared" ref="C96" si="211">C95-D96+B96</f>
        <v>32</v>
      </c>
      <c r="D96" s="6">
        <v>7</v>
      </c>
      <c r="E96" s="6">
        <f t="shared" ref="E96" si="212">E95+D96</f>
        <v>2922</v>
      </c>
      <c r="F96" s="6">
        <f t="shared" ref="F96" si="213">F95+B96</f>
        <v>3239</v>
      </c>
    </row>
    <row r="97" spans="1:6" x14ac:dyDescent="0.25">
      <c r="A97" s="81">
        <v>44321</v>
      </c>
      <c r="B97" s="6">
        <v>3</v>
      </c>
      <c r="C97" s="6">
        <f t="shared" ref="C97" si="214">C96-D97+B97</f>
        <v>29</v>
      </c>
      <c r="D97" s="6">
        <v>6</v>
      </c>
      <c r="E97" s="6">
        <f t="shared" ref="E97" si="215">E96+D97</f>
        <v>2928</v>
      </c>
      <c r="F97" s="6">
        <f t="shared" ref="F97" si="216">F96+B97</f>
        <v>3242</v>
      </c>
    </row>
    <row r="98" spans="1:6" x14ac:dyDescent="0.25">
      <c r="A98" s="81">
        <v>44322</v>
      </c>
      <c r="B98" s="6">
        <v>6</v>
      </c>
      <c r="C98" s="6">
        <f t="shared" ref="C98" si="217">C97-D98+B98</f>
        <v>27</v>
      </c>
      <c r="D98" s="6">
        <v>8</v>
      </c>
      <c r="E98" s="6">
        <f t="shared" ref="E98" si="218">E97+D98</f>
        <v>2936</v>
      </c>
      <c r="F98" s="6">
        <f t="shared" ref="F98" si="219">F97+B98</f>
        <v>3248</v>
      </c>
    </row>
    <row r="99" spans="1:6" x14ac:dyDescent="0.25">
      <c r="A99" s="81">
        <v>44323</v>
      </c>
      <c r="B99" s="6">
        <v>6</v>
      </c>
      <c r="C99" s="6">
        <f t="shared" ref="C99" si="220">C98-D99+B99</f>
        <v>30</v>
      </c>
      <c r="D99" s="6">
        <v>3</v>
      </c>
      <c r="E99" s="6">
        <f t="shared" ref="E99" si="221">E98+D99</f>
        <v>2939</v>
      </c>
      <c r="F99" s="6">
        <f t="shared" ref="F99" si="222">F98+B99</f>
        <v>3254</v>
      </c>
    </row>
    <row r="100" spans="1:6" x14ac:dyDescent="0.25">
      <c r="A100" s="81">
        <v>44324</v>
      </c>
      <c r="B100" s="6">
        <v>14</v>
      </c>
      <c r="C100" s="6">
        <f t="shared" ref="C100" si="223">C99-D100+B100</f>
        <v>40</v>
      </c>
      <c r="D100" s="6">
        <v>4</v>
      </c>
      <c r="E100" s="6">
        <f t="shared" ref="E100" si="224">E99+D100</f>
        <v>2943</v>
      </c>
      <c r="F100" s="6">
        <f t="shared" ref="F100" si="225">F99+B100</f>
        <v>3268</v>
      </c>
    </row>
    <row r="101" spans="1:6" x14ac:dyDescent="0.25">
      <c r="A101" s="81">
        <v>44325</v>
      </c>
      <c r="B101" s="6">
        <v>3</v>
      </c>
      <c r="C101" s="6">
        <f t="shared" ref="C101" si="226">C100-D101+B101</f>
        <v>38</v>
      </c>
      <c r="D101" s="6">
        <v>5</v>
      </c>
      <c r="E101" s="6">
        <f t="shared" ref="E101" si="227">E100+D101</f>
        <v>2948</v>
      </c>
      <c r="F101" s="6">
        <f t="shared" ref="F101" si="228">F100+B101</f>
        <v>3271</v>
      </c>
    </row>
    <row r="102" spans="1:6" x14ac:dyDescent="0.25">
      <c r="A102" s="81">
        <v>44326</v>
      </c>
      <c r="B102" s="6">
        <v>10</v>
      </c>
      <c r="C102" s="6">
        <f t="shared" ref="C102" si="229">C101-D102+B102</f>
        <v>35</v>
      </c>
      <c r="D102" s="6">
        <v>13</v>
      </c>
      <c r="E102" s="6">
        <f t="shared" ref="E102" si="230">E101+D102</f>
        <v>2961</v>
      </c>
      <c r="F102" s="6">
        <f t="shared" ref="F102" si="231">F101+B102</f>
        <v>3281</v>
      </c>
    </row>
    <row r="103" spans="1:6" x14ac:dyDescent="0.25">
      <c r="A103" s="81">
        <v>44327</v>
      </c>
      <c r="B103" s="6">
        <v>10</v>
      </c>
      <c r="C103" s="6">
        <f t="shared" ref="C103" si="232">C102-D103+B103</f>
        <v>38</v>
      </c>
      <c r="D103" s="6">
        <v>7</v>
      </c>
      <c r="E103" s="6">
        <f t="shared" ref="E103" si="233">E102+D103</f>
        <v>2968</v>
      </c>
      <c r="F103" s="6">
        <f t="shared" ref="F103" si="234">F102+B103</f>
        <v>3291</v>
      </c>
    </row>
    <row r="104" spans="1:6" x14ac:dyDescent="0.25">
      <c r="A104" s="81">
        <v>44328</v>
      </c>
      <c r="B104" s="6">
        <v>6</v>
      </c>
      <c r="C104" s="6">
        <f t="shared" ref="C104" si="235">C103-D104+B104</f>
        <v>38</v>
      </c>
      <c r="D104" s="6">
        <v>6</v>
      </c>
      <c r="E104" s="6">
        <f t="shared" ref="E104" si="236">E103+D104</f>
        <v>2974</v>
      </c>
      <c r="F104" s="6">
        <f t="shared" ref="F104" si="237">F103+B104</f>
        <v>3297</v>
      </c>
    </row>
    <row r="105" spans="1:6" ht="13.5" customHeight="1" x14ac:dyDescent="0.25">
      <c r="A105" s="81">
        <v>44329</v>
      </c>
      <c r="B105" s="6">
        <v>0</v>
      </c>
      <c r="C105" s="6">
        <f t="shared" ref="C105" si="238">C104-D105+B105</f>
        <v>38</v>
      </c>
      <c r="D105" s="6">
        <v>0</v>
      </c>
      <c r="E105" s="6">
        <f t="shared" ref="E105" si="239">E104+D105</f>
        <v>2974</v>
      </c>
      <c r="F105" s="6">
        <f t="shared" ref="F105" si="240">F104+B105</f>
        <v>3297</v>
      </c>
    </row>
    <row r="106" spans="1:6" x14ac:dyDescent="0.25">
      <c r="A106" s="81">
        <v>44330</v>
      </c>
      <c r="B106" s="6">
        <v>4</v>
      </c>
      <c r="C106" s="6">
        <f t="shared" ref="C106" si="241">C105-D106+B106</f>
        <v>40</v>
      </c>
      <c r="D106" s="6">
        <v>2</v>
      </c>
      <c r="E106" s="6">
        <f t="shared" ref="E106" si="242">E105+D106</f>
        <v>2976</v>
      </c>
      <c r="F106" s="6">
        <f t="shared" ref="F106" si="243">F105+B106</f>
        <v>3301</v>
      </c>
    </row>
    <row r="107" spans="1:6" x14ac:dyDescent="0.25">
      <c r="A107" s="81">
        <v>44331</v>
      </c>
      <c r="B107" s="6">
        <v>9</v>
      </c>
      <c r="C107" s="6">
        <f t="shared" ref="C107" si="244">C106-D107+B107</f>
        <v>43</v>
      </c>
      <c r="D107" s="6">
        <v>6</v>
      </c>
      <c r="E107" s="6">
        <f t="shared" ref="E107" si="245">E106+D107</f>
        <v>2982</v>
      </c>
      <c r="F107" s="6">
        <f t="shared" ref="F107" si="246">F106+B107</f>
        <v>3310</v>
      </c>
    </row>
    <row r="108" spans="1:6" x14ac:dyDescent="0.25">
      <c r="A108" s="81">
        <v>44332</v>
      </c>
      <c r="B108" s="6">
        <v>4</v>
      </c>
      <c r="C108" s="6">
        <f t="shared" ref="C108" si="247">C107-D108+B108</f>
        <v>43</v>
      </c>
      <c r="D108" s="6">
        <v>4</v>
      </c>
      <c r="E108" s="6">
        <f t="shared" ref="E108" si="248">E107+D108</f>
        <v>2986</v>
      </c>
      <c r="F108" s="6">
        <f t="shared" ref="F108" si="249">F107+B108</f>
        <v>3314</v>
      </c>
    </row>
    <row r="109" spans="1:6" x14ac:dyDescent="0.25">
      <c r="A109" s="81">
        <v>44333</v>
      </c>
      <c r="B109" s="6">
        <v>11</v>
      </c>
      <c r="C109" s="6">
        <f t="shared" ref="C109" si="250">C108-D109+B109</f>
        <v>43</v>
      </c>
      <c r="D109" s="6">
        <v>11</v>
      </c>
      <c r="E109" s="6">
        <f t="shared" ref="E109" si="251">E108+D109</f>
        <v>2997</v>
      </c>
      <c r="F109" s="6">
        <f t="shared" ref="F109" si="252">F108+B109</f>
        <v>3325</v>
      </c>
    </row>
    <row r="110" spans="1:6" x14ac:dyDescent="0.25">
      <c r="A110" s="81">
        <v>44334</v>
      </c>
      <c r="B110" s="6">
        <v>9</v>
      </c>
      <c r="C110" s="6">
        <f t="shared" ref="C110" si="253">C109-D110+B110</f>
        <v>42</v>
      </c>
      <c r="D110" s="6">
        <v>10</v>
      </c>
      <c r="E110" s="6">
        <f t="shared" ref="E110" si="254">E109+D110</f>
        <v>3007</v>
      </c>
      <c r="F110" s="6">
        <f t="shared" ref="F110" si="255">F109+B110</f>
        <v>3334</v>
      </c>
    </row>
    <row r="111" spans="1:6" x14ac:dyDescent="0.25">
      <c r="A111" s="81">
        <v>44335</v>
      </c>
      <c r="B111" s="6">
        <v>4</v>
      </c>
      <c r="C111" s="6">
        <f t="shared" ref="C111" si="256">C110-D111+B111</f>
        <v>32</v>
      </c>
      <c r="D111" s="6">
        <v>14</v>
      </c>
      <c r="E111" s="6">
        <f t="shared" ref="E111" si="257">E110+D111</f>
        <v>3021</v>
      </c>
      <c r="F111" s="6">
        <f t="shared" ref="F111" si="258">F110+B111</f>
        <v>3338</v>
      </c>
    </row>
    <row r="112" spans="1:6" x14ac:dyDescent="0.25">
      <c r="A112" s="81">
        <v>44336</v>
      </c>
      <c r="B112" s="6">
        <v>15</v>
      </c>
      <c r="C112" s="6">
        <f t="shared" ref="C112" si="259">C111-D112+B112</f>
        <v>36</v>
      </c>
      <c r="D112" s="6">
        <v>11</v>
      </c>
      <c r="E112" s="6">
        <f t="shared" ref="E112" si="260">E111+D112</f>
        <v>3032</v>
      </c>
      <c r="F112" s="6">
        <f t="shared" ref="F112" si="261">F111+B112</f>
        <v>3353</v>
      </c>
    </row>
    <row r="113" spans="1:6" x14ac:dyDescent="0.25">
      <c r="A113" s="81">
        <v>44337</v>
      </c>
      <c r="B113" s="6">
        <v>4</v>
      </c>
      <c r="C113" s="6">
        <f t="shared" ref="C113" si="262">C112-D113+B113</f>
        <v>38</v>
      </c>
      <c r="D113" s="6">
        <v>2</v>
      </c>
      <c r="E113" s="6">
        <f t="shared" ref="E113" si="263">E112+D113</f>
        <v>3034</v>
      </c>
      <c r="F113" s="6">
        <f t="shared" ref="F113" si="264">F112+B113</f>
        <v>3357</v>
      </c>
    </row>
    <row r="114" spans="1:6" x14ac:dyDescent="0.25">
      <c r="A114" s="81">
        <v>44338</v>
      </c>
      <c r="B114" s="6">
        <v>11</v>
      </c>
      <c r="C114" s="6">
        <f t="shared" ref="C114" si="265">C113-D114+B114</f>
        <v>45</v>
      </c>
      <c r="D114" s="6">
        <v>4</v>
      </c>
      <c r="E114" s="6">
        <f t="shared" ref="E114" si="266">E113+D114</f>
        <v>3038</v>
      </c>
      <c r="F114" s="6">
        <f t="shared" ref="F114" si="267">F113+B114</f>
        <v>3368</v>
      </c>
    </row>
    <row r="115" spans="1:6" x14ac:dyDescent="0.25">
      <c r="A115" s="81">
        <v>44339</v>
      </c>
      <c r="B115" s="6">
        <v>4</v>
      </c>
      <c r="C115" s="6">
        <f t="shared" ref="C115" si="268">C114-D115+B115</f>
        <v>45</v>
      </c>
      <c r="D115" s="6">
        <v>4</v>
      </c>
      <c r="E115" s="6">
        <f t="shared" ref="E115" si="269">E114+D115</f>
        <v>3042</v>
      </c>
      <c r="F115" s="6">
        <f t="shared" ref="F115" si="270">F114+B115</f>
        <v>3372</v>
      </c>
    </row>
    <row r="116" spans="1:6" x14ac:dyDescent="0.25">
      <c r="A116" s="81">
        <v>44340</v>
      </c>
      <c r="B116" s="6">
        <v>23</v>
      </c>
      <c r="C116" s="6">
        <f t="shared" ref="C116" si="271">C115-D116+B116</f>
        <v>56</v>
      </c>
      <c r="D116" s="6">
        <v>12</v>
      </c>
      <c r="E116" s="6">
        <f t="shared" ref="E116" si="272">E115+D116</f>
        <v>3054</v>
      </c>
      <c r="F116" s="6">
        <f t="shared" ref="F116" si="273">F115+B116</f>
        <v>3395</v>
      </c>
    </row>
    <row r="117" spans="1:6" x14ac:dyDescent="0.25">
      <c r="A117" s="81">
        <v>44341</v>
      </c>
      <c r="B117" s="6">
        <v>19</v>
      </c>
      <c r="C117" s="6">
        <f t="shared" ref="C117" si="274">C116-D117+B117</f>
        <v>69</v>
      </c>
      <c r="D117" s="6">
        <v>6</v>
      </c>
      <c r="E117" s="6">
        <f t="shared" ref="E117" si="275">E116+D117</f>
        <v>3060</v>
      </c>
      <c r="F117" s="6">
        <f t="shared" ref="F117" si="276">F116+B117</f>
        <v>3414</v>
      </c>
    </row>
    <row r="118" spans="1:6" x14ac:dyDescent="0.25">
      <c r="A118" s="81">
        <v>44342</v>
      </c>
      <c r="B118" s="6">
        <v>3</v>
      </c>
      <c r="C118" s="6">
        <f t="shared" ref="C118" si="277">C117-D118+B118</f>
        <v>70</v>
      </c>
      <c r="D118" s="6">
        <v>2</v>
      </c>
      <c r="E118" s="6">
        <f t="shared" ref="E118" si="278">E117+D118</f>
        <v>3062</v>
      </c>
      <c r="F118" s="6">
        <f t="shared" ref="F118" si="279">F117+B118</f>
        <v>3417</v>
      </c>
    </row>
    <row r="119" spans="1:6" x14ac:dyDescent="0.25">
      <c r="A119" s="81">
        <v>44343</v>
      </c>
      <c r="B119" s="6">
        <v>25</v>
      </c>
      <c r="C119" s="6">
        <f t="shared" ref="C119" si="280">C118-D119+B119</f>
        <v>79</v>
      </c>
      <c r="D119" s="6">
        <v>16</v>
      </c>
      <c r="E119" s="6">
        <f t="shared" ref="E119" si="281">E118+D119</f>
        <v>3078</v>
      </c>
      <c r="F119" s="6">
        <f t="shared" ref="F119" si="282">F118+B119</f>
        <v>3442</v>
      </c>
    </row>
    <row r="120" spans="1:6" x14ac:dyDescent="0.25">
      <c r="A120" s="81">
        <v>44344</v>
      </c>
      <c r="B120" s="6">
        <v>29</v>
      </c>
      <c r="C120" s="6">
        <f t="shared" ref="C120" si="283">C119-D120+B120</f>
        <v>80</v>
      </c>
      <c r="D120" s="6">
        <v>28</v>
      </c>
      <c r="E120" s="6">
        <f t="shared" ref="E120" si="284">E119+D120</f>
        <v>3106</v>
      </c>
      <c r="F120" s="6">
        <f t="shared" ref="F120" si="285">F119+B120</f>
        <v>3471</v>
      </c>
    </row>
    <row r="121" spans="1:6" x14ac:dyDescent="0.25">
      <c r="A121" s="81">
        <v>44345</v>
      </c>
      <c r="B121" s="6">
        <v>20</v>
      </c>
      <c r="C121" s="6">
        <f t="shared" ref="C121" si="286">C120-D121+B121</f>
        <v>83</v>
      </c>
      <c r="D121" s="6">
        <v>17</v>
      </c>
      <c r="E121" s="6">
        <f t="shared" ref="E121" si="287">E120+D121</f>
        <v>3123</v>
      </c>
      <c r="F121" s="6">
        <f t="shared" ref="F121" si="288">F120+B121</f>
        <v>3491</v>
      </c>
    </row>
    <row r="122" spans="1:6" x14ac:dyDescent="0.25">
      <c r="A122" s="81">
        <v>44346</v>
      </c>
      <c r="B122" s="6">
        <v>8</v>
      </c>
      <c r="C122" s="6">
        <f t="shared" ref="C122" si="289">C121-D122+B122</f>
        <v>84</v>
      </c>
      <c r="D122" s="6">
        <v>7</v>
      </c>
      <c r="E122" s="6">
        <f t="shared" ref="E122" si="290">E121+D122</f>
        <v>3130</v>
      </c>
      <c r="F122" s="6">
        <f t="shared" ref="F122" si="291">F121+B122</f>
        <v>3499</v>
      </c>
    </row>
    <row r="123" spans="1:6" x14ac:dyDescent="0.25">
      <c r="A123" s="81">
        <v>44347</v>
      </c>
      <c r="B123" s="6">
        <v>38</v>
      </c>
      <c r="C123" s="6">
        <f t="shared" ref="C123" si="292">C122-D123+B123</f>
        <v>99</v>
      </c>
      <c r="D123" s="6">
        <v>23</v>
      </c>
      <c r="E123" s="6">
        <f t="shared" ref="E123" si="293">E122+D123</f>
        <v>3153</v>
      </c>
      <c r="F123" s="6">
        <f t="shared" ref="F123" si="294">F122+B123</f>
        <v>3537</v>
      </c>
    </row>
    <row r="124" spans="1:6" x14ac:dyDescent="0.25">
      <c r="A124" s="81">
        <v>44348</v>
      </c>
      <c r="B124" s="6">
        <v>16</v>
      </c>
      <c r="C124" s="6">
        <f t="shared" ref="C124" si="295">C123-D124+B124</f>
        <v>107</v>
      </c>
      <c r="D124" s="6">
        <v>8</v>
      </c>
      <c r="E124" s="6">
        <f t="shared" ref="E124" si="296">E123+D124</f>
        <v>3161</v>
      </c>
      <c r="F124" s="6">
        <f t="shared" ref="F124" si="297">F123+B124</f>
        <v>3553</v>
      </c>
    </row>
    <row r="125" spans="1:6" x14ac:dyDescent="0.25">
      <c r="A125" s="81">
        <v>44349</v>
      </c>
      <c r="B125" s="6">
        <v>38</v>
      </c>
      <c r="C125" s="6">
        <f t="shared" ref="C125" si="298">C124-D125+B125</f>
        <v>108</v>
      </c>
      <c r="D125" s="6">
        <v>37</v>
      </c>
      <c r="E125" s="6">
        <f t="shared" ref="E125" si="299">E124+D125</f>
        <v>3198</v>
      </c>
      <c r="F125" s="6">
        <f t="shared" ref="F125" si="300">F124+B125</f>
        <v>3591</v>
      </c>
    </row>
    <row r="126" spans="1:6" x14ac:dyDescent="0.25">
      <c r="A126" s="81">
        <v>44350</v>
      </c>
      <c r="B126" s="6">
        <v>29</v>
      </c>
      <c r="C126" s="6">
        <f t="shared" ref="C126" si="301">C125-D126+B126</f>
        <v>110</v>
      </c>
      <c r="D126" s="6">
        <v>27</v>
      </c>
      <c r="E126" s="6">
        <f t="shared" ref="E126" si="302">E125+D126</f>
        <v>3225</v>
      </c>
      <c r="F126" s="6">
        <f t="shared" ref="F126" si="303">F125+B126</f>
        <v>3620</v>
      </c>
    </row>
    <row r="127" spans="1:6" x14ac:dyDescent="0.25">
      <c r="A127" s="81">
        <v>44351</v>
      </c>
      <c r="B127" s="6">
        <v>26</v>
      </c>
      <c r="C127" s="6">
        <f t="shared" ref="C127" si="304">C126-D127+B127</f>
        <v>107</v>
      </c>
      <c r="D127" s="6">
        <v>29</v>
      </c>
      <c r="E127" s="6">
        <f t="shared" ref="E127" si="305">E126+D127</f>
        <v>3254</v>
      </c>
      <c r="F127" s="6">
        <f t="shared" ref="F127" si="306">F126+B127</f>
        <v>3646</v>
      </c>
    </row>
    <row r="128" spans="1:6" x14ac:dyDescent="0.25">
      <c r="A128" s="81">
        <v>44352</v>
      </c>
      <c r="B128" s="6">
        <v>39</v>
      </c>
      <c r="C128" s="6">
        <f t="shared" ref="C128" si="307">C127-D128+B128</f>
        <v>127</v>
      </c>
      <c r="D128" s="6">
        <v>19</v>
      </c>
      <c r="E128" s="6">
        <f t="shared" ref="E128" si="308">E127+D128</f>
        <v>3273</v>
      </c>
      <c r="F128" s="6">
        <f t="shared" ref="F128" si="309">F127+B128</f>
        <v>3685</v>
      </c>
    </row>
    <row r="129" spans="1:6" x14ac:dyDescent="0.25">
      <c r="A129" s="81">
        <v>44353</v>
      </c>
      <c r="B129" s="6">
        <v>11</v>
      </c>
      <c r="C129" s="6">
        <f t="shared" ref="C129" si="310">C128-D129+B129</f>
        <v>116</v>
      </c>
      <c r="D129" s="6">
        <v>22</v>
      </c>
      <c r="E129" s="6">
        <f t="shared" ref="E129" si="311">E128+D129</f>
        <v>3295</v>
      </c>
      <c r="F129" s="6">
        <f t="shared" ref="F129" si="312">F128+B129</f>
        <v>3696</v>
      </c>
    </row>
    <row r="130" spans="1:6" x14ac:dyDescent="0.25">
      <c r="A130" s="81">
        <v>44354</v>
      </c>
      <c r="B130" s="6">
        <v>49</v>
      </c>
      <c r="C130" s="6">
        <f t="shared" ref="C130" si="313">C129-D130+B130</f>
        <v>102</v>
      </c>
      <c r="D130" s="6">
        <v>63</v>
      </c>
      <c r="E130" s="6">
        <f t="shared" ref="E130" si="314">E129+D130</f>
        <v>3358</v>
      </c>
      <c r="F130" s="6">
        <f t="shared" ref="F130" si="315">F129+B130</f>
        <v>3745</v>
      </c>
    </row>
    <row r="131" spans="1:6" x14ac:dyDescent="0.25">
      <c r="A131" s="81">
        <v>44355</v>
      </c>
      <c r="B131" s="6">
        <v>45</v>
      </c>
      <c r="C131" s="6">
        <f t="shared" ref="C131" si="316">C130-D131+B131</f>
        <v>135</v>
      </c>
      <c r="D131" s="6">
        <v>12</v>
      </c>
      <c r="E131" s="6">
        <f t="shared" ref="E131" si="317">E130+D131</f>
        <v>3370</v>
      </c>
      <c r="F131" s="6">
        <f t="shared" ref="F131" si="318">F130+B131</f>
        <v>3790</v>
      </c>
    </row>
    <row r="132" spans="1:6" x14ac:dyDescent="0.25">
      <c r="A132" s="81">
        <v>44356</v>
      </c>
      <c r="B132" s="6">
        <v>52</v>
      </c>
      <c r="C132" s="6">
        <f t="shared" ref="C132" si="319">C131-D132+B132</f>
        <v>144</v>
      </c>
      <c r="D132" s="6">
        <v>43</v>
      </c>
      <c r="E132" s="6">
        <f t="shared" ref="E132" si="320">E131+D132</f>
        <v>3413</v>
      </c>
      <c r="F132" s="6">
        <f t="shared" ref="F132" si="321">F131+B132</f>
        <v>3842</v>
      </c>
    </row>
    <row r="133" spans="1:6" x14ac:dyDescent="0.25">
      <c r="A133" s="81">
        <v>44357</v>
      </c>
      <c r="B133" s="6">
        <v>56</v>
      </c>
      <c r="C133" s="6">
        <f t="shared" ref="C133" si="322">C132-D133+B133</f>
        <v>159</v>
      </c>
      <c r="D133" s="6">
        <v>41</v>
      </c>
      <c r="E133" s="6">
        <f t="shared" ref="E133" si="323">E132+D133</f>
        <v>3454</v>
      </c>
      <c r="F133" s="6">
        <f t="shared" ref="F133" si="324">F132+B133</f>
        <v>3898</v>
      </c>
    </row>
    <row r="134" spans="1:6" x14ac:dyDescent="0.25">
      <c r="A134" s="81">
        <v>44358</v>
      </c>
      <c r="B134" s="6">
        <v>47</v>
      </c>
      <c r="C134" s="6">
        <f t="shared" ref="C134" si="325">C133-D134+B134</f>
        <v>148</v>
      </c>
      <c r="D134" s="6">
        <v>58</v>
      </c>
      <c r="E134" s="6">
        <f t="shared" ref="E134" si="326">E133+D134</f>
        <v>3512</v>
      </c>
      <c r="F134" s="6">
        <f t="shared" ref="F134" si="327">F133+B134</f>
        <v>3945</v>
      </c>
    </row>
    <row r="135" spans="1:6" x14ac:dyDescent="0.25">
      <c r="A135" s="81">
        <v>44359</v>
      </c>
      <c r="B135" s="6">
        <v>39</v>
      </c>
      <c r="C135" s="6">
        <f t="shared" ref="C135" si="328">C134-D135+B135</f>
        <v>167</v>
      </c>
      <c r="D135" s="6">
        <v>20</v>
      </c>
      <c r="E135" s="6">
        <f t="shared" ref="E135" si="329">E134+D135</f>
        <v>3532</v>
      </c>
      <c r="F135" s="6">
        <f t="shared" ref="F135" si="330">F134+B135</f>
        <v>3984</v>
      </c>
    </row>
    <row r="136" spans="1:6" x14ac:dyDescent="0.25">
      <c r="A136" s="81">
        <v>44360</v>
      </c>
      <c r="B136" s="6">
        <v>23</v>
      </c>
      <c r="C136" s="6">
        <f t="shared" ref="C136" si="331">C135-D136+B136</f>
        <v>187</v>
      </c>
      <c r="D136" s="6">
        <v>3</v>
      </c>
      <c r="E136" s="6">
        <f t="shared" ref="E136" si="332">E135+D136</f>
        <v>3535</v>
      </c>
      <c r="F136" s="6">
        <f t="shared" ref="F136" si="333">F135+B136</f>
        <v>4007</v>
      </c>
    </row>
    <row r="137" spans="1:6" x14ac:dyDescent="0.25">
      <c r="A137" s="81">
        <v>44361</v>
      </c>
      <c r="B137" s="6">
        <v>47</v>
      </c>
      <c r="C137" s="6">
        <f t="shared" ref="C137" si="334">C136-D137+B137</f>
        <v>198</v>
      </c>
      <c r="D137" s="6">
        <v>36</v>
      </c>
      <c r="E137" s="6">
        <f t="shared" ref="E137" si="335">E136+D137</f>
        <v>3571</v>
      </c>
      <c r="F137" s="6">
        <f t="shared" ref="F137" si="336">F136+B137</f>
        <v>4054</v>
      </c>
    </row>
    <row r="138" spans="1:6" x14ac:dyDescent="0.25">
      <c r="A138" s="81">
        <v>44362</v>
      </c>
      <c r="B138" s="6">
        <v>58</v>
      </c>
      <c r="C138" s="6">
        <f t="shared" ref="C138" si="337">C137-D138+B138</f>
        <v>206</v>
      </c>
      <c r="D138" s="6">
        <v>50</v>
      </c>
      <c r="E138" s="6">
        <f t="shared" ref="E138" si="338">E137+D138</f>
        <v>3621</v>
      </c>
      <c r="F138" s="6">
        <f t="shared" ref="F138" si="339">F137+B138</f>
        <v>4112</v>
      </c>
    </row>
    <row r="139" spans="1:6" x14ac:dyDescent="0.25">
      <c r="A139" s="81">
        <v>44363</v>
      </c>
      <c r="B139" s="6">
        <v>59</v>
      </c>
      <c r="C139" s="6">
        <f t="shared" ref="C139" si="340">C138-D139+B139</f>
        <v>212</v>
      </c>
      <c r="D139" s="6">
        <v>53</v>
      </c>
      <c r="E139" s="6">
        <f t="shared" ref="E139" si="341">E138+D139</f>
        <v>3674</v>
      </c>
      <c r="F139" s="6">
        <f t="shared" ref="F139" si="342">F138+B139</f>
        <v>4171</v>
      </c>
    </row>
    <row r="140" spans="1:6" x14ac:dyDescent="0.25">
      <c r="A140" s="81">
        <v>44364</v>
      </c>
      <c r="B140" s="6">
        <v>65</v>
      </c>
      <c r="C140" s="6">
        <f t="shared" ref="C140" si="343">C139-D140+B140</f>
        <v>227</v>
      </c>
      <c r="D140" s="6">
        <v>50</v>
      </c>
      <c r="E140" s="6">
        <f t="shared" ref="E140" si="344">E139+D140</f>
        <v>3724</v>
      </c>
      <c r="F140" s="6">
        <f t="shared" ref="F140" si="345">F139+B140</f>
        <v>4236</v>
      </c>
    </row>
    <row r="141" spans="1:6" x14ac:dyDescent="0.25">
      <c r="A141" s="81">
        <v>44365</v>
      </c>
      <c r="B141" s="6">
        <v>55</v>
      </c>
      <c r="C141" s="6">
        <f t="shared" ref="C141" si="346">C140-D141+B141</f>
        <v>235</v>
      </c>
      <c r="D141" s="6">
        <v>47</v>
      </c>
      <c r="E141" s="6">
        <f t="shared" ref="E141" si="347">E140+D141</f>
        <v>3771</v>
      </c>
      <c r="F141" s="6">
        <f t="shared" ref="F141" si="348">F140+B141</f>
        <v>4291</v>
      </c>
    </row>
    <row r="142" spans="1:6" x14ac:dyDescent="0.25">
      <c r="A142" s="81">
        <v>44366</v>
      </c>
      <c r="B142" s="6">
        <v>50</v>
      </c>
      <c r="C142" s="6">
        <f t="shared" ref="C142" si="349">C141-D142+B142</f>
        <v>215</v>
      </c>
      <c r="D142" s="6">
        <v>70</v>
      </c>
      <c r="E142" s="6">
        <f t="shared" ref="E142" si="350">E141+D142</f>
        <v>3841</v>
      </c>
      <c r="F142" s="6">
        <f t="shared" ref="F142" si="351">F141+B142</f>
        <v>4341</v>
      </c>
    </row>
    <row r="143" spans="1:6" x14ac:dyDescent="0.25">
      <c r="A143" s="81">
        <v>44367</v>
      </c>
      <c r="B143" s="6">
        <v>34</v>
      </c>
      <c r="C143" s="6">
        <f t="shared" ref="C143" si="352">C142-D143+B143</f>
        <v>230</v>
      </c>
      <c r="D143" s="6">
        <v>19</v>
      </c>
      <c r="E143" s="6">
        <f t="shared" ref="E143" si="353">E142+D143</f>
        <v>3860</v>
      </c>
      <c r="F143" s="6">
        <f t="shared" ref="F143" si="354">F142+B143</f>
        <v>4375</v>
      </c>
    </row>
    <row r="144" spans="1:6" x14ac:dyDescent="0.25">
      <c r="A144" s="81">
        <v>44368</v>
      </c>
      <c r="B144" s="6">
        <v>79</v>
      </c>
      <c r="C144" s="6">
        <f t="shared" ref="C144" si="355">C143-D144+B144</f>
        <v>216</v>
      </c>
      <c r="D144" s="6">
        <v>93</v>
      </c>
      <c r="E144" s="6">
        <f t="shared" ref="E144" si="356">E143+D144</f>
        <v>3953</v>
      </c>
      <c r="F144" s="6">
        <f t="shared" ref="F144" si="357">F143+B144</f>
        <v>4454</v>
      </c>
    </row>
    <row r="145" spans="1:6" x14ac:dyDescent="0.25">
      <c r="A145" s="81">
        <v>44369</v>
      </c>
      <c r="B145" s="6">
        <v>38</v>
      </c>
      <c r="C145" s="6">
        <f t="shared" ref="C145" si="358">C144-D145+B145</f>
        <v>232</v>
      </c>
      <c r="D145" s="6">
        <v>22</v>
      </c>
      <c r="E145" s="6">
        <f t="shared" ref="E145" si="359">E144+D145</f>
        <v>3975</v>
      </c>
      <c r="F145" s="6">
        <f t="shared" ref="F145" si="360">F144+B145</f>
        <v>4492</v>
      </c>
    </row>
    <row r="146" spans="1:6" x14ac:dyDescent="0.25">
      <c r="A146" s="81">
        <v>44370</v>
      </c>
      <c r="B146" s="6">
        <v>52</v>
      </c>
      <c r="C146" s="6">
        <f t="shared" ref="C146" si="361">C145-D146+B146</f>
        <v>206</v>
      </c>
      <c r="D146" s="6">
        <v>78</v>
      </c>
      <c r="E146" s="6">
        <f t="shared" ref="E146" si="362">E145+D146</f>
        <v>4053</v>
      </c>
      <c r="F146" s="6">
        <f t="shared" ref="F146" si="363">F145+B146</f>
        <v>4544</v>
      </c>
    </row>
    <row r="147" spans="1:6" x14ac:dyDescent="0.25">
      <c r="A147" s="81">
        <v>44371</v>
      </c>
      <c r="B147" s="6">
        <v>35</v>
      </c>
      <c r="C147" s="6">
        <f t="shared" ref="C147" si="364">C146-D147+B147</f>
        <v>197</v>
      </c>
      <c r="D147" s="6">
        <v>44</v>
      </c>
      <c r="E147" s="6">
        <f t="shared" ref="E147" si="365">E146+D147</f>
        <v>4097</v>
      </c>
      <c r="F147" s="6">
        <f t="shared" ref="F147" si="366">F146+B147</f>
        <v>4579</v>
      </c>
    </row>
    <row r="148" spans="1:6" x14ac:dyDescent="0.25">
      <c r="A148" s="81">
        <v>44372</v>
      </c>
      <c r="B148" s="6">
        <v>43</v>
      </c>
      <c r="C148" s="6">
        <f t="shared" ref="C148" si="367">C147-D148+B148</f>
        <v>222</v>
      </c>
      <c r="D148" s="6">
        <v>18</v>
      </c>
      <c r="E148" s="6">
        <f t="shared" ref="E148" si="368">E147+D148</f>
        <v>4115</v>
      </c>
      <c r="F148" s="6">
        <f t="shared" ref="F148" si="369">F147+B148</f>
        <v>4622</v>
      </c>
    </row>
    <row r="149" spans="1:6" x14ac:dyDescent="0.25">
      <c r="A149" s="81">
        <v>44373</v>
      </c>
      <c r="B149" s="6">
        <v>48</v>
      </c>
      <c r="C149" s="6">
        <f t="shared" ref="C149" si="370">C148-D149+B149</f>
        <v>239</v>
      </c>
      <c r="D149" s="6">
        <v>31</v>
      </c>
      <c r="E149" s="6">
        <f t="shared" ref="E149" si="371">E148+D149</f>
        <v>4146</v>
      </c>
      <c r="F149" s="6">
        <f t="shared" ref="F149" si="372">F148+B149</f>
        <v>4670</v>
      </c>
    </row>
    <row r="150" spans="1:6" x14ac:dyDescent="0.25">
      <c r="A150" s="81">
        <v>44374</v>
      </c>
      <c r="B150" s="6">
        <v>28</v>
      </c>
      <c r="C150" s="6">
        <f t="shared" ref="C150" si="373">C149-D150+B150</f>
        <v>239</v>
      </c>
      <c r="D150" s="6">
        <v>28</v>
      </c>
      <c r="E150" s="6">
        <f t="shared" ref="E150" si="374">E149+D150</f>
        <v>4174</v>
      </c>
      <c r="F150" s="6">
        <f t="shared" ref="F150" si="375">F149+B150</f>
        <v>4698</v>
      </c>
    </row>
    <row r="151" spans="1:6" x14ac:dyDescent="0.25">
      <c r="A151" s="81">
        <v>44375</v>
      </c>
      <c r="B151" s="6">
        <v>73</v>
      </c>
      <c r="C151" s="6">
        <f t="shared" ref="C151" si="376">C150-D151+B151</f>
        <v>287</v>
      </c>
      <c r="D151" s="6">
        <v>25</v>
      </c>
      <c r="E151" s="6">
        <f t="shared" ref="E151" si="377">E150+D151</f>
        <v>4199</v>
      </c>
      <c r="F151" s="6">
        <f t="shared" ref="F151" si="378">F150+B151</f>
        <v>4771</v>
      </c>
    </row>
    <row r="152" spans="1:6" x14ac:dyDescent="0.25">
      <c r="A152" s="81">
        <v>44376</v>
      </c>
      <c r="B152" s="6">
        <v>50</v>
      </c>
      <c r="C152" s="6">
        <f t="shared" ref="C152" si="379">C151-D152+B152</f>
        <v>286</v>
      </c>
      <c r="D152" s="6">
        <v>51</v>
      </c>
      <c r="E152" s="6">
        <f t="shared" ref="E152" si="380">E151+D152</f>
        <v>4250</v>
      </c>
      <c r="F152" s="6">
        <f t="shared" ref="F152" si="381">F151+B152</f>
        <v>4821</v>
      </c>
    </row>
    <row r="153" spans="1:6" x14ac:dyDescent="0.25">
      <c r="A153" s="81">
        <v>44377</v>
      </c>
      <c r="B153" s="6">
        <v>25</v>
      </c>
      <c r="C153" s="6">
        <f t="shared" ref="C153" si="382">C152-D153+B153</f>
        <v>261</v>
      </c>
      <c r="D153" s="6">
        <v>50</v>
      </c>
      <c r="E153" s="6">
        <f t="shared" ref="E153" si="383">E152+D153</f>
        <v>4300</v>
      </c>
      <c r="F153" s="6">
        <f t="shared" ref="F153" si="384">F152+B153</f>
        <v>4846</v>
      </c>
    </row>
    <row r="154" spans="1:6" x14ac:dyDescent="0.25">
      <c r="A154" s="81">
        <v>44378</v>
      </c>
      <c r="B154" s="6">
        <v>43</v>
      </c>
      <c r="C154" s="6">
        <f t="shared" ref="C154" si="385">C153-D154+B154</f>
        <v>239</v>
      </c>
      <c r="D154" s="6">
        <v>65</v>
      </c>
      <c r="E154" s="6">
        <f t="shared" ref="E154" si="386">E153+D154</f>
        <v>4365</v>
      </c>
      <c r="F154" s="6">
        <f t="shared" ref="F154" si="387">F153+B154</f>
        <v>4889</v>
      </c>
    </row>
    <row r="155" spans="1:6" x14ac:dyDescent="0.25">
      <c r="A155" s="81">
        <v>44379</v>
      </c>
      <c r="B155" s="6">
        <v>13</v>
      </c>
      <c r="C155" s="6">
        <f t="shared" ref="C155" si="388">C154-D155+B155</f>
        <v>192</v>
      </c>
      <c r="D155" s="6">
        <v>60</v>
      </c>
      <c r="E155" s="6">
        <f t="shared" ref="E155" si="389">E154+D155</f>
        <v>4425</v>
      </c>
      <c r="F155" s="6">
        <f t="shared" ref="F155" si="390">F154+B155</f>
        <v>4902</v>
      </c>
    </row>
    <row r="156" spans="1:6" x14ac:dyDescent="0.25">
      <c r="A156" s="81">
        <v>44380</v>
      </c>
      <c r="B156" s="6">
        <v>55</v>
      </c>
      <c r="C156" s="6">
        <f t="shared" ref="C156" si="391">C155-D156+B156</f>
        <v>198</v>
      </c>
      <c r="D156" s="6">
        <v>49</v>
      </c>
      <c r="E156" s="6">
        <f t="shared" ref="E156" si="392">E155+D156</f>
        <v>4474</v>
      </c>
      <c r="F156" s="6">
        <f t="shared" ref="F156" si="393">F155+B156</f>
        <v>4957</v>
      </c>
    </row>
    <row r="157" spans="1:6" x14ac:dyDescent="0.25">
      <c r="A157" s="81">
        <v>44381</v>
      </c>
      <c r="B157" s="6">
        <v>22</v>
      </c>
      <c r="C157" s="6">
        <f t="shared" ref="C157" si="394">C156-D157+B157</f>
        <v>205</v>
      </c>
      <c r="D157" s="6">
        <v>15</v>
      </c>
      <c r="E157" s="6">
        <f t="shared" ref="E157" si="395">E156+D157</f>
        <v>4489</v>
      </c>
      <c r="F157" s="6">
        <f t="shared" ref="F157" si="396">F156+B157</f>
        <v>4979</v>
      </c>
    </row>
    <row r="158" spans="1:6" x14ac:dyDescent="0.25">
      <c r="A158" s="81">
        <v>44382</v>
      </c>
      <c r="B158" s="6">
        <v>24</v>
      </c>
      <c r="C158" s="6">
        <f t="shared" ref="C158" si="397">C157-D158+B158</f>
        <v>183</v>
      </c>
      <c r="D158" s="6">
        <v>46</v>
      </c>
      <c r="E158" s="6">
        <f t="shared" ref="E158" si="398">E157+D158</f>
        <v>4535</v>
      </c>
      <c r="F158" s="6">
        <f t="shared" ref="F158" si="399">F157+B158</f>
        <v>5003</v>
      </c>
    </row>
    <row r="159" spans="1:6" x14ac:dyDescent="0.25">
      <c r="A159" s="81">
        <v>44383</v>
      </c>
      <c r="B159" s="6">
        <v>36</v>
      </c>
      <c r="C159" s="6">
        <f t="shared" ref="C159" si="400">C158-D159+B159</f>
        <v>176</v>
      </c>
      <c r="D159" s="6">
        <v>43</v>
      </c>
      <c r="E159" s="6">
        <f t="shared" ref="E159" si="401">E158+D159</f>
        <v>4578</v>
      </c>
      <c r="F159" s="6">
        <f t="shared" ref="F159" si="402">F158+B159</f>
        <v>5039</v>
      </c>
    </row>
    <row r="160" spans="1:6" x14ac:dyDescent="0.25">
      <c r="A160" s="81">
        <v>44384</v>
      </c>
      <c r="B160" s="6">
        <v>21</v>
      </c>
      <c r="C160" s="6">
        <f t="shared" ref="C160" si="403">C159-D160+B160</f>
        <v>189</v>
      </c>
      <c r="D160" s="6">
        <v>8</v>
      </c>
      <c r="E160" s="6">
        <f t="shared" ref="E160" si="404">E159+D160</f>
        <v>4586</v>
      </c>
      <c r="F160" s="6">
        <f t="shared" ref="F160" si="405">F159+B160</f>
        <v>5060</v>
      </c>
    </row>
    <row r="161" spans="1:6" x14ac:dyDescent="0.25">
      <c r="A161" s="81">
        <v>44385</v>
      </c>
      <c r="B161" s="6">
        <v>28</v>
      </c>
      <c r="C161" s="6">
        <f t="shared" ref="C161" si="406">C160-D161+B161</f>
        <v>181</v>
      </c>
      <c r="D161" s="6">
        <v>36</v>
      </c>
      <c r="E161" s="6">
        <f t="shared" ref="E161" si="407">E160+D161</f>
        <v>4622</v>
      </c>
      <c r="F161" s="6">
        <f t="shared" ref="F161" si="408">F160+B161</f>
        <v>5088</v>
      </c>
    </row>
    <row r="162" spans="1:6" x14ac:dyDescent="0.25">
      <c r="A162" s="81">
        <v>44386</v>
      </c>
      <c r="B162" s="6">
        <v>34</v>
      </c>
      <c r="C162" s="6">
        <f t="shared" ref="C162" si="409">C161-D162+B162</f>
        <v>161</v>
      </c>
      <c r="D162" s="6">
        <v>54</v>
      </c>
      <c r="E162" s="6">
        <f t="shared" ref="E162" si="410">E161+D162</f>
        <v>4676</v>
      </c>
      <c r="F162" s="6">
        <f t="shared" ref="F162" si="411">F161+B162</f>
        <v>5122</v>
      </c>
    </row>
    <row r="163" spans="1:6" x14ac:dyDescent="0.25">
      <c r="A163" s="81">
        <v>44387</v>
      </c>
      <c r="B163" s="6">
        <v>13</v>
      </c>
      <c r="C163" s="6">
        <f t="shared" ref="C163" si="412">C162-D163+B163</f>
        <v>137</v>
      </c>
      <c r="D163" s="6">
        <v>37</v>
      </c>
      <c r="E163" s="6">
        <f t="shared" ref="E163" si="413">E162+D163</f>
        <v>4713</v>
      </c>
      <c r="F163" s="6">
        <f t="shared" ref="F163" si="414">F162+B163</f>
        <v>5135</v>
      </c>
    </row>
    <row r="164" spans="1:6" x14ac:dyDescent="0.25">
      <c r="A164" s="81">
        <v>44388</v>
      </c>
      <c r="B164" s="6">
        <v>3</v>
      </c>
      <c r="C164" s="6">
        <f t="shared" ref="C164" si="415">C163-D164+B164</f>
        <v>125</v>
      </c>
      <c r="D164" s="6">
        <v>15</v>
      </c>
      <c r="E164" s="6">
        <f t="shared" ref="E164" si="416">E163+D164</f>
        <v>4728</v>
      </c>
      <c r="F164" s="6">
        <f t="shared" ref="F164" si="417">F163+B164</f>
        <v>5138</v>
      </c>
    </row>
    <row r="165" spans="1:6" x14ac:dyDescent="0.25">
      <c r="A165" s="81">
        <v>44389</v>
      </c>
      <c r="B165" s="6">
        <v>19</v>
      </c>
      <c r="C165" s="6">
        <f t="shared" ref="C165" si="418">C164-D165+B165</f>
        <v>125</v>
      </c>
      <c r="D165" s="6">
        <v>19</v>
      </c>
      <c r="E165" s="6">
        <f t="shared" ref="E165" si="419">E164+D165</f>
        <v>4747</v>
      </c>
      <c r="F165" s="6">
        <f t="shared" ref="F165" si="420">F164+B165</f>
        <v>5157</v>
      </c>
    </row>
    <row r="166" spans="1:6" x14ac:dyDescent="0.25">
      <c r="A166" s="81">
        <v>44390</v>
      </c>
      <c r="B166" s="6">
        <v>14</v>
      </c>
      <c r="C166" s="6">
        <f t="shared" ref="C166" si="421">C165-D166+B166</f>
        <v>121</v>
      </c>
      <c r="D166" s="6">
        <v>18</v>
      </c>
      <c r="E166" s="6">
        <f t="shared" ref="E166" si="422">E165+D166</f>
        <v>4765</v>
      </c>
      <c r="F166" s="6">
        <f t="shared" ref="F166" si="423">F165+B166</f>
        <v>5171</v>
      </c>
    </row>
    <row r="167" spans="1:6" x14ac:dyDescent="0.25">
      <c r="A167" s="81">
        <v>44391</v>
      </c>
      <c r="B167" s="6">
        <v>15</v>
      </c>
      <c r="C167" s="6">
        <f t="shared" ref="C167" si="424">C166-D167+B167</f>
        <v>115</v>
      </c>
      <c r="D167" s="6">
        <v>21</v>
      </c>
      <c r="E167" s="6">
        <f t="shared" ref="E167" si="425">E166+D167</f>
        <v>4786</v>
      </c>
      <c r="F167" s="6">
        <f t="shared" ref="F167" si="426">F166+B167</f>
        <v>5186</v>
      </c>
    </row>
    <row r="168" spans="1:6" x14ac:dyDescent="0.25">
      <c r="A168" s="81">
        <v>44392</v>
      </c>
      <c r="B168" s="6">
        <v>19</v>
      </c>
      <c r="C168" s="6">
        <f t="shared" ref="C168" si="427">C167-D168+B168</f>
        <v>118</v>
      </c>
      <c r="D168" s="6">
        <v>16</v>
      </c>
      <c r="E168" s="6">
        <f t="shared" ref="E168" si="428">E167+D168</f>
        <v>4802</v>
      </c>
      <c r="F168" s="6">
        <f t="shared" ref="F168" si="429">F167+B168</f>
        <v>5205</v>
      </c>
    </row>
    <row r="169" spans="1:6" x14ac:dyDescent="0.25">
      <c r="A169" s="81">
        <v>44393</v>
      </c>
      <c r="B169" s="6">
        <v>10</v>
      </c>
      <c r="C169" s="6">
        <f t="shared" ref="C169" si="430">C168-D169+B169</f>
        <v>117</v>
      </c>
      <c r="D169" s="6">
        <v>11</v>
      </c>
      <c r="E169" s="6">
        <f t="shared" ref="E169" si="431">E168+D169</f>
        <v>4813</v>
      </c>
      <c r="F169" s="6">
        <f t="shared" ref="F169" si="432">F168+B169</f>
        <v>5215</v>
      </c>
    </row>
    <row r="170" spans="1:6" x14ac:dyDescent="0.25">
      <c r="A170" s="81">
        <v>44394</v>
      </c>
      <c r="B170" s="6">
        <v>8</v>
      </c>
      <c r="C170" s="6">
        <f t="shared" ref="C170" si="433">C169-D170+B170</f>
        <v>115</v>
      </c>
      <c r="D170" s="6">
        <v>10</v>
      </c>
      <c r="E170" s="6">
        <f t="shared" ref="E170" si="434">E169+D170</f>
        <v>4823</v>
      </c>
      <c r="F170" s="6">
        <f t="shared" ref="F170" si="435">F169+B170</f>
        <v>5223</v>
      </c>
    </row>
    <row r="171" spans="1:6" x14ac:dyDescent="0.25">
      <c r="A171" s="81">
        <v>44395</v>
      </c>
      <c r="B171" s="6">
        <v>4</v>
      </c>
      <c r="C171" s="6">
        <f t="shared" ref="C171" si="436">C170-D171+B171</f>
        <v>107</v>
      </c>
      <c r="D171" s="6">
        <v>12</v>
      </c>
      <c r="E171" s="6">
        <f t="shared" ref="E171" si="437">E170+D171</f>
        <v>4835</v>
      </c>
      <c r="F171" s="6">
        <f t="shared" ref="F171" si="438">F170+B171</f>
        <v>5227</v>
      </c>
    </row>
    <row r="172" spans="1:6" x14ac:dyDescent="0.25">
      <c r="A172" s="81">
        <v>44396</v>
      </c>
      <c r="B172" s="6">
        <v>15</v>
      </c>
      <c r="C172" s="6">
        <f t="shared" ref="C172" si="439">C171-D172+B172</f>
        <v>109</v>
      </c>
      <c r="D172" s="6">
        <v>13</v>
      </c>
      <c r="E172" s="6">
        <f t="shared" ref="E172" si="440">E171+D172</f>
        <v>4848</v>
      </c>
      <c r="F172" s="6">
        <f t="shared" ref="F172" si="441">F171+B172</f>
        <v>5242</v>
      </c>
    </row>
    <row r="173" spans="1:6" x14ac:dyDescent="0.25">
      <c r="A173" s="81">
        <v>44397</v>
      </c>
      <c r="B173" s="6">
        <v>4</v>
      </c>
      <c r="C173" s="6">
        <f t="shared" ref="C173" si="442">C172-D173+B173</f>
        <v>109</v>
      </c>
      <c r="D173" s="6">
        <v>4</v>
      </c>
      <c r="E173" s="6">
        <f t="shared" ref="E173" si="443">E172+D173</f>
        <v>4852</v>
      </c>
      <c r="F173" s="6">
        <f t="shared" ref="F173" si="444">F172+B173</f>
        <v>5246</v>
      </c>
    </row>
    <row r="174" spans="1:6" x14ac:dyDescent="0.25">
      <c r="A174" s="81">
        <v>44398</v>
      </c>
      <c r="B174" s="6">
        <v>12</v>
      </c>
      <c r="C174" s="6">
        <f t="shared" ref="C174" si="445">C173-D174+B174</f>
        <v>107</v>
      </c>
      <c r="D174" s="6">
        <v>14</v>
      </c>
      <c r="E174" s="6">
        <f t="shared" ref="E174" si="446">E173+D174</f>
        <v>4866</v>
      </c>
      <c r="F174" s="6">
        <f t="shared" ref="F174" si="447">F173+B174</f>
        <v>5258</v>
      </c>
    </row>
    <row r="175" spans="1:6" x14ac:dyDescent="0.25">
      <c r="A175" s="81">
        <v>44399</v>
      </c>
      <c r="B175" s="6">
        <v>10</v>
      </c>
      <c r="C175" s="6">
        <f t="shared" ref="C175" si="448">C174-D175+B175</f>
        <v>97</v>
      </c>
      <c r="D175" s="6">
        <v>20</v>
      </c>
      <c r="E175" s="6">
        <f t="shared" ref="E175" si="449">E174+D175</f>
        <v>4886</v>
      </c>
      <c r="F175" s="6">
        <f t="shared" ref="F175" si="450">F174+B175</f>
        <v>5268</v>
      </c>
    </row>
    <row r="176" spans="1:6" x14ac:dyDescent="0.25">
      <c r="A176" s="81">
        <v>44400</v>
      </c>
      <c r="B176" s="6">
        <v>5</v>
      </c>
      <c r="C176" s="6">
        <f t="shared" ref="C176" si="451">C175-D176+B176</f>
        <v>91</v>
      </c>
      <c r="D176" s="6">
        <v>11</v>
      </c>
      <c r="E176" s="6">
        <f t="shared" ref="E176" si="452">E175+D176</f>
        <v>4897</v>
      </c>
      <c r="F176" s="6">
        <f t="shared" ref="F176" si="453">F175+B176</f>
        <v>5273</v>
      </c>
    </row>
    <row r="177" spans="1:6" x14ac:dyDescent="0.25">
      <c r="A177" s="81">
        <v>44401</v>
      </c>
      <c r="B177" s="6">
        <v>5</v>
      </c>
      <c r="C177" s="6">
        <f t="shared" ref="C177" si="454">C176-D177+B177</f>
        <v>87</v>
      </c>
      <c r="D177" s="6">
        <v>9</v>
      </c>
      <c r="E177" s="6">
        <f t="shared" ref="E177" si="455">E176+D177</f>
        <v>4906</v>
      </c>
      <c r="F177" s="6">
        <f t="shared" ref="F177" si="456">F176+B177</f>
        <v>5278</v>
      </c>
    </row>
    <row r="178" spans="1:6" x14ac:dyDescent="0.25">
      <c r="A178" s="81">
        <v>44402</v>
      </c>
      <c r="B178" s="6">
        <v>4</v>
      </c>
      <c r="C178" s="6">
        <f t="shared" ref="C178" si="457">C177-D178+B178</f>
        <v>89</v>
      </c>
      <c r="D178" s="6">
        <v>2</v>
      </c>
      <c r="E178" s="6">
        <f t="shared" ref="E178" si="458">E177+D178</f>
        <v>4908</v>
      </c>
      <c r="F178" s="6">
        <f t="shared" ref="F178" si="459">F177+B178</f>
        <v>5282</v>
      </c>
    </row>
    <row r="179" spans="1:6" x14ac:dyDescent="0.25">
      <c r="A179" s="81">
        <v>44403</v>
      </c>
      <c r="B179" s="6">
        <v>10</v>
      </c>
      <c r="C179" s="6">
        <f t="shared" ref="C179" si="460">C178-D179+B179</f>
        <v>84</v>
      </c>
      <c r="D179" s="6">
        <v>15</v>
      </c>
      <c r="E179" s="6">
        <f t="shared" ref="E179" si="461">E178+D179</f>
        <v>4923</v>
      </c>
      <c r="F179" s="6">
        <f t="shared" ref="F179" si="462">F178+B179</f>
        <v>5292</v>
      </c>
    </row>
    <row r="180" spans="1:6" x14ac:dyDescent="0.25">
      <c r="A180" s="81">
        <v>44404</v>
      </c>
      <c r="B180" s="6">
        <v>8</v>
      </c>
      <c r="C180" s="6">
        <f t="shared" ref="C180" si="463">C179-D180+B180</f>
        <v>72</v>
      </c>
      <c r="D180" s="6">
        <v>20</v>
      </c>
      <c r="E180" s="6">
        <f t="shared" ref="E180" si="464">E179+D180</f>
        <v>4943</v>
      </c>
      <c r="F180" s="6">
        <f t="shared" ref="F180" si="465">F179+B180</f>
        <v>5300</v>
      </c>
    </row>
    <row r="181" spans="1:6" x14ac:dyDescent="0.25">
      <c r="A181" s="81">
        <v>44405</v>
      </c>
      <c r="B181" s="6">
        <v>6</v>
      </c>
      <c r="C181" s="6">
        <f t="shared" ref="C181" si="466">C180-D181+B181</f>
        <v>68</v>
      </c>
      <c r="D181" s="6">
        <v>10</v>
      </c>
      <c r="E181" s="6">
        <f t="shared" ref="E181" si="467">E180+D181</f>
        <v>4953</v>
      </c>
      <c r="F181" s="6">
        <f t="shared" ref="F181" si="468">F180+B181</f>
        <v>5306</v>
      </c>
    </row>
    <row r="182" spans="1:6" x14ac:dyDescent="0.25">
      <c r="A182" s="81">
        <v>44406</v>
      </c>
      <c r="B182" s="6">
        <v>10</v>
      </c>
      <c r="C182" s="6">
        <f t="shared" ref="C182" si="469">C181-D182+B182</f>
        <v>67</v>
      </c>
      <c r="D182" s="6">
        <v>11</v>
      </c>
      <c r="E182" s="6">
        <f t="shared" ref="E182" si="470">E181+D182</f>
        <v>4964</v>
      </c>
      <c r="F182" s="6">
        <f t="shared" ref="F182" si="471">F181+B182</f>
        <v>5316</v>
      </c>
    </row>
    <row r="183" spans="1:6" x14ac:dyDescent="0.25">
      <c r="A183" s="81">
        <v>44407</v>
      </c>
      <c r="B183" s="6">
        <v>5</v>
      </c>
      <c r="C183" s="6">
        <f t="shared" ref="C183" si="472">C182-D183+B183</f>
        <v>63</v>
      </c>
      <c r="D183" s="6">
        <v>9</v>
      </c>
      <c r="E183" s="6">
        <f t="shared" ref="E183" si="473">E182+D183</f>
        <v>4973</v>
      </c>
      <c r="F183" s="6">
        <f t="shared" ref="F183" si="474">F182+B183</f>
        <v>5321</v>
      </c>
    </row>
    <row r="184" spans="1:6" x14ac:dyDescent="0.25">
      <c r="A184" s="81">
        <v>44408</v>
      </c>
      <c r="B184" s="6">
        <v>8</v>
      </c>
      <c r="C184" s="6">
        <f t="shared" ref="C184" si="475">C183-D184+B184</f>
        <v>49</v>
      </c>
      <c r="D184" s="6">
        <v>22</v>
      </c>
      <c r="E184" s="6">
        <f t="shared" ref="E184" si="476">E183+D184</f>
        <v>4995</v>
      </c>
      <c r="F184" s="6">
        <f t="shared" ref="F184" si="477">F183+B184</f>
        <v>5329</v>
      </c>
    </row>
    <row r="185" spans="1:6" x14ac:dyDescent="0.25">
      <c r="A185" s="81">
        <v>44409</v>
      </c>
      <c r="B185" s="6">
        <v>0</v>
      </c>
      <c r="C185" s="6">
        <f t="shared" ref="C185" si="478">C184-D185+B185</f>
        <v>45</v>
      </c>
      <c r="D185" s="6">
        <v>4</v>
      </c>
      <c r="E185" s="6">
        <f t="shared" ref="E185" si="479">E184+D185</f>
        <v>4999</v>
      </c>
      <c r="F185" s="6">
        <f t="shared" ref="F185" si="480">F184+B185</f>
        <v>5329</v>
      </c>
    </row>
    <row r="186" spans="1:6" x14ac:dyDescent="0.25">
      <c r="A186" s="81">
        <v>44410</v>
      </c>
      <c r="B186" s="6">
        <v>8</v>
      </c>
      <c r="C186" s="6">
        <f t="shared" ref="C186" si="481">C185-D186+B186</f>
        <v>41</v>
      </c>
      <c r="D186" s="6">
        <v>12</v>
      </c>
      <c r="E186" s="6">
        <f t="shared" ref="E186" si="482">E185+D186</f>
        <v>5011</v>
      </c>
      <c r="F186" s="6">
        <f t="shared" ref="F186" si="483">F185+B186</f>
        <v>5337</v>
      </c>
    </row>
    <row r="187" spans="1:6" x14ac:dyDescent="0.25">
      <c r="A187" s="81">
        <v>44411</v>
      </c>
      <c r="B187" s="6">
        <v>7</v>
      </c>
      <c r="C187" s="6">
        <f t="shared" ref="C187" si="484">C186-D187+B187</f>
        <v>40</v>
      </c>
      <c r="D187" s="6">
        <v>8</v>
      </c>
      <c r="E187" s="6">
        <f t="shared" ref="E187" si="485">E186+D187</f>
        <v>5019</v>
      </c>
      <c r="F187" s="6">
        <f t="shared" ref="F187" si="486">F186+B187</f>
        <v>5344</v>
      </c>
    </row>
    <row r="188" spans="1:6" x14ac:dyDescent="0.25">
      <c r="A188" s="81">
        <v>44412</v>
      </c>
      <c r="B188" s="6">
        <v>11</v>
      </c>
      <c r="C188" s="6">
        <f t="shared" ref="C188" si="487">C187-D188+B188</f>
        <v>38</v>
      </c>
      <c r="D188" s="6">
        <v>13</v>
      </c>
      <c r="E188" s="6">
        <f t="shared" ref="E188" si="488">E187+D188</f>
        <v>5032</v>
      </c>
      <c r="F188" s="6">
        <f t="shared" ref="F188" si="489">F187+B188</f>
        <v>5355</v>
      </c>
    </row>
    <row r="189" spans="1:6" x14ac:dyDescent="0.25">
      <c r="A189" s="81">
        <v>44413</v>
      </c>
      <c r="B189" s="6">
        <v>6</v>
      </c>
      <c r="C189" s="6">
        <f t="shared" ref="C189" si="490">C188-D189+B189</f>
        <v>39</v>
      </c>
      <c r="D189" s="6">
        <v>5</v>
      </c>
      <c r="E189" s="6">
        <f t="shared" ref="E189" si="491">E188+D189</f>
        <v>5037</v>
      </c>
      <c r="F189" s="6">
        <f t="shared" ref="F189" si="492">F188+B189</f>
        <v>5361</v>
      </c>
    </row>
    <row r="190" spans="1:6" x14ac:dyDescent="0.25">
      <c r="A190" s="81">
        <v>44414</v>
      </c>
      <c r="B190" s="6">
        <v>5</v>
      </c>
      <c r="C190" s="6">
        <f t="shared" ref="C190" si="493">C189-D190+B190</f>
        <v>40</v>
      </c>
      <c r="D190" s="6">
        <v>4</v>
      </c>
      <c r="E190" s="6">
        <f t="shared" ref="E190" si="494">E189+D190</f>
        <v>5041</v>
      </c>
      <c r="F190" s="6">
        <f t="shared" ref="F190" si="495">F189+B190</f>
        <v>5366</v>
      </c>
    </row>
    <row r="191" spans="1:6" x14ac:dyDescent="0.25">
      <c r="A191" s="81">
        <v>44415</v>
      </c>
      <c r="B191" s="6">
        <v>4</v>
      </c>
      <c r="C191" s="6">
        <f t="shared" ref="C191" si="496">C190-D191+B191</f>
        <v>40</v>
      </c>
      <c r="D191" s="6">
        <v>4</v>
      </c>
      <c r="E191" s="6">
        <f t="shared" ref="E191" si="497">E190+D191</f>
        <v>5045</v>
      </c>
      <c r="F191" s="6">
        <f t="shared" ref="F191" si="498">F190+B191</f>
        <v>5370</v>
      </c>
    </row>
    <row r="192" spans="1:6" x14ac:dyDescent="0.25">
      <c r="A192" s="81">
        <v>44416</v>
      </c>
      <c r="B192" s="6">
        <v>4</v>
      </c>
      <c r="C192" s="6">
        <f t="shared" ref="C192" si="499">C191-D192+B192</f>
        <v>42</v>
      </c>
      <c r="D192" s="6">
        <v>2</v>
      </c>
      <c r="E192" s="6">
        <f t="shared" ref="E192" si="500">E191+D192</f>
        <v>5047</v>
      </c>
      <c r="F192" s="6">
        <f t="shared" ref="F192" si="501">F191+B192</f>
        <v>5374</v>
      </c>
    </row>
    <row r="193" spans="1:6" x14ac:dyDescent="0.25">
      <c r="A193" s="81">
        <v>44417</v>
      </c>
      <c r="B193" s="6">
        <v>5</v>
      </c>
      <c r="C193" s="6">
        <f t="shared" ref="C193" si="502">C192-D193+B193</f>
        <v>38</v>
      </c>
      <c r="D193" s="6">
        <v>9</v>
      </c>
      <c r="E193" s="6">
        <f t="shared" ref="E193" si="503">E192+D193</f>
        <v>5056</v>
      </c>
      <c r="F193" s="6">
        <f t="shared" ref="F193" si="504">F192+B193</f>
        <v>5379</v>
      </c>
    </row>
    <row r="194" spans="1:6" x14ac:dyDescent="0.25">
      <c r="A194" s="81">
        <v>44418</v>
      </c>
      <c r="B194" s="6">
        <v>2</v>
      </c>
      <c r="C194" s="6">
        <f t="shared" ref="C194" si="505">C193-D194+B194</f>
        <v>34</v>
      </c>
      <c r="D194" s="6">
        <v>6</v>
      </c>
      <c r="E194" s="6">
        <f t="shared" ref="E194" si="506">E193+D194</f>
        <v>5062</v>
      </c>
      <c r="F194" s="6">
        <f t="shared" ref="F194" si="507">F193+B194</f>
        <v>5381</v>
      </c>
    </row>
    <row r="195" spans="1:6" x14ac:dyDescent="0.25">
      <c r="A195" s="81">
        <v>44419</v>
      </c>
      <c r="B195" s="6">
        <v>1</v>
      </c>
      <c r="C195" s="6">
        <f t="shared" ref="C195" si="508">C194-D195+B195</f>
        <v>29</v>
      </c>
      <c r="D195" s="6">
        <v>6</v>
      </c>
      <c r="E195" s="6">
        <f t="shared" ref="E195" si="509">E194+D195</f>
        <v>5068</v>
      </c>
      <c r="F195" s="6">
        <f t="shared" ref="F195" si="510">F194+B195</f>
        <v>5382</v>
      </c>
    </row>
    <row r="196" spans="1:6" x14ac:dyDescent="0.25">
      <c r="A196" s="81">
        <v>44420</v>
      </c>
      <c r="B196" s="6">
        <v>6</v>
      </c>
      <c r="C196" s="6">
        <f t="shared" ref="C196" si="511">C195-D196+B196</f>
        <v>29</v>
      </c>
      <c r="D196" s="6">
        <v>6</v>
      </c>
      <c r="E196" s="6">
        <f t="shared" ref="E196" si="512">E195+D196</f>
        <v>5074</v>
      </c>
      <c r="F196" s="6">
        <f t="shared" ref="F196" si="513">F195+B196</f>
        <v>5388</v>
      </c>
    </row>
    <row r="197" spans="1:6" x14ac:dyDescent="0.25">
      <c r="A197" s="81">
        <v>44421</v>
      </c>
      <c r="B197" s="6">
        <v>1</v>
      </c>
      <c r="C197" s="6">
        <f t="shared" ref="C197" si="514">C196-D197+B197</f>
        <v>27</v>
      </c>
      <c r="D197" s="6">
        <v>3</v>
      </c>
      <c r="E197" s="6">
        <f t="shared" ref="E197" si="515">E196+D197</f>
        <v>5077</v>
      </c>
      <c r="F197" s="6">
        <f t="shared" ref="F197" si="516">F196+B197</f>
        <v>5389</v>
      </c>
    </row>
    <row r="198" spans="1:6" x14ac:dyDescent="0.25">
      <c r="A198" s="81">
        <v>44422</v>
      </c>
      <c r="B198" s="6">
        <v>1</v>
      </c>
      <c r="C198" s="6">
        <f t="shared" ref="C198" si="517">C197-D198+B198</f>
        <v>25</v>
      </c>
      <c r="D198" s="6">
        <v>3</v>
      </c>
      <c r="E198" s="6">
        <f t="shared" ref="E198" si="518">E197+D198</f>
        <v>5080</v>
      </c>
      <c r="F198" s="6">
        <f t="shared" ref="F198" si="519">F197+B198</f>
        <v>5390</v>
      </c>
    </row>
    <row r="199" spans="1:6" x14ac:dyDescent="0.25">
      <c r="A199" s="81">
        <v>44423</v>
      </c>
      <c r="B199" s="6">
        <v>3</v>
      </c>
      <c r="C199" s="6">
        <f t="shared" ref="C199" si="520">C198-D199+B199</f>
        <v>27</v>
      </c>
      <c r="D199" s="6">
        <v>1</v>
      </c>
      <c r="E199" s="6">
        <f t="shared" ref="E199" si="521">E198+D199</f>
        <v>5081</v>
      </c>
      <c r="F199" s="6">
        <f t="shared" ref="F199" si="522">F198+B199</f>
        <v>5393</v>
      </c>
    </row>
    <row r="200" spans="1:6" x14ac:dyDescent="0.25">
      <c r="A200" s="81">
        <v>44424</v>
      </c>
      <c r="B200" s="6">
        <v>6</v>
      </c>
      <c r="C200" s="6">
        <f t="shared" ref="C200" si="523">C199-D200+B200</f>
        <v>30</v>
      </c>
      <c r="D200" s="6">
        <v>3</v>
      </c>
      <c r="E200" s="6">
        <f t="shared" ref="E200" si="524">E199+D200</f>
        <v>5084</v>
      </c>
      <c r="F200" s="6">
        <f t="shared" ref="F200" si="525">F199+B200</f>
        <v>5399</v>
      </c>
    </row>
    <row r="201" spans="1:6" x14ac:dyDescent="0.25">
      <c r="A201" s="81">
        <v>44425</v>
      </c>
      <c r="B201" s="6">
        <v>3</v>
      </c>
      <c r="C201" s="6">
        <f t="shared" ref="C201" si="526">C200-D201+B201</f>
        <v>31</v>
      </c>
      <c r="D201" s="6">
        <v>2</v>
      </c>
      <c r="E201" s="6">
        <f t="shared" ref="E201" si="527">E200+D201</f>
        <v>5086</v>
      </c>
      <c r="F201" s="6">
        <f t="shared" ref="F201" si="528">F200+B201</f>
        <v>5402</v>
      </c>
    </row>
    <row r="202" spans="1:6" x14ac:dyDescent="0.25">
      <c r="A202" s="81">
        <v>44426</v>
      </c>
      <c r="B202" s="6">
        <v>9</v>
      </c>
      <c r="C202" s="6">
        <f t="shared" ref="C202" si="529">C201-D202+B202</f>
        <v>37</v>
      </c>
      <c r="D202" s="6">
        <v>3</v>
      </c>
      <c r="E202" s="6">
        <f t="shared" ref="E202" si="530">E201+D202</f>
        <v>5089</v>
      </c>
      <c r="F202" s="6">
        <f t="shared" ref="F202" si="531">F201+B202</f>
        <v>5411</v>
      </c>
    </row>
    <row r="203" spans="1:6" x14ac:dyDescent="0.25">
      <c r="A203" s="81">
        <v>44427</v>
      </c>
      <c r="B203" s="6">
        <v>3</v>
      </c>
      <c r="C203" s="6">
        <f t="shared" ref="C203" si="532">C202-D203+B203</f>
        <v>34</v>
      </c>
      <c r="D203" s="6">
        <v>6</v>
      </c>
      <c r="E203" s="6">
        <f t="shared" ref="E203" si="533">E202+D203</f>
        <v>5095</v>
      </c>
      <c r="F203" s="6">
        <f t="shared" ref="F203" si="534">F202+B203</f>
        <v>5414</v>
      </c>
    </row>
    <row r="204" spans="1:6" x14ac:dyDescent="0.25">
      <c r="A204" s="81">
        <v>44428</v>
      </c>
      <c r="B204" s="6">
        <v>5</v>
      </c>
      <c r="C204" s="6">
        <f t="shared" ref="C204" si="535">C203-D204+B204</f>
        <v>37</v>
      </c>
      <c r="D204" s="6">
        <v>2</v>
      </c>
      <c r="E204" s="6">
        <f t="shared" ref="E204" si="536">E203+D204</f>
        <v>5097</v>
      </c>
      <c r="F204" s="6">
        <f t="shared" ref="F204" si="537">F203+B204</f>
        <v>5419</v>
      </c>
    </row>
    <row r="205" spans="1:6" x14ac:dyDescent="0.25">
      <c r="A205" s="81">
        <v>44429</v>
      </c>
      <c r="B205" s="6">
        <v>3</v>
      </c>
      <c r="C205" s="6">
        <f t="shared" ref="C205" si="538">C204-D205+B205</f>
        <v>36</v>
      </c>
      <c r="D205" s="6">
        <v>4</v>
      </c>
      <c r="E205" s="6">
        <f t="shared" ref="E205" si="539">E204+D205</f>
        <v>5101</v>
      </c>
      <c r="F205" s="6">
        <f t="shared" ref="F205" si="540">F204+B205</f>
        <v>5422</v>
      </c>
    </row>
    <row r="206" spans="1:6" x14ac:dyDescent="0.25">
      <c r="A206" s="81">
        <v>44430</v>
      </c>
      <c r="B206" s="6">
        <v>11</v>
      </c>
      <c r="C206" s="6">
        <f t="shared" ref="C206" si="541">C205-D206+B206</f>
        <v>42</v>
      </c>
      <c r="D206" s="6">
        <v>5</v>
      </c>
      <c r="E206" s="6">
        <f t="shared" ref="E206" si="542">E205+D206</f>
        <v>5106</v>
      </c>
      <c r="F206" s="6">
        <f t="shared" ref="F206" si="543">F205+B206</f>
        <v>5433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TOTAL SUSPEK</vt:lpstr>
      <vt:lpstr>perdesa</vt:lpstr>
      <vt:lpstr>per kecamatan</vt:lpstr>
      <vt:lpstr>Sheet4</vt:lpstr>
      <vt:lpstr>Sheet2</vt:lpstr>
      <vt:lpstr>TOTAL DIRAWAT</vt:lpstr>
      <vt:lpstr>SUSPEK MASUK</vt:lpstr>
      <vt:lpstr>SUSPEK KELUAR</vt:lpstr>
      <vt:lpstr>TOTAL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2021-08-12T07:46:12Z</cp:lastPrinted>
  <dcterms:created xsi:type="dcterms:W3CDTF">2020-03-25T02:32:05Z</dcterms:created>
  <dcterms:modified xsi:type="dcterms:W3CDTF">2021-08-23T01:10:04Z</dcterms:modified>
</cp:coreProperties>
</file>